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ing Timeline " sheetId="1" r:id="rId5"/>
    <sheet state="visible" name="SUN.RISER 2026" sheetId="2" r:id="rId6"/>
    <sheet state="visible" name="Pivot All" sheetId="3" r:id="rId7"/>
    <sheet state="visible" name="1.1. Batch 1 - 20260423 - 1945" sheetId="4" r:id="rId8"/>
    <sheet state="visible" name="1.2. Pivot - Batch 1" sheetId="5" r:id="rId9"/>
    <sheet state="visible" name="2.1. Batch 2 - 20260501 - 2000" sheetId="6" r:id="rId10"/>
    <sheet state="visible" name="2.2. Pivot - Batch 2" sheetId="7" r:id="rId11"/>
    <sheet state="visible" name="3.1. Batch 3 - 20260509" sheetId="8" r:id="rId12"/>
    <sheet state="visible" name="3.2. Pivot - Batch 3" sheetId="9" r:id="rId13"/>
  </sheets>
  <definedNames>
    <definedName hidden="1" localSheetId="1" name="_xlnm._FilterDatabase">'SUN.RISER 2026'!$A$1:$AA$645</definedName>
    <definedName hidden="1" localSheetId="2" name="_xlnm._FilterDatabase">'Pivot All'!$E$36:$F$73</definedName>
    <definedName hidden="1" localSheetId="3" name="_xlnm._FilterDatabase">'1.1. Batch 1 - 20260423 - 1945'!$A$1:$AJ$120</definedName>
    <definedName hidden="1" localSheetId="5" name="_xlnm._FilterDatabase">'2.1. Batch 2 - 20260501 - 2000'!$A$1:$AF$344</definedName>
    <definedName hidden="1" localSheetId="7" name="_xlnm._FilterDatabase">'3.1. Batch 3 - 20260509'!$A$1:$AF$183</definedName>
  </definedNames>
  <calcPr/>
  <pivotCaches>
    <pivotCache cacheId="0" r:id="rId14"/>
    <pivotCache cacheId="1" r:id="rId15"/>
    <pivotCache cacheId="2" r:id="rId16"/>
    <pivotCache cacheId="3" r:id="rId17"/>
  </pivotCaches>
</workbook>
</file>

<file path=xl/sharedStrings.xml><?xml version="1.0" encoding="utf-8"?>
<sst xmlns="http://schemas.openxmlformats.org/spreadsheetml/2006/main" count="24955" uniqueCount="6567">
  <si>
    <t>Start date</t>
  </si>
  <si>
    <t>End date</t>
  </si>
  <si>
    <t>Batch</t>
  </si>
  <si>
    <t>What to do</t>
  </si>
  <si>
    <t>PIC</t>
  </si>
  <si>
    <t>Note</t>
  </si>
  <si>
    <r>
      <rPr>
        <rFont val="Arial"/>
        <b/>
        <color theme="1"/>
      </rPr>
      <t>Vòng 1 (1):</t>
    </r>
    <r>
      <rPr>
        <rFont val="Arial"/>
        <color theme="1"/>
      </rPr>
      <t xml:space="preserve"> CV Screening (Đợt 1)</t>
    </r>
  </si>
  <si>
    <t>- Chị Nhiên: Game Design, UA, AI
- Chị Yến: HR
- Quỳnh: Unity, Data, QA</t>
  </si>
  <si>
    <r>
      <rPr>
        <rFont val="Arial"/>
        <b/>
        <color theme="1"/>
      </rPr>
      <t xml:space="preserve">Sheet 1.1. Batch 1 - 20260423 - 19:45 và Lever
</t>
    </r>
    <r>
      <rPr>
        <rFont val="Arial"/>
        <b val="0"/>
        <i/>
        <color theme="1"/>
      </rPr>
      <t>Cutoff time: 23/04/2026 - 19:45</t>
    </r>
  </si>
  <si>
    <r>
      <rPr>
        <rFont val="Arial"/>
        <b/>
        <color theme="1"/>
      </rPr>
      <t>Vòng 2 (1):</t>
    </r>
    <r>
      <rPr>
        <rFont val="Arial"/>
        <color theme="1"/>
      </rPr>
      <t xml:space="preserve"> Gửi bài test (Đợt 1)</t>
    </r>
  </si>
  <si>
    <t>- Chưa có bài test: Unity (pending tới 5/5)
- Không có bài test và phỏng vấn luôn: Data</t>
  </si>
  <si>
    <r>
      <rPr>
        <rFont val="Arial"/>
        <b/>
        <color theme="1"/>
      </rPr>
      <t>Vòng 2 (1):</t>
    </r>
    <r>
      <rPr>
        <rFont val="Arial"/>
        <color theme="1"/>
      </rPr>
      <t xml:space="preserve"> Nhận lại bài test &amp; Gửi các bên chấm bài (Đợt 1)</t>
    </r>
  </si>
  <si>
    <r>
      <rPr>
        <rFont val="Arial"/>
        <b/>
        <color theme="1"/>
      </rPr>
      <t>Vòng 1 (2):</t>
    </r>
    <r>
      <rPr>
        <rFont val="Arial"/>
        <color theme="1"/>
      </rPr>
      <t xml:space="preserve"> CV Screening (Đợt 2)</t>
    </r>
  </si>
  <si>
    <t>- Chị Nhiên: Game Design, UA, AI
- Quỳnh: Unity, Data, QA, HR (Chị Yến screen 1 phần rồi)</t>
  </si>
  <si>
    <r>
      <rPr>
        <rFont val="Arial"/>
        <b/>
        <color theme="1"/>
      </rPr>
      <t xml:space="preserve">Sheet 2.1. Batch 2 - 20260501 - 20:00
</t>
    </r>
    <r>
      <rPr>
        <rFont val="Arial"/>
        <b val="0"/>
        <i/>
        <color theme="1"/>
      </rPr>
      <t>Cutoff time: 01/05/2026 - 20:00</t>
    </r>
  </si>
  <si>
    <r>
      <rPr>
        <rFont val="Arial"/>
        <b/>
        <color theme="1"/>
      </rPr>
      <t>Vòng 2 (2):</t>
    </r>
    <r>
      <rPr>
        <rFont val="Arial"/>
        <color theme="1"/>
      </rPr>
      <t xml:space="preserve"> Gửi bài test (Đợt 2)</t>
    </r>
  </si>
  <si>
    <r>
      <rPr>
        <rFont val="Arial"/>
        <b/>
        <color theme="1"/>
      </rPr>
      <t>Vòng 2 (2):</t>
    </r>
    <r>
      <rPr>
        <rFont val="Arial"/>
        <color theme="1"/>
      </rPr>
      <t xml:space="preserve"> Nhận lại bài test &amp; Gửi các bên chấm bài (Đợt 2)</t>
    </r>
  </si>
  <si>
    <r>
      <rPr>
        <rFont val="Arial"/>
        <b/>
        <color theme="1"/>
      </rPr>
      <t>Vòng 1 (3):</t>
    </r>
    <r>
      <rPr>
        <rFont val="Arial"/>
        <color theme="1"/>
      </rPr>
      <t xml:space="preserve"> CV Screening (Đợt 3)</t>
    </r>
  </si>
  <si>
    <r>
      <rPr>
        <rFont val="Arial"/>
        <color theme="1"/>
      </rPr>
      <t xml:space="preserve">- Chị Nhiên: Game Design, UA, AI
- Chị Minh: 
+ Data </t>
    </r>
    <r>
      <rPr>
        <rFont val="Arial"/>
        <i/>
        <color rgb="FFFF0000"/>
      </rPr>
      <t xml:space="preserve">(Screen CV rồi tổng hợp CV pass cho anh Duy Nguyễn -&gt; Pending gửi email pass/fail)
</t>
    </r>
    <r>
      <rPr>
        <rFont val="Arial"/>
        <color rgb="FF000000"/>
      </rPr>
      <t>+ Unity</t>
    </r>
    <r>
      <rPr>
        <rFont val="Arial"/>
        <i/>
        <color rgb="FF000000"/>
      </rPr>
      <t xml:space="preserve"> </t>
    </r>
    <r>
      <rPr>
        <rFont val="Arial"/>
        <i/>
        <color rgb="FFFF0000"/>
      </rPr>
      <t>(Pending gửi email Pass/Fail)</t>
    </r>
    <r>
      <rPr>
        <rFont val="Arial"/>
        <color theme="1"/>
      </rPr>
      <t xml:space="preserve">
+ HR </t>
    </r>
    <r>
      <rPr>
        <rFont val="Arial"/>
        <i/>
        <color rgb="FFFF0000"/>
      </rPr>
      <t>(Pending gửi email pass/fail)</t>
    </r>
    <r>
      <rPr>
        <rFont val="Arial"/>
        <color theme="1"/>
      </rPr>
      <t xml:space="preserve">
+ QA </t>
    </r>
    <r>
      <rPr>
        <rFont val="Arial"/>
        <i/>
        <color rgb="FFFF0000"/>
      </rPr>
      <t>(Gửi email pass/fail như bình thường)</t>
    </r>
  </si>
  <si>
    <r>
      <rPr>
        <rFont val="Arial"/>
        <b/>
        <color theme="1"/>
      </rPr>
      <t xml:space="preserve">Sheet 3.1. Batch 3 - 20260508 - 23:59
</t>
    </r>
    <r>
      <rPr>
        <rFont val="Arial"/>
        <b val="0"/>
        <i/>
        <color theme="1"/>
      </rPr>
      <t>Cutoff time: 08/05/2026 - 23:59</t>
    </r>
  </si>
  <si>
    <r>
      <rPr>
        <rFont val="Arial"/>
        <b/>
        <color theme="1"/>
      </rPr>
      <t>Vòng 2 (3):</t>
    </r>
    <r>
      <rPr>
        <rFont val="Arial"/>
        <color theme="1"/>
      </rPr>
      <t xml:space="preserve"> Gửi bài test (Đợt 3)</t>
    </r>
  </si>
  <si>
    <r>
      <rPr>
        <rFont val="Arial"/>
        <b/>
        <color theme="1"/>
      </rPr>
      <t>Vòng 2 (2):</t>
    </r>
    <r>
      <rPr>
        <rFont val="Arial"/>
        <color theme="1"/>
      </rPr>
      <t xml:space="preserve"> Nhận lại bài test &amp; Gửi các bên chấm bài (Đợt 3)</t>
    </r>
  </si>
  <si>
    <r>
      <rPr>
        <rFont val="Arial"/>
        <b/>
        <color theme="1"/>
      </rPr>
      <t>Vòng 3:</t>
    </r>
    <r>
      <rPr>
        <rFont val="Arial"/>
        <color theme="1"/>
      </rPr>
      <t xml:space="preserve"> Ít nhất 3 buổi phỏng vấn</t>
    </r>
  </si>
  <si>
    <t>HR</t>
  </si>
  <si>
    <r>
      <rPr>
        <rFont val="Arial"/>
        <b/>
        <color theme="1"/>
      </rPr>
      <t>Vòng 2 (HR):</t>
    </r>
    <r>
      <rPr>
        <rFont val="Arial"/>
        <color theme="1"/>
      </rPr>
      <t xml:space="preserve"> Online Interview (30 mins)</t>
    </r>
  </si>
  <si>
    <t>- Chị Nhiên
- Quỳnh</t>
  </si>
  <si>
    <t>Function</t>
  </si>
  <si>
    <t>Email template</t>
  </si>
  <si>
    <t>QA</t>
  </si>
  <si>
    <t>https://sungamestudios-my.sharepoint.com/:f:/r/personal/quynh_huynh_sun_studio/Documents/6.%20TA/SUN.RISER%202026/Email%20template/QA_Template?csf=1&amp;web=1&amp;e=qnNtKK</t>
  </si>
  <si>
    <t>Unity</t>
  </si>
  <si>
    <t>Data</t>
  </si>
  <si>
    <t>*Vui lòng cung cấp họ và tên đầy đủ của bạn.*</t>
  </si>
  <si>
    <t>*Ngày tháng năm sinh*</t>
  </si>
  <si>
    <t>*Địa chỉ email của bạn là gì?*</t>
  </si>
  <si>
    <t>*Số điện thoại bạn đang sử dụng?*</t>
  </si>
  <si>
    <t>*1st choice / Nguyện vọng 1*</t>
  </si>
  <si>
    <t>*2nd choice / Nguyện vọng 2*</t>
  </si>
  <si>
    <t>*Please submit your CV here *</t>
  </si>
  <si>
    <t>*Why do you want to apply for this position in SUN.riser program?*
_Vì sao bạn muốn ứng tuyển vào vị trí này trong chương trình SUN.riser? _</t>
  </si>
  <si>
    <t>*Why do your applied position *
_Vì sao bạn muốn ứng tuyển vào vị trí này trong chương trình SUN.riser? _</t>
  </si>
  <si>
    <t>*Which university are you studying at? / Bạn đến từ trường Đại học nào?*</t>
  </si>
  <si>
    <t>Nếu không nằm trong danh sách phía trên, vui lòng ghi tên trường Đại học của bạn tại đây</t>
  </si>
  <si>
    <t>*Trình độ học vấn hiện tại của bạn là gì?*</t>
  </si>
  <si>
    <t>*Chuyên ngành học của bạn là gì?*</t>
  </si>
  <si>
    <t>*Thời gian tốt nghiệp (dự kiến nếu chưa tốt nghiệp)*</t>
  </si>
  <si>
    <t>*What is your GPA (out of 10)?*
_Điểm trung bình hiện tại của bạn (Trên thang điểm 10)?_</t>
  </si>
  <si>
    <t>*Please attach your academic transcript here*
_Vui lòng đính kèm bảng điểm tại đây_</t>
  </si>
  <si>
    <t>*Have you had any game-related or job-related experience before (personal project/coursework/competition…)?*
_Bạn đã có kinh nghiệm liên quan đến Game hoặc vị trí ứng tuyển trước đây chưa (dự án/bài tập/công ty/cuộc thi,…)?_</t>
  </si>
  <si>
    <t>*If yes, please briefly describe your roles and the project outcomes*
_Nếu có, hãy mô tả ngắn về vai trò của bạn và kết quả của dự án/bài tập đó._</t>
  </si>
  <si>
    <t xml:space="preserve">*Please attach your related Portfolio or Project links here*
Vui lòng đính kèm Portfolio hoặc Link dự án liên quan đến kinh nghiệm của bạn tại đây. </t>
  </si>
  <si>
    <t xml:space="preserve">*Are you willing to work full-time at least 3,5 days/week and commit to at least 3 months, starting from June 2026?*
Bạn có sẵn sàng làm việc full-time tối thiểu 3,5 ngày/tuần và cam kết tham gia tối thiểu 3 tháng, bắt đầu từ tháng 6/2026 không? </t>
  </si>
  <si>
    <t>*Sau thời gian thực tập, bạn sẽ có cơ hội được review để thăng tiến vị trí chính thức. Bạn có thể đi làm full-time tối thiểu 3,5 ngày/tuần không?*</t>
  </si>
  <si>
    <t>*Bạn biết đến chương trình thực tập SUN.riser của SUN.STUDIO qua kênh nào?*</t>
  </si>
  <si>
    <t>*Tên nhân viên giới thiệu nội bộ*</t>
  </si>
  <si>
    <t>*Is there anything you would like to share with SUN.STUDIO?*
_Bạn có điều gì muốn gửi gắm đến SUN.STUDIO?  _</t>
  </si>
  <si>
    <t>Submitted At</t>
  </si>
  <si>
    <t>Token</t>
  </si>
  <si>
    <t>Đặng Nguyễn Duy Khanh</t>
  </si>
  <si>
    <t>dangnguyenduykhanh42@gmail.com</t>
  </si>
  <si>
    <t>+84949263705</t>
  </si>
  <si>
    <t>Unity Development Intern</t>
  </si>
  <si>
    <t>AI Engineering Intern</t>
  </si>
  <si>
    <t>tham gia đào tạo nâng cấp bản thân học hỏi thêm và cải thiện tư duy</t>
  </si>
  <si>
    <t>tôi nghỉ vị trí này phù hợp vì tôi đang định hướng bản thân theo hướng lập trình game và AI</t>
  </si>
  <si>
    <t>Others - Khác</t>
  </si>
  <si>
    <t>Cao đẳng Giao Thông Vận Tải</t>
  </si>
  <si>
    <t>Year 4 / Năm 4</t>
  </si>
  <si>
    <t>Công Nghệ Thông Tin Ứng dụng Phần mềm</t>
  </si>
  <si>
    <t>8.88</t>
  </si>
  <si>
    <t>Tôi chưa có kinh nghiệm trong dự án game</t>
  </si>
  <si>
    <t>http://113mobile.somee.com/</t>
  </si>
  <si>
    <t>Yes / Có</t>
  </si>
  <si>
    <t>Mạng xã hội</t>
  </si>
  <si>
    <t>Xin chào quý nhà tuyển dụng em là Duy Khanh hiện là sinh viên năm cuối của Trường Cao đẳng Giao Thông Vận Tải Hồ Chí Minh. Hiện tại em vẫn đang trong quá trình học hỏi và cũng cố kiến thức cho bản thân việc tham gia thực tập tại Công ty sẽ giúp em rất nhiều trong sự nghiệp của bản thân em. Em không học trường top nhưng em tin chắc rằng khả năng của bản thân em sẽ đáp ứng được nhu cầu công việc và em vẫn sẽ phát triển thêm theo từng ngày ạ.</t>
  </si>
  <si>
    <t>5i8xakjgkoge8rv39ucpqx5i8xakjg9t</t>
  </si>
  <si>
    <t>Nhiên</t>
  </si>
  <si>
    <t>Game Design, Game UA, AI</t>
  </si>
  <si>
    <t>23/04 - 27/04: Screen hết CV đợt 1</t>
  </si>
  <si>
    <t>Phạm Ngọc Trí</t>
  </si>
  <si>
    <t>phamtri1232004@gmail.com</t>
  </si>
  <si>
    <t>+84799874428</t>
  </si>
  <si>
    <t>Data Analysis Intern</t>
  </si>
  <si>
    <t>I’m motivated to apply for the Data Analysis Intern because it offers the chance to work with player data in a fast-paced environment where data reflects real user behavior. With my background in data pipelines and analytics, I want to deepen my ability to understand user engagement and retention, and contribute to data-driven product decision.</t>
  </si>
  <si>
    <t>I believe this role involves analyzing player data to understand user behavior and support product decisions. It includes working with datasets, dashboards, and cross-functional teams. I’m a good fit because I have experience in data pipelines, warehousing, and analytics, and I enjoy turning data into actionable insights.</t>
  </si>
  <si>
    <t>UIT – Trường Đại học Công nghệ Thông tin – ĐHQG TP.HCM</t>
  </si>
  <si>
    <t>Khoa học dữ liệu</t>
  </si>
  <si>
    <t>8.91</t>
  </si>
  <si>
    <t>I have experience as a Data Analyst Intern at OFI Vietnam, where I built Power BI dashboards for QC monitoring, enabling faster issue detection and improving data consistency through automation. 
In my Social Media Ads Analytics project, I built ETL pipelines and analyzed CTR/Conversion to identify optimization opportunities for campaign performance. In the Airline Loyalty Analysis project, I performed data modeling, defined KPIs, and segmented customers to improve engagement. Additionally, my thesis on Vietnamese toxic language detection involved building a 34k+ dataset and labeling pipeline, achieving high data quality and ranking #2 with a 9.5/10 score.</t>
  </si>
  <si>
    <t>(Social Media Ads Analytics) https://github.com/triphamday/social-media-ads-datawarehouse  (Airline Loyalty Analysis) https://github.com/triphamday/airline-loyalty-analytics</t>
  </si>
  <si>
    <t>SUN.STUDIO LinkedIn</t>
  </si>
  <si>
    <t>I’m genuinely excited about the opportunity to join SUN.STUDIO and contribute to data-driven product development in the game industry. I’m eager to learn, take ownership of my work, and continuously improve both my technical and product thinking skills. I would really value the chance to work in a fast-paced, collaborative environment where I can turn data into meaningful insights that enhance player experience.</t>
  </si>
  <si>
    <t>q4bzy817knon6rwu7tq4bzg8wp39bqf8</t>
  </si>
  <si>
    <t>Quỳnh</t>
  </si>
  <si>
    <t>Unity, Data</t>
  </si>
  <si>
    <t>28/04: Gửi bài test đợt 1</t>
  </si>
  <si>
    <t>Nguyễn Trọng Nghĩa</t>
  </si>
  <si>
    <t>nguyentrongnghia2003@gmail.com</t>
  </si>
  <si>
    <t>+84903673621</t>
  </si>
  <si>
    <t>Game Design Intern</t>
  </si>
  <si>
    <t>Là những vị trí tạo ứng tượng lớn đối với mình</t>
  </si>
  <si>
    <t>Vị trí này sẽ đóng góp việc phát triển game. Mình cảm thấy phù hợp với vị trí này vì sự đam mê giành cho game và đã có kinh nghiệm phát triển quảng cáo game.</t>
  </si>
  <si>
    <t>Đại học FPT</t>
  </si>
  <si>
    <t>Fresh graduate / Mới tốt nghiệp</t>
  </si>
  <si>
    <t>Kỹ thuật phần mềm</t>
  </si>
  <si>
    <t>7.7</t>
  </si>
  <si>
    <t>Đã từng thực tập ở một công ty game, vị trí thực tập là Playable Ads Developer. Vị trí này đảm nhận công việc xây dựng và thiết kế quảng cáo mà cho người dùng tương tác. Kết quả là mình đã tạo được 2-3 quảng cáo cho công ty.  Ngoài ra còn có dự án làm game kinh dị với 3 thành viên, vị trí đảm nhiệm là thiết kế môi trường và lập trình cho hành vi và chuyển động của con ma.</t>
  </si>
  <si>
    <t>https://github.com/nghiantrong/HorrorGame_Loop</t>
  </si>
  <si>
    <t>cqucertyhscuypvkcquce2ag30h2hiwz</t>
  </si>
  <si>
    <t>Minh</t>
  </si>
  <si>
    <t>04/05: Nhận lại bài test &amp; Gửi các bên chấm bài (Đợt 1) &amp; Gửi bài test (Đợt 2)</t>
  </si>
  <si>
    <t>Đặng Thế An</t>
  </si>
  <si>
    <t>thean0704@gmail.com</t>
  </si>
  <si>
    <t>+84344157918</t>
  </si>
  <si>
    <t>Mình chọn vị trí này vì cảm nhận được sự trẻ trung và máu lửa trong văn hóa của SUN.STUDIO. Mình tin là ở một môi trường cởi mở như vậy, những ý tưởng của mình sẽ có 'đất diễn' và mình cũng sẽ học hỏi được rất nhiều từ những cộng sự siêu ngầu tại đây.</t>
  </si>
  <si>
    <t>Sau 3 năm làm Unity Developer, mình nhận ra bản thân không chỉ muốn dừng lại ở việc hiện thực hóa logic bằng code, mà còn khao khát được thổi 'hồn' vào trò chơi.
Mình chọn vị trí này tại SUN.STUDIO vì muốn thử sức ở vai trò Game Designer — nơi mình có thể kết hợp tư duy kỹ thuật sẵn có với niềm đam mê nghệ thuật và những trải nghiệm sâu sắc hơn .</t>
  </si>
  <si>
    <t>HUTECH – Trường Đại học Công nghệ TP.HCM</t>
  </si>
  <si>
    <t>công nghệ phần mền</t>
  </si>
  <si>
    <t>8</t>
  </si>
  <si>
    <t>1.Mình có khoảng 3 năm học làm việc với Unity. ( các dự án mình đều tự làm ).Từng đi phỏng vấn và pass vòng technical ở vị trí Middle Unity Developer tại Tech Anatomy Studio. 
2.Có 2 đồ án game mình làm trên trường ( đồ án cơ sở và đồ án chuyên ngành ) và đều đạt điểm 10/10. 
3.Mình cũng có làm freelance và đã từng phục nhiều khách hàng với các thể loại khách nhau từ 2d - 3d và online lẫn offline.
4.Lập một kênh Youtube chia sẽ về lập trình và toán học trong lập trình game.( với hơn 30 video được chuẩn bị rất kỹ càng và chuyên nghiệp ).</t>
  </si>
  <si>
    <t>Kênh Youtube : https://www.youtube.com/@HomemadeGames-v7y  Github:https://github.com/AnhAnIT/CombatFramework2D</t>
  </si>
  <si>
    <t>Mình không chỉ muốn mang đến kinh nghiệm của một Unity Developer để giúp các dự án của SUN vận hành mượt mà, mà còn muốn cùng mọi người đi tìm lời giải cho những trải nghiệm sâu sắc và tinh tế hơn. Với mình, mỗi sản phẩm tại SUN không chỉ là một ứng dụng hay một trò chơi, mà là một tác phẩm nghệ thuật. Mình rất mong được trở thành một phần trong hành trình sáng tạo đó của các bạn!</t>
  </si>
  <si>
    <t>k8h8ej4kihgxkz0k8hn6vp5bq3vrr6dn</t>
  </si>
  <si>
    <t>06-07-08/05: Ít nhất 3 buổi phỏng vấn</t>
  </si>
  <si>
    <t>Nguyễn Công Trung</t>
  </si>
  <si>
    <t>nguyencongtrung13@gmail.com</t>
  </si>
  <si>
    <t>+84966421165</t>
  </si>
  <si>
    <t>Game Quality Assurance Intern</t>
  </si>
  <si>
    <t>Em đam mê tạo ra những con game mang lại trải nghiệm thú vị cho người chơi. Đặc biệt em thích tạo ra những con game có độ tùy biến, tính bất ngờ cao và công bằng.</t>
  </si>
  <si>
    <t>Phối hợp với đội ngũ làm game như game designer, game tester, artist 2D/3D,... làm game thông qua quy trình chuyên nghiệp từ thiết kế prototype cho đến sản phẩm hoàn chỉnh.</t>
  </si>
  <si>
    <t>SGU – Trường Đại học Công nghệ Sài Gòn</t>
  </si>
  <si>
    <t>SGU - Trường Đại Học Sài Gòn</t>
  </si>
  <si>
    <t>Công nghệ thông tin</t>
  </si>
  <si>
    <t>7.93</t>
  </si>
  <si>
    <t>Lên kế hoạch phát triển dự án game cá nhân nhỏ hoặc 1 prototype về tựa game muốn làm.
Sưu tầm, chỉnh sửa asset game để đưa vào unity.
Tiến hành code theo kế hoạch đã đề ra từ các bước tạo object, animation từ các asset trước đó, cấu trúc folder, code và cuối cùng là build game và đưa lên web (itch.io)</t>
  </si>
  <si>
    <t>https://culicoder.itch.io/shadow-dash-2d</t>
  </si>
  <si>
    <t>Em rất mong có cơ hội để làm việc tại SUN.STUDIO để được tìm hiểu và tiếp xúc với quy trình làm game thực tế mang sản phẩm đến với người chơi.</t>
  </si>
  <si>
    <t>f34elene3daco7ef34elinexo3mbb44a</t>
  </si>
  <si>
    <t>14/05: Nhận bài test đợt 3 &amp; Gửi bài test cho các bên chấm</t>
  </si>
  <si>
    <t>Trần Đỗ Hoàng Tân</t>
  </si>
  <si>
    <t>tantran282006@gmail.com</t>
  </si>
  <si>
    <t>+84332422436</t>
  </si>
  <si>
    <t>Mong muốn kiếm thêm kinh nghiệm và học hỏi thêm nhiều kiến thức về chuyên nghành</t>
  </si>
  <si>
    <t>Theo tôi vị trí này sẽ hỗ trợ về việc code, design game 
Cá nhân tôi , thông thạo unity cũng như sử dụng git ,tính học hỏi cao,tinh thần và trách nhiệm với công việc,biết lắng nghe và sửa đổi,có tinh thần làm việc nhóm</t>
  </si>
  <si>
    <t>FPT Poly – Trường Cao đẳng FPT Polytechnic TP.HCM</t>
  </si>
  <si>
    <t>Kỳ cuối ,sắp tốt nghiệp</t>
  </si>
  <si>
    <t>Game Programming</t>
  </si>
  <si>
    <t>7.5</t>
  </si>
  <si>
    <t>Tôi code chính,design,quản lí dự án trong các Dự án 2d/3d</t>
  </si>
  <si>
    <t>https://github.com/Cow040606/EcoWorld</t>
  </si>
  <si>
    <t>Mạng xã hội, TopCV</t>
  </si>
  <si>
    <t>Tôi là sinh viên sắp ra trường mong muốn được vị trí thực tập để học hỏi cũng như tiếp thêm kiến thức chuyên nghành,cũng như muốn gắn bó lâu dài và cống hiến hết sức mình cho quý công ty ,Xin chân thành cảm ơn quý công ty đã xem</t>
  </si>
  <si>
    <t>tkq524gebqz8suguori9xq0tkq5mwmop</t>
  </si>
  <si>
    <t>Nguyễn Minh Khôi</t>
  </si>
  <si>
    <t>khoinmdev1@gmail.com</t>
  </si>
  <si>
    <t>+84987929502</t>
  </si>
  <si>
    <t>Em đã tìm hiểu về SUN Studio và thực sự ấn tượng với các trò  chơi Puzzle nhanh và nhẹ nhàng . Với mong muốn phát triển chuyên sâu trong mảng Game Design, em luôn cố gắng xây dựng tư duy thiết kế thực dụng. Cụ thể, qua các dự án tự phát triển , em không chỉ lên ý tưởng GDD mà còn trực tiếp đảm nhận vai trò Developer và Level Designer.</t>
  </si>
  <si>
    <t>Em đã từng trực tiếp phân tích, thiết kế hệ thống và viết GDD cho các thành phần mới của một dự án game thực tế đang vận hành. Qua các cuộc thi nhờ việc tự tay đảm nhận cả vai trò Developer lẫn Level Designer trong các dự án cá nhân, em tự tay xử lý các logic lập trình như cơ chế chiến đấu hay UI.</t>
  </si>
  <si>
    <t>TDMU - Đại học Thủ Dầu Một</t>
  </si>
  <si>
    <t>7.4</t>
  </si>
  <si>
    <t>Đối với dự án BarbarQ2 (Tại Gihot Studio)
Vai trò: Game Design Intern.
Kết quả: Nắm bắt quy trình thực tế, trực tiếp tham gia thiết kế chức năng và hoàn thiện tài liệu GDD cho các thành phần mới của game.
Đối với dự án Veggie Heist (2D side-scrolling)
Vai trò: Developer và Level Designer.
Kết quả: Hoàn thành tài liệu GDD và phát triển thành công bản game demo chơi được. Đặc biệt, em đã thiết kế và lập trình cơ chế "Thanh Siêu Cấp" giúp thay đổi lối chơi dựa trên trạng thái cảm xúc của nhân vật.</t>
  </si>
  <si>
    <t>https://surl.li/qfueni, https://surl.li/bhmajq, https://surl.li/bhmajq</t>
  </si>
  <si>
    <t>Với tư duy của một Game Designer hiểu rõ nền tảng kỹ thuật và đã có kinh nghiệm viết GDD thực tế, em rất mong muốn được trở thành một phần của SUN.STUDIO. Em đã sẵn sàng bắt tay vào việc để cùng đội ngũ tạo ra những sản phẩm chất lượng</t>
  </si>
  <si>
    <t>xybrj60a3yoxudj15uxybrw5yry7volz</t>
  </si>
  <si>
    <t>Nguyễn Mạnh Hoài Bảo</t>
  </si>
  <si>
    <t>hoaibao200611423@gmail.com</t>
  </si>
  <si>
    <t>+84379317150</t>
  </si>
  <si>
    <t>Em khá thích và muốn được phát triển củng như học hỏi cùng với SUN</t>
  </si>
  <si>
    <t>Em nghĩ vị trí này sẽ code game bằng C# trong unity, Làm gameplay, UI, animation, logic và fix bug, tối ưu game. Em nghĩ em phù hợp với vị trí trên bởi vì em đã làm qua những game cơ bản và hiểu được luồng và cơ chế game, Ngoài ra em là một người rất đam mê cũng như mong muốn góp phần tạo ra những tựa game hay và thu hút</t>
  </si>
  <si>
    <t>Year 2 / Năm 2</t>
  </si>
  <si>
    <t>Lập Trình Game</t>
  </si>
  <si>
    <t>8.3</t>
  </si>
  <si>
    <t>Em đã hoàn thành tốt 3 dự án môn học , 2 dự án môn học em là nhóm trưởng và 1 dự án em là thành viên và kết quả trung bình của 3 dự án trên là 8 điểm.</t>
  </si>
  <si>
    <t>https://embaotoichoi.github.io/my-profile/</t>
  </si>
  <si>
    <t>TopCV, Mạng xã hội, SUN.STUDIO LinkedIn</t>
  </si>
  <si>
    <t>Em rất vui và mong muốn có cơ hội được gặp gỡ, trao đổi trực tiếp với anh chị và quý công ty để được học hỏi thêm. Em hy vọng trong tương lai gần, em có thể đồng hành và phát triển cùng quý công ty trong các dự án game chất lượng cao.</t>
  </si>
  <si>
    <t>6qihxwwb0ee30coxwfwgpet6qihxwwki</t>
  </si>
  <si>
    <t>Nguyễn Đức Hoàng</t>
  </si>
  <si>
    <t>hoangndgcs18383@gmail.com</t>
  </si>
  <si>
    <t>+84965280940</t>
  </si>
  <si>
    <t>tôi là một game developer nhưng muốn có kinh nghiệm thực tế trong việc làm core-loop của gamepla</t>
  </si>
  <si>
    <t>tôi có sở thích muốn được ấn định cho feel game nhiều hơn</t>
  </si>
  <si>
    <t>Greenwich FPT University</t>
  </si>
  <si>
    <t>Đã ra trường và làm việc được 3 năm ở vị trí Developer</t>
  </si>
  <si>
    <t>IT</t>
  </si>
  <si>
    <t>6.5</t>
  </si>
  <si>
    <t>Tôi có kinh nghiệm 2-3 năm làm việc trong vị trí Developer, và đa số là dự án về puzzle và hyper, 2D, 3D. Đã từng tích hợp với SDK, ADs và IAP, có kinh nghiệm public game trên store.</t>
  </si>
  <si>
    <t>https://drive.google.com/drive/folders/1yPEC87Mw-r_ciPQ2hC6jdqNbwutx3KD9?usp=sharing</t>
  </si>
  <si>
    <t>Mạng xã hội, SUN.STUDIO LinkedIn</t>
  </si>
  <si>
    <t>Rất mong muốn được studio để mắt tới nguyện vọng của tôi, tôi rất mong bên studio sẽ gửi mail phản hồi lại. Xin cảm ơn rất nhiều</t>
  </si>
  <si>
    <t>4edddcgwdirim45ops34edddcgza6s5o</t>
  </si>
  <si>
    <t>Trần Quốc Đạt</t>
  </si>
  <si>
    <t>dat723457@gmail.com</t>
  </si>
  <si>
    <t>+84329343938</t>
  </si>
  <si>
    <t>Mình mong muốn trải nghiệm và test sản phẩm,góp ý cải thiện và hoàn thiện sản phẩm tối đa hóa trò chơi tốt nhất trước khi đến tay khách hàng. 
Mặc dù kinh nghiệm chưa nhiều, nhưng mình muốn học hỏi phát triển thêm và đồng hành cùng với Sun phát triển mạnh hơn nữa...rất mong được làm thành viên Sun.Riser.cùng tạo nên những sản phẩm tuyệt vời !</t>
  </si>
  <si>
    <t>Mình thích trải nghiệm sản phẩm sau đó phân tích đảm bảo vận hành đúng thiết kế.báo cáo góp ý. 
Tìm lỗi cải thiện sản phẩm đến khi được phát hành.</t>
  </si>
  <si>
    <t>Huflit- Ngoại Ngữ Tin Học</t>
  </si>
  <si>
    <t>Đang thi chứng chỉ tiếng anhđể tốt nghiệp.</t>
  </si>
  <si>
    <t>Mình không nhớ.</t>
  </si>
  <si>
    <t>Mình có kinh nghiệm thực tập tại studio nhỏ về việc Tester game viết báo cáo lỗi.và các tính năng nâng cao khác dựa theo Design</t>
  </si>
  <si>
    <t>Đã tạm dừng được 2 năm.thực tập năm 3(2024)</t>
  </si>
  <si>
    <t>Tôi mong muốn được đồng hành và phát triển cùng Sun.
Nếu được như thế tôi sẽ cống hiến hết mình cùng với những thành viên khác cùng theo chân mentor để cùng nhau bức phá. VẬY THÔI !
Mình Xin cảm ơn và chúc sức khỏe !</t>
  </si>
  <si>
    <t>gp1r5jc2a36mbarzqhgp1rj9iw1g7d1z</t>
  </si>
  <si>
    <t>Trần Quốc An</t>
  </si>
  <si>
    <t>tranquocan2102003@gmail.com</t>
  </si>
  <si>
    <t>+84867579810</t>
  </si>
  <si>
    <t>Em nhận thấy định hướng phát triển của SUN.RISER rất phù hợp với tư duy thiết kế và dòng game em đang theo đuổi. Đây là môi trường lý tưởng để em đóng góp góc nhìn mới mẻ và rèn luyện kỹ năng thiết kế hệ thống một cách bài bản.</t>
  </si>
  <si>
    <t>Em hiểu Game Designer Intern tại SUN.RISER sẽ hỗ trợ xây dựng tài liệu thiết kế, brainstorm ý tưởng, phân tích gameplay, và phối hợp cùng team để cân bằng, tối ưu trải nghiệm người chơi.
Em có tư duy logic tốt, am hiểu cơ chế game, và đặc biệt yêu thích các sản phẩm của studio. Em sẵn sàng học hỏi, nhận feedback và luôn chủ động đóng góp ý tưởng</t>
  </si>
  <si>
    <t>Game Programmer</t>
  </si>
  <si>
    <t>7.5/10</t>
  </si>
  <si>
    <t>Em chủ yếu phụ trách thiết kế map, UI/UX, xây dựng gameplay cơ bản cho player và lựa chọn SFX.
Dự án được đánh giá cao, và có tiềm năng phát triển đây là những lời mà giảng viên và giám khảo đánh giá dự án em tham gia ạ.</t>
  </si>
  <si>
    <t>https://github.com/hotaru0906/CDOnline</t>
  </si>
  <si>
    <t>"Em không chỉ muốn tìm một nơi để thực tập, mà mong muốn được đóng góp sức trẻ vào những dự án chất lượng của SUN.STUDIO. Em tin rằng với sự kiên trì, tư duy sáng tạo và khả năng thích nghi nhanh, em có thể là một nhân tố mới đầy tiềm năng cho team. Rất mong nhận được phản hồi từ phía Công Ty ạ"</t>
  </si>
  <si>
    <t>5u8011g0yve8c56bb5u8011lelb5rnlt</t>
  </si>
  <si>
    <t>Phạm Minh Ngân</t>
  </si>
  <si>
    <t>minhnganpham2005@gmail.com</t>
  </si>
  <si>
    <t>+84347791808</t>
  </si>
  <si>
    <t>I applied for this role because I have a strong passion for turning raw data into meaningful insights. With my background in Information Systems and proficiency in tools like SQL and Python, I enjoy the challenge of solving business problems through numbers. I want to leverage my analytical skills to help make smarter, data-driven decisions</t>
  </si>
  <si>
    <t>I see this role as translating complex numbers into clear solutions for the business. I am a strong candidate because I combine a technical background with a natural curiosity for data patterns. With my experience in SQL and data modeling, I can help the team uncover trends and turn them into practical improvements</t>
  </si>
  <si>
    <t>Year 3 / Năm 3</t>
  </si>
  <si>
    <t>Information System</t>
  </si>
  <si>
    <t>7.87</t>
  </si>
  <si>
    <t>No</t>
  </si>
  <si>
    <t>https://github.com/xxxmvppmn/FoodWaste-OLAP-Project</t>
  </si>
  <si>
    <t>Ybox</t>
  </si>
  <si>
    <t>lpb15fhony2d9jv5ilpb15fhi12ri89e</t>
  </si>
  <si>
    <t>Võ Nguyễn Hưng</t>
  </si>
  <si>
    <t>vonguyenhung96@gmail.com</t>
  </si>
  <si>
    <t>+84779883368</t>
  </si>
  <si>
    <t>I've spent 20+ years playing all kinds of games and studied Game Development — but I know theory isn't enough. This internship is the chance to learn how game design truly works in practice, and I'm here to grow.</t>
  </si>
  <si>
    <t>This role involves supporting the design team — documenting mechanics, balancing gameplay, and turning ideas into systems. My gaming experience sharpened my sense of player experience and what could be improved, and my Game Development background lets me bring both a player's instinct and a designer's mindset.</t>
  </si>
  <si>
    <t>VTC Academy</t>
  </si>
  <si>
    <t>Game Developement</t>
  </si>
  <si>
    <t>8.4</t>
  </si>
  <si>
    <t>During my academic years, I worked as a Game Designer(main role) and Game Developer on a project that won an honorable mention at a game competition organized by FPT Polytechnic. On the professional side, I took on the same roles and successfully delivered the project on schedule as required by the client.</t>
  </si>
  <si>
    <t>https://drive.google.com/drive/folders/1up0IN9ytXdY2yyhp9giNVKS7Kr7L0q_3?usp=sharing</t>
  </si>
  <si>
    <t>SUN.STUDIO LinkedIn, Mạng xã hội</t>
  </si>
  <si>
    <t>Game design isn't just a career choice for me — it's something I committed to fully. I left my previous field to pursue this, because I realized I didn't want to spend my life doing something I wasn't passionate about. Every project I've worked on has reinforced that decision. I'm not here by accident — I'm here because this is exactly where I want to be.</t>
  </si>
  <si>
    <t>adnv2lryy5n2a70izadnz2o6njgzjwy4</t>
  </si>
  <si>
    <t>Trần Đông Khang</t>
  </si>
  <si>
    <t>trandongkhang2000@gmail.com</t>
  </si>
  <si>
    <t>+84913372563</t>
  </si>
  <si>
    <t>Điều khiến mình lựa chọn công ty cho vị trí Game Designer đó là được làm việc trong môi trường chuyên nghiệp, vừa được học hỏi và áp dụng được kỹ năng của mình vào công việc và giúp ích cho công ty. Tôi có kinh nghiệm thiết kế các hệ thống và thiết kế mechanics cho trò chơi trong các dự án cá nhân, vì vậy tôi thấy vai trò này rất phù hợp với tôi</t>
  </si>
  <si>
    <t>Với vị trí game designer điều mình cần có là kỹ năng thiết kế lối chơi (gameplay design) , thiết kế hệ thống (quest, event,..), cân bằng trò chơi, làm việc với team dev/art và phân tích, cải thiện được trải nghiệm người chơi...Mình phù hợp với vị trí này vì mình có kinh nghiệm thiết kế các hệ thống trong trò chơi , tư duy logic và giải quyết vấn đề</t>
  </si>
  <si>
    <t>TDT – Trường Đại học Tôn Đức Thắng</t>
  </si>
  <si>
    <t>6.42</t>
  </si>
  <si>
    <t>Mình từng làm qua một số dự án cá nhân và công ty với các công việc như sau: xây dựng hệ thống Inventory, Quest System và Popup UI cho game RPG và Tower Defense. Thiết kế tài liệu GDD (Game Design Document) mô tả chi tiết gameplay loop, progression, và UI flow. Thiết kế UI tương tác trực quan thể hiện rõ tiến trình, nhiệm vụ, và phần thưởng.</t>
  </si>
  <si>
    <t>Portfolio:" https://www.notion.so/Project-Overview-3189f5ea2d9f80d69291f9c032848b8d?source=copy_link" -- Link github: https://github.com/ShiaKhan.</t>
  </si>
  <si>
    <t>Mình rất mong muốn có cơ hội được trở thành một phần của SUN.STUDIO để tham gia vào quá trình phát triển game một cách thực tế, từ việc thiết kế gameplay, playtest đến tối ưu trải nghiệm người chơi. Mình tin rằng với tinh thần học hỏi, khả năng tiếp thu feedback nhanh và sự chủ động trong công việc, mình có thể đóng góp giá trị cho team cũng như phát triển bản thân thành một Game Designer tốt hơn.</t>
  </si>
  <si>
    <t>6zwvwghojnfwr6zr0ar6zwvwtt52e1ny</t>
  </si>
  <si>
    <t>Trần Duy Hải Đăng</t>
  </si>
  <si>
    <t>trandang200521@gmail.com</t>
  </si>
  <si>
    <t>+84564216013</t>
  </si>
  <si>
    <t>lộ trình và quyền lời rõ ràng</t>
  </si>
  <si>
    <t>viết code logic cho game, nên em thấy phù hợp vì em có tình tò mò và chịu tự tìm hiểu khi không làm được, và em cũng thích tự tay viết ra code</t>
  </si>
  <si>
    <t>Trường Cao Đăng FPT Polytechnic</t>
  </si>
  <si>
    <t>Lập trình game</t>
  </si>
  <si>
    <t>những dự án indie của bản thân, và là lead của các nhóm tại trường</t>
  </si>
  <si>
    <t>https://github.com/haidang0201/Shooting_Bird_2D</t>
  </si>
  <si>
    <t>Mạng xã hội, Facebook</t>
  </si>
  <si>
    <t>Mong quý công ty xem xét hồ sơ của em và cho em cơ hội, em luôn học hỏi và chủ động trong công việc</t>
  </si>
  <si>
    <t>kf1cgam5qu15rkyu6kf151aisqm1sqya</t>
  </si>
  <si>
    <t>Nguyễn Phương Nam</t>
  </si>
  <si>
    <t>phuongnammm142@gmail.com</t>
  </si>
  <si>
    <t>+84377168615</t>
  </si>
  <si>
    <t>Là sinh viên năm 3 với nền tảng kiến thức vững chắc qua nhiều dự án học thuật, tôi đang tìm kiếm cơ hội để thử thách bản thân trong môi trường thực tế chuyên nghiệp. SUN.RISER không chỉ là một công ty hàng đầu trong lĩnh vực làm game - đam mê lớn nhất của tôi - mà còn là môi trường lý tưởng để tôi đóng góp tư duy sáng tạo và nhiệt huyết của mình.</t>
  </si>
  <si>
    <t>Tôi hiểu vị trí này đòi hỏi việc hiện thực hóa ý tưởng thành gameplay bằng Unity/C#, tối ưu hiệu suất và phối hợp cùng team Design/Art. Với nền tảng C# vững chắc, tư duy OOP tốt và tối ưu thuật toán, tôi tự tin về khả năng logic và giải quyết vấn đề của mình.</t>
  </si>
  <si>
    <t>7.41</t>
  </si>
  <si>
    <t>Chưa có</t>
  </si>
  <si>
    <t>Trường đại học</t>
  </si>
  <si>
    <t>Tôi có nền tảng tư duy logic tốt, dù là bước đầu, tôi tự tin nắm vững quy trình vận hành và cấu trúc của một trò chơi. Với sự nghiêm túc và khả năng tự học nhanh, tôi tự tin sẽ thích nghi tốt với quy trình chuyên nghiệp tại SUN.RISER."</t>
  </si>
  <si>
    <t>brkljour2agfrjxflp4fkvy0brkljour</t>
  </si>
  <si>
    <t>Phan Đình Thái</t>
  </si>
  <si>
    <t>phandinhthai012@gmail.com</t>
  </si>
  <si>
    <t>+84866952340</t>
  </si>
  <si>
    <t>Em muốn áp dụng AI vào tối ưu quy trình và tự động hóa công việc. Với nền tảng backend và kinh nghiệm tích hợp AI, em mong muốn phát triển thêm về AI workflow và system thinking tại SUN.RISER</t>
  </si>
  <si>
    <t>Em phù hợp với vị trí này vì có nền tảng backend và tư duy hệ thống, quen làm việc với API, dữ liệu và luồng xử lý. Ngoài ra, em đã từng tích hợp AI vào project thực tế nên hiểu cách làm việc với LLM và xử lý output. Em cũng chủ động học hỏi và muốn phát triển thêm về AI automation và workflow.</t>
  </si>
  <si>
    <t>IUH – Trường Đại học Công nghiệp TP.HCM</t>
  </si>
  <si>
    <t>software engineer</t>
  </si>
  <si>
    <t>8.2/10</t>
  </si>
  <si>
    <t>no</t>
  </si>
  <si>
    <t>https://phandinhthai012.github.io/</t>
  </si>
  <si>
    <t>fs66ove00aacufcbg98fs66ov9tzow17</t>
  </si>
  <si>
    <t>Ngô Trung Thiện</t>
  </si>
  <si>
    <t>Thienngo21122003@gmail.com</t>
  </si>
  <si>
    <t>+84379399146</t>
  </si>
  <si>
    <t>I’m motivated by the opportunity to grow my skills in a dynamic environment and contribute to meaningful projects. I also believe this position at SUN.RISER aligns well with my career goals and interests in developing impactful solutions.</t>
  </si>
  <si>
    <t>I believe this role involves designing engaging gameplay experiences and ensuring game quality. I’m a good fit because I have experience in user flow design and QA processes, along with a technical background that helps me understand both gameplay and system behavior.</t>
  </si>
  <si>
    <t>7.64</t>
  </si>
  <si>
    <t>I developed a classic Breakout arcade game in C++ by designing a modular game engine architecture built on core OOP principles including encapsulation, inheritance, and polymorphism. Also, I implemented real-time collision detection between ball, paddle, and brick objects alongside smooth game state transitions. Lastly, I optimized memory management and object lifecycle handling to ensure stable, performant gameplay throughout the session.</t>
  </si>
  <si>
    <t>https://github.com/DilysT/Break-out-game/tree/main/Breakout_game</t>
  </si>
  <si>
    <t>I’m eager to learn, contribute, and grow within SUN.STUDIO while bringing a proactive and responsible mindset to the team. I hope to gain hands-on experience and deliver meaningful value to your game projects.</t>
  </si>
  <si>
    <t>5s9kqictcx1gp8j5s9kqihoclafkxyo0</t>
  </si>
  <si>
    <t>Trần Danh Vinh</t>
  </si>
  <si>
    <t>danhvinh1610@gmail.com</t>
  </si>
  <si>
    <t>+84823538227</t>
  </si>
  <si>
    <t>I am highly motivated to apply for the SUN.RISER program because it offers a unique opportunity to directly participate in the real game development process and collaborate with cross-functional teams such as developers, designers, and data analysts. This aligns perfectly with my goal of gaining hands-on experience in a professional environment.</t>
  </si>
  <si>
    <t>This role involves supporting the game development process, collaborating with teams, and improving product quality.
I’m a good fit because I have a strong technical foundation, real project experience, and I’m eager to learn and grow in the game industry.</t>
  </si>
  <si>
    <t>Information Systems</t>
  </si>
  <si>
    <t>7.96</t>
  </si>
  <si>
    <t>N/A</t>
  </si>
  <si>
    <t>https://github.com/tdv1610</t>
  </si>
  <si>
    <t>kgd0ehaqms9o8q8u0racbkgd0ehaq2at</t>
  </si>
  <si>
    <t>Nguyễn Hùng Phát</t>
  </si>
  <si>
    <t>nhphat9824@gmail.com</t>
  </si>
  <si>
    <t>+84976427104</t>
  </si>
  <si>
    <t>Tôi chọn vị trí AI Engineer Intern tại SUN.RISER vì chương trình phù hợp với định hướng theo đuổi AI ứng dụng của tôi. Tôi mong muốn được học hỏi trong môi trường có mentoring rõ ràng và tham gia vào các dự án thực tế. Đây là cơ hội tốt để tôi củng cố kỹ năng và phát triển lâu dài trong lĩnh vực này.</t>
  </si>
  <si>
    <t>Tôi nghĩ vị trí này sẽ bao gồm xử lý dữ liệu, xây dựng và đánh giá các mô hình AI/ML, cũng như hỗ trợ triển khai vào thực tế. Ngoài ra, cần phối hợp với team và liên tục học hỏi để cải thiện mô hình.
Tôi phù hợp vì đã có kinh nghiệm làm các project về dữ liệu và machine learning, quen với các công cụ AI. Đồng thời, tôi có tư duy hệ thống và khả nă</t>
  </si>
  <si>
    <t>Computer science</t>
  </si>
  <si>
    <t>8.51</t>
  </si>
  <si>
    <t>https://github.com/phat9824</t>
  </si>
  <si>
    <t>0r1wbhdoh8bhimdfuax0r1wbhs9285sf</t>
  </si>
  <si>
    <t>Lê Hữu Tài</t>
  </si>
  <si>
    <t>huutaile.work@gmail.com</t>
  </si>
  <si>
    <t>+84355215025</t>
  </si>
  <si>
    <t>Em chọn vị trí Data Analysis Intern tại SUN.RISER vì đây là cơ hội để kết hợp kỹ năng phân tích dữ liệu (SQL, Python, Power BI) của em với lĩnh vực game. Bên cạnh đó, em muốn được làm việc trong môi trường thực tế, nơi em có thể học cách chuyển dữ liệu thành insight phục vụ các quyết định như tối ưu retention, engagement và monetization</t>
  </si>
  <si>
    <t>Vị trí này tập trung phân tích hành vi người chơi, theo dõi các chỉ số như retention, engagement, monetization và xây dựng dashboard hỗ trợ ra quyết định. Em phù hợp vì có nền tảng SQL, Python, Power BI, kinh nghiệm xử lý dữ liệu và tư duy phân tích theo hướng business, luôn tìm insight đằng sau số liệu.</t>
  </si>
  <si>
    <t>8.2</t>
  </si>
  <si>
    <t>Không</t>
  </si>
  <si>
    <t>https://github.com/huutai-le</t>
  </si>
  <si>
    <t>fwrd7sfbvni0egwoigwfwrd7trg6cqku</t>
  </si>
  <si>
    <t>Nguyễn Quốc Anh</t>
  </si>
  <si>
    <t>quocanhnguyen874@gmail.com</t>
  </si>
  <si>
    <t>+84358246459</t>
  </si>
  <si>
    <t>I want to expand my knowledge and improve my skills in the IT field</t>
  </si>
  <si>
    <t>I think this role involves bot manual and automation testing of functional and regressing features to ensure there's a minimal amount of bugs and issues.
I believe I'm a good fit because I'm detail-oriented and I see this role as a crucial learning opportunity to understand game development from the inside out.</t>
  </si>
  <si>
    <t>HCMUS – Trường Đại học Khoa học Tự nhiên – ĐHQG TP.HCM</t>
  </si>
  <si>
    <t>Thị giác máy tính</t>
  </si>
  <si>
    <t>2.8</t>
  </si>
  <si>
    <t>Beta game tester: testing gameplays and events before the patch is officially released</t>
  </si>
  <si>
    <t>NDA</t>
  </si>
  <si>
    <t>Recommendation from friends</t>
  </si>
  <si>
    <t>xr5l9z3wp0ya6uota3xr5l9bnxm2dixf</t>
  </si>
  <si>
    <t>Trần Phương Anh</t>
  </si>
  <si>
    <t>trph.anhne@gmail.com</t>
  </si>
  <si>
    <t>+84962819981</t>
  </si>
  <si>
    <t>Với một sinh viên năm cuối chuyên ngành Digital Art &amp; Design, em khao khát được học hỏi quy trình thiết kế chuyên nghiệp tại SUN.RISER từ bước lên ý tưởng (concept) đến khi tối ưu hóa trải nghiệm người chơi (UX). Em mong muốn đóng góp tư duy thẩm mỹ và kỹ năng xây dựng hệ thống của mình để cùng đội ngũ tạo ra những sản phẩm chất lượng nhất.</t>
  </si>
  <si>
    <t>Em tin mình là mảnh ghép phù hợp vì em có sự kết hợp giữa tư duy logic của một người làm game và thẩm mỹ của một người làm thiết kế. Qua quá trình thực hiện đồ án tốt nghiệp về game 2D, em đã rèn luyện được kỹ năng xây dựng Game Design Document (GDD) và hiểu sâu về cách vận hành một Game Loop.</t>
  </si>
  <si>
    <t>VLU – Trường Đại học Văn Lang</t>
  </si>
  <si>
    <t>Thiết Kế Mỹ Thuật Số</t>
  </si>
  <si>
    <t>Vai trò của em trong đồ án game là: biên kịch, 2d artist, 2d animation, UX UI.
Kết quả môn đồ án game: được hội đồng đánh giá tốt và nhận được con điểm 8</t>
  </si>
  <si>
    <t>https://tranphuonganhjeon.wixsite.com/tranphuonganhh</t>
  </si>
  <si>
    <t>Em mong muốn được học hỏi quy trình làm việc chuẩn mực tại SUN.STUDIO và hy vọng rằng, với sự sáng tạo và năng lượng của một sinh viên năm cuối, em có thể góp phần nhỏ bé vào việc hiện thực hóa những dự án đầy tham vọng mà studio đang ấp ủ.</t>
  </si>
  <si>
    <t>021uso1f71vaw542lpa9021usocr81vj</t>
  </si>
  <si>
    <t>Trần Lập Nhân</t>
  </si>
  <si>
    <t>tranlapnhan412@gmail.com</t>
  </si>
  <si>
    <t>+84907940467</t>
  </si>
  <si>
    <t>Em là 1 người rất thích chơi game, đặc biệt các dòng game puzzle mỗi khi có thời gian rảnh. Tình cờ em lại thấy công ty Sun Studio tuyển dụng và cũng là công ty làm những game em hay chơi. Nên em muốn được thử sức apply và có thể học hỏi và đóng góp cho công ty ạ. Em cảm ơn ạ.</t>
  </si>
  <si>
    <t>Game Designer là vị trí mà em sẽ khảo sát thị trường, lên ý tưởng concept rồi viết thành Game Document 1 cách dễ hiểu để có thể gửi xuống các bộ phận khác và phối hợp để có thể làm ra 1 game hoàn chỉnh và gửi đến các người chơi trải nghiệm ạ. Em đã thử tìm tòi và làm thử game thì em cảm thấy làm game rất vui và tận hưởng quá trình làm ạ</t>
  </si>
  <si>
    <t>FPT University HCM</t>
  </si>
  <si>
    <t>Graphic Design</t>
  </si>
  <si>
    <t>7.43</t>
  </si>
  <si>
    <t>Em từng tham gia làm 1 tựa game kinh dị đơn giản lúc còn ở trên trường nhưng lúc đó kỹ năng còn hạn chế nên được 6.9 điểm ạ. Em có cơ hội được làm thử test Game Designer Intern bên VNG nhưng kết quả không đậu ạ.</t>
  </si>
  <si>
    <t>https://www.behance.net/gallery/195606085/My-Portfolio</t>
  </si>
  <si>
    <t>Dạ, em mong có thể được đậu CV để có cơ hội được học tập và thử sức làm game và có thể được đóng góp cho công ty ạ. Em cảm ơn ạ.</t>
  </si>
  <si>
    <t>mlj0i0ytuapksxmmmlj0i0hrnnb2hypq</t>
  </si>
  <si>
    <t>Dương Thế Khải</t>
  </si>
  <si>
    <t>khaiduong11112003@gmail.com</t>
  </si>
  <si>
    <t>+84774628711</t>
  </si>
  <si>
    <t>Được tham gia quá trình sáng tạo, xây dựng và phát triển tựa Game tốt nhất cho Gamer</t>
  </si>
  <si>
    <t>Thực hiện quá trình sáng tạo, lập quy tắc và xây dựng trải nghiệm cốt lõi của trò chơi, bao gồm bối cảnh, nhân vật, luật chơi và cơ chế tương tác.
Với bản thân có nền tảng về kỹ thuật phần mềm và trải nghiệm nhiều tựa game tôi tin rằng thể thực hiện tốt được những yêu cầu đã nêu ở trên</t>
  </si>
  <si>
    <t>Kỹ thuật phần mềm (Software engineering)</t>
  </si>
  <si>
    <t>7.3</t>
  </si>
  <si>
    <t>Lập trình và tạo một tựa game cơ bản thể loại FPS và 2D Platforms cho các môn Software project (1,2,3) và được điểm khá cao lần lượt từng project là 8.5, 8 và 7</t>
  </si>
  <si>
    <t>https://play.unity.com/en/games/42d2e361-a359-44e2-bea1-f47fc7822c46/adventure?zarsrc=30&amp;utm_source=zalo&amp;utm_medium=zalo&amp;utm_campaign=zalo&amp;gidzl=vewLO_t1WpJXbv1d-TcADUwPdsBlreeqfCgHPRxMWM2bp9emxDQ1DQ7DbZEvW8qqzSxBO30lU29a-yMECG</t>
  </si>
  <si>
    <t>Rất mong được hợp tác và đồng hành cùng Sun.Studio trong thời gian tới để tạo nên những tựa game chất lượng cho Gamer</t>
  </si>
  <si>
    <t>vupums02t5t89vupyifg9x0tunmeqaj1</t>
  </si>
  <si>
    <t>Tạ Ngọc  Minh</t>
  </si>
  <si>
    <t>tangocminh2002@gmail.com</t>
  </si>
  <si>
    <t>+84794587665</t>
  </si>
  <si>
    <t>Em có sở thích chơi game và gần đây sau khi chơi một tựa game  của nước mình là Tai Ương.Em cũng mới bắt đầu có mong muốn có thể làm ra được một tựa game như Tai Ương theo em cảm thấy là rất hay có chiều sâu và mang phong cách rất Việt Nam.</t>
  </si>
  <si>
    <t>Theo em vị trí em chọn sẽ lập trình các tính năng của trò chơi các cách thức hoạt động,chuyển động của nhân vật, cách các npc vận hành và là một trong các vai trò quan trọng trong việc tạo ra một con game hoàn chỉnh.
Em nghĩ mình phù hợp vì có sự yêu thích về game nên em muốn một thử làm điều mình muốn trước khi tiếc nuối thôi ạ.</t>
  </si>
  <si>
    <t>HCMUTE – Trường Đại học Sư phạm Kỹ thuật TP.HCM</t>
  </si>
  <si>
    <t>Công Nghệ Kỹ Thuật Máy Tính</t>
  </si>
  <si>
    <t>7.59</t>
  </si>
  <si>
    <t>Chưa từng</t>
  </si>
  <si>
    <t>chưa có</t>
  </si>
  <si>
    <t>Mong có thể đồng hành cùng SUN và cảm ơn SUN đã tạo cơ  hội cho mọi người.</t>
  </si>
  <si>
    <t>40siskw1a0257a8kgniy40siskraegou</t>
  </si>
  <si>
    <t>Đỗ Phú Duy</t>
  </si>
  <si>
    <t>duyynhdo13@gmail.com</t>
  </si>
  <si>
    <t>+84708537329</t>
  </si>
  <si>
    <t>As a Data Science graduate, I possess the solid analytical foundation and technical skills required to excel in this role. I chose this position because it allows me to combine my academic background with my deep passion for gaming to transform data into meaningful player insights.</t>
  </si>
  <si>
    <t>I believe this role involves analyzing player behavior and game metrics to provide actionable insights for optimizing game balance and enhancement. With a solid background in Data Science and a deep understanding of gaming mechanics, I can efficiently process complex datasets and translate them into practical solutions.</t>
  </si>
  <si>
    <t>Data Science</t>
  </si>
  <si>
    <t>8.79</t>
  </si>
  <si>
    <t>I don't have any personal projects related to the game industry yet, but I would be happy to learn and apply my knowledge in this field.</t>
  </si>
  <si>
    <t>Linkedin: linkedin.com/in/dpduy, Github: github.com/DuyEz13</t>
  </si>
  <si>
    <t>Trường đại học, Mạng xã hội, SUN.STUDIO LinkedIn</t>
  </si>
  <si>
    <t>jpx134j6ejstoxjpx19z2du1j4z3atka</t>
  </si>
  <si>
    <t>I chose the Data Analysis Intern position at SUN.RISER because it offers an opportunity to combine my data analysis skills (SQL, Python, Power BI) with the gaming industry. Additionally, I want to work in a real-world environment where I can learn how to turn data into actionable insights to optimize retention, engagement, and monetization</t>
  </si>
  <si>
    <t>This role focuses on analyzing player behavior, tracking key metrics such as retention, engagement, and building dashboards to support decision-making. I am a good fit because I have a strong foundation in SQL, Python, along with experience in data processing and a business-oriented analytical mindset, always seeking insights behind the numbers</t>
  </si>
  <si>
    <t>I haven’t had the opportunity to work on related projects yet, but I’m highly interested in this field and eager to learn and gain hands-on experience.</t>
  </si>
  <si>
    <t>owj5uqnw2s2ezs1yowjyty1p9ynmsrwd</t>
  </si>
  <si>
    <t>Nguyễn Bình Minh Quân</t>
  </si>
  <si>
    <t>quannguyen3122811@gmail.com</t>
  </si>
  <si>
    <t>+84364673753</t>
  </si>
  <si>
    <t>This position aligns with my career direction, so I’ve been actively improving my skills through additional learning. I completed certificates in data analytics and data science to strengthen my foundation in data and AI, and I’m eager to apply what I’ve learned in a real working environment.</t>
  </si>
  <si>
    <t>I believe this role involves supporting the team with practical tasks and projects while learning how work is done in a real environment. I’m a good fit because I’m eager to learn, careful and detail-oriented, and I always try to complete every task in the best way possible.</t>
  </si>
  <si>
    <t>Computer Science</t>
  </si>
  <si>
    <t>7.91</t>
  </si>
  <si>
    <t>None</t>
  </si>
  <si>
    <t>https://github.com/ngoncovenduoq</t>
  </si>
  <si>
    <t>Nhân viên công ty giới thiệu</t>
  </si>
  <si>
    <t>Trương Anh Khoa</t>
  </si>
  <si>
    <t>Thank you for considering my application. I’m excited about the opportunity to learn and contribute at SUN.STUDIO, and I’m happy to provide any additional information if needed.</t>
  </si>
  <si>
    <t>drigco307hwvpsodrigcyyb4u1ra9b8n</t>
  </si>
  <si>
    <t>Nguyễn Đình Quân</t>
  </si>
  <si>
    <t>quannguyendinh.221204@gmail.com</t>
  </si>
  <si>
    <t>+84899545888</t>
  </si>
  <si>
    <t>My goal is to become an AI Engineer, and I am looking for hands-on experience through real-world projects. I am interested in SUN.RISER because it offers a practical environment to apply and develop my AI/ML skills.</t>
  </si>
  <si>
    <t>I believe this role involves applying AI to improve game workflows and product quality.
I am a good fit because I have hands-on AI experience, especially in computer vision, and I am eager to learn and apply my skills in a practical environment.</t>
  </si>
  <si>
    <t>Artificial Intelligence</t>
  </si>
  <si>
    <t>8.40</t>
  </si>
  <si>
    <t>I do not have direct game-related experience yet. However, I have worked on AI projects such as computer vision and recommendation systems, where I built models and worked with real-world data, and I am eager to learn and apply my skills in the game industry.</t>
  </si>
  <si>
    <t>https://www.linkedin.com/in/quannguyendinh/</t>
  </si>
  <si>
    <t>I am very interested in the opportunity to learn and contribute at SUN.STUDIO. I would also like to learn more about how AI is applied in real game development workflows.</t>
  </si>
  <si>
    <t>hc4e195cf52bhkshc4e19iewmxqhmwq6</t>
  </si>
  <si>
    <t>Nguyễn Trương Trọng Hiếu</t>
  </si>
  <si>
    <t>tronghieutruong5102004@gmail.com</t>
  </si>
  <si>
    <t>+84931465835</t>
  </si>
  <si>
    <t>Em muốn thiết kế những gameplay thú vị, thu hút người chơi.</t>
  </si>
  <si>
    <t>Với vị trí này, em cần phối hợp với cả team dev và team art để tạo nên gameplay thú vị, đồ hoạ bắt mắt, hợp gameplay, và công việc không chỉ ở thiết kế gameplay mà còn phải phân tích, thiết kế UX.</t>
  </si>
  <si>
    <t>VTC Academy, học viện đào tạo nghề ạ</t>
  </si>
  <si>
    <t>Game Development</t>
  </si>
  <si>
    <t>8.8/10</t>
  </si>
  <si>
    <t>Dự án gần đây nhất của em là capstone project để tốt nghiệp. Em làm nhóm 2 người. Ngoài phụ trách phân công, lên kế hoạch, em phối hợp lên ý tưởng gameplay, thiết kế feedback UI, cut scene trong game. Ngoài ra, em cũng xây dựng 1 vài hệ thống quản lý game, 1 phần gameplay.</t>
  </si>
  <si>
    <t>https://drive.google.com/file/d/1HxEtcMO8zWRfg5BxIBgA3idMNYzM_4GA/view?usp=sharing</t>
  </si>
  <si>
    <t>k0jjonlmxrlb7pbk0jjcrli7vbss0zsk</t>
  </si>
  <si>
    <t>Nguyễn Khắc Kỳ</t>
  </si>
  <si>
    <t>nguyenkhacky625@gmail.com</t>
  </si>
  <si>
    <t>+84916740603</t>
  </si>
  <si>
    <t>Tôi chọn vị trí này vì tôi muốn hiện thực hóa những ý tưởng thú vị thành gameplay cụ thể, đặc biệt trong thiết kế level và progression để tạo trải nghiệm hấp dẫn cho người chơi. 
Tôi mong muốn được phát triển tại Sun Studio trong mảng Puzzle/Casual và đóng góp vào việc xây dựng sản phẩm.</t>
  </si>
  <si>
    <t>Game Designer là người hiện thực hóa ý tưởng thành gameplay thông qua GDD, đồng thời thiết kế trải nghiệm người chơi, cân bằng game và cải thiện sản phẩm dựa trên dữ liệu, phối hợp với các team để hoàn thiện game.
Tôi phù hợp vì có nền tảng Game Design từ thực tập, tư duy logic và mong muốn học hỏi về game Puzzle/Casual (level design, progression).</t>
  </si>
  <si>
    <t>Đại học Kỹ thuật Công nghệ Cần Thơ</t>
  </si>
  <si>
    <t>7.125</t>
  </si>
  <si>
    <t>Tôi đã thực tập tại Gihot, nơi tôi được học kiến thức nền tảng về Game Design, quy trình làm việc và các chỉ số vận hành game. Tôi cũng đã viết Game Design Document về chế độ chơi mới của game BBQ2.</t>
  </si>
  <si>
    <t>https://docs.google.com/spreadsheets/d/1Z2sy0iIVYIgvID-2GslEQJGdTSdNt5hj/edit?usp=drive_link&amp;ouid=113921569029709747633&amp;rtpof=true&amp;sd=true</t>
  </si>
  <si>
    <t>Tôi rất mong muốn có cơ hội được trở thành thực tập sinh tại Sun Studio. Tôi sẵn sàng học hỏi, cải thiện kỹ năng Game Design và tích lũy kinh nghiệm trong môi trường chuyên nghiệp. Đồng thời, tôi cũng hy vọng có thể đóng góp những ý tưởng và giá trị của mình cho đội ngũ trong quá trình làm việc.</t>
  </si>
  <si>
    <t>dt21ozjilbrq77dt21kv4hnrta8xg7c8</t>
  </si>
  <si>
    <t>Phạm Thanh Phong</t>
  </si>
  <si>
    <t>pphong0907@gmail.com</t>
  </si>
  <si>
    <t>+84907024817</t>
  </si>
  <si>
    <t>primary motivation is the opportunity to apply my programming skills and OOP principles within the Unity environment. As a Software Engineering graduate, I am passionate about solving complex logical challenges and optimizing performance. I want to contribute to Sun Games by writing clean, maintainable code and learning how to build scalable gam</t>
  </si>
  <si>
    <t>It involves using C# to develop gameplay logic, optimizing performance, and collaborating with the team to build high-quality games on Unity. I have a solid foundation in Software Engineering. My mindset for clean code and strong self-learning ability allows me to adapt quickly and contribute effectively to the project.</t>
  </si>
  <si>
    <t>GDU – Trường Đại học Gia Định</t>
  </si>
  <si>
    <t>Software Engineer</t>
  </si>
  <si>
    <t>8.49</t>
  </si>
  <si>
    <t>I have practical experience with C# through a university project where I developed a Hotel Management System using Winforms. I was responsible for implementing the business logic and managing the database. This project helped me master OOP principles and UI handling in C#, which are essential skills that I can immediately apply to learning and developing in Unity.</t>
  </si>
  <si>
    <t>https://github.com/ZiKPham/HotelManagementApplication</t>
  </si>
  <si>
    <t>As a recent Software Engineering graduate, I am highly motivated to pursue a career in the gaming industry. I bring a strong foundation in programming logic and a proactive learning mindset. I am eager to join Sun Studio's professional environment to contribute my technical skills toward creating successful products while continuously developing myself to grow alongside the company.</t>
  </si>
  <si>
    <t>zhd1hfp21yakf7754zhdo5299ggd3iyt</t>
  </si>
  <si>
    <t>Nguyễn Thanh Hiền</t>
  </si>
  <si>
    <t>nguyen1608thien@gmail.com</t>
  </si>
  <si>
    <t>+84364360804</t>
  </si>
  <si>
    <t>Hy vọng được làm việc trong môi trường chuyên nghiệp.</t>
  </si>
  <si>
    <t>Mình nghĩ vị trí này sẽ vừa thiết kế gameplay (cơ chế, level, progression) vừa trực tiếp phát triển trong Unity bằng C# để hiện thực hóa ý tưởng.
Mình phù hợp vì có nền tảng Unity/C# tốt, hiểu cách xây dựng gameplay và đã có kinh nghiệm làm game. Đồng thời mình có thể vừa design vừa code nên giúp triển khai nhanh và hạn chế sai lệch</t>
  </si>
  <si>
    <t>Lập trình Game</t>
  </si>
  <si>
    <t>8/10</t>
  </si>
  <si>
    <t>Tham gia dự án game nhóm "Xoul's Era" với vai trò Game Designer &amp; Unity Developer: chịu trách nhiệm thiết kế cốt truyện, xây dựng hệ thống gameplay (chỉ số nhân vật, item), đồng thời phát triển và triển khai UI/UX trong Unity. Dự án giúp tôi tích lũy kinh nghiệm thực tế về thiết kế và phát triển game và sever của game.
https://vnexpress.net/cong-nghe/vgv-2025/du-an/xoul-s-era-239</t>
  </si>
  <si>
    <t>https://drive.google.com/drive/folders/17Qhha8fPtMw5hK34qnOXQhIsu8JOmnhy</t>
  </si>
  <si>
    <t>Tôi rất mong có cơ hội được học hỏi và phát triển tại SUN.STUDIO, đồng thời đóng góp vào việc xây dựng những sản phẩm game chất lượng. Tôi luôn chủ động cải thiện kỹ năng và sẵn sàng thích nghi để mang lại giá trị tốt nhất cho công ty.</t>
  </si>
  <si>
    <t>e20ajqy7g1z2ypean3e20ajqyfc9kk6n</t>
  </si>
  <si>
    <t>VŨ TRƯỜNG HÙNG</t>
  </si>
  <si>
    <t>vhung9955@gmail.com</t>
  </si>
  <si>
    <t>+84977257379</t>
  </si>
  <si>
    <t>Năm 2024, khi tìm hiểu về phát triển game 2D, em bắt đầu hứng thú với việc xây dựng game từ ý tưởng đến sản phẩm hoàn chỉnh. Em cũng quan tâm đến thiết kế gameplay và trải nghiệm người chơi, nên mong muốn phát triển lâu dài trong game design và game development tại SUN.RISER.</t>
  </si>
  <si>
    <t>Em nghĩ vị trí này bao gồm việc thiết kế gameplay, xây dựng ý tưởng và tối ưu trải nghiệm người chơi. Em phù hợp vì có hứng thú với việc phân tích cách game vận hành, luôn đặt góc nhìn của người chơi khi tìm hiểu game, và chủ động học thêm về cả game design lẫn development.</t>
  </si>
  <si>
    <t>HCMUTC – Trường Đại học Giao thông Vận tải TP.HCM</t>
  </si>
  <si>
    <t>CÔNG NGHỆ THÔNG TIN</t>
  </si>
  <si>
    <t>7,67</t>
  </si>
  <si>
    <t>Twin Blades (Multiplayer): Tìm hiểu và triển khai cơ chế đồng bộ hóa nhân vật, AI và hệ thống vật phẩm thông qua Mirror Networking.
Void Seeker (Top-down Shooter): Tự xây dựng logic di chuyển, chiến đấu và hệ thống chỉ số nhân vật (RPG stat system).</t>
  </si>
  <si>
    <t>https://hungvu.itch.io/void-seaker</t>
  </si>
  <si>
    <t>bạn bè giới thiệu</t>
  </si>
  <si>
    <t>Em mong muốn được học hỏi tư duy thiết kế hệ thống và cách cân bằng gameplay thực tế tại studio. Với nền tảng kỹ thuật sẵn có, em hy vọng sẽ hiểu sâu hơn về cách kết nối giữa ý tưởng thiết kế và triển khai kỹ thuật để tạo ra những trải nghiệm game cuốn hút</t>
  </si>
  <si>
    <t>zjhpnbdes9q1tzjhpnmrexazti1r9khk</t>
  </si>
  <si>
    <t>Lê Đình Thiện</t>
  </si>
  <si>
    <t>Ledinhthien3344@gmail.com</t>
  </si>
  <si>
    <t>+84898082709</t>
  </si>
  <si>
    <t>Em có nền tảng web, nhưng sau khi có cơ hội tiếp cận Unity và làm một số project cả outsource và product, em nhận ra mình phù hợp với game dev hơn. Em thích xây dựng gameplay và chỉnh mechanic. Hiện tại em muốn theo hướng này lâu dài, nên apply vị trí intern để học thêm quy trình và phát triển trong môi trường chuyên nghiệp.</t>
  </si>
  <si>
    <t>Theo em nghĩ vị trí Unity intern sẽ tham gia phát triển các tính năng cơ bản của game như gameplay, UI, xử lý logic, fix bug và hỗ trợ tối ưu hiệu năng game, bên cạnh đó sẽ làm việc trực tiếp với các bộ phận khác như design hoặc art để hoàn thiện sản phẩm.</t>
  </si>
  <si>
    <t>Trường Đại Học Kỹ Thuật - Công Nghệ Cần Thơ (CTUT)</t>
  </si>
  <si>
    <t>Hệ Thống Thông Tin (Information System)</t>
  </si>
  <si>
    <t>7.0</t>
  </si>
  <si>
    <t>Dạ em trước đây em có thực hiện một số dự án game mobile, nhưng tiêu biểu là 2 dự án outsource do em phụ trách toàn bộ phần gameplay, UI và xử lý logic theo yêu cầu của khách hàng, phối hợp với team design để hoàn thiện game, kết quả là 2 game đã hoàn thiện và bàn giao toàn bộ cho khách ạ. Ngoài ra gần đây em có đang tham gia phát triển một dự án game PC cùng một thành viên khác, em phụ trách UI, gameplay và một số cơ chế màn chơi, thành viên còn lại phụ trách animation và phần còn lại</t>
  </si>
  <si>
    <t>https://drive.google.com/drive/folders/1_NjdY_zSRoZhGjL-7oPmn3UvNe1fl-lr</t>
  </si>
  <si>
    <t>Dạ em định hướng theo game developer lâu dài và mong muốn được làm việc trong môi trường chuyên nghiệp để nâng cao năng lực và hiểu rõ hơn về quy trình phát triển game thực tế. Em sẵn sàng bắt đầu từ vị trí intern để học hỏi và phát triển bản thân.</t>
  </si>
  <si>
    <t>ad7het09e02y0t7dd3o9ad7hetz1zqb6</t>
  </si>
  <si>
    <t>Trương Lê Thụy Vy</t>
  </si>
  <si>
    <t>truongvy.03112004@gmail.com</t>
  </si>
  <si>
    <t>+84783613674</t>
  </si>
  <si>
    <t>Tôi có điểm mạnh về minh hoạ và muốn đóng góp các kiến thức về trò chơi và cùng mọi người có được trải nghiệm tốt về Game, vì tôi cũng có tâm lý chơi game như người dùng</t>
  </si>
  <si>
    <t>Vị trí này sẽ cùng đội ngũ tham gia vào dự án Game, quy trình sản xuất game. Em phù hợp với công việc vì em luôn tập trung vào việc "liệu người chơi có thấy vui không", em muốn tạo ra những tựa game phù hợp với người chơi hiểu rõ được insight người dùng</t>
  </si>
  <si>
    <t>STU- Trường Đại Học Công Nghệ Sài Gòn</t>
  </si>
  <si>
    <t>Thiết kế Đồ Hoạ</t>
  </si>
  <si>
    <t>7.06/10</t>
  </si>
  <si>
    <t>Tham gia các cuộc thi vẽ do VNG - Play Together tổ chức</t>
  </si>
  <si>
    <t>https://drive.google.com/file/d/1hyPJPqg3cZ8XCWQd3b_Foc-AoJwjKiQ1/view?usp=drivesdk</t>
  </si>
  <si>
    <t>Em cam kết làm việc được tối thiểu 3,5 ngày/ tuần, nhưng em xin phép quý công ty đóng dấu mộc khi đến hạn nộp Thực tập cho trường, và sau đó em xin cam kết làm đủ 3 tháng như thoả thuận.</t>
  </si>
  <si>
    <t>Em mong sẽ được đồng hành cùng với SUN.STUDIO, được góp phần và học hỏi môi trường mới những kinh nghiệm mới để đem lại những giá trị cho quý công ty.</t>
  </si>
  <si>
    <t>hf5whe8u0k1c7zx7ihf5whfnfx7enij1</t>
  </si>
  <si>
    <t>Nguyễn Anh Tường</t>
  </si>
  <si>
    <t>anh.tuong.dev@gmail.com</t>
  </si>
  <si>
    <t>+84382891837</t>
  </si>
  <si>
    <t>Tôi chọn vị trí này vì phù hợp với sở thích và định hướng phát triển nghề nghiệp của tôi. Tôi mong muốn học hỏi và tích lũy kinh nghiệm để trong tương lai có thể xây dựng những sản phẩm game mang dấu ấn và câu chuyện của riêng mình.</t>
  </si>
  <si>
    <t>Tôi nghĩ vị trí này tập trung vào xây dựng và tối ưu hệ thống game, đặc biệt là gameplay và trải nghiệm tương tác, đồng thời đòi hỏi khả năng học hỏi và giải quyết vấn đề. Tôi phù hợp vì có nền tảng về phát triển game, khả năng tự học tốt, và mong muốn áp dụng kiến thức vào thực tế để tạo ra những sản phẩm có dấu ấn riêng.</t>
  </si>
  <si>
    <t>UTH - Đại học Giao thông Vận tải Thành phố Hồ Chí Minh</t>
  </si>
  <si>
    <t>Dự án thực tập tại trường tôi đã tự thực hiện đề tài "xây dựng AI trong lập trình game". Ở dự án này tôi đã xây dựng một game nhỏ áp dụng Behavior tree, A* cho pathfinding, KD-tree để phân hoạch không gian, AABB để phát hiện va chạm,... trên framework MonoGame. Kết quả nhận được đánh giá cao của hội đồng và được 8.00 cuối môn.</t>
  </si>
  <si>
    <t>https://anhtuong6904.itch.io/demotribe</t>
  </si>
  <si>
    <t>Tôi mong được đồng hành với SUN.STUDIO trong chặng đường sắp tới để được học hỏi và cống hiến sức trẻ của mình.</t>
  </si>
  <si>
    <t>o980wdf96nn6occ0nuk3eqz7ibnk1cc0</t>
  </si>
  <si>
    <t>Võ Ngọc Duy</t>
  </si>
  <si>
    <t>vndnetwork@gmail.com</t>
  </si>
  <si>
    <t>+84399517566</t>
  </si>
  <si>
    <t>Em chọn vị trí này vì em muốn được học hỏi trong môi trường game chuyên nghiệp của SUN.RISER và rèn kỹ năng qua các dự án thực tế. Em tin đây là cơ hội phù hợp để bắt đầu và phát triển nền tảng của mình</t>
  </si>
  <si>
    <t>“Em nghĩ vị trí này sẽ tham gia hỗ trợ team trong các nhiệm vụ thực tế, học quy trình làm game và thực hiện những công việc được giao một cách cẩn thận, đúng deadline. Em phù hợp vì em ham học hỏi, chịu khó, có tinh thần trách nhiệm và sẵn sàng bắt đầu từ những việc nhỏ để tích lũy kinh nghiệm và phát triển kỹ năng</t>
  </si>
  <si>
    <t>vnd.id.vn</t>
  </si>
  <si>
    <t>l2vv3q5foeqdainbd81by5ql2vvdzf2e</t>
  </si>
  <si>
    <t>Đinh Thanh Tùng</t>
  </si>
  <si>
    <t>dinhthanhtung0312@gmail.com</t>
  </si>
  <si>
    <t>+84904599204</t>
  </si>
  <si>
    <t>Cùng niềm đam mê với các thể loại game puzzle mình có mong muốn được hiểu sâu hơn về thể loại game này và thiết kế một tựa game puzzle với quy trình chuyên nghiệp và Sun Riser là một môi trường mà mình cảm thấy phù hợp để có thể phát triển lâu dài trong công việc này</t>
  </si>
  <si>
    <t>Game design sẽ thiết kế các qui luật game, các màn chơi và cân bằng điều đó để có thể thu hút và giữ chân người dùng, nói không ngoa khi Game Designer là người vẽ ra cái nhìn tổng quát trước tiên về một tựa game. Với background của bản thân đã nêu trong CV và khả năng nắm bắt tâm lý người dùng của bản thân mình nên mình có thể đảm nhận công việcnày</t>
  </si>
  <si>
    <t>8.98</t>
  </si>
  <si>
    <t>mình đã từng tham gia thiết kế một tựa game Metroidvaina trong một môn học. Trong đó, mình đảm nhận vai trò thiết kế màn chơi, luật chơi, cốt truyện và hệ thống combat. Kết quả là nhóm mình đã được 9.5/10 cho môn học đó và được nhận giải thưởng nhóm xuất sắc nhất do hội đồng bình chọn.</t>
  </si>
  <si>
    <t>https://drive.google.com/file/d/1pYfORHL0BnjjR8Jp1-8pQlmgXOouYi1I/view?usp=drive_link</t>
  </si>
  <si>
    <t>Nếu được mình rất mong có thể trở thành một thành viên và có thể gắn bó lâu dài với studio</t>
  </si>
  <si>
    <t>esvwo8wgnuvy76j0ila1gesvwo8wcci9</t>
  </si>
  <si>
    <t>Trịnh Võ Nam Kiệt</t>
  </si>
  <si>
    <t>kiettrinh4206@gmail.com</t>
  </si>
  <si>
    <t>+84787571406</t>
  </si>
  <si>
    <t>I love AI and Machine Learning so I apply for this position for more knowledge and seeking for an opportunity to become an official AI Engineer.</t>
  </si>
  <si>
    <t>This role includes developing features with AI and using AI for better work performance.</t>
  </si>
  <si>
    <t>9.33</t>
  </si>
  <si>
    <t>A Super Mario game with C++ and SFML and ECS architecture (10/10 score for Final Exam)</t>
  </si>
  <si>
    <t>https://github.com/namkiet/SuperMario/</t>
  </si>
  <si>
    <t>dysvoyjt8q95wq9pdysvonxw548ay9em</t>
  </si>
  <si>
    <t>Huỳnh Cao Tuấn Kiệt</t>
  </si>
  <si>
    <t>hctuankiet243@gmail.con</t>
  </si>
  <si>
    <t>+84905171069</t>
  </si>
  <si>
    <t>Gain more experience</t>
  </si>
  <si>
    <t>Integrate AI into production system, AI Agent, Chatbot, Research. I believe I am a goos candidate as I have experience in those related fields.</t>
  </si>
  <si>
    <t>9</t>
  </si>
  <si>
    <t>At Neurond Technology JSC, I worked as an AI Engineer Intern/Probation, where I developed a full-stack internal AI chatbot platform powered by LLMs to internal usage and task automation. I also conducted LLM evaluation to optimize performance, cost, and latency. The output is a production-ready internal AI assistant that improved workflow automation and scalable AI adoption within the company.</t>
  </si>
  <si>
    <t>Trường đại học, Mạng xã hội</t>
  </si>
  <si>
    <t>xkbf3k4rtxel9mxkbyf8vu577wxi5boi</t>
  </si>
  <si>
    <t>Nguyễn Lê Sơn</t>
  </si>
  <si>
    <t>nguyenleson666@gmail.com</t>
  </si>
  <si>
    <t>+84898471302</t>
  </si>
  <si>
    <t>Tôi muốn phát triển bản thân và thử sức với lĩnh vực game và lĩnh vực AI. Và công ty đang có những thứ trên để tôi có thể thực hiện.</t>
  </si>
  <si>
    <t>Đối với vị trí AI Engineer, tôi sẽ ứng dụng những công cụ AI để xây dựng các tính năng hỗ trợ cho công việc của công ty và một số game. Còn đối với Game Designer, tôi sẽ xây dựng, thiết kế các màn chơi, tinh chỉnh theo khách hàng để cho ra được màn chơi (trò chơi) tốt.
Tôi có kinh nghiệm trong việc xây dựng AI và tư duy sáng tạo những điều mới.</t>
  </si>
  <si>
    <t>Công Nghệ Thông Tin</t>
  </si>
  <si>
    <t>Tôi cùng một bạn khác xây dựng AI hỗ trợ cho chẩn đoán bệnh Ung Thư Xương dựa vào hình ảnh. Tôi lúc đấy trong vai trò là trưởng nhóm, lập trình, soạn đồ án. Kết quả dự kiến là hệ thống cho ra kết quả dự đoán là khoảng 51% khi sử dụng mô hình Transformer.</t>
  </si>
  <si>
    <t>Không thể đưa link do kí kết với bệnh viện liên quan đến bảo mật dữ liệu và hệ thống.</t>
  </si>
  <si>
    <t>djivk6fhz2es35pehghkmodjivk9uz37</t>
  </si>
  <si>
    <t>Phan Đức Anh</t>
  </si>
  <si>
    <t>ducanhphan835@gmail.com</t>
  </si>
  <si>
    <t>+84829726852</t>
  </si>
  <si>
    <t>Được ứng dụng AI vào quy trình làm việc, giúp tăng tốc độ sản xuất và cải thiện chất lượng game, tham gia vào quy trình sử dụng AI trong real-world system.</t>
  </si>
  <si>
    <t>- Sẽ cải thiện tốc độ ra nhân vật, design, tự động hóa các công việc lặp lại. Vì tôi từng làm các công việc liên quan tới ML/DL cũng như các tools tạo ảnh/video Grok, Veo, Sora, Kling,...</t>
  </si>
  <si>
    <t>Information Security</t>
  </si>
  <si>
    <t>8.17/10</t>
  </si>
  <si>
    <t>Bài tập làm game pvp bằng server socket sử dụng c#</t>
  </si>
  <si>
    <t>https://github.com/pexa8335</t>
  </si>
  <si>
    <t>taqwclcplpgxnqbfr4ed4staqwclu4x8</t>
  </si>
  <si>
    <t>Lưu Thượng Hồng</t>
  </si>
  <si>
    <t>luuthuonghong@gmail.com</t>
  </si>
  <si>
    <t>+84335560809</t>
  </si>
  <si>
    <t>Em chọn vị trí AI Engineer tại SUN.RISER vì đây là lĩnh vực em đang theo đuổi nghiêm túc. Bên cạnh đó, em có niềm đam mê lâu dài với game, nên em rất hào hứng với cơ hội được làm việc và đóng góp tại SUN.STUDIO.</t>
  </si>
  <si>
    <t>Theo mô tả, em hiểu vị trí này tập trung vào việc ứng dụng AI vào quy trình phát triển và vận hành game, đặc biệt là xây dựng các workflow tự động hóa nhằm tối ưu hiệu suất và tiết kiệm thời gian cho công ty.
Em tin mình phù hợp vì đã có nền tảng kiến thức liên quan, đồng thời cũng đã trực tiếp triển khai một số project.</t>
  </si>
  <si>
    <t>Trí tuệ nhân tạo</t>
  </si>
  <si>
    <t>8.92</t>
  </si>
  <si>
    <t>Đó là dự án về Maze Game. Ở dự án này em đóng vai trò cầu nối giữa logic và phần UI của game. Kết quả dự án khả quan: có giao diện người dùng trực quan, áp dụng các thuật toán tìm đường đi, thuật toán tạo mê cung.</t>
  </si>
  <si>
    <t>https://github.com/ThuongHong/Maze</t>
  </si>
  <si>
    <t>Em mong muốn có cơ hội thực tập tại SUN.STUDIO</t>
  </si>
  <si>
    <t>7s05v8x377npgn7oygt6ax7s05v8xvix</t>
  </si>
  <si>
    <t>Nguyễn Hoàng Vũ</t>
  </si>
  <si>
    <t>vulocninh1@gmail.com</t>
  </si>
  <si>
    <t>+84386323603</t>
  </si>
  <si>
    <t>Em từng có kinh nghiệm làm data engineer nên data analyst sẽ là lĩnh vực gần nhất đối với kinh nghiệm của em</t>
  </si>
  <si>
    <t>Em nghĩ sẽ là phân tích dữ liệu, vẽ dashboard, report hoặc thậm chí một phần việc của data engineer như xây dựng các pipeline dữ liệu</t>
  </si>
  <si>
    <t>Hệ thống thông tin</t>
  </si>
  <si>
    <t>Em có kinh nghiệm ở vị trí data engineer intern tại Pizza 4P's như đã trình bày trong CV</t>
  </si>
  <si>
    <t>https://github.com/vunewbie/from-warehouse-to-lakehouse</t>
  </si>
  <si>
    <t>eggkkjrgdijps6z0mgeggk7itlxqre7o</t>
  </si>
  <si>
    <t>Tăng Thị Vân</t>
  </si>
  <si>
    <t>vantang1310@gmail.com</t>
  </si>
  <si>
    <t>+84373985445</t>
  </si>
  <si>
    <t>Em chọn vị trí Data Analyst Intern tại Sunrise vì phù hợp với định hướng nghề nghiệp của em trong lĩnh vực Data. Em muốn được áp dụng các kỹ năng như SQL, Python vào bài toán thực tế. Ngoài ra, em nghĩ môi trường công ty vừa sẽ giúp em học hỏi nhanh và có cơ hội tham gia trực tiếp vào dự án.</t>
  </si>
  <si>
    <t>Em nghĩ role Data Analyst Intern sẽ làm các công việc như thu thập, xử lý và phân tích dữ liệu, tạo report/dashboard và hỗ trợ team đưa ra quyết định dựa trên data.
Role này phù hợp với em vì em có nền tảng về SQL/Python và đã làm một số project liên quan đến phân tích dữ liệu, đồng thời em thích làm việc với data và tìm insight từ dữ liệu thực tế.</t>
  </si>
  <si>
    <t>Information systems</t>
  </si>
  <si>
    <t>9.0</t>
  </si>
  <si>
    <t>Em từng làm Data Intern tại GalaxyJoy, công việc chính là hỗ trợ xử lý và phân tích dữ liệu, tạo report/dashboard phục vụ cho team. Ngoài ra, em cũng hỗ trợ các task liên quan đến data trong dự án.</t>
  </si>
  <si>
    <t>https://github.com/Daniiislo/Flights-DW/</t>
  </si>
  <si>
    <t>Mạng xã hội, Trường đại học</t>
  </si>
  <si>
    <t>r8zw0xa31empff23v5e5zr8zw0x0ihio</t>
  </si>
  <si>
    <t>Hoàng Võ Ngọc Nguyên</t>
  </si>
  <si>
    <t>nh027471@gmail.com</t>
  </si>
  <si>
    <t>+84333468370</t>
  </si>
  <si>
    <t>Em có nền tảng lập trình TypeScript / C#, và gần đây em bắt đầu tìm hiểu về Unity vì tôi muốn mở rộng sang lĩnh vực game/interactive development. Thật ra em chưa có project Unity hoàn chỉnh, nhưng đó là lý do em apply vị trí intern — em muốn học trong môi trường thực tế, với mentor và codebase thật, thay vì chỉ tự học một mình.</t>
  </si>
  <si>
    <t>Em hiểu rằng Unity intern sẽ làm những task cụ thể như implement feature, viết C# script, debug theo hướng dẫn của senior — hơn là tự thiết kế từ đầu.
Về lý do em phù hợp — em có nền tảng lập trình với TypeScript / C#, nên tư duy về logic, cấu trúc code, và debug không phải là thứ em phải học từ đầu. Phần em cần học là Unity-specific.</t>
  </si>
  <si>
    <t>Công Nghệ Phần Mềm</t>
  </si>
  <si>
    <t>8.36</t>
  </si>
  <si>
    <t>Em chưa có project Unity hay game dev cụ thể nào. Tuy nhiên, background của em là web development — em đã làm project website tìm kiếm việc làm, có một chút kinh nghiệm thực web development ở 1 công ty nhỏ ở Hà Nội.
Từ đó em có kinh nghiệm với component-based UI / async logic / state management... — những thứ em thấy có nhiều điểm tương đồng với cách Unity tổ chức GameObject và Script.
Em apply vị trí này chính xác vì em muốn có cơ hội đầu tiên trong lĩnh vực này — và em tin nền tảng lập trình web giúp em tăng tốc nhanh hơn so với người bắt đầu từ zero.</t>
  </si>
  <si>
    <t>https://kabaxp.vercel.app/</t>
  </si>
  <si>
    <t>Cảm ơn SUN.STUDIO đã dành thời gian để làm bài test này.
Em biết mình đến với vị trí này mà chưa có kinh nghiệm Unity — nhưng em không xem đó là điểm yếu cố định. Em có nền tảng lập trình, em biết mình học nhanh khi được đặt vào môi trường thực tế, và em sẵn sàng bỏ công sức để tăng tốc.
Nếu được chọn, em cam kết sẽ không để team phải mất thời gian kéo mình lên những thứ cơ bản — phần Unity-specific em sẽ tự học song song. Điều em mong muốn là được học đúng cách, từ những người có kinh nghiệm thực tế.
Em thực sự muốn đây là cơ hội đầu tiên của mình trong lĩnh vực này.</t>
  </si>
  <si>
    <t>tc6rslr6xc8vumefa6x4tc6rchszt9y1</t>
  </si>
  <si>
    <t>Hoàng Đôn Thiện Hòa</t>
  </si>
  <si>
    <t>hoangdonthienhoa@gmail.com</t>
  </si>
  <si>
    <t>+84914135861</t>
  </si>
  <si>
    <t>Em mong muốn được áp dụng những kiến thức mình đã học vào các dự án thực tế</t>
  </si>
  <si>
    <t>Data Analysis có nhiệm vụ thu thập dữ liệu từ người chơi và từ đó phân tích, đánh giá dựa trên các tiêu chí nhưng độ tuổi, thời lượng chơi, xu hướng chơi,... Từ đó, có chiến lược phát triển và cải thiện game tốt hơn, tối ưu hơn. Em cảm thấy những gì mình đã được học và làm trên trường phù hợp với yêu cầu của công việc này</t>
  </si>
  <si>
    <t>Khoa học Máy tính</t>
  </si>
  <si>
    <t>7.9</t>
  </si>
  <si>
    <t>Hiện tại em đang có một dự án Casual Game nhỏ và vẫn đang hoạt động với một số lượng người chơi vừa phải. Em là người phát triển tính năng khi game chưa phát hành, và về sau là người cố vấn chính cũng như thu thập dữ liệu, ý kiến từ người chơi và đánh giá, sau đó cải thiện game tốt hơn. Đến nay game đã hoạt động được hơn 4 tháng.</t>
  </si>
  <si>
    <t>Link game: https://pokiguard.online/. Link github cá nhân: https://github.com/CauVang3061</t>
  </si>
  <si>
    <t>Em mong muốn có cơ hội được tham gia cùng công ty và cùng nhau phát triển những dự án tốt nhất</t>
  </si>
  <si>
    <t>ikap1e0kx7jhcadx332bikap1ekyb210</t>
  </si>
  <si>
    <t>Phạm Anh Huy</t>
  </si>
  <si>
    <t>anh.huy.5203@gmail.com</t>
  </si>
  <si>
    <t>+84989249973</t>
  </si>
  <si>
    <t>I want to grow as an AI Engineer and work on real-world AI systems. SUN.RISER’s practical focus fits my goals, and my background in AI allows me to contribute while learning.</t>
  </si>
  <si>
    <t>I believe this role focuses on building AI models and supporting their deployment in real applications. With my background in machine learning and hands-on AI projects, I can contribute while continuously learning and improving.</t>
  </si>
  <si>
    <t>Trường Đại học FPT</t>
  </si>
  <si>
    <t>Information Technology</t>
  </si>
  <si>
    <t>8.01</t>
  </si>
  <si>
    <t>Trong thời gian qua, em  đã có kinh nghiệm 3 tháng thực tập vị trí AI Engineer tại FPT Quy Nhơn AI Center với dự án akaOCR, tại đây em giữ vai trò nghiên cứu và xây dựng giải pháp cho bài toán trích xuất thông tin hoá đơn đa ngôn ngữ và mô hình đã đạt độ chính xác hơn 82%. 
Em cũng có 6 tháng kinh nghiệm vị trí LLM Engineer Intern tại Project Hamburg, tại đây em được đào tạo về framework Langchain để hỗ trợ xây dựng các Agents. 
Bên cạnh đó, em cũng đã tích luỹ thêm một số kinh nghiệm trong việc xây dựng các sản phẩm chatbot, hệ thống Agent giúp hỗ trợ các anh chị nghiên cứu tra cứu tài liệu học thuật khi đảm nhiệm vị trí Kỹ sư chuyển đổi số tại Viện Kỹ thuật Biển.</t>
  </si>
  <si>
    <t>There is no links</t>
  </si>
  <si>
    <t>I’m really excited about the opportunity to join SUN.STUDIO and contribute to real-world AI projects.
I’m eager to learn, take on challenges, and continuously improve my skills while supporting the team as much as I can.</t>
  </si>
  <si>
    <t>e32u7kel9ef2fs9fbqs3ve32u7k8ii88</t>
  </si>
  <si>
    <t>Trần Tường Vi</t>
  </si>
  <si>
    <t>trantuongvi595@gmail.com</t>
  </si>
  <si>
    <t>+84943077944</t>
  </si>
  <si>
    <t>Human Resources Intern</t>
  </si>
  <si>
    <t>Mình chọn SUN.RISER 2026 vì muốn chuyển hướng sang ngành Game – một môi trường năng động và đầy tính sáng tạo. Dù kinh nghiệm thực tập trước đây của mình là làm Tester cho một ứng dụng quản lý xưởng may, nhưng chính trải nghiệm đó đã giúp mình hiểu được cách một phần mềm vận hành và tầm quan trọng của việc kết nối giữa kỹ thuật với thực tế.</t>
  </si>
  <si>
    <t>Theo mình, vị trí này sẽ hỗ trợ tuyển dụng và chăm sóc đội ngũ sản xuất Game để đảm bảo mọi người làm việc hiệu quả nhất. Mình tin bản thân phù hợp vì sự tỉ mỉ khi làm Tester, kết hợp với kỹ năng điều phối hậu cần và sự nhạy bén với xu hướng trẻ từ việc làm Content Creator. Mình sẵn sàng học học hỏi nhanh những đặc thù của ngành Game</t>
  </si>
  <si>
    <t>HCMUSSH – Trường Đại học Khoa học Xã hội và Nhân văn – ĐHQG TP.HCM</t>
  </si>
  <si>
    <t>Nhật Bản học</t>
  </si>
  <si>
    <t>1k2ryj11cffd6dyxu75hsshj1k2ryj11</t>
  </si>
  <si>
    <t>Trần Bảo Phúc</t>
  </si>
  <si>
    <t>baophuc.itds.hcmiu@gmail.com</t>
  </si>
  <si>
    <t>+84846866299</t>
  </si>
  <si>
    <t>I’m motivated to apply for this position because it aligns well with my interest in AI engineering. I’m particularly drawn to the opportunity to work on real-world applications where AI can create measurable impact. I also see this role as a strong environment to grow my end-to-end skills while learning from practical challenges and experience team</t>
  </si>
  <si>
    <t>This role involves building and deploying AI/ML systems, working with data pipelines, and delivering scalable, real-world solutions. I’m a good fit because I have hands-on experience with AI applications and data workflows, and I focus on building practical, impactful systems end-to-end</t>
  </si>
  <si>
    <t>IU – Trường Đại học Quốc tế – ĐHQG TP.HCM</t>
  </si>
  <si>
    <t>In my projects, I mainly took end-to-end roles, including designing system architecture, building AI/ML models especially LLM and RAG-based systems, and developing backend pipelines for real-world applications. The outcomes include improving recommendation accuracy by ~30-40%, reducing query/reporting time by up to 60-70%, and building practical systems such as Text-to-SQL chatbots and intelligent recommendation platforms that enhance user productivity and decision-making</t>
  </si>
  <si>
    <t>https://portfolio-dsbaophuc.vercel.app/</t>
  </si>
  <si>
    <t>Trường đại học, SUN.STUDIO LinkedIn, Mạng xã hội</t>
  </si>
  <si>
    <t>I’m highly interested in working on real-world AI systems that create measurable impact, especially in areas like LLM applications and data-driven products.
I would really value the opportunity to contribute, learn from experienced teams, and continuously improve my ability to build scalable, production-ready AI solutions at SUN.STUDIO</t>
  </si>
  <si>
    <t>14v2frao1xvnkkxapyp14v2frhdtvyha</t>
  </si>
  <si>
    <t>Trần Châu Phú</t>
  </si>
  <si>
    <t>phutc04@gmail.com</t>
  </si>
  <si>
    <t>+84961867854</t>
  </si>
  <si>
    <t>Dự định tương lai của em là muốn trở thành một AI Engineer chuyên về mảng Data và AI</t>
  </si>
  <si>
    <t>Em nghĩ vị trí này là Đảm bảo hoạt động của AI, tham gia xây dựng hoặc cải tiến model, deloy model và hoàn thiện pipelines</t>
  </si>
  <si>
    <t>Dạ em có tìm hiểu và thực hành một project nhỏ về mảng game. Cụ thể, em áp dụng học tăng cường (Reinforcement Learning) để xây dựng agent chơi game Dò Mìn (Minesweeper).  
Trong quá trình này, em tập trung vào việc thiết kế trạng thái (state), hành động (action) và hàm thưởng (reward), sau đó huấn luyện model để agent học cách chọn ô an toàn và tối ưu tỉ lệ thắng. Qua đó, em hiểu rõ hơn về cách RL hoạt động trong môi trường có tính không chắc chắn và chiến lược khám phá/khai thác.</t>
  </si>
  <si>
    <t>https://github.com/auster-vn</t>
  </si>
  <si>
    <t>8iksnqn4bp6o0udu0h8iksnekqs5q5nk</t>
  </si>
  <si>
    <t>Nguyễn Bích Khuê</t>
  </si>
  <si>
    <t>nguyenbichkhue2323@gmail.com</t>
  </si>
  <si>
    <t>+84932557323</t>
  </si>
  <si>
    <t>Llí do để tôi chọn vị trí này trong SUN.RIER là:
- Tôi đam mê AI và muốn làm việc với những bài toán thực tế, muốn ứng dụng những tính năng AI để tối ưu hóa quy trình sản xuất game. 
- Tôi có niềm đam mê với Generative AI và các mô hình ngôn ngữ nên tôi muốn khám phá cách làm các NPC trở nên sống động và nhận thức ngữ cảnh tốt hơn.</t>
  </si>
  <si>
    <t>Tôi nghĩ vị trí này sẽ làm về: Gennerative AI, Automation và Deployment. Dùng GenAI để làm cho NPC tương tác thông minh và tự nhiên hơn. Áp dụng Computer Vision hỗ trợ quá trình kiểm thử tự động. Đóng gói các mô hình AI thành API để tích hợp vào hệ thống game. 
Tôi có nền tảng AI tốt, có kinh nghiệm xây dựng luồng API và có tinh thần học hỏi cao.</t>
  </si>
  <si>
    <t>8.0</t>
  </si>
  <si>
    <t>https://github.com/bichkhue23</t>
  </si>
  <si>
    <t>Dù chưa từng có kinh nghiệm trực tiếp tham gia quá trình sản xuất Game nhưng với em Game luôn là lĩnh vực đầy tính sáng tạo và nhiều thách thức. Em thực sự khát khao được trao cơ hội thử sức tại SUN.STUDIO được học tập và làm việc để có thể đưa những kiến thức học được áp dụng và triển khai được cho các dự án thực tế.</t>
  </si>
  <si>
    <t>n9fckofrxwb6a52yrn9fckzqbs4k1blv</t>
  </si>
  <si>
    <t>Nguyễn Duy Tâm</t>
  </si>
  <si>
    <t>ndtam04@gmail.com</t>
  </si>
  <si>
    <t>+84369231746</t>
  </si>
  <si>
    <t>Em mong muốn học tập và phát triển trong ngành lập trình game</t>
  </si>
  <si>
    <t>Ở vị trị này thì mình sẽ là một người xây dựng nên 1 tựa game, có những lối chơi độc đáo, mới mẻ. Xây dựng nên những tựa game có sự sáng tạo, đột phá.
Tôi cảm thấy mình phù với vị trí này do tôi có trải nghiệm khá nhiều tựa game, tôi cũng hiểu về Game Play khá tốt. Tôi cũng là giáo viên dạy lập trình Game ở trường học công nghệ Mindx.</t>
  </si>
  <si>
    <t>Tôi tốt nghiệp cao đẳng, hiện tại đang liên thông Đại học Công Nghệ Thông Tin(UIT)</t>
  </si>
  <si>
    <t>Lập trình mobile</t>
  </si>
  <si>
    <t>Tôi đã tham gia vào cuộc thi Game Viet Hackathon 2023. Đạt được giải sản phẩm ấn tượng. Vai trò của tôi trong dự án tôi xây dựng map trong game, lập trình những chức năng di chuyển, hành động của nhân vật.</t>
  </si>
  <si>
    <t>https://github.com/duytammm/projectLuom</t>
  </si>
  <si>
    <t>Mai Gia Minh</t>
  </si>
  <si>
    <t>Tôi rất mong muốn được học tập và phát triển trong công ty nói chung và ngành Game nói riêng. Tôi muốn được góp công sức và chất xám vào để giúp công ty phát triển hơn.</t>
  </si>
  <si>
    <t>l1baykmraa2nol1babs0jn425x6kkibs</t>
  </si>
  <si>
    <t>Nguyễn Thành Đạt</t>
  </si>
  <si>
    <t>dat798239@gmail.com</t>
  </si>
  <si>
    <t>+84338854386</t>
  </si>
  <si>
    <t>Em chọn QA vì em phù hợp với công việc cần sự tỉ mỉ và logic. Em thích việc tìm lỗi và cải thiện chất lượng sản phẩm. Em nghĩ SUN.RISER là môi trường tốt để em học hỏi và phát triển kỹ năng QA một cách bài bản</t>
  </si>
  <si>
    <t>QA sẽ kiểm tra chất lượng phần mềm, viết test case, test chức năng và tìm bug để đảm bảo sản phẩm hoạt động đúng. Em phù hợp vì em cẩn thận, có tư duy logic, hay tự test lại sản phẩm khi làm project và có nền tảng frontend nên hiểu cách hệ thống hoạt động</t>
  </si>
  <si>
    <t>An toàn thông tin</t>
  </si>
  <si>
    <t>7.1</t>
  </si>
  <si>
    <t>không có</t>
  </si>
  <si>
    <t>Trường đại học, Mạng xã hội, TopCV</t>
  </si>
  <si>
    <t>Em mong muốn được làm việc trong môi trường như SUN.STUDIO để vừa học hỏi vừa phát triển kỹ năng QA một cách bài bản. Em sẵn sàng bắt đầu từ những việc nhỏ, không ngại khó, và luôn cố gắng cải thiện bản thân để có thể đóng góp giá trị tốt hơn cho team</t>
  </si>
  <si>
    <t>78lsw1q1hkwzybe78lsxhk0vgq0rt2cn</t>
  </si>
  <si>
    <t>Hoàng Đình Ngọc Quang</t>
  </si>
  <si>
    <t>quanghoang112@gmail.com</t>
  </si>
  <si>
    <t>+84819273442</t>
  </si>
  <si>
    <t>Đam mê làm ra những con game để đời, hiện thực hóa ý tưởng của bản thân sau khi được trải nghiệm nhiều lại game khác nhau.</t>
  </si>
  <si>
    <t>Mình nghĩ rằng vị trí này sẽ tham gia trực tiếp vào việc tạo ra con game từ con số 0, biến những ý tưởng thành trải nghiệm thực tế, tối ưu hệ thống để mang đến những trải nghiệm mượt mà.
mình tự tin có nền tảng lập trình tốt, cũng như trải nghiệm nhiều loại game để tăng trải nghiệm, tính sáng tạo, sẵn sàng học hỏi.</t>
  </si>
  <si>
    <t>Khoa học máy tính chuyên ngành an toàn thông tin</t>
  </si>
  <si>
    <t>8.1</t>
  </si>
  <si>
    <t>một dự án nhỏ (cỡ project môn học) về làm game trên blockchain để phổ biến 1 phương thức bảo mật mới cho các sản phẩm trên blockchain, sử dụng Phaser, MUD.DEV. 
Là dự án 1 thành viên.</t>
  </si>
  <si>
    <t>https://github.com/quanghoang112/zk-game</t>
  </si>
  <si>
    <t>Cảm ơn mọi người đã dành thời gian xem xét hồ sơ</t>
  </si>
  <si>
    <t>9jyc02t8je3s4w7hfahs9jyc0z8tx8zo</t>
  </si>
  <si>
    <t>Lê Huỳnh Nhật Hưng</t>
  </si>
  <si>
    <t>lhnhung2505@gmail.com</t>
  </si>
  <si>
    <t>+84986280644</t>
  </si>
  <si>
    <t>I’m interested in SUN.RISER because of its focus on game development. I want to apply my AI skills to real products, especially in areas like player behavior or game features. I believe this role will help me gain practical experience and grow as an AI engineer.</t>
  </si>
  <si>
    <t>I think this role involves applying AI for automation tasks, such as optimizing workflows, handling data, or supporting game operations. I’m a good fit because I have experience working with AI tools and can quickly adapt to building practical solutions. I’m eager to learn and contribute in a real production environment.</t>
  </si>
  <si>
    <t>I have experience working on small projects, including developing a few simple games using Unity when I was exploring game development. However, through that process, I realized I’m more interested in AI, so I shifted my focus and worked on AI-related projects. This helped me build a clearer direction, and I’ve decided to pursue AI as my long-term career path.</t>
  </si>
  <si>
    <t>https://github.com/chiongnaunau/FlappyBird</t>
  </si>
  <si>
    <t>I’m very excited about the opportunity to join SUN.STUDIO and contribute to your products. I’m eager to learn, improve my skills, and support the team in building better and more engaging games. I hope to grow with the company and make meaningful contributions.</t>
  </si>
  <si>
    <t>tbi682j2puph6ojgftbi68m93knwjxij</t>
  </si>
  <si>
    <t>Trần Thiện Thuật</t>
  </si>
  <si>
    <t>tranthienthuat981@gmail.com</t>
  </si>
  <si>
    <t>+84941782510</t>
  </si>
  <si>
    <t>I'm looking for job opportunities in the gaming industry. I want to create games for people.</t>
  </si>
  <si>
    <t>I think Unity Development will involve things like gameplay programming, handling interactions between objects, processing effects, animations and audio, UI - UX, and game optimization.
I think I'm quite familiar with these types of tasks. Although I haven't had experience working on actual projects, I've completed many personal projects.</t>
  </si>
  <si>
    <t>HCMUT – Trường Đại học Bách Khoa – ĐHQG TP.HCM</t>
  </si>
  <si>
    <t>Electronics and Telecommunication Engineering</t>
  </si>
  <si>
    <t>7.72</t>
  </si>
  <si>
    <t>I have developed a 2D platformer game. The game focuses on progressing through levels using movement, jumping, dashing and wall-climbing skills.</t>
  </si>
  <si>
    <t>https://www.youtube.com/watch?v=v6HQ2pIcOXo</t>
  </si>
  <si>
    <t>prm8rqgw9eati1prmgma340e0j7ugyp8</t>
  </si>
  <si>
    <t>Bùi Thị Thanh</t>
  </si>
  <si>
    <t>buithithanh3322@gmail.com</t>
  </si>
  <si>
    <t>+84365491057</t>
  </si>
  <si>
    <t>với đam mê ngành DA sau khi tốt nghiệp chưa tìm được nơi làm việc</t>
  </si>
  <si>
    <t>Nhận yêu cầu, lấy data, xử lý data, phân tích data , đưa ra insight</t>
  </si>
  <si>
    <t>Thương mại điện tử</t>
  </si>
  <si>
    <t>7.25</t>
  </si>
  <si>
    <t>Forecast routing at NinjaVan company</t>
  </si>
  <si>
    <t>Bảo mật thông tin công ty không thể công khai</t>
  </si>
  <si>
    <t>Hãy cho em một cơ hội theo nghề DA, kiếm việc khó quá em sắp bỏ nghề rồi</t>
  </si>
  <si>
    <t>lfr5suyjw5loa1414xdo6lfr5sl8lr5g</t>
  </si>
  <si>
    <t>Phan Thị Ngọc Linh</t>
  </si>
  <si>
    <t>ngoclinhpt.work@gmail.com</t>
  </si>
  <si>
    <t>+84374186907</t>
  </si>
  <si>
    <t>Em chọn ứng tuyển vị trí Data Analysis Intern tại SUN.RISER vì em muốn được làm việc với dữ liệu thực tế. Em mong muốn mình có thể đóng góp những cái nhìn khách quan dựa trên dữ liệu thay vì chỉ dựa vào cảm tính.</t>
  </si>
  <si>
    <t>Theo em vị trị này là cầu nối biến dữ liệu thành quyết định kinh doanh. Em sẽ phân tích hành vi người chơi để giải mã lý do họ ở lại hay rời bỏ, từ đó đề xuất các cải tiến giúp sản phẩm tăng trưởng.
Tại sao em phù hợp:
1. Em luôn đặt câu hỏi "Phân tích này giúp gì cho sản phẩm?" trước khi làm.
2. Em có khả năng sử dụng SQL/Python và thống kê.</t>
  </si>
  <si>
    <t>Khoa học Dữ Liệu</t>
  </si>
  <si>
    <t>8.24</t>
  </si>
  <si>
    <t>Em chưa có kinh nghiệm trong lĩnh vực này.</t>
  </si>
  <si>
    <t>Em chưa có dự án liên quan đến game.</t>
  </si>
  <si>
    <t>6re0jzpajya12krttd6re0ycbsxl6i8h</t>
  </si>
  <si>
    <t>Trần Quang Anh Thuận</t>
  </si>
  <si>
    <t>tranquanganhthuan@gmail.com</t>
  </si>
  <si>
    <t>+84942135864</t>
  </si>
  <si>
    <t>I chose SUN.RISER because it is the ideal environment to apply my solid IT background and Unity/C# skills to real-world projects. Despite having under a year of experience, I am confident in my programming foundation and eager to contribute directly to your team's success.</t>
  </si>
  <si>
    <t>I understand this role focuses on coding and optimizing Unity gameplay features. I'm confident I'm a strong fit because, while I have less than a year of industry experience, my core IT background in C# and OOP is very solid. I'm a fast learner, ready to jump in and deliver.</t>
  </si>
  <si>
    <t>Greenwich Viet Nam</t>
  </si>
  <si>
    <t>Coding AI enemy, Enemy spawn, Sound Manager, Sprite editing, creating different attack skill by OOP and Scriptable Object</t>
  </si>
  <si>
    <t>https://lovely-niece-ab8.notion.site/UNITY-GAME-DEVELOPER-2d8c0afeae6780a99c82f322eaa4748e</t>
  </si>
  <si>
    <t>I just want to express how excited I am about this opportunity. While I am in the early stages of my career, my technical foundation, work ethic, and drive to learn are fully ready for the real-world challenges at SUN.STUDIO. I look forward to the chance to prove my value to the team!</t>
  </si>
  <si>
    <t>k0zeca9bzt5ninf6dbfyk0zeca8kpdal</t>
  </si>
  <si>
    <t>This role involves developing and optimizing game mechanics in Unity. I am a great fit because, despite having under a year of experience, my solid C#/OOP foundation and logical thinking enable me to adapt quickly and code efficiently.</t>
  </si>
  <si>
    <t>Create enemy, Implementing enemy spawn, Player skill by OOP and Scriptable Object</t>
  </si>
  <si>
    <t>i44jk43b1r622oeji44jkpfw11qy870c</t>
  </si>
  <si>
    <t>Nguyễn Lâm Nhã Uyên</t>
  </si>
  <si>
    <t>nhauyenkg05@gmail.com</t>
  </si>
  <si>
    <t>+84706415459</t>
  </si>
  <si>
    <t>My motivation stems from the desire to combine my technical expertise in Software Quality Assurance with the fast-paced gaming industry. I am eager to leverage my analytical thinking and fast-learning abilities to collaborate with SUN.STUDIO's team, tackle real-world bugs, and build a long-term career here</t>
  </si>
  <si>
    <t>I understand this role focuses on ensuring game quality through systematic testing, rigorous bug tracking, and cross-functional collaboration. I am a strong fit because my foundation in Software Quality Assurance directly aligns with these requirements.</t>
  </si>
  <si>
    <t>cr6mo5hl3qrdqabcrkkeun1khhnpef0m</t>
  </si>
  <si>
    <t>Bùi Trương Thái Sơn</t>
  </si>
  <si>
    <t>thaisoncbq@gmail.com</t>
  </si>
  <si>
    <t>+84902860127</t>
  </si>
  <si>
    <t>As a Data Science student with a strong background in Multimodal Research, I specialize in building scalable solutions that bridge the gap between advanced research and production. With expertise in LLMs, Computer Vision, and cloud infrastructure, I am eager to drive technical innovation and production efficiency as an AI Engineering at Sun.Studio.</t>
  </si>
  <si>
    <t>Vị trí này sẽ tập trung vào việc ứng dụng AI để tối ưu hóa quy trình sản xuất game và nâng cao trải nghiệm người dùng thông qua tự động hóa. Tôi hoàn toàn phù hợp với vai trò này nhờ kinh nghiệm thực chiến trong việc xây dựng hệ thống RAG-based chatbot và pipeline xử lý dữ liệu quy mô lớn, giúp tự động hóa khâu hỗ trợ và tư vấn người chơi.</t>
  </si>
  <si>
    <t>8.96</t>
  </si>
  <si>
    <t>-Weather-based Health Consultation Chatbot - AI Developer  - Developed an AI chatbot for cardiovascular and allergy patient consultations, earning a Consolation Prize at the UIT Data Science Challenge
Logo Similarity Search - AI Engineer - Phát triển thành công hệ thống tìm kiếm logo bằng hình ảnh và văn bản (image2image/text2image) với độ trễ thấp và chi phí tối ưu trên hạ tầng CPU; tích hợp giải pháp siêu độ phân giải Real-ESRGAN để tăng cường chất lượng hình ảnh.
- Logo Similarity Search - AI Engineer  - Developed image2image/text2image matching for logo ideation, optimized for low-latency CPU inference and integrated Real-ESRGAN for super-resolution
- ERP Knowledge Assistant Chatbot - AI Engineer  - Built an automated RAG-based chatbot using LangChain and OpenAI to streamline client support, featuring secure document management and semantic search.
-Seq2Seq FCMF: Multimodal Implicit Aspect Sentiment Analysis - Research Developer  - Developed a Multimodal Seq2Seq model for hotel reviews, achieving an F1 score of 72.27% and outperforming SOTA baselines by +3.50%
- Recruitment Market Analytics Pipeline - Data Engineer/Analyst  - Built a synchronous and parallel extraction pipeline that achieved 83.33% processing-time optimization and 93.33% storage optimization through 3NF and Star Schema design
- Multimodal Smartphone Data Collection System - Data Engineer  - Engineered a system to crawl and ingest a 100GB multimodal dataset, reaching processing speeds of 80 videos and 4,000 comments per hour.
- ViSoPhER: Phoneme-aware Tokenizer - AI Researcher  - Developed a specialized Vietnamese tokenizer that reduces vocabulary size and improves token coverage through sub-syllabic representation</t>
  </si>
  <si>
    <t>https://github.com/sonbui25</t>
  </si>
  <si>
    <t>I am truly inspired by SUN.STUDIO's journey in the gaming industry. I hope to have the opportunity to become a dedicated contributor to your team, leveraging my technical expertise to drive innovation and help strengthen the company’s position in the global market.</t>
  </si>
  <si>
    <t>acozyokaqnik6xacou7w3pg9dvgjkyqq</t>
  </si>
  <si>
    <t>Trần Minh Tâm</t>
  </si>
  <si>
    <t>tmtam2001@gmail.com</t>
  </si>
  <si>
    <t>+84903150934</t>
  </si>
  <si>
    <t>Game User Acquisition Intern</t>
  </si>
  <si>
    <t>Mình muốn được học hỏi/đào tạo để trở thành một User Acquisition</t>
  </si>
  <si>
    <t>Mình nghĩ vị trí UA sẽ tập trung vào việc thu hút người dùng mới thông qua các campaign quảng cáo trả phí và theo dõi các chỉ số như CPI, retention để tối ưu hiệu quả. Mình chưa có nhiều kinh nghiệm nhiều về UA, nhưng có nền tảng tốt về video và content, từng tham gia sản xuất và tối ưu các video quảng cáo nên hiểu được yếu tố.</t>
  </si>
  <si>
    <t>RMIT – Trường Đại học RMIT Việt Nam</t>
  </si>
  <si>
    <t>Đã tốt nghiệp và đi làm</t>
  </si>
  <si>
    <t>Digital Media</t>
  </si>
  <si>
    <t>7</t>
  </si>
  <si>
    <t>Video Editors and Sound Designer</t>
  </si>
  <si>
    <t>https://f.io/7ZUiliXw</t>
  </si>
  <si>
    <t>Mình rất ấn tượng với cách SUN.STUDIO xây dựng sản phẩm và đầu tư vào chất lượng sáng tạo, đặc biệt là về hình ảnh và video. Mình mong muốn được học hỏi thêm về UA Marketing trong môi trường chuyên nghiệp như vậy, đồng thời đóng góp thế mạnh của mình về video và content để tạo ra các chiến dịch hiệu quả hơn. Mình tin rằng đây sẽ là cơ hội tốt để mình phát triển lâu dài và mang lại giá trị cho team.</t>
  </si>
  <si>
    <t>98zakyimagq605z5ose98zakyeihvvxb</t>
  </si>
  <si>
    <t>Võ Thanh Trọng</t>
  </si>
  <si>
    <t>votrong1471@gmail.com</t>
  </si>
  <si>
    <t>+84375030373</t>
  </si>
  <si>
    <t>Ngành Game luôn là niềm đam mê lớn nhất của em từ khi bắt đầu học lập trình. Em chọn SUN.RISER vì ấn tượng với thông điệp 'Vươn lên trong hành trình sự nghiệp'. Em muốn đóng góp kỹ năng lập trình của mình để tạo ra những sản phẩm mang lại giá trị giải trí cho hàng triệu người dùng.</t>
  </si>
  <si>
    <t>Em tin mình là lựa chọn phù hợp vì nền tảng Kỹ sư Phần mềm giúp em có tư duy hệ thống và khả năng giải quyết vấn đề vững vàng. Kinh nghiệm xử lý logic phức tạp với Java và JavaScript, cộng thêm kỹ năng đọc hiểu tài liệu tiếng Anh tốt giúp em nắm bắt cực kỳ nhanh các engine/công nghệ làm game mới, sẵn sàng thích nghi với cường độ làm việc chuyên</t>
  </si>
  <si>
    <t>7.14/10</t>
  </si>
  <si>
    <t>Dù chưa làm game chuyên nghiệp, em có nền tảng vững chắc và sát với yêu cầu công việc qua các dự án cá nhân:
Về kỹ năng lập trình: Em đã phát triển hệ thống backend cho dự án E-commerce (Java, Spring Boot) và nền tảng AI Tech Blog. Quá trình này rèn luyện cho em tư duy hệ thống, xử lý logic phức tạp và khả năng viết code tối ưu.
Về tư duy làm game: Sở thích chơi game và thiết kế đồ họa Pixel Art giúp em thấu hiểu trải nghiệm người chơi (UX), đồng thời có cảm quan tốt để phối hợp nhịp nhàng với đội ngũ Art/Design."</t>
  </si>
  <si>
    <t>trongvt.me, github.com/thanhtrongvo/BlogMernStack, github.com/thanhtrongvo/e-commerce, github.com/thanhtrongvo/SieuThiMiniWebOnion</t>
  </si>
  <si>
    <t>SUN.STUDIO LinkedIn, Trường đại học, Ybox</t>
  </si>
  <si>
    <t>Là một kỹ sư phần mềm mới tốt nghiệp, điều em muốn gửi gắm lớn nhất là sự nhiệt huyết và tinh thần sẵn sàng dấn thân. Em có nền tảng tư duy logic vững vàng, nhưng em hiểu mình cần cọ xát thực tế rất nhiều để làm ra những tựa game chất lượng. Em rất kỳ vọng chương trình SUN.RISER sẽ là bệ phóng khởi đầu sự nghiệp, nơi em được học hỏi từ các anh chị đi trước và có cơ hội đóng góp giá trị thực tế vào các dự án của SunStudio</t>
  </si>
  <si>
    <t>tizi1sx55dll0prr2kcbtizi1snt4x9p</t>
  </si>
  <si>
    <t>Nguyễn Như Hoàng Tiến</t>
  </si>
  <si>
    <t>hoangtien94huee@gmail.com</t>
  </si>
  <si>
    <t>+84707973847</t>
  </si>
  <si>
    <t>Em chọn vị trí này tại SUN.RISER vì em mong muốn được làm việc trong một môi trường chuyên nghiệp, nơi em có thể phát triển cả kỹ năng chuyên môn lẫn kỹ năng mềm. Em đặc biệt hứng thú với những cơ hội được học hỏi từ dự án thực tế, làm việc cùng những anh chị có kinh nghiệm, và thử thách bản thân trong một môi trường năng động. Em tin rằng SUN.RISE</t>
  </si>
  <si>
    <t>Em nghĩ vị trí này sẽ bao gồm việc học hỏi nhanh, hỗ trợ các công việc trong dự án thực tế, phối hợp với các thành viên trong nhóm, và liên tục nâng cao kỹ năng chuyên môn cũng như tư duy giải quyết vấn đề. Vị trí này cũng có thể yêu cầu sự thích nghi tốt, tinh thần trách nhiệm, và sẵn sàng đón nhận thử thách trong môi trường làm việc năng động.
E</t>
  </si>
  <si>
    <t>Data Engineering</t>
  </si>
  <si>
    <t>8.31</t>
  </si>
  <si>
    <t>Có. Trước đây em đã thực tập ở vị trí DA/DE Intern tại INTER-K JSC, nơi em hỗ trợ thu thập, làm sạch và biến đổi dữ liệu phục vụ báo cáo. Em cũng tham gia xây dựng dashboard và hỗ trợ tự động hóa ETL bằng SQL và Databricks, đồng thời phối hợp với team để cải thiện chất lượng và hiệu năng dữ liệu. Ngoài ra, em còn tham gia các dự án học thuật liên quan đến data warehouse, data lakehouse và data mapping. Những trải nghiệm này giúp em phát triển kỹ năng kỹ thuật, làm việc nhóm và giải quyết vấn đề thực tế.</t>
  </si>
  <si>
    <t>https://www.linkedin.com/in/ti%E1%BA%BFn-nguy%E1%BB%85n-5986ba354/</t>
  </si>
  <si>
    <t>Em rất hào hứng với cơ hội được gia nhập SUN.STUDIO và học hỏi từ một đội ngũ sáng tạo, chuyên nghiệp. Dù em vẫn đang ở giai đoạn đầu của sự nghiệp, em luôn sẵn sàng học hỏi, đón nhận thử thách và nỗ lực hết mình để đóng góp. Em hy vọng không chỉ phát triển kỹ năng của bản thân mà còn có thể đồng hành và tạo ra giá trị cùng công ty.</t>
  </si>
  <si>
    <t>7n8fe0tnw8ysb5c7n8fdy43f2lue3obr</t>
  </si>
  <si>
    <t>Trương Trí Khải</t>
  </si>
  <si>
    <t>truongkhai603@gmail.com</t>
  </si>
  <si>
    <t>+84919381229</t>
  </si>
  <si>
    <t>Em chọn AI Engineer (NV1) để phát huy thế mạnh Deep Learning (CV, NLP) nhằm nâng tầm game bằng AI. Với Data Analyst (NV2), tư duy data-driven giúp em khai phá insight từ hành vi người chơi để cải tiến sản phẩm. SUN.STUDIO là nơi lý tưởng để em chuyển hóa số liệu thành giá trị</t>
  </si>
  <si>
    <t>Vị trí AI sẽ ứng dụng thuật toán để tối ưu trải nghiệm game, DA sẽ phân tích số liệu giúp vận hành sản phẩm. Em phù hợp nhờ nền tảng Data Science, kinh nghiệm thực chiến mô hình Deep Learning (CV, NLP) và tư duy data-driven nhạy bén, sẵn sàng chuyển hóa dữ liệu thành giá trị thực tế.</t>
  </si>
  <si>
    <t>UTH - Trường Đại học Giao thông Vận tải TP.HCM</t>
  </si>
  <si>
    <t>3.57</t>
  </si>
  <si>
    <t>Em chưa có kinh nghiệm từ trước</t>
  </si>
  <si>
    <t>https://github.com/TruongTrikhai?tab=repositories</t>
  </si>
  <si>
    <t>jnu2jh50m1izer034zi7zjnu2jh5fic5</t>
  </si>
  <si>
    <t>Nguyễn Ngọc Anh Thư</t>
  </si>
  <si>
    <t>ngocanhthugialai@gmail.com</t>
  </si>
  <si>
    <t>+84905002438</t>
  </si>
  <si>
    <t>Vì em mong muốn được phát triển trong một môi trường làm việc thực tế, nơi dữ liệu được sử dụng để hỗ trợ ra quyết định và tạo ra giá trị cho doanh nghiệp. Dù chưa có nhiều kinh nghiệm thực tế, em có tinh thần học hỏi, chủ động và sẵn sàng tiếp cận các bài toán thực tế</t>
  </si>
  <si>
    <t>Em nghĩ vị trí Data Analyst Intern sẽ bao gồm việc thu thập, làm sạch và phân tích dữ liệu để tạo ra insight hỗ trợ ra quyết định, đồng thời xây dựng báo cáo hoặc dashboard. Em phù hợp vì đã có kinh nghiệm qua các đồ án về xử lý và phân tích dữ liệu, sử dụng SQL và trực quan hóa dữ liệu. Em cẩn thận và tinh thần học hỏi nhanh, nên có thể thích nghi</t>
  </si>
  <si>
    <t>8.34</t>
  </si>
  <si>
    <t>Em đã thực hiện một dự án phân tích dữ liệu game theo thời gian thực. Em phụ trách xây dựng API, dashboard và trực quan hóa dữ liệu. Hệ thống sử dụng Kafka – Spark – MongoDB để xử lý dữ liệu từ Steam API, giúp theo dõi các chỉ số như CCU và hành vi người chơi theo thời gian thực.</t>
  </si>
  <si>
    <t>https://drive.google.com/drive/folders/1oOxnmgZPdjn3_SlRv5AGaUrFVwf6v71H?usp=sharing</t>
  </si>
  <si>
    <t>Em mong là sẽ có cơ hội làm việc với anh chị trong team</t>
  </si>
  <si>
    <t>h4l3nr42m7uvs5k0hh4l3ne6r7uhkdb3</t>
  </si>
  <si>
    <t>Lê Hoàng Minh Huy</t>
  </si>
  <si>
    <t>minhhuy31012005@gmail.com</t>
  </si>
  <si>
    <t>+84938811069</t>
  </si>
  <si>
    <t>I am motivated by the opportunity to merge my passion for gaming with my expertise in building agentic workflows to solve real-world operational bottlenecks through practical AI automation.</t>
  </si>
  <si>
    <t>This role might involve optimizing game studio workflows by designing AI agents and pipelines that automate manual tasks across departments using LLMs and API integrations.
I am a good fit because of my hands-on experience in architecting agentic workflows with LangGraph, designing RAG frameworks, and backend engineering.</t>
  </si>
  <si>
    <t>9.19</t>
  </si>
  <si>
    <t>I started my freshman year by coding logic and supporting UI/UX design for a C++ Tic-Tac-Toe project. Later, I co-developed "Tom-Jerry Maze Solver", focusing on implementing pathfinding algorithms and dynamic maze generation within a game framework.
Result:
- Project Tic-Tac-Toe: https://youtu.be/AWQhYFxFUfI
- Project Tom-Jerry Maze Solver: https://youtu.be/hs9YLck7dBo</t>
  </si>
  <si>
    <t>Radiance: https://github.com/BrdH7940/Radiance; SCALAR: https://github.com/BrdH7940/Hybrid-Event-Based-Image-Retrieval; COMPASS: https://github.com/PhamPhuHoa-23/ROOMELSA-SHREC2025; TicTacToe: https://github.com/sabertoaster/TicTacToe-HCMUS; Tom-Jerry Maze Solver: https://github.com/sabertoaster/Maze_Solver</t>
  </si>
  <si>
    <t>As a big fan of games, I am highly motivated to apply my background in AI Engineering to enhance the development process at SUN.STUDIO.</t>
  </si>
  <si>
    <t>2v7xgj9mmf6gjf12v7wdqura7ep2fcoe</t>
  </si>
  <si>
    <t>Nguyễn Tân Niên</t>
  </si>
  <si>
    <t>nguyentnien7203@gmail.com</t>
  </si>
  <si>
    <t>+84395016072</t>
  </si>
  <si>
    <t>I’m interested in: data and the gaming industry. I enjoy working with data to find insights, solve problems, and support business decisions. SUN.RISER’s focus on games makes the role more exciting, because data can directly improve user experience and product growth.</t>
  </si>
  <si>
    <t>I believe this role involves collecting, analyzing, and interpreting data to support business decisions, improve game performance, and understand player behavior.
I believe I’m a good fit because I have strong analytical thinking, solid SQL and data handling skills, and experience working with business stakeholders to solve problems through data.</t>
  </si>
  <si>
    <t>UEH – Đại học Kinh tế TP.HCM</t>
  </si>
  <si>
    <t>https://github.com/tnien/super-store-business-intelligence</t>
  </si>
  <si>
    <t>8qtluz4dql8bzpb4eg8qtlut78q0eb8w</t>
  </si>
  <si>
    <t>Lê Quốc Đạt</t>
  </si>
  <si>
    <t>lequocdat221003@gmail.com</t>
  </si>
  <si>
    <t>+84345727629</t>
  </si>
  <si>
    <t>Em chọn vị trí Data Analysis Intern vì phù hợp với nền tảng Data Science và định hướng nghề nghiệp của em. Em muốn sử dụng dữ liệu để tạo ra insight hỗ trợ quyết định sản phẩm, đặc biệt hứng thú với các bài toán phân tích hành vi người chơi trong game.</t>
  </si>
  <si>
    <t>Em nghĩ vị trí Data Analysis Intern sẽ tập trung vào phân tích dữ liệu người chơi để hiểu hành vi người dùng, theo dõi hiệu quả sản phẩm và đưa ra insight hỗ trợ các quyết định về phát triển game cũng như tăng trưởng.Em hứng thú với môi trường sản phẩm như game, nơi dữ liệu có vai trò quan trọng</t>
  </si>
  <si>
    <t>Trường Đại học Ngoại ngữ - Tin học Thành phố Hồ Chí Minh (HUFLIT)</t>
  </si>
  <si>
    <t>Khoa học Dữ liệu</t>
  </si>
  <si>
    <t>3.32/4.00</t>
  </si>
  <si>
    <t>Tôi từng làm Data Labeling ở ThinkWare VietNam. Công việc chủ yếu là xử lí ảnh cho hệ thống lái xe tự động.</t>
  </si>
  <si>
    <t>https://www.linkedin.com/in/l%C3%AA-qu%E1%BB%91c-%C4%91%E1%BA%A1t-305602325/details/projects/</t>
  </si>
  <si>
    <t>Mình mong muốn được tham gia quá trình thực tập của công ty</t>
  </si>
  <si>
    <t>v81l47u23e2wbdzmjjv81lni18sakeqn</t>
  </si>
  <si>
    <t>Bùi Hữu Hoàng</t>
  </si>
  <si>
    <t>huuhoang2o22vn@gmail.com</t>
  </si>
  <si>
    <t>+84907454285</t>
  </si>
  <si>
    <t>Game design là vị trí lý tưởng cho một người thích sáng tạo yêu game nên em rất muốn được ứng tuyển vào vị trí Game design</t>
  </si>
  <si>
    <t>Game design là vị trí đặt lên móng cho từng gia đoạn phát triển của một tựa game, không chỉ đơn thuần thiết kế game mà họ còn bảo gồm rất nhiều công đoạn thiết kế level design, UI design, nghiên cứu thị trường su hướng game, với liềm yêu thích về game từ nhỏ em game design là vị trí phụ hợp nhất với em</t>
  </si>
  <si>
    <t>FPT Poly - Trường Cao đẳng FPT polytechnic Đà Nẵng</t>
  </si>
  <si>
    <t>Em từng tham giải "Ai hiểu code AI" của trường FPT polytechnic Đà Nẵng và đặt được giải 3, em nắm vai trò cho game design thiết kế gameplay và design UI/UX và DEV cho dự án đó</t>
  </si>
  <si>
    <t>https://github.com/huuHoanGsr/END_GAME</t>
  </si>
  <si>
    <t>Em rất mong muốn có được cơ hội được tham gia vào SUN.STUDIO rất muốn đóng góp các ý tưởng của mình cho những giai đoạn phát triển Game trong SUD.STUDIO</t>
  </si>
  <si>
    <t>zxe5ua7wadihstp1vylhzxe5ua8fsng9</t>
  </si>
  <si>
    <t>Trương Bình Ba</t>
  </si>
  <si>
    <t>binh66522@gmail.com</t>
  </si>
  <si>
    <t>+84353372428</t>
  </si>
  <si>
    <t>Đây là một cơ hội để có thể ứng dụng các nền tảng kiến thức của bản thân vào các dự án thực tế, là một môi trường lý tưởng để học hỏi, hoàn thiện các kỹ năng của bản thân</t>
  </si>
  <si>
    <t>Áp dụng AI để nâng cao hiệu xuất công việc, đối với mảng DA đây là một bài toàn thực tế để em có thể lấy insight từ các dữ liệu có thực. Với vốn kiến thức và những kỹ năng AI engineer, Data Analyst là chuyên ngành học của mình thì em tin có đủ khả năng phù hợp với vị trí này</t>
  </si>
  <si>
    <t>8.147</t>
  </si>
  <si>
    <t>https://github.com/binhba186</t>
  </si>
  <si>
    <t>4kn5bzy6qg16i34kn58bwyjhm6iiw95d</t>
  </si>
  <si>
    <t>Ngô Quang Thắng</t>
  </si>
  <si>
    <t>quangthangngo181@gmail.com</t>
  </si>
  <si>
    <t>+84786378421</t>
  </si>
  <si>
    <t>I'm drawn to SUN.RISER's dynamic, open, and multinational work culture. I know the company values creativity and empowers its employees to take initiative. As an AI Engineering Intern, I am looking for a place with practical experiences and knowledge to define my career path and strengthen my skillset, and I think SUN.RISER check all my boxes.</t>
  </si>
  <si>
    <t>As I understand it, an AI Engineering Intern is fundamentally about engineering models for practical applications. I believe I am a strong fit for this role because I already have a solid foundation in exactly the kind of applied AI and engineering work  with various models.</t>
  </si>
  <si>
    <t>Knowledge Technology</t>
  </si>
  <si>
    <t>8.02</t>
  </si>
  <si>
    <t>I was involved in a project of designing and developing a running game from scratch. It was a 2D platformer endless runner. The result is a good and short game with dynamic gameplay loop that is fit for short term entertainment but with decent cognitive engagement.</t>
  </si>
  <si>
    <t>https://github.com/Ganth1811/NMLT_Project_game</t>
  </si>
  <si>
    <t>chjd0bg2xeqgng0chjdg3u9tz3v2v9wk</t>
  </si>
  <si>
    <t>Nguyễn Hoàng Nhựt Minh</t>
  </si>
  <si>
    <t>hnim3107@gmail.com</t>
  </si>
  <si>
    <t>+84397799659</t>
  </si>
  <si>
    <t>I am inspired to join SUN.RISER because of its focus on creating engaging and creative game experiences. I am motivated to contribute to real-world projects and apply my interest in game development. I am eager to learn from experienced developers and improve my Unity skills in a professional environment, while contributing to meaningful products.</t>
  </si>
  <si>
    <t>I believe this role involves building gameplay features, integrating UI, fixing bugs, and learning Unity 2D development in a team environment.
I’m a good fit because I have a solid foundation in C# and Unity, hands-on project experience, and I’m eager to learn and contribute.</t>
  </si>
  <si>
    <t>8.05</t>
  </si>
  <si>
    <t>Developed a real-time typing game in Unity (C#) with a custom input system for low-latency keystroke validation and dynamic WPM calculation. Implemented game loop, state management, and UI, integrating visual assets and animations.</t>
  </si>
  <si>
    <t>https://play.unity.com/en/games/265201ad-a04d-439b-8106-3a636187b761/typenimalv1</t>
  </si>
  <si>
    <t>I am very enthusiastic about the opportunity to join SUN.RISER and contribute to real Unity 2D game projects. I enjoy learning new technologies and continuously improving my Unity and C# skills through hands-on projects.
I am a proactive and responsible team player, always ready to take on challenges and learn from experienced developers. I would greatly appreciate the opportunity to contribute and grow within your team.</t>
  </si>
  <si>
    <t>axf8cghuk0ll7ombaxf8cghqdp4h2d2f</t>
  </si>
  <si>
    <t>Nguyễn Đỗ Bảo</t>
  </si>
  <si>
    <t>nguyendobao.hcm@gmail.com</t>
  </si>
  <si>
    <t>+84969597735</t>
  </si>
  <si>
    <t>Em cảm thấy công ty là nơi phù hợp để em đi những bước đầu tiên trong sự nghiệp của mình. Đồng thời, em cũng muốn đóng góp cho công ty nói riêng, và ngành game nói chung.</t>
  </si>
  <si>
    <t>Em nghĩ vị trí này sẽ khai thác, truy vấn, và phân tích các dữ liệu liên quan đến vận hành, hiệu suất. Đồng thời, vị trí cũng sẽ thực hiện trực quan hóa các dữ liệu có liên quan để những team khác có thể theo dõi và đánh giá tổng quan những tiến trình đặc thù liên quan đến game.</t>
  </si>
  <si>
    <t>Công nghệ Thông tin</t>
  </si>
  <si>
    <t>8.63</t>
  </si>
  <si>
    <t>Thực hiện phân tích dữ liệu (EDA) và rút trích đặc trưng trên bộ dữ liệu sinh học nhiều chiều để xác định những đặc trưng then chốt cho việc dự đoán.</t>
  </si>
  <si>
    <t>amyyx4ejtrkffpzn7fxgamyyx4elb8re</t>
  </si>
  <si>
    <t>Lê Đức Ngọc Bảo</t>
  </si>
  <si>
    <t>himagito@gmail.com</t>
  </si>
  <si>
    <t>+84777608368</t>
  </si>
  <si>
    <t>Want to have an opportunity for an internship and gain more experience in game industry</t>
  </si>
  <si>
    <t>This role will take part in game development or designing game. I am good fit for this position because I have 8 months experience in Level Contributor role for Lihuhu Games and I work with puzzle game</t>
  </si>
  <si>
    <t>Kĩ thuật phần mềm</t>
  </si>
  <si>
    <t>Vai trò của tôi là trưởng nhóm code logic cho game pikachu nối hình. Kết quả của đồ án game pikachu đó là 10. Và tôi có kinh nghiệm level design cho game puzzle Hole Em All cho công ty Lihuhu</t>
  </si>
  <si>
    <t>https://github.com/LeNgocBao145/Project-Game-Pikachu.git</t>
  </si>
  <si>
    <t>Hi vọng được trở thành một phần của công ty</t>
  </si>
  <si>
    <t>2s321in4u83iea4rc2s321z8afl4gl5f</t>
  </si>
  <si>
    <t>Trần Duy Anh Khoa</t>
  </si>
  <si>
    <t>tdakhoa14012005@gmail.com</t>
  </si>
  <si>
    <t>+84869570934</t>
  </si>
  <si>
    <t>Tôi chọn vị trí Unity Developer vì tôi có kiến thức sâu về lập trình hệ thống gameplay và kinh nghiệm phát triển game 2D/3D với nhiều dự án indie, biết áp dụng SOLID, Design Pattern cho dự án. Tôi tự tin rằng với năng lực kỹ thuật này, tôi có thể đóng góp cho công ty ở vị trí Unity Developer về mọi mặt</t>
  </si>
  <si>
    <t>-Ở vị trí này, một Game Developer sẽ viết code, phát triển các 
tính năng của game, fix bugs, và optimize performance. Làm việc với team để hoàn thành dự án.
-Tôi phù hợp vì tôi có kinh nghiệm phát triển game với nhiều thể loại khác nhau, biết cách giải quyết vấn đề nhanh, và sẵn sàng đóng góp cho team."</t>
  </si>
  <si>
    <t>Trường Cao đẳng FPT Polytechnic TP.Đà Nẵng</t>
  </si>
  <si>
    <t>8.9</t>
  </si>
  <si>
    <t>-Cuộc thi thách thức tư duy thuật toán:
+Nhóm chúng tôi làm game về tư vấn trường
+Vai trò của tôi là dev chính cho toàn bộ dự án
+Kết quả dự án: đạt giải nhì trong dự án đó
-Các bài tập Assignment (về các game như tower defense, bắn tank online, bắn zombie,...):
+Vai trò của tôi là dev chính, thiết kế gameplay
+Kết quả dự án: các bài tập đều trên 9.0</t>
  </si>
  <si>
    <t>Link Portfolio: https://github.com/AnhKhoa2005</t>
  </si>
  <si>
    <t>Tôi muốn nói rằng tôi rất hứng thú với cơ hội làm việc ở SUN.STUDIO. 
Tôi cam kết sẽ học hỏi từ team, đóng góp hết khả năng, và cùng nhau tạo ra những game chất lượng cao mà người chơi yêu thích.
Tôi sẵn sàng bắt đầu từ ngày đầu tiên và trở thành một thành viên giá trị của công ty.</t>
  </si>
  <si>
    <t>v2bjx47ny28vgykz3uros0v2bjhls6na</t>
  </si>
  <si>
    <t>Trần Gia Bảo Anh</t>
  </si>
  <si>
    <t>baoanhtrangia2005@gmail.com</t>
  </si>
  <si>
    <t>+84846157500</t>
  </si>
  <si>
    <t>Với định hướng trở thành một Data Analyst/AI Engineer, em tin rằng mình có nền tảng phù hợp với các dự án của SUN.STUDIO:</t>
  </si>
  <si>
    <t>Thực hiện khai thác và phân tích các tập dữ liệu về cách người dùng tương tác với game để tìm ra các xu hướng hoặc điểm bất thường. Trong dự án cá nhân, tôi đã xây dựng các mô hình dự báo sử dụng phân tích chuỗi thời gian, điều này giúp tôi rèn luyện kỹ năng xử lý các tập dữ liệu phức tạp và xây dựng pipeline dự báo.</t>
  </si>
  <si>
    <t>Khoa học máy tính</t>
  </si>
  <si>
    <t>Chưa có kinh nghiệm làm việc với game</t>
  </si>
  <si>
    <t>https://github.com/ball7905</t>
  </si>
  <si>
    <t>Trường đại học, TopCV</t>
  </si>
  <si>
    <t>Hi vọng quý công ty xem xét thật kỹ</t>
  </si>
  <si>
    <t>bx31ahxfb30i2seo4mxbx31ahxehyjw3</t>
  </si>
  <si>
    <t>Trần Thị Cẩm Tú</t>
  </si>
  <si>
    <t>camtutran2608@gmail.com</t>
  </si>
  <si>
    <t>+84328380797</t>
  </si>
  <si>
    <t>Mong muốn thử sức tại một Studio game, có thể ứng dụng thế mạnh về AI và xử lý dữ liệu để giải quyết các bài toán tối ưu hóa trong game, học hỏi thêm về bài toán ứng dụng AI trong quy trình phát triển game</t>
  </si>
  <si>
    <t>Vị trí này sẽ bao gồm: Xây dựng các quy trình tự động hóa bằng AI (Agentic Workflows), thiết kế logic để kết nối các bước xử lý của LLM, sử dụng Prompt và API để tạo ra hệ thống AI hoàn chỉnh. Em nghĩ mình sẽ phù hợp bởi các yếu tố sau : Đã có kinh nghiệm xây dựng Multi-Agent Framework và làm việc nhóm, Tự học nhanh các công cụ mới (LangChain, n8n)</t>
  </si>
  <si>
    <t>Khoa Học Máy Tính</t>
  </si>
  <si>
    <t>8.72</t>
  </si>
  <si>
    <t>Bài tập: Sử dụng các thuật toán BFS, DFS, A* đếm tổng số đường đi để chiến thắng game Sudoku. Đây là bài tập đơn giản chỉ demo thuật toán
Bài tập: Sử dụng kĩ thuật Tree of Thought + gọi API LLM để giải Games of 24 và tiến hành so sánh với các với cách giải của các thuật toán cổ điển. Kết quả: khả năng giải thích của hệ thống tốt hơn</t>
  </si>
  <si>
    <t>https://tuttc.github.io/</t>
  </si>
  <si>
    <t>Rất vui khi được biết đến công ty ạ</t>
  </si>
  <si>
    <t>e722lf6s8rm2z4oife7221jdf497sljh</t>
  </si>
  <si>
    <t>Đào Thiên Phú</t>
  </si>
  <si>
    <t>phuthiendao.11@gmail.com</t>
  </si>
  <si>
    <t>+84326528294</t>
  </si>
  <si>
    <t>I’m currently studying and working as an AI Engineer. I haven’t had any hands-on practice applying AI in game development before, so I see this as a great opportunity to learn and build practical skills</t>
  </si>
  <si>
    <t>I believe this role involves supporting data and AI/ML workflows in a game development environment, including data pipelines, dataset processing, and model optimization. I’m a good fit because I have hands-on experience with end-to-end pipelines, large-scale data, and model optimization.</t>
  </si>
  <si>
    <t>Applied Mathematics</t>
  </si>
  <si>
    <t>No game-related experience yet</t>
  </si>
  <si>
    <t>I’m very interested in learning and contributing in a game development environment, and I look forward to the opportunity to grow my skills while supporting your team’s projects.</t>
  </si>
  <si>
    <t>zyovr5kmr7jhcffqeeyzyovr5u9ggflu</t>
  </si>
  <si>
    <t>Nguyễn Hoàng Anh Tuấn</t>
  </si>
  <si>
    <t>hoanganhtuan050702@gmail.com</t>
  </si>
  <si>
    <t>+84902797237</t>
  </si>
  <si>
    <t>Lý do khiến tôi chọn vị trí AI Engineering Intern tại SUN.RISER đó là vì đây là vị trí mà tôi cảm thấy những gì mình làm được, có thể đóng góp thực sự trong một môi trường hoàn toàn mới với bản thân tôi là ngành Game. Tôi không chỉ muốn áp dụng lại những gì đã biết, mà còn muốn thử sức trong một môi trường năng động, có sản phẩm thật.</t>
  </si>
  <si>
    <t>Theo tôi, vị trí này tập trung vào việc hiểu quy trình làm việc của đội ngũ, xác định điểm nghẽn và triển khai giải pháp AI phù hợp. Tôi nghĩ mình phù hợp với vị trí này vì tôi có kiến thức cơ bản về xây dựng RAG pipeline cho tài liệu tiếng Việt, thiết kế structured output prompts và tích hợp LLM.</t>
  </si>
  <si>
    <t>FPT University</t>
  </si>
  <si>
    <t>7.46</t>
  </si>
  <si>
    <t>CI-OCR là một Capstone project. Trong suốt thời gian project, tôi đảm nhận vai trò là một Team Leader, dẫn dắt nhóm 3 người xây dựng hệ thống OCR cho hình ảnh thành phần mỹ phẩm và tích hợp LLM để hỗ trợ người dùng mỹ phẩm nhận diện được đâu là sản phẩm phù hợp với da của mình. Kết quả đạt được với độ chính xác phát hiện văn bản trên 90% và tỉ lệ bảo toàn văn bản là 94.05% sau khi tích hợp GPT-4.</t>
  </si>
  <si>
    <t>https://github.com/jin0507/OCR-Cosmetic-Ingredients.git</t>
  </si>
  <si>
    <t>Tôi muốn gửi gắm đến SUN.STUDIO là tôi ứng tuyển vào SUN.STUDIO không chỉ để học mà còn để đóng góp thực sự. Tôi hiểu rằng ngành Game là một lĩnh vực mới với tôi, nhưng điều đó không làm tôi lùi bước. Với nền tảng về RAG systems, prompt engineering và AI pipelines, tôi tin mình có thể giúp các team tiết kiệm thời gian và làm việc hiệu quả hơn.</t>
  </si>
  <si>
    <t>mtzhvraqls02z4tcg5gu0umtzhvr1nh5</t>
  </si>
  <si>
    <t>Nguyễn Hiếu Thuận</t>
  </si>
  <si>
    <t>thuanhieu72@gmail.com</t>
  </si>
  <si>
    <t>+84869250402</t>
  </si>
  <si>
    <t>Tôi mong muốn được cùng đội ngũ của quý công ty làm ra những game thú vị, chất lượng cao cho người chơi. Và học tập thêm những kiến thức về lập trình game để hoàn thiện bản thân.</t>
  </si>
  <si>
    <t>Tôi nghĩ vị trí này sẽ phụ trách các công việc liên quan tới phát triển một phần mềm game trên tảng Unity như lập trình các cơ chế trong game, tối ưu hiệu năng, cũng như phối hợp với các thành viên khác để hoàn thiện sản phẩm.
Tôi tin rằng mình phù hợp với vị trí này vì tôi có nền tảng lập trình tốt, đặc biệt là với C# và tư duy logic.</t>
  </si>
  <si>
    <t>Ngành Công nghệ Thông tin - Chuyên ngành Kỹ thuật Phầm mềm</t>
  </si>
  <si>
    <t>8.87</t>
  </si>
  <si>
    <t>Tôi đã từng có 1 đồ án xây dựng Pacman game, áp dụng các thuật toán dò đường cho các "Ghost" để bắt "Pacman". 
Tôi tham gia phát triển các thuật toán như BFS, UCS và A* để tối ưu đường đi của Ghost. Đồng thời thiết kế các bit map để hỗ trợ dựng lên được giao diện màn chơi.
Kết quả là sản phẩm có thể mô phỏng hành vi truy đuổi thông minh của Ghost và hoạt động ổn định với nhiều màn chơi khác nhau. Và các tính năng được đánh giá 10/10.</t>
  </si>
  <si>
    <t>https://github.com/nguyenhieuthuan3105/Pacman_ghost_AI</t>
  </si>
  <si>
    <t>SUN.STUDIO LinkedIn, Trường đại học, TopCV</t>
  </si>
  <si>
    <t>Tôi mong muốn được học tập và trải nghiệm những điều bổ ích thông qua quá trình thực tập ở quý công ty. Hi vọng quý công ty sẽ tạo điều kiện và cơ hội cho tôi được học hỏi nhiều hơn,</t>
  </si>
  <si>
    <t>o1ukiiwu14eej51wt7j6guo1ukiii5la</t>
  </si>
  <si>
    <t>Trần Thanh Thảo</t>
  </si>
  <si>
    <t>ttthaor2312@gmail.com</t>
  </si>
  <si>
    <t>+84384056423</t>
  </si>
  <si>
    <t>Em muốn học hỏi thêm kinh nghiệm và nghiên cứu về ngành game.</t>
  </si>
  <si>
    <t>Vị trí này công việc là lên ý tưởng cho game: cốt truyện, nhân vật,...Với chuyên ngành đã học là Thiết kế mỹ thuật số, với những kiến thức đã được đào tạo em nghĩ mình phù hợp với vị trí này.</t>
  </si>
  <si>
    <t>Thiết kế mỹ thuật số</t>
  </si>
  <si>
    <t>design background, character, poster, anim 2d animation,...</t>
  </si>
  <si>
    <t>https://drive.google.com/file/d/1i1xSdMWUMYGIEBJkk_ZOBPkYhxl5SEyt/view?usp=drivesdk</t>
  </si>
  <si>
    <t>Cảm ơn đã dành thời gian xem hồ sơ của em. Em rất mong được làm việc và học hỏi từ quý công ty.</t>
  </si>
  <si>
    <t>z7tmn53ehxiony6qz70z7tmn52yjcz31</t>
  </si>
  <si>
    <t>Lê Thượng Đế</t>
  </si>
  <si>
    <t>lethuongde290605@gmail.com</t>
  </si>
  <si>
    <t>+84978261707</t>
  </si>
  <si>
    <t>Em chọn vị trí AI Engineering Intern / Data Analysis Intern tại SUN.RISER vì em thấy hướng phát triển game rất thú vị. Em nghĩ những sản phẩm như vậy sẽ cần phân tích dữ liệu và tối ưu trải nghiệm người dùng rất nhiều, em muốn được áp dụng kiến thức khi học của mình vào các sản phẩm thực tế.</t>
  </si>
  <si>
    <t>Em nghĩ vị trí này sẽ liên quan đến việc làm việc với dữ liệu và hỗ trợ sản phẩm, như phân tích hành vi người chơi hoặc áp dụng các mô hình machine learning để cải thiện hiệu quả game.
Em nghĩ mình phù hợp vì em đã có nền tảng về Machine Learning và Data Analysis, và từng làm các project từ xử lý dữ liệu đến xây dựng mô hình.</t>
  </si>
  <si>
    <t>Trong dự án này, em tham gia xây dựng hệ thống image captioning bằng cách fine-tune các mô hình vision-language (Qwen-VL, LLaMA-Vision) trên bộ dữ liệu tiếng Việt do nhóm tự xây dựng. Em phụ trách xử lý dữ liệu, hỗ trợ huấn luyện và đánh giá mô hình. Kết quả là mô hình sau khi fine-tune cải thiện đáng kể hiệu năng (tăng hơn 2000% theo CIDEr), cho thấy khả năng thích nghi tốt với dữ liệu tiếng Việt.</t>
  </si>
  <si>
    <t>https://drive.google.com/drive/folders/1LCL4HeHlAdphW9SUZO2dsfHdTaheTaeZ</t>
  </si>
  <si>
    <t>Em cảm ơn SUN.STUDIO vì đã cho chúng em cơ hội để có thể có 1 kì intern nhằm trau dồi, mài dũa kiến thức liên quan đến các project thực tế.</t>
  </si>
  <si>
    <t>zepchq55v44yqdvx95wwzepc5kl78xk3</t>
  </si>
  <si>
    <t>Nguyễn Tấn Lộc</t>
  </si>
  <si>
    <t>ntloc210105@gmail.com</t>
  </si>
  <si>
    <t>+84914805849</t>
  </si>
  <si>
    <t>Đam mê game từ nhỏ, muốn phát triển các thể loại game Action RPG có thể thỏa mãn bản thân vì các npc trong game này lối đánh còn bị động không tạo ra được nhiều biến cố</t>
  </si>
  <si>
    <t>em nghĩ AI Engineer sẽ tạo ra 1 quy trình áp dụng AI vào sinh mã tự động cần đảm bảo chất lượng (cókiểm thử) cũng như là tăng tốc độ dự án, ngoài ra có thể xây dựng các mô hình AI tạo ra các NPC có tính tự chủ hơn là theo luồng giải thuật có sẵn, khiến trò chơi không chỉ dừng lại ở việc hoàn thành các task mà gây ra hiệu ứng cánh bướm bất ngờ.</t>
  </si>
  <si>
    <t>3.2</t>
  </si>
  <si>
    <t>Đánh giá của em là em mới chỉ làm một số game cơ bản có áp dụng AI như đánh cờ, còn lại các cuộc thi thì liên quan đến computer vision, multimodal là nhiều</t>
  </si>
  <si>
    <t>https://github.com/Unlockne</t>
  </si>
  <si>
    <t>Em mãnh liệt tin mình là mảnh ghép có thể bổ sung cho bức tranh công nghệ của công ty và em chỉ cần có cơ hội được chứng minh.</t>
  </si>
  <si>
    <t>hwh6psymxllff79mbr1hwhfffil0xlgq</t>
  </si>
  <si>
    <t>Ngô Thế Đạt</t>
  </si>
  <si>
    <t>thedatngo@gmail.com</t>
  </si>
  <si>
    <t>+84923104570</t>
  </si>
  <si>
    <t>What motivates me is Sun.Studio's reputation for creating high-impact digital products. Specifically, the Sun.Riser program offers a professional environment where I can tackle the challenge of quality assurance for high-traffic web and mobile games.</t>
  </si>
  <si>
    <t>I see this role as ensuring functional integrity and performance stability through rigorous testing cycles. My IT background and SQL knowledge enable me to investigate root causes and support the Dev team more effectively than a manual tester. I am committed to maintaining high-quality standards and ensuring a seamless experience for every player</t>
  </si>
  <si>
    <t>8.48</t>
  </si>
  <si>
    <t>No i don't have any game-related or job-related experience before</t>
  </si>
  <si>
    <t>No i don't have any related Portfolio or Project</t>
  </si>
  <si>
    <t>I am deeply impressed by Sun.Studio’s mission to create high-impact products. I want to share that I value accuracy and reliability above all in my work. I am eager to apply my technical skills to help the team minimize risks and ensure a seamless experience for millions of users. I am ready to go the extra mile to achieve 'Zero-Bug' targets.</t>
  </si>
  <si>
    <t>kpdppq7bg0rm4dwsig2ckpdppq7vrl9g</t>
  </si>
  <si>
    <t>Âu Gia Quốc</t>
  </si>
  <si>
    <t>kouhaiku.dot@gmail.com</t>
  </si>
  <si>
    <t>+84357640598</t>
  </si>
  <si>
    <t>Em chọn vị trí UnityDeveloper vì em muốn tập trung phát triển kỹ năng lập trình game bằng C#. Em đã có trải nghiệm với Unity2D dù chỉ mới setting chạy nhảy cơ bản và mong muốn được vào môi trường làm việc thực tế để cải thiện kỹ năng. Em cũng thấy môi trường trẻ, năng động của công ty sẽ giúp em học hỏi nhanh hơn và dễ thích nghi khi làm việc nhóm.</t>
  </si>
  <si>
    <t>Em nghĩ Unity Developer sẽ tập trung vào việc lập trình gameplay mechanics, xử lý logic game và phối hợp với các bộ phận khác để hoàn thiện sản phẩm. 
Em đã có kinh nghiệm với Unity 2D dù chỉ mới ở mức thiết lập animations cơ bản. Em có thói quen tự tìm hiểu và debug trước khi hỏi, em sẵn sàng nhận các task nhỏ như fix bug hoặc test để hỗ trợ team</t>
  </si>
  <si>
    <t>HUFI – Trường Đại học Công nghiệp Thực phẩm TP.HCM</t>
  </si>
  <si>
    <t>Vai trò của em trong dự án cá nhân: Unity Developer, Game Designer, 2D Artist. 
Dù project của em đang trong giai đoạn phát triển nhưng em cũng đã hiểu thêm về cách xây dựng cách cơ chế inventory, animations (idle, run, jump) cơ bản, cách fix bug khi nhân vật nhảy lên bị dính tường trong quá trình phát triển ạ.</t>
  </si>
  <si>
    <t>https://drive.google.com/file/d/1RFKHsV3KLCpEb_9D-xduuCcAvWTo2AYW/view?usp=drivesdk</t>
  </si>
  <si>
    <t>Mạng xã hội, TopCV, SUN.STUDIO LinkedIn</t>
  </si>
  <si>
    <t>Em mong muốn có cơ hội được học hỏi và phát triển tại SUN.STUDIO, một môi trường trẻ và năng động. Em sẵn sàng bắt đầu từ những task nhỏ, chủ động học hỏi và cải thiện kỹ năng để có thể đóng góp tốt hơn cho team trong quá trình làm việc.</t>
  </si>
  <si>
    <t>aprx3dixitt06v5g9hxvaprx3dikijxl</t>
  </si>
  <si>
    <t>Ho Sy Kien</t>
  </si>
  <si>
    <t>kienforwork0206@gmail.com</t>
  </si>
  <si>
    <t>+84349677343</t>
  </si>
  <si>
    <t>I’m motivated to join Sun Studio because of its global-scale gaming products, where data directly drives user engagement, retention, and product decisions. I’m especially excited to apply my AI and data analysis background in a fast-paced, product-driven environment while learning how analytics supports real-world game optimization at scale.</t>
  </si>
  <si>
    <t>I believe the Data Analysis Intern role at Sun Studio focuses on analyzing player data, building reports, and generating insights to support game and product decisions. I’m a good fit because I have hands-on experience in data processing, analytics, and AI, and I enjoy turning complex data into actionable insights in product-driven environments.</t>
  </si>
  <si>
    <t>7.84</t>
  </si>
  <si>
    <t>In my projects, I was responsible for building end-to-end data pipelines (ETL), performing exploratory data analysis, and developing dashboards to communicate insights. I worked with datasets such as airline reviews, Amazon sales, and train ticket data to uncover patterns in customer behavior, satisfaction, and business performance. As a result, I delivered actionable insights and interactive Power BI dashboards that supported data-driven decisions like service improvement, pricing strategies, and channel optimization.</t>
  </si>
  <si>
    <t>https://github.com/kienlqd1234</t>
  </si>
  <si>
    <t>kqfxaihta4p9nttakqzn7cxrn73d69a4</t>
  </si>
  <si>
    <t>Nguyễn Trọng Tín</t>
  </si>
  <si>
    <t>nguyentrongtin2807@gmail.com</t>
  </si>
  <si>
    <t>+84913540803</t>
  </si>
  <si>
    <t>Muốn tìm hiểu quy trình thiết kế ra một màn chơi ở công ty  nó diễn ra như thế nào, từ cách thức lên ý tưởng cho đến lúc thực hiện.</t>
  </si>
  <si>
    <t>Em nghĩ vị trí này sẽ phải tìm hiểu được mong muốn của người chơi là gì và dựa vào đó kết hợp với định hướng ban đầu của game để thiết kế ra một trò chơi đủ sức lôi cuốn và quan trọng là giữ chân người chơi.</t>
  </si>
  <si>
    <t>Thiết kế màn chơi, giao diện người dùng và trực tiếp lập trình các hệ thống quản lý trạng thái (Save/Load)</t>
  </si>
  <si>
    <t>https://github.com/tinnguyen0706/Tower-Denfense</t>
  </si>
  <si>
    <t>avc3xqqe8u1ivz5o0z1xahtavc3x5fq6</t>
  </si>
  <si>
    <t>Do em muốn biết được quy trình thiết kế game, cách tạo ra một con game hay, thu hút, giữ chân người chơi, tạo trải nghiệm hứng thú</t>
  </si>
  <si>
    <t>Vị trí này sẽ lên kế hoạch, thiết kế cơ chế chơi cho game, phân tích dữ liệu người dùng, quản lí các bạn Level Design, cải tiến tối ưu quy trình thiết kế game. Do em có kinh nghiệm làm cộng tác viên Level Contributor cho game Hole Em All thể loại puzzle của công ty Lihuhu</t>
  </si>
  <si>
    <t>Em sẽ phụ trách thiết kế level game Hole Em All theo các ràng buộc nhất định như theo độ khó level, thời gian chơi, phối màu cho level sao cho đẹp, dễ nhìn, sử dụng các pattern giúp tăng trải nghiệm người chơi nhưng không quá ép buộc để đảm bảo ưu tiên cho sự sáng tạo. Kết quả là hơn 1000 level được đưa vào game, nhận được feedback từ cộng đồng để cải thiện.</t>
  </si>
  <si>
    <t>Xin lỗi do source, và các tài liệu liên quan là của nội bộ công ty nên không thể chia sẻ được</t>
  </si>
  <si>
    <t>Hi vọng được trở thành một phần của công ty và được trải nghiệm nhiều game hay ho và thú vị</t>
  </si>
  <si>
    <t>xucxo4m7xioo6j84dpgxucxo4m3vmea6</t>
  </si>
  <si>
    <t>Dương Gia Huy</t>
  </si>
  <si>
    <t>dghuy6625@gmail.com</t>
  </si>
  <si>
    <t>+84838438053</t>
  </si>
  <si>
    <t>Trước đó, tôi đã tự tìm tòi và phát triển Game bằng Unity. Do đó khi tìm thấy vị trí Unity Development Intern trong SUNRISER, tôi cảm thấy đây là cơ hội để bản thân mình phát triển và tìm hiểu thêm về quy trình làm việc chuyên nghiệp trong ngành công nghiệp Game.</t>
  </si>
  <si>
    <t>Tôi nghĩ là vị trí này sẽ trực tiếp tham gia vào quy trình phát triển Game thể loại Casual/Puzzle trên Mobile bằng Unity, bao gồm quá trình xây dựng gameplay, tích hợp animation...
Tôi tin rằng mình phù hợp với vị trí này vì tôi đã phát triển và tự tay thiết kế các Asset của Game, nên tôi nghĩ mình có thể phối hợp ăn ý với các phòng ban.</t>
  </si>
  <si>
    <t>Ngành Công nghệ thông tin - Chuyên ngành Kỹ thuật phần mềm</t>
  </si>
  <si>
    <t>9.18</t>
  </si>
  <si>
    <t>Tôi đã độc lập phát triển game 2D platform, phụ trách toàn bộ từ việc lập trình hệ thống bằng Unity và C# cho đến thiết kế toàn bộ các Asset. Trong quá trình phát triển, tôi đã tự xây dựng hệ thống quản lý túi đồ bằng cách ứng dụng Scriptable Object để có thể truyền tải mượt mà giữa các Scene, thiết kế logic cho các hành vi  của kẻ địch, tinh chỉnh các hitbox để đảm bảo trải nghiệm và tối ưu hiệu năng bằng cách áp dụng kỹ thuật Object Pooling, giúp game quản lý bộ nhớ hiệu quả và ổn định hơn. Hiện tại, dự án sẽ còn được tiếp tục và mở rộng thêm các tính năng nữa.</t>
  </si>
  <si>
    <t>https://github.com/Pipi1225/Wisp-shooting</t>
  </si>
  <si>
    <t>SUN.STUDIO LinkedIn, Trường đại học</t>
  </si>
  <si>
    <t>Tôi hi vọng là mình có thể cùng làm việc và tích lũy kinh nghiệm với đội ngũ của quý công ty.</t>
  </si>
  <si>
    <t>8m7zov7afg8arzoler8m7zor4fox09xy</t>
  </si>
  <si>
    <t>Tô Duy Hào</t>
  </si>
  <si>
    <t>haoduy0525@student.ptithcm.edu.vn</t>
  </si>
  <si>
    <t>+84848012384</t>
  </si>
  <si>
    <t>Với niềm thích thú game và sự tìm tòi về vị trí Game QA tôi mong muốn được học hỏi nắm rõ quy trình, đóng góp cho team và phát triển vị trí này hoặc có thể phát triển về hướng game developer do tôi cũng đa có kiến thức trong quá trình học. Nhận thấy Sun Studio là một công ty game với môi trường làm việc tốt phù hợp cho người theo mảng game.</t>
  </si>
  <si>
    <t>Game QA (Quality Assurance) không chỉ là người "chơi thử để tìm lỗi", mà là người kiểm soát quy trình đảm bảo chất lượng, ngăn chặn rủi ro từ sớm. Với nền tảng từ ngành học, cả làm game và thiết kế tôi mang đến góc nhìn đa chiều của cả Developer và QA. Nhờ đó, tôi có thể sẽ hiểu sâu hơn về sản phẩm và tối ưu hóa quá trình học hỏi của bản thân</t>
  </si>
  <si>
    <t>PTIT – Học viện Công nghệ Bưu chính Viễn thông</t>
  </si>
  <si>
    <t>Phát triển ứng dụng</t>
  </si>
  <si>
    <t>Vai trò: Game QA và Game Developer (Hỗ trợ). Kết quả: Đạt được mục tiêu đồ án đề ra. Đảm bảo phiên bản nghiệm thu cuối cùng vận hành ổn định, tối ưu tốt hiệu năng, không tồn đọng lỗi nghiêm trọng và truyền tải trọn vẹn thông điệp gameplay đến người chơi.</t>
  </si>
  <si>
    <t>https://github.com/Shunnio/LightOfKindness</t>
  </si>
  <si>
    <t>Đến với chương trình SUN.RISE 2026, tôi rất mong muốn được tham gia thực tập để học hỏi để phát triển trong ngành này nếu có thể tôi muốn đóng góp sức mình cho công ty sau này. Mặc dù CV và GPA của tôi và đang còn chưa được đẹp mắt lắm nhưng tôi nghĩ thái độ và sự nhiệt huyết cũng là một phần nên xem xét.</t>
  </si>
  <si>
    <t>uzdbtixmqoy4gd6plzuzdb5sdal6d0se</t>
  </si>
  <si>
    <t>Trần Thiên Phúc</t>
  </si>
  <si>
    <t>tranthienphuck81@gmail.com</t>
  </si>
  <si>
    <t>+84918393101</t>
  </si>
  <si>
    <t>I chose this Game QA position at SUN.RISER because I’m passionate about games and enjoy finding bugs and improving user experience. I want to contribute to making games more stable and enjoyable</t>
  </si>
  <si>
    <t>I think this role involves testing games and finding bugs. I’m a good fit because I enjoy playing games and paying attention to details.</t>
  </si>
  <si>
    <t>HUFLIT Trường Đại học Ngoại ngữ - Tin học Thành phố Hồ Chí Minh</t>
  </si>
  <si>
    <t>7.05</t>
  </si>
  <si>
    <t>I worked on a Unity game project inspired by a fruit-slicing game. I handled core gameplay mechanics like spawning objects and player input, and the result was a playable prototype</t>
  </si>
  <si>
    <t>https://sweetkingdark.itch.io/clicky-crates</t>
  </si>
  <si>
    <t>jq3ngkfvfpascv4cjq3hx5xsgzcq72iq</t>
  </si>
  <si>
    <t>Nguyễn Hoàng Quân</t>
  </si>
  <si>
    <t>work.nguyenquan@gmail.com</t>
  </si>
  <si>
    <t>+84941149777</t>
  </si>
  <si>
    <t>I am motivated to join the SUN.RISER program because it offers a structured environment to strengthen my skills in strategy and data-driven execution. I want to transition from hands-on experience to a more disciplined, performance-focused approach, while contributing to real business impact and growing in a high-performance setting.</t>
  </si>
  <si>
    <t>This role focuses on driving user acquisition through campaign execution and continuous optimization to achieve measurable growth.
I am a good fit because I have hands-on experience in user acquisition and growth, with a strong focus on data-driven execution. I can analyze user behavior, run and optimize campaigns, and deliver growth outcomes.</t>
  </si>
  <si>
    <t>Digital Marketing</t>
  </si>
  <si>
    <t>8.44/10</t>
  </si>
  <si>
    <t>Co-Founder – Kani
Led partnerships and early growth strategy.
→ Secured $40,000+ in liquidity, onboarded 20 beta users, built a waitlist of 45 users, and pitched at major ecosystem events.
Co-Founder – BlockUni
Built and scaled a blockchain academic community.
→ Grew to 318+ followers and 66 active members, organized 10 AMAs and 2 workshops with ~100 attendees each.
Project Manager – Nomas Wallet
Led marketing strategy and product repositioning.
→ Acquired 22,000+ users and grew 18,000+ followers through campaigns and partnerships.
Research Analyst / Business Analyst – Herond Labs
Conducted market research and supported growth strategy.
→ Identified key partnerships contributing to 1M+ users and supported product development decisions.
Regional Community Manager – Starknet Vietnam
Led ecosystem growth and community development in Vietnam.
→ Scaled to 2,600+ members and 300,000+ engagements, organized 15+ AMAs and 5 workshops, secured ~$500,000 in grants.
Co-Founder – BroGlow AI
Led go-to-market strategy and growth campaigns.
→ Acquired 200+ paying users, grew to 2,000+ followers, and secured 50M VND investment.
Investment Specialist – BlockBase Ventures
Conducted research and evaluated early-stage projects.
→ Built financial models, supported investment decisions, and sourced strategic deal flow.
Social Media Manager – VSPACE Education
Managed content and growth across social platforms.
→ Grew to 70,000+ followers and achieved 1M+ total likes through content strategy and optimization.</t>
  </si>
  <si>
    <t>https://nguyen-hoang-quan-chs7460.gamma.site/</t>
  </si>
  <si>
    <t>I am deeply passionate about technology and how it shapes user behavior and digital experiences. Having worked in fast-evolving environments like blockchain and digital products, I’ve developed a strong interest in building and scaling tech-driven products.
I am particularly excited about the game industry, where user acquisition, engagement, and experience are closely connected. I see this as a space where I can apply my growth mindset and data-driven approach while continuously learning and improving. I am highly motivated to develop my career in the tech and gaming industry and contribute to creating products that reach and impact a large number of users.</t>
  </si>
  <si>
    <t>yi346nh2a7ifg7xxyi34nqo4u307zwnl</t>
  </si>
  <si>
    <t>Phạm Nam Huyên</t>
  </si>
  <si>
    <t>itsmenamhuyen@gmail.com</t>
  </si>
  <si>
    <t>+84823578106</t>
  </si>
  <si>
    <t>I chose this company because: 
1. a clear, structured role description, aligning well with my interest in AI systems and workflow automation. 
2. the opportunity to work on practical AI applications that integrate with real-world business processes matches my goal of becoming an AI engineer with strong software and system thinking</t>
  </si>
  <si>
    <t>I believe I’m a good fit for this role as my background aligns with the AI and system-oriented requirements, and I can quickly learn and adapt to bridge my current lack of experience as a student.</t>
  </si>
  <si>
    <t>ComputerVision</t>
  </si>
  <si>
    <t>7.95</t>
  </si>
  <si>
    <t>Developed a Unity-based game inspired by Vietnamese culture (“Ông Táo Về Trời”), applying data structures and algorithms to optimize object behaviors</t>
  </si>
  <si>
    <t>https://github.com/CallmeAndree/UnityGame-AIProject</t>
  </si>
  <si>
    <t>I’m eager to contribute, learn quickly, and turn real problems into practical AI solutions that bring value to your team.</t>
  </si>
  <si>
    <t>3r5v9eajevcdwmjdf9vxv3r5v9eai0c2</t>
  </si>
  <si>
    <t>Lê Thanh Hải</t>
  </si>
  <si>
    <t>lethanhhai177@gmail.com</t>
  </si>
  <si>
    <t>+84935239709</t>
  </si>
  <si>
    <t>Em chọn SUN.RISER vì có đam mê với ngành game và định hướng ứng dụng AI để giải quyết vấn đề tự động hóa trong thực tế. 
Đây là cơ hội để em học hỏi cách vận hành AI trong thực tế, đồng thời dùng nền tảng sẵn có để cùng team xây dựng các công cụ giúp tối ưu quy trình và rút ngắn thời gian sản xuất cho công ty.</t>
  </si>
  <si>
    <t>Em hiểu vị trí này tập trung vào việc phân tích workflow và triển khai các giải pháp AI Automation. Em tin mình là mảnh ghép phù hợp nhờ nền tảng NLP cùng kinh nghiệm thực tế qua các đồ án AI với RAG, Fine-tuning hay Prompt Engineering. Những kỹ năng này là cơ sở để em xây dựng các pipeline tự động hóa để tối ưu hóa quy trình vận hành cho công ty.</t>
  </si>
  <si>
    <t>8.13</t>
  </si>
  <si>
    <t>Trong đồ án ABSA, em đảm nhiệm thiết kế pipeline dữ liệu và fine-tuning LLM Qwen3. Sử dụng prompt engineering và fine-tuning để trích xuất dữ liệu JSON, giúp tự động phân loại cảm xúc dựa trên review các sản phẩm công nghệ, giúp người dụng dễ dàng hơn trong việc lựa chọn sản phẩm. Đồ án trên vẫn đang được thực hiện và đang trong quá trình hoàn thiện cuối.
Trong dự án Vietnamese text-to-speech on local mobile, em phụ trách xây dựng pipeline dữ liệu và fine-tune mô hình Piper TTS tiếng Việt. Kết quả là tối ưu và triển khai mô hình chạy trên ứng dụng Android.</t>
  </si>
  <si>
    <t>https://github.com/JuzHarii/tts-on-local-mobile-device</t>
  </si>
  <si>
    <t>Em rất hy vọng sẽ có cơ hội được trở thành một phần của SUN.STUDIO trong kỳ thực tập tới. Em mong muốn được học hỏi từ các anh chị đi trước, trải nghiệm môi trường làm việc thực tế và dùng hết khả năng của mình để cùng team xây dựng những giải pháp tốt nhất. Cảm ơn ban tuyển dụng đã dành thời gian xem xét hồ sơ của em.</t>
  </si>
  <si>
    <t>ifbklc3ug3z8y39ypifbklcgy2h9zvbo</t>
  </si>
  <si>
    <t>Nguyễn Thành Khang</t>
  </si>
  <si>
    <t>thanhkhang346@gmail.com</t>
  </si>
  <si>
    <t>+84923250852</t>
  </si>
  <si>
    <t>Em chọn SUN.RISER vì 2 lý do:
- Chuyên ngành Hệ thống thông tin rèn cho em tư duy logic nhạy bén. Em đam mê rà soát luồng quy trình và tìm lỗi (edge cases) để đảm bảo chất lượng.
- Môi trường làm việc dưới sự chỉ dẫn của Mentor sẽ giúp em học hỏi, cải thiện thêm nhiều kĩ năng, kiến thức bổ ích.</t>
  </si>
  <si>
    <t>- Em nghĩ vị trí này sẽ giúp đảm bảo chất lượng game thông qua các test, tìm ra và báo cáo các bug đến Dev/Designer để tối ưu trải nghiệm người chơi.
- Nền tảng Hệ thống thông tin rèn cho em tư duy logic và sự tỉ mỉ. Kỹ năng phân tích luồng quy trình (UML/DB) giúp em đọc hiểu Spec nhanh, viết Test case chặt chẽ và dễ dàng khoanh vùng các lỗi logic.</t>
  </si>
  <si>
    <t>8.56</t>
  </si>
  <si>
    <t>https://vnshort.com/cw9u, https://vnshort.com/Dg9x, https://vnshort.com/YkSg</t>
  </si>
  <si>
    <t>Bạn học</t>
  </si>
  <si>
    <t>Dù chưa có kinh nghiệm làm đồ án trực tiếp về Game và nền tảng Mobile, nhưng em đã có nền tảng tốt về phân tích logic và kiểm thử hệ thống phần mềm. Em mang đến SUN.STUDIO một tinh thần nhiệt huyết, không ngại cái mới và vô cùng khao khát được học hỏi nghiệp vụ từ các anh chị đi trước. Em rất hy vọng công ty sẽ xem xét và cho em một cơ hội để chứng minh năng lực của mình.</t>
  </si>
  <si>
    <t>bg04gbw08ahrtbg045xbnsqc27fx1dhx</t>
  </si>
  <si>
    <t>TRƯƠNG QUANG HUY</t>
  </si>
  <si>
    <t>qnnghi120305@gmail.com</t>
  </si>
  <si>
    <t>+84965308445</t>
  </si>
  <si>
    <t>I chose this position because it perfectly aligns with my interests in AI and data. I want to work on real-world problems, such as building RAG systems or AI agents, not just focusing on theory. Additionally, I find SUN.RISER to be an environment that allows me to learn quickly and develop into an AI Engineer in a short period of time.</t>
  </si>
  <si>
    <t>I think this role involves building and improving AI/data systems and solving real-world problems. I’m a good fit because I have hands-on experience with AI projects and can learn and apply new technologies quickly.</t>
  </si>
  <si>
    <t>8.6</t>
  </si>
  <si>
    <t>I participated in a hackathon where I worked as a Backend + AI Developer. My responsibilities included building APIs, handling data processing, and integrating AI models into the system. The project successfully delivered a working prototype within a limited timeframe, demonstrating core functionalities and real-world applicability</t>
  </si>
  <si>
    <t>https://github.com/huyquangtruong05/AISawsn-RAG-ChatBot.git</t>
  </si>
  <si>
    <t>I’m really excited about the opportunity to contribute to SUN.STUDIO. I hope to apply my Backend and AI experience to build impactful and scalable products, while also learning from a talented team. I’m especially interested in creating solutions that combine technology and creativity, and I believe SUN.STUDIO is a great environment for that.</t>
  </si>
  <si>
    <t>09k5wzcusjyrta8o0kaq7nqr09k5wzcu</t>
  </si>
  <si>
    <t>Từ Thế Phong</t>
  </si>
  <si>
    <t>tuthephong4629@gmail.com</t>
  </si>
  <si>
    <t>+84365691421</t>
  </si>
  <si>
    <t>Em biết đến SUN STUDIO và chương trình SUN.RISER qua chương trình thực tập thực tế của trường HCMUS. Là 1 sinh viên có đam mê với AI và hiểu rõ tầm quan trọng của AI và Data, em luôn khao khát được tìm hiểu và được tận tay thực hiện những dự án thực tế, áp dụng các kiến thức em đã được học vào dự án.</t>
  </si>
  <si>
    <t>1 AI Engineer có thể có nhiều vai trò khác nhau: tích hợp các mô hình vào các ứng dụng, thu thập và tiền xử lý các dữ liệu để huấn luyện và tối ưu mô hình trên môi trường ứng dụng thực tế. Em tự tin với các kỹ năng đã được học sẽ có thể làm tốt các công việc trên.</t>
  </si>
  <si>
    <t>Công nghệ tri thức - định hướng Xử lý ngôn ngữ tự nhiên (NLP)</t>
  </si>
  <si>
    <t>7.52</t>
  </si>
  <si>
    <t>Em đã từng làm: Tech Leader trong 1 số dự án - lên kế hoạch cho phần Technical của đồ án (các mô hình cần triển khai, phân chia công việc cho các bạn), Data Engineer (thu thập và xử lý dữ liệu trước khi huấn luyện mô hình), NLP Engineer (triển khai các mô hình ngôn ngữ từ ML-based (TF-IDF + LR), DL-based (BiLSTM), Transformer-based (PhoBERT, XLM-RoBERTa, FinBERT) và cả Backend Developer cho đồ án Software (triển khai Node.js và Express.js)</t>
  </si>
  <si>
    <t>Github cá nhân: https://github.com/hiIamShiba, dự án cá nhân: https://github.com/hiIamShiba/YLE-FAQ-RAG,  https://github.com/hiIamShiba/English-Vietnamese-Parallel-Sense-Tagger</t>
  </si>
  <si>
    <t>Em rất hi vọng được trở thành 1 phần của SUN.STUDIO, giúp cho SUN càng ngày càng phát triển hơn.
Cảm ơn SUN.STUDIO đã đem lại 1 cơ hội rất lớn cho em.</t>
  </si>
  <si>
    <t>zeu4id37awlrtalr6gzeu4id30bsyia5</t>
  </si>
  <si>
    <t>Nguyễn Vũ Tường Vy</t>
  </si>
  <si>
    <t>nguyenvutuongvy7@gmail.com</t>
  </si>
  <si>
    <t>+84987002527</t>
  </si>
  <si>
    <t>Em chọn vị trí HR Intern vì hiện tại em có định hướng phát triển trong mảng Talent Acquisition và mong muốn được trải nghiệm thêm ở L&amp;D để hiểu sâu hơn về các hoạt động nhân sự. Ngoài ra, scope of work của vị trí cho em thấy cơ hội được học hỏi đa dạng các vai trò trong HR function.</t>
  </si>
  <si>
    <t>Dựa trên JD em thấy vị trí hiện tại là sự kết hợp giữa TA, L&amp;D và Admin. Em nghĩ vị trì phù hợp với em vì em đã có nền tảng một ít về các công việc admin và tuyển dụng. Ngoài ra em còn là người chủ động trong việc học hỏi nên em nghĩ mình sẽ thích nghi tốt ở các hoạt động khác trong vị trí này.</t>
  </si>
  <si>
    <t>Xã hội học</t>
  </si>
  <si>
    <t>Em từng làm intern vị trí Business Support (full-time) tại Manpower. Vai trò chính của em là hỗ trợ các công việc admin như hợp đồng, format CV cho các anh chị Consultant. Kết quả: Trung bình 1 ngày em phải giải quyết 20 CV và 2-3 hợp đồng trong 1 tuần.
Ngoài ra, em còn làm CTV Tuyển dụng (freelance) tại SAPO. Công việc chính là tạo content, post job và sourcing các ỨV trên các trang MXH (facebook, threads). Kết quả: Trong 5 tháng làm em thu thập được 6 CVs, trong đó có 2 CVs vào vòng interview và  1 ỨV có offer.</t>
  </si>
  <si>
    <t>Kinh nghiệm đã đính kèm trong CV</t>
  </si>
  <si>
    <t>Em mong sẽ có cơ hội được trao đổi trực tiếp với công ty về hồ sơ của bản thân và hy vọng SUN.STUDIO sẽ có một mùa internship thật thành công ạ.</t>
  </si>
  <si>
    <t>0edam13uywiwwlqs25iwu0edascxrenf</t>
  </si>
  <si>
    <t>Trần Thị Minh Vi</t>
  </si>
  <si>
    <t>ttmv1112@gmail.com</t>
  </si>
  <si>
    <t>+84796514476</t>
  </si>
  <si>
    <t>I'm passionate about playing games and designing one myself. An opportunity to be a part of the SUN.RISER Internship Program can provide me good space to grow and develop my game design skills better.</t>
  </si>
  <si>
    <t>As a Game Designer, I believe I'd not only design game mechanics and gameplay experience, but also refining and balancing them so as to provide the best possible experience for players. It's also necessary to document all my work into a Game Design Document in order to communicate my ideas with other Game Designers and team members.</t>
  </si>
  <si>
    <t>Game Design</t>
  </si>
  <si>
    <t>3.1</t>
  </si>
  <si>
    <t>In individual projects, I played as both the game designer and developer, and worked out playable prototypes from 1 week to 1 month.
In collaborative projects, I mostly contributed to the team as a lead game developer and QA tester, and published small playable games on itch.io from 1 month to 3 months.</t>
  </si>
  <si>
    <t>https://labeurre.itch.io/</t>
  </si>
  <si>
    <t>fkxkzna0ea1z3n47kyqtfkxkz3dmlwln</t>
  </si>
  <si>
    <t>Nguyễn Phúc Nhân</t>
  </si>
  <si>
    <t>nhan.nguyen2005phuyen@hcmut.edu.vn</t>
  </si>
  <si>
    <t>+84816283456</t>
  </si>
  <si>
    <t>Em muốn ứng dụng thế mạnh về AI và Dữ liệu để tối ưu hóa trải nghiệm người chơi. Quy mô lớn cùng môi trường năng động tại SUN.STUDIO chính là nơi lý tưởng để em thử thách bản thân và phát triển lâu dài.</t>
  </si>
  <si>
    <t>Em nghĩ vị trí này sẽ tập trung vào việc nghiên cứu và tích hợp các mô hình AI để tối ưu hóa tính năng game, tự động hóa quy trình hoặc cá nhân hóa trải nghiệm người chơi. Em tin mình phù hợp vì sở hữu nền tảng vững chắc, có kinh nghiệm thực chiến phát triển các hệ thống AI tiên tiến và khả năng học hỏi nhanh các công nghệ mới</t>
  </si>
  <si>
    <t>8.44</t>
  </si>
  <si>
    <t>Em từng phát triển các dự án cá nhân viết Bot AI thi đấu trên nền tảng CodinGame và đạt được một số kết quả:
- Ứng dụng C++ và thuật toán Minimax (Alpha-beta pruning) để giải quyết bài toán Ultimate Tic-Tac-Toe, đạt hạng Gold.
- Lập trình Bot Python xử lý đồ thị để ra quyết định trong game Ghost in the Cell, xếp hạng 14 toàn cầu ở Gold League.
- Tính toán quỹ đạo vật lý bằng Java cho game Mad Pod Racing, đạt hạng Silver.
Kinh nghiệm này giúp em nắm được cách tích hợp AI và Dữ liệu vào giải quyết các tình huống vận hành game thực tế.</t>
  </si>
  <si>
    <t>https://www.codingame.com/certification/ynuRgEvfKb6dEnoGjG6xzg</t>
  </si>
  <si>
    <t>Em rất thích chơi game và cũng đam mê làm mảng AI/Dữ liệu nữa. Em hy vọng mùa hè này có cơ hội thực tập ở SUN.STUDIO để được tận mắt thấy một tựa game thực tế vận hành ra sao, và được làm thật, học thật từ các anh chị đi trước</t>
  </si>
  <si>
    <t>s1hx5fupdls7ukvwbdhs1hx5q8ixo5j7</t>
  </si>
  <si>
    <t>Mai Xuân Hưng</t>
  </si>
  <si>
    <t>xmaihung13@gmail.com</t>
  </si>
  <si>
    <t>+84943052453</t>
  </si>
  <si>
    <t>My motivation is the satisfaction of building—the logic, the flow, and that moment when systems combine and just work. I’m choosing SUN.RISER to move beyond solo projects and gain hands-on experience at a professional scale, learning to ship games for millions of users.</t>
  </si>
  <si>
    <t>This role involves building 2D casual games, from core gameplay to UI and optimization. As an HCMUS student with Game Jam experience, I am a great fit because I value clean logic. I find satisfaction in building robust, scalable systems that integrate seamlessly for millions of players</t>
  </si>
  <si>
    <t>Software Engineering</t>
  </si>
  <si>
    <t>8.29</t>
  </si>
  <si>
    <t>- EcoBub (Global Game Jam 2025): I handled UI integration, audio design, and the market news-feed logic using Godot Signals. Our team successfully shipped a functioning market simulator within the 36-hour deadline.
- Pikachu Matching Game (Coursework): Serving as the sole developer, I built the game from scratch using C++ and Raylib. I implemented core systems including sprite rendering, state management, and a custom pathfinding algorithm for tile matching.
Outcome: Both projects resulted in stable, robust products, reinforcing my passion for building efficient systems where complex logic and states integrate seamlessly.</t>
  </si>
  <si>
    <t>https://dreckiez.github.io/</t>
  </si>
  <si>
    <t>yu7mz2ldnx8xnnkqyudh1pkmm7pylive</t>
  </si>
  <si>
    <t>Dương Khánh Nguyên</t>
  </si>
  <si>
    <t>nd2004lk13@gmail.com</t>
  </si>
  <si>
    <t>+84799722822</t>
  </si>
  <si>
    <t>I chose this position because I want to improve myself and grow as a Unity developer. I enjoy working on casual and puzzle games, so I feel this role at SUN.RISER matches well with my interests and what I’ve been learning so far. I’m really hoping to gain more experience and I’m willing to learn and do my best if given the chance.</t>
  </si>
  <si>
    <t>I believe I’m a good fit because I have experience building 2D Unity games and understand the basics of gameplay and UI. I may not be the best, but I’m willing to work hard, learn quickly and keep improving.</t>
  </si>
  <si>
    <t>I completed a Unity Developer internship where I implemented gameplay features and UI systems. I was responsible for developing and delivering assigned tasks, contributing to the completion and improvement of multiple systems in a 2D mobile game project.</t>
  </si>
  <si>
    <t>https://portfolio.nguyendk.me/</t>
  </si>
  <si>
    <t>Thank you for considering my application. I’m excited to apply for SUN.RISER and learn from SUN.STUDIO. I really hope to have the opportunity to learn and work with the team, improve my Unity skills and contribute to the development of fun and accessible casual games.</t>
  </si>
  <si>
    <t>5j2o835u9c8zite6q65j28kuhkz1vix5</t>
  </si>
  <si>
    <t>Lê Quốc Anh</t>
  </si>
  <si>
    <t>anhle1712005@gmail.com</t>
  </si>
  <si>
    <t>+84942557281</t>
  </si>
  <si>
    <t>Game và AI là hai đam mê không thể thiếu của em và vị trí AI Engineering Intern này sẽ giúp em khởi đầu đưa đam mê vào công việc của mình.</t>
  </si>
  <si>
    <t>Theo em vị trí AI Engineering sẽ được tham gia xây dựng các hệ thống AI phổ biến như bây giờ như RAG, n8n automation hoặc ứng dụng AI vào làm game. Em nghĩ mình phù hợp vì background của em về AI khá tốt, đồng thời có kiến thức về Software Engineer cũng như có tư duy logic thuật toán tốt.</t>
  </si>
  <si>
    <t>9.4 (Chỉ xét chuyên ngành KHMT)</t>
  </si>
  <si>
    <t>Đây là một game unity nhỏ để chuẩn bị cho hội trại THPT dựa theo game khủng long trên trình duyệt.</t>
  </si>
  <si>
    <t>Link tải game: https://drive.google.com/file/d/1oUh4t1s9FG6_NjWaEdMXfqf0lf-53TsZ/view?usp=sharing</t>
  </si>
  <si>
    <t>Em tin rằng mới năng lực và sự cố gắng của em thì vị trí AI Engineering này sẽ phù hợp với em. Ngoài ra, em muốn Studio là nơi đầu tiên em được làm với đam mê và xây dựng ước mơ đánh bại VNG vào một ngày nào đó trong tương lai. "Đánh bại" ở đây không phải là chiến thắng về mặt kinh tế mà là chiến thắng về triết lý làm game. Em mong muốn game Việt sẽ có những thành tựu mới như Hollow Knight, Silk Song hay kể cả là Expedition 33. Em xin cảm ơn.</t>
  </si>
  <si>
    <t>e2godtetw1zop8e1rxe2god4oxgz0u6m</t>
  </si>
  <si>
    <t>Nguyễn Minh Trí</t>
  </si>
  <si>
    <t>tri21723@gmail.com</t>
  </si>
  <si>
    <t>+84924165845</t>
  </si>
  <si>
    <t>Mình nghĩ SUN.RISER là môi trường rất phù hợp để mình phát triển cả về kỹ năng chuyên môn lẫn định hướng nghề nghiệp. Đặc biệt, chương trình có liên quan đến lĩnh vực Game Development – một lĩnh vực mà mình rất hứng thú và muốn theo đuổi lâu dài.
Mình mong muốn được tham gia vào các dự án thực tế, học hỏi từ các anh/chị có kinh nghiệm đi trước.</t>
  </si>
  <si>
    <t>Mình hiểu vị trí này sẽ tập trung vào việc tìm ra các bước thủ công hoặc chưa tối ưu và áp dụng AI để cải thiện hiệu suất. Công việc cũng bao gồm thiết kế prompt, xây dựng AI pipeline/agent và hỗ trợ các công cụ nội bộ như chatbot, hệ thống tra cứu. Mình nghĩ mình phù hợp vì có tư duy logic, hiểu các hiểu các khái niệm và đặc biệt hứng thú với LLM.</t>
  </si>
  <si>
    <t>8.57</t>
  </si>
  <si>
    <t>https://github.com/tri21723</t>
  </si>
  <si>
    <t>ik6ajd46h69t4qgnriik6ajdsqdodl8l</t>
  </si>
  <si>
    <t>Trần Khôn Chí</t>
  </si>
  <si>
    <t>chitrankhon@gmail.com</t>
  </si>
  <si>
    <t>+84825568788</t>
  </si>
  <si>
    <t>Em là một người có đam mê lớn đối với ngành công nghiệp game, em đã trải nghiệm nhiều tựa game bao gồm cả dòng game casual và em cũng thường xuyên theo dõi tin tức về lĩnh vực này.
Em đã luôn muốn được góp phần vào thực hiện phát triển game và đó cũng là lí do chính mà em chọn theo học chuyên ngành kỹ thuật phần mềm.</t>
  </si>
  <si>
    <t>Theo em, vị trí này bao gồm lập trình logic game, xây dựng UI/UX, tích hợp các tài nguyên (hình ảnh, âm thanh, hiệu ứng) vào game và tối ưu hóa game.
Em nghĩ mình phù hợp vì em luôn sẵn sàng học hỏi, có nền tảng vững chắc trong việc xây dựng phần mềm, từng xây dựng 1 tựa game casual (nối ô pikachu) bằng C++ thuần, có niềm đam mê với game.</t>
  </si>
  <si>
    <t>8.76</t>
  </si>
  <si>
    <t>Em lập trình cho xử lý UI, menu, xây dựng cấu trúc dữ liệu và bảng highscore. Dự án thành công và tựa game đã hoàn thành ở mức prototype chơi được với các tính năng chính (shuffling, matching, score, time-limit)</t>
  </si>
  <si>
    <t>https://github.com/Chisgamble/pokemon</t>
  </si>
  <si>
    <t>Tuy em chưa có nhiều kinh nghiệm trong việc lập trình Unity nhưng em sẽ cố gắng học hỏi liên tục để không chỉ bắt kịp với nhịp độ của studio mà còn để góp phần tạo nên các tựa game thực sự hoàn chỉnh cũng như theo đuổi đam mê của mình.</t>
  </si>
  <si>
    <t>9usexs0ao2psfxcmfnl9usexni3ee28y</t>
  </si>
  <si>
    <t>Hà Tuấn Anh</t>
  </si>
  <si>
    <t>tuananhha1710@gmail.com</t>
  </si>
  <si>
    <t>+84396498920</t>
  </si>
  <si>
    <t>Lý do lớn nhất khiến em chọn vị trí này tại SUN.RISER là vì em muốn học hỏi và thực hành cách đưa AI vào trong game. m muốn học cách ứng dụng các kỹ thuật như LLMs để xử lý hội thoại tự nhiên và Utility AI để NPC tự ra quyết định dựa trên môi trường. Em tin rằng tại một môi trường chuyên nghiệp như SUN.RISER, em sẽ học được nhiều thứ ạ.</t>
  </si>
  <si>
    <t>Tìm hiểu các model LLM cách tích hợp đưa vào các đoạn hội thoại trong game. 
Xử dụng model CV để tạo ra các hình ảnh 3D</t>
  </si>
  <si>
    <t>8.27</t>
  </si>
  <si>
    <t>Em hiện tại đang nghiên cứu khoa học về 1 vấn đề sử dụng Generative AI ở bên mảng music giúp tách âm thanh trong bài nhạc ra riêng lẻ. Em đóng vai trò là người viết và chạy proposal model, cũng như là đồng tác giả của paper đó. Hiện tại paper của  em đã được trường chấp nhận và hỗ trợ phát triển paper</t>
  </si>
  <si>
    <t>Vì paper đang trong quá trình hoàn thành nên em không thể công khai ạ</t>
  </si>
  <si>
    <t>Em muốn chia sẻ rằng em đến với SUN.STUDIO không chỉ để tìm một công việc, mà là để tìm một nơi có thể biến những dòng code AI khô khan thành những trải nghiệm sống động. Em có một sự 'ám ảnh' tích cực với các chi tiết đời thực trong game và sự phản ứng của NPC. Em cam kết sẽ mang sự tò mò và khả năng tự học của mình để cùng team giải quyết bài toán tối ưu hóa hàng ngàn phản ứng của nhân vật bằng công nghệ, giúp studio giảm bớt khối lượng công việc thủ công mà vẫn nâng tầm chất lượng sản phẩm.</t>
  </si>
  <si>
    <t>ld1e7jjjyg42o2ct770xld1e7r1m9kx2</t>
  </si>
  <si>
    <t>Nguyễn Trần Phúc Đạt</t>
  </si>
  <si>
    <t>Phucdat2005@gmail.com</t>
  </si>
  <si>
    <t>+84919492020</t>
  </si>
  <si>
    <t>Điều khiến tôi chọn vị trí thực tập sinh phân tích dữ liệu ở SUN.RISER là tôi có thể phát triển kỹ năng trong công việc và kỹ năng mềm.</t>
  </si>
  <si>
    <t>Vị trí thực tập sinh phân tích dữ liệu sẽ thu thập và phân tích dữ liệu và đưa ra kết quả phân tích.Tôi phù hợp với vị trí này là vì tôi muốn được làm việc với dữ liệu.</t>
  </si>
  <si>
    <t>Công nghệ dữ liệu</t>
  </si>
  <si>
    <t>7.07</t>
  </si>
  <si>
    <t>Không có ạ.</t>
  </si>
  <si>
    <t>Dạ không có ạ</t>
  </si>
  <si>
    <t>TopCV, Ybox</t>
  </si>
  <si>
    <t>Chúc SUN.STUDIO sẽ càng ngày càng phát triển ạ!</t>
  </si>
  <si>
    <t>thqpomucyc9ipushthqpohhld3xtluv6</t>
  </si>
  <si>
    <t>Dương Văn Thắng</t>
  </si>
  <si>
    <t>dthangcopy@gmail.com</t>
  </si>
  <si>
    <t>+84967660861</t>
  </si>
  <si>
    <t>tôi có kĩ năng phù hợp với vị trí</t>
  </si>
  <si>
    <t>vị trí này làm kiểm thử và kiểm tra, vì có nền tảng nên thấy phù hợp</t>
  </si>
  <si>
    <t>vai trò là backend dev, pentest, devops. kết quả dự án là đáp ứng  yêu cầu dự án</t>
  </si>
  <si>
    <t>github.com/ptg14</t>
  </si>
  <si>
    <t>yfmy0u70tkz48j2uyfmy0ynug9lbnp0e</t>
  </si>
  <si>
    <t>Võ Nguyễn Thảo Uyên</t>
  </si>
  <si>
    <t>vonguyenthaouyen2201@gmail.com</t>
  </si>
  <si>
    <t>+84364712980</t>
  </si>
  <si>
    <t>I am motivated to apply for the AI Intern position at SUN.RISER because it aligns with my interest in applying AI to real-world products. I am also interested in exploring how these AI techniques can be applied to game development, such as analyzing player data or building internal tools. I see this as a great chance to grow my skills.</t>
  </si>
  <si>
    <t>I think this role involves researching and experimenting with AI applications to support game development and internal workflows like analyzing player data, optimizing development processes, and building automation tools. I am a good fit because I've done AI projects that trained me to work with data, APIs and improve model performance.</t>
  </si>
  <si>
    <t>8.47</t>
  </si>
  <si>
    <t>I don’t have any experience yet.</t>
  </si>
  <si>
    <t>https://github.com/vn-thaouyen</t>
  </si>
  <si>
    <t>I am highly interested in applying AI to real-world products and would love the opportunity to learn and contribute at SUN.STUDIO. I am eager to experiment, build practical AI solutions, and grow in a collaborative environment.</t>
  </si>
  <si>
    <t>m9kd2m4h5or2i0qujc7m9kd2muif7vpj</t>
  </si>
  <si>
    <t>Nguyễn Thanh Owen</t>
  </si>
  <si>
    <t>thanhowen2005@gmail.com</t>
  </si>
  <si>
    <t>+84909626746</t>
  </si>
  <si>
    <t>Với xu hướng phát triển của AI ngày nay thì mình rất quan tâm về chủ đề ứng dụng AI trong các tác vụ hằng ngày. Với chương trình thực tập này của SUN.RISER, mình rất mong muốn được tham gia để học hỏi được các kinh nghiệm, quy trình làm việc thực tế cũng như mong muốn có những đóng góp vào công ty.</t>
  </si>
  <si>
    <t>Theo mình thì vị trí AI Engineer Intern ở SUN.RISER sẽ tập trung vào việc dùng AI để tối ưu và tự động hóa các quy trình trong công ty bằng cách sử dụng AI kết hợp với Prompt Engineer. 
Mặc dù chưa có kinh nghiệm thực tế nhưng với nền tảng về data science cũng như đã từng làm project đơn giản về học máy, mình nghĩ mình sẽ phù hợp với vị trí này.</t>
  </si>
  <si>
    <t>8.73</t>
  </si>
  <si>
    <t>- Xây dựng matching game với các level khác nhau bằng C++ (Role: Dev)
- Xây dựng Pacman game trong đó áp dụng các thuật toán search khác nhau cho các Ghosts (Role: Dev + Leader)
- Dự đoán doanh thu bán hàng bằng Linear Regression. Tập trung vào EDA, preprocessing và so sánh các phương pháp scaling khác nhau, sau đó deploy model bằng Streamlit để có thể tương tác trực tiếp.
- Dự đoán thu nhập của một người (trên hoặc dưới 50K/năm) trên tập dữ liệu Adult Census Income. Thực hiện xử lý dữ liệu, phân tích khám phá (EDA), sau đó xây dựng và so sánh hai mô hình Logistic Regression và Random Forest. Đồng thời kiểm tra sự mất cân bằng và bias giữa các nhóm nhân khẩu học để đánh giá ảnh hưởng của dữ liệu đến kết quả dự đoán.
- Sử dụng streamlit để xây dựng Dashboard khảo sát điểm thi THPT Quốc gia qua các năm (2020-2024)</t>
  </si>
  <si>
    <t>https://github.com/thanhowen2005/Projects-at-University.git</t>
  </si>
  <si>
    <t>Rất mong có cơ hội được tham gia SUN.STUDIO thông qua chương trình SUN.RISER để học hỏi và đóng góp trong môi trường thực tế.</t>
  </si>
  <si>
    <t>04oc3l3nttgtzdnwo5e04oc3l3oh1jrt</t>
  </si>
  <si>
    <t>THÁI HỮU THỌ</t>
  </si>
  <si>
    <t>huutho1412ak@gmail.com</t>
  </si>
  <si>
    <t>+84339432608</t>
  </si>
  <si>
    <t>Em muốn phát triển theo hướng Data Analyst, và em đang xây dựng nền tảng về xử lý dữ liệu, phân tích và mô hình hóa. Em thấy chương trình Sun.Riser không chỉ là thực tập mà còn có lộ trình đào tạo rõ ràng, rất phù hợp để em chuyển từ mức học thuật sang môi trường thực tế.</t>
  </si>
  <si>
    <t>Theo em, vị trí Data Analysis Intern tại chương trình Sun.Riser sẽ làm:
Xử lý và phân tích dữ liệu: làm sạch dữ liệu, EDA, tìm pattern và insight từ dữ liệu.Hỗ trợ business: chuyển các yêu cầu từ team product/marketing thành bài toán dữ liệu để đưa vào dashboard để theo dõi. Trực quan hoá và báo cáo.</t>
  </si>
  <si>
    <t>7.27</t>
  </si>
  <si>
    <t>Trước đây em có cùng tham gia startup với vai trò là Business Analysis</t>
  </si>
  <si>
    <t>https://ftes.vn/vi</t>
  </si>
  <si>
    <t>Em thực sự nghiêm túc với định hướng Data Analyst và mong muốn được phát triển lâu dài trong lĩnh vực này.
Em không chỉ tìm một kỳ thực tập, mà tìm một môi trường mà em có thể học cách giải quyết bài toán thực tế, hiểu cách dữ liệu tạo ra giá trị cho sản phẩm và business.
Em sẵn sàng nhận những task từ cơ bản đến khó, và em nghĩ điểm mạnh của mình là khả năng tự học nhanh và chủ động cải thiện khi chưa làm tốt.
Nếu được nhận, em sẽ cố gắng không chỉ hoàn thành task mà còn hiểu sâu vấn đề để có thể đóng góp tốt hơn cho team.</t>
  </si>
  <si>
    <t>a77zv16y7jr4xr39ey6a77zv1kjesupo</t>
  </si>
  <si>
    <t>Huỳnh Tuấn Phong</t>
  </si>
  <si>
    <t>tuanphongwithau@gmail.com</t>
  </si>
  <si>
    <t>+84378099887</t>
  </si>
  <si>
    <t>Em chọn vị trí Unity Developer Intern tại SUN.RISER vì đây là môi trường phù hợp để em phát triển thế mạnh về computer graphics và real-time rendering. Em mong muốn được áp dụng kiến thức đó vào sản phẩm thực tế, học hỏi quy trình chuyên nghiệp và nâng cao kỹ năng xây dựng game với trải nghiệm mượt mà và cuốn hút.</t>
  </si>
  <si>
    <t>Vị trí Unity Developer Intern sẽ tập trung vào phát triển và hoàn thiện gameplay cho các game casual, bao gồm triển khai tính năng, chỉnh sửa cơ chế chơi, xử lý UI/UX, sửa lỗi và tối ưu để game chạy mượt trên nhiều thiết bị. Em phù hợp với vị trí này nhờ nền tảng về computer graphics cùng tư duy tối ưu hiệu năng hữu ích cho thiết bị di động.</t>
  </si>
  <si>
    <t>Công nghệ Thông tin (Chuyên ngành Thị giác máy tính &amp; Điều khiển học thông minh)</t>
  </si>
  <si>
    <t>8.66</t>
  </si>
  <si>
    <t>Em đã làm game cờ thú trên nên web (html/js/css) là project cuối môn AI. Thì trong đó em đã thiết kế giao diện và thuật toán cho AI của game bằng thuật toán Iterative Deepening Alpha-Beta trong vòng 2 tuần. Project này là hoàn toàn from scratch không xài thư viện gì cả, hình ảnh và âm thanh đều do team members làm ra. Kết quả là nhóm em đạt 10/10 vì viết from scratch game có thể chơi trên trình duyệt điện thoại không như các nhóm khác dùng game engine build lên web load rất lâu. Có thể chơi tại đây: 
https://htuanphong.github.io/Animal-Chess/
Ngoài ra vừa rồi em cũng mới viết solo 1 game trên web (html/js/css) trong vòng 24h làm project cuối môn đồ họa ứng dụng. Thì trong đó em đã dùng lại thư viện matter.js, katex để làm một game dựa trên game Suika giúp người chơi hiểu thêm về các hình học đa giác do khi hover lên các hình học, người chơi sẽ thấy công thức toán học và fun fact về các hình học này. Có thể chơi tại đây:
https://htuanphong.github.io/Euclidean-tessellation-game/
Ngoài ra cũng liên quan đến game thì em đã làm một demo trên  engine roblox về inverse kinematic và root motion cho hình người. Ở thời điểm này là chưa có ai làm vậy trên cái engine này vì phải viết from scratch rất nhiều thứ nên mục comment hầu hết rất là bất ngờ:
https://www.youtube.com/watch?v=T1pwFHTb3Ao</t>
  </si>
  <si>
    <t>https://github.com/HTuanPhong , https://github.com/HTuanPhong/Euclidean-tessellation-game , https://github.com/HTuanPhong/Animal-Chess</t>
  </si>
  <si>
    <t>Em rất mong có cơ hội được học hỏi và đóng góp tại SUN.STUDIO.</t>
  </si>
  <si>
    <t>0bdf8r6wukwt11cj6if0bdf8mqh8xpcg</t>
  </si>
  <si>
    <t>Trầm Hữu Nhân</t>
  </si>
  <si>
    <t>huunhan2005@gmail.com</t>
  </si>
  <si>
    <t>+84559517421</t>
  </si>
  <si>
    <t>Với nền tảng về lĩnh vực khoa học dữ liệu mà bản thân đang theo học và mong muốn sẽ phát triển theo sự nghiệp liên quan về data &amp; AI. Vì vậy, nếu có được vị trí trong SUN.RISER sẽ là một cơ hội để giúp em có thêm trải nghiệm, học hỏi và được thực hành trong môi trường thực tế về lĩnh vực mà bản thân đang theo đuổi.</t>
  </si>
  <si>
    <t>Về các vị trí đã ứng tuyển, em nghĩ các vị trí sẽ mang lại cho bản thân em một môi trường thực tế từ các dự án thật, được học hỏi và thực hành trực tiếp với các bài toán mà doanh nghiệp gặp phải. Với nền tảng kiến thức đã có liên quan đến vị trí với tinh thần ham học hỏi thì em tin rằng bản thân sẽ có thể thích ứng nhanh và tạo ra nhiều giá trị</t>
  </si>
  <si>
    <t>8.94</t>
  </si>
  <si>
    <t>Bản thân đã từng làm những dự án liên quan đến các vấn đề về dữ liệu và ứng dụng AI (học máy), vai trò chủ yếu sẽ thường là nhóm trưởng (người định hướng và giải quyết vấn đề) và là người phân tích chính</t>
  </si>
  <si>
    <t>https://github.com/Feelitx/intro-data-science.git</t>
  </si>
  <si>
    <t>Nếu có cơ hội trúng tuyển vào các vị trí thực tập sinh, em mong rằng SUN.STUDIO sẽ là nơi có một môi trường làm việc thân thiện, cầu tiến. Những mối quan hệ, trải nghiệm và giá trị mà SUN mang đến sẽ giúp bản thân em ngày càng hoàn thiện và phát triển trên con đường sự nghiệp sau này</t>
  </si>
  <si>
    <t>awbftgrzbl5rpeawbftgrn41hgtazq2j</t>
  </si>
  <si>
    <t>Đỗ Nhật Hạ</t>
  </si>
  <si>
    <t>donhatha314314@gmail.com</t>
  </si>
  <si>
    <t>+84918245973</t>
  </si>
  <si>
    <t>I am motivated to apply because this role combines user behavior, creativity, and data-driven marketing, which are areas I want to develop further. I am particularly interested in learning how user acquisition campaigns are built, tested, and optimized, and I see SUN.RISER as a great environment to gain hands-on experience in growth marketing.</t>
  </si>
  <si>
    <t>I believe this role involves researching markets, supporting user acquisition campaigns, testing creatives, and analyzing performance to optimize growth. I am a good fit because I bring strengths in market research, insight-driven thinking, creativity, and campaign execution, along with a strong willingness to learn in a data-driven environment.</t>
  </si>
  <si>
    <t>FTU – Trường Đại học Ngoại thương</t>
  </si>
  <si>
    <t>International Business Administration</t>
  </si>
  <si>
    <t>https://drive.google.com/drive/folders/1VB0PCsz_L-5fXw_QNRqf-oGxcd-F0uAc?usp=drive_link</t>
  </si>
  <si>
    <t>I would like to share that I am eager to learn, open to challenges, and excited about the opportunity to grow in a fast-paced environment like SUN.STUDIO. I would value the chance to contribute while developing deeper understanding of growth marketing and mobile products.</t>
  </si>
  <si>
    <t>ocvt9u9yb4esx4pzj4s2locvt9unbgiq</t>
  </si>
  <si>
    <t>Trương Việt Hoàng</t>
  </si>
  <si>
    <t>hoangtruong04.works@gmail.com</t>
  </si>
  <si>
    <t>+84347108123</t>
  </si>
  <si>
    <t>Tôi lựa chọn vị trí Game User Acquisition Intern tại SUN.RISER bởi niềm đam mê mê với công việc thiết kế trải nghiệm người dùng. Tôi yêu thích phân tích, làm việc với data, tư duy product hiểu người dùng để tối ưu các chỉ số, trải nghiệm của người tiêu dùng cuối cùng. Tôi mong muốn đóng góp vào công việc thiết kế sản phẩm sáng tạo tại SUN.RISER</t>
  </si>
  <si>
    <t>Tôi hiểu tập trung này ở vị trí đầu tiên của 4 công việc chính
Phân tích thị trường, nghiên cứu xu hướng và cạnh tranh
Hỗ trợ thiết lập và phát triển quảng cáo trên Google Ads, Meta Ads
Phối hợp thử nghiệm A/B để tìm hiệu quả quảng cáo mẫu (mẫu hiệu quả
Theo dõi báo cáo, chiết xuất cái nhìn sâu sắc để đưa ra hướng ưu tiên tiếp theo</t>
  </si>
  <si>
    <t>8.58</t>
  </si>
  <si>
    <t>No/ Chưa từng</t>
  </si>
  <si>
    <t>cbo3zao4wl9o07gcbo3zaqa9m4da41yh</t>
  </si>
  <si>
    <t>Ngô Gia Thịnh</t>
  </si>
  <si>
    <t>ngogiathinh1@gmail.com</t>
  </si>
  <si>
    <t>+84879530458</t>
  </si>
  <si>
    <t>Mình mong muốn tham gia SUN.RISER để được trải nghiệm môi trường phát triển game chuyên nghiệp, nâng cao kỹ năng Unity 2D và học hỏi từ đội ngũ có kinh nghiệm tại SUN.STUDIO.</t>
  </si>
  <si>
    <t>Mình nghĩ vị trí Unity Intern sẽ tham gia phát triển và cải thiện các game 2D casual, bao gồm lập trình gameplay bằng C#, xử lý va chạm với Rigidbody2D và Collider, xây dựng UI Canvas và hỗ trợ sửa lỗi trong quá trình hoàn thiện sản phẩm. Ngoài ra, vị trí này có thể phối hợp làm việc nhóm để đảm bảo game hoạt động ổn định và đúng yêu cầu.</t>
  </si>
  <si>
    <t>Trong dự án game 2D, mình đảm nhận vai trò lập trình gameplay bằng C# trong Unity, đồng thời là leader của nhóm. Mình phụ trách xây dựng cơ chế điều khiển nhân vật, xử lý va chạm bằng Rigidbody2D và tích hợp UI cơ bản.
Với vai trò leader, mình phân chia công việc, theo dõi tiến độ và hỗ trợ các thành viên khi gặp khó khăn. Kết quả là dự án hoàn thành đúng thời hạn, game chạy ổn định và đáp ứng đầy đủ yêu cầu đề bài.</t>
  </si>
  <si>
    <t>Mình rất mong có cơ hội được tham gia và học hỏi tại SUN.STUDIO. Dù còn là sinh viên năm 2, mình luôn chủ động rèn luyện kỹ năng Unity và sẵn sàng tiếp thu góp ý để cải thiện bản thân. Mình hy vọng có thể đóng góp vào các dự án game 2D của công ty và phát triển lâu dài trong lĩnh vực Game Development.</t>
  </si>
  <si>
    <t>d828jvh8ei53aqdya0tffd828lrobi24</t>
  </si>
  <si>
    <t>Trầ Đạt</t>
  </si>
  <si>
    <t>Đóng góp và phát triển.</t>
  </si>
  <si>
    <t>Là một người đam mê dòng game RTS với kinh nghiệm đọc thiết kế GDD.tôi mong muốn phát triển sự nghiệp tại vị trí Game QA/QC,tôi không chỉ tập trung phát hiện lỗi UX/UI mà còn khao khát đóng góp những phản hồi chuyên sâu về Gameplay để cùng đội ngũ phát triển tinh luyện sản phẩm,mang lại trải nghiệm hoàn hảo nhất cho người chơi.</t>
  </si>
  <si>
    <t>Ngoại ngữ tin Học-Huflit</t>
  </si>
  <si>
    <t>Đang đợi thi bằng tiếng anh và tốt nghiệp</t>
  </si>
  <si>
    <t>5.74</t>
  </si>
  <si>
    <t>Thực tập Tester QA cho một Stuidio nhỏ 4 tháng.</t>
  </si>
  <si>
    <t>không có Lưu Trữ</t>
  </si>
  <si>
    <t>Facebook</t>
  </si>
  <si>
    <t>Chuyển dịch từ QA sang QE (Quality
Engineering)AI-Augmented Testing
-Tôi Muốn trở thành một QA Tester có tư duy Game Design, không chỉ tìm lỗi (Bugs) mà còn đưa ra các giải pháp tối ưu hóa Gameplay và đóng góp ý tưởng để cải thiện giữ chân người dùng (Retention rate). "và hơn hết cùng với Sunriser phát triển lớn mạnh và tạo nhiều sản phẩm chất lượng đến tay người dùng.</t>
  </si>
  <si>
    <t>ms22hi0wkb5k1zagxms22hi06zahj60f</t>
  </si>
  <si>
    <t>Nguyễn Thị Minh Thư</t>
  </si>
  <si>
    <t>thu.nguyenminh070705@gmail.com</t>
  </si>
  <si>
    <t>+84906706289</t>
  </si>
  <si>
    <t>I’m motivated to choose the HR Intern position at SUN.RISER because it aligns closely with both my academic background and my career direction in Human Resources. As a Business Administration student with a focus on HR, I’m interested in how HR supports employee experience and organizational growth.</t>
  </si>
  <si>
    <t>I understand this role involves supporting the full HR cycle, especially recruitment, employer branding, onboarding, and learning &amp; development, such as sourcing candidates, coordinating interviews, assisting onboarding, creating content, and supporting training activities. I believe I am a good fit because I have strong coordination, communication</t>
  </si>
  <si>
    <t>Business Administration</t>
  </si>
  <si>
    <t>I was a HR Admin Intern at a logistics company, I supported daily HR operations, including managing employee records, preparing contracts and documents, and coordinating interview schedules. I also assisted in onboarding activities such as preparing materials and guiding new hires.
During my internship, I helped streamline document organization and improved coordination between candidates and hiring managers, which contributed to a smoother recruitment and onboarding process.</t>
  </si>
  <si>
    <t>I don't have any link of my previous intern job</t>
  </si>
  <si>
    <t>7ueaol6muyxn9yd7mec7ueaolffggn8e</t>
  </si>
  <si>
    <t>Nguyễn Minh Đạt</t>
  </si>
  <si>
    <t>minhdat18061999.ag@gmail.com</t>
  </si>
  <si>
    <t>+84382943515</t>
  </si>
  <si>
    <t>I want to apply my experience processing 31M+ records and building Recommendation Systems to SUN.STUDIO's massive scale. I aim to leverage BigQuery to analyze user behavior and optimize core game metrics like DAU, ARPU, and Retention.</t>
  </si>
  <si>
    <t>This role involves analyzing game data via BigQuery to track metrics like DAU and Retention. I fit perfectly due to my advanced SQL skills, experience visualizing 31M+ records, and user behavior mindset gained from building Recommendation Systems.</t>
  </si>
  <si>
    <t>8.26</t>
  </si>
  <si>
    <t>rbg7u18e8p9zl5n7iwlsrbg7u18tljg4</t>
  </si>
  <si>
    <t>Trần Trí Đức</t>
  </si>
  <si>
    <t>triducst285@gmail.com</t>
  </si>
  <si>
    <t>+84343811836</t>
  </si>
  <si>
    <t>Em tham gia một số dự án cá nhân như xây dựng hệ khuyến nghị thời trang, phát hiện gian lận trong giao dịch, chatbot y tế,... Tuy nhiên, em nhận thấy bản thân vẫn cần học hỏi thêm từ môi trường thực tế doanh nghiệp. Em mong muốn được ứng tuyển vị trí thực tập sinh để có cơ hội học hỏi, tích lũy kinh nghiệm thực tế và đóng góp vào dự án của công ty.</t>
  </si>
  <si>
    <t>Em nghĩ rằng vị trí này sẽ cần người hiểu về cách hoạt động của LLM, AI. Biết các công cụ như Langchain, n8n,... Em cảm thấy phù hợp với vị trí này vì em đã xây dựng chatbot y tế sử dụng RAG để truy xuất và tổng hợp thông tin từ tài liệu y khoa.</t>
  </si>
  <si>
    <t>Em chưa có kinh nghiệm liên quan đến lập trình Game nhưng em có hứng thú với các trò chơi điện tử cũng như nghiên cứu về nó. Nếu có cơ hội được đồng hành cùng phát triển thì em rất sẵn lòng.</t>
  </si>
  <si>
    <t>https://github.com/quangtangcf12</t>
  </si>
  <si>
    <t>Em mong muốn được ứng tuyển vào vị trí thực tập để có cơ hội học hỏi, tích lũy thêm kinh nghiệm và đóng góp vào các dự án của công ty.</t>
  </si>
  <si>
    <t>mm0np9n5ex6ua2cs3flymm0np9nge5v1</t>
  </si>
  <si>
    <t>La Nguyễn Quốc Thịnh</t>
  </si>
  <si>
    <t>thinhlanguyenquoc@gmail.com</t>
  </si>
  <si>
    <t>+84707072966</t>
  </si>
  <si>
    <t>I choose this position because I want to develop my expertise in a real-world environment where AI, Data, and product systems are tightly integrated.
For me, SUN.RISER is an opportunity to learn from real systems, understand how all components work together, and build a solid foundation for my long-term career.</t>
  </si>
  <si>
    <t>I believe this role focuses on building end-to-end system flows from data to product, rather than working on isolated AI components.
I’m a good fit because I approach problems from a system-level perspective, aiming to understand how components interact and to build systems that are stable and reliable—not just “working.”</t>
  </si>
  <si>
    <t>FPT Software: Built a hybrid RAG system with multi-stage retrieval and query routing, improving response quality and system reliability.
Passport Lounge: Developed AI automation workflows and a chatbot system, reducing manual workload and enabling faster customer support.</t>
  </si>
  <si>
    <t>Due to confidentiality constraints, I’m unable to share certain project details publicly. However, I can discuss my experience and system design approach in detail during the interview.</t>
  </si>
  <si>
    <t>9tqx2g53f99lfd71obzs89tqx2g53vk7</t>
  </si>
  <si>
    <t>Trần Duy Khang</t>
  </si>
  <si>
    <t>khangduytran2610@gmail.com</t>
  </si>
  <si>
    <t>+84774030157</t>
  </si>
  <si>
    <t>I want to learn from experience through hands-on projects. My goal is to contribute effectively and prove my value so that I can grow with the company long-term as a full-time employee.</t>
  </si>
  <si>
    <t>I believe this role involves developing AI models, processing large datasets, and collaborating with the team to deploy real-world solutions.
I am a good fit because of my strong foundation in AI and Data Science from my studies. Moreover, I eager to adapt and contribute to your team's success from day one.</t>
  </si>
  <si>
    <t>Khoa học máy tính / Khoa học dữ liệu</t>
  </si>
  <si>
    <t>8.5</t>
  </si>
  <si>
    <t>One of my recent projects is AeroEyes, where I developed an object detection system using YOLO for aerial and satellite imagery. In this project, I was mainly responsible for preparing and cleaning large-scale image data, building training pipelines, and evaluating model performance. This experience helped me to understand the importance of data quality, as well as how pipeline design and scalability affect real-world systems.</t>
  </si>
  <si>
    <t>https://github.com/KenyaWashed/FinalProject_GGWP.git</t>
  </si>
  <si>
    <t>Thank you so much for your time and consideration. I truly hope to be given the opportunity to prove my abilities and contribute to SUN.STUDIO.</t>
  </si>
  <si>
    <t>pyqczgj5xji6nyyclvwjpyqcyhkg0js5</t>
  </si>
  <si>
    <t>Trần Thị Yến Nhi</t>
  </si>
  <si>
    <t>yennhi.ataraxia@gmail.com</t>
  </si>
  <si>
    <t>+84819309989</t>
  </si>
  <si>
    <t>Em chọn vị trí này ở SUN.RISER vì em vốn là một fan của dòng game Puzzle và studio có một tựa game khiến em rất tò mò - Wood Block Puzzle. Game mang lại cảm giác 'vừa đủ', vừa đủ dễ để bắt đầu nhưng cũng đủ thách thức để không thể ngừng chơi ngay, em khao khát được tham gia vào quá trình tạo ra một tựa game như thế.</t>
  </si>
  <si>
    <t>Em hiểu là công việc sẽ bao gồm việc phân tích game của đối thủ, thiết kế core loop, cân bằng độ khó của level, theo dõi các chỉ số để để tối ưu hóa sản phẩm. Em tin mình phù hợp vì có tư duy hệ thống, kỹ năng viết GDD và làm việc với các công cụ và AI, bên cạnh đó là tinh thần thử sai - playtest liên tục để tìm ra giải pháp tối ưu trải nghiệm game</t>
  </si>
  <si>
    <t>8.97</t>
  </si>
  <si>
    <t>Trong dự án cá nhân Don't let the cake drop, em đảm nhận 100% vai trò thiết kế từ ý tưởng đến thực thi. Em đã xây dựng hệ thống Throw &amp; Catch độc đáo: ném chiếc bánh để tấn công nhưng phải nhanh tay hứng lại để sống sót. Bằng cách tối ưu hóa sự cân bằng giữa Rủi ro (mất bánh) và Phần thưởng (diệt địch, thu thập Topping), em đã tạo ra một Core Loop đầy căng thẳng nhưng lôi cuốn. Kết quả là một sản phẩm hoàn thiện, giúp em làm chủ kỹ năng thiết kế cơ chế và tư duy 'Easy to play, Hard to master'.</t>
  </si>
  <si>
    <t>https://www.notion.so/Y-n-Nhi-Game-Design-Portfolio-3313446cc537804290cef3d4cb65d4f2?source=copy_link</t>
  </si>
  <si>
    <t>p4p18iu1h6vi3ehqkp4p181tao23me8n</t>
  </si>
  <si>
    <t>Nguyễn Tấn Thắng</t>
  </si>
  <si>
    <t>thangak18@gmail.com</t>
  </si>
  <si>
    <t>+84396177323</t>
  </si>
  <si>
    <t>Em có một niềm đam mê mãnh liệt với trò chơi điện tử từ nhỏ và luôn khao khát được hiểu cách chúng vận hành. Thay vì chỉ là người chơi, em muốn trở thành người trực tiếp tạo ra những trải nghiệm đó. Vị trí này tại SUN.RISER là cơ hội tuyệt vời để tôi biến sự am hiểu về game của mình thành những sản phẩm chất lượng, đồng thời đóng góp sự sáng tạo</t>
  </si>
  <si>
    <t>Theo tìm hiểu của em, vị trí Unity Intern tại SUN.RISER sẽ tham gia vào việc hỗ trợ phát triển logic game bằng C#, phối hợp với team để xử lý các UI/UX, cũng như tham gia vào quá trình tối ưu hóa và sửa lỗi (debug) để đảm bảo game vận hành mượt mà. Em nghĩ em phù hợp vị trí này vì em có nền tảng về C#. Em là một người đam mê game và thích sáng tạo.</t>
  </si>
  <si>
    <t>Em chưa có đồ án làm game thuần tuý nhưng mà em nắm được tư duy thiết kế 1 sản phẩm</t>
  </si>
  <si>
    <t>https://www.porfolio.id.vn/</t>
  </si>
  <si>
    <t>Em rất trân trọng cơ hội được ứng tuyển vào vị trí Unity Intern tại SUN.STUDIO. Nếu có cơ hội đồng hành, tôi cam kết sẽ nỗ lực hết mình để học hỏi và hoàn thành tốt các nhiệm vụ được giao, đóng góp vào sự phát triển chung của team. Rất mong nhận được phản hồi và có cơ hội trao đổi trực tiếp cùng anh chị trong buổi phỏng vấn.</t>
  </si>
  <si>
    <t>orkfy3jygcaq6pphhx9cxorkfy3ndj5m</t>
  </si>
  <si>
    <t>Lê Huy Toàn</t>
  </si>
  <si>
    <t>huytoan709@gmail.com</t>
  </si>
  <si>
    <t>+84902660321</t>
  </si>
  <si>
    <t>Em rất thích chơi game và việc làm game là 1 niềm đam mê rất lớn. Với nền tảng kỹ thuật hiện có, em mong muốn được cống hiến hết mình tại SUN.RISER để chinh phục những thử thách mới trong việc tạo ra những tựa game hấp dẫn.</t>
  </si>
  <si>
    <t>Trong thời đại AI hiện nay, em nghĩ nhiệm vụ của 1 Game Developer là xây dựng kiến trúc hệ thống bài bản và đảm bảo game luôn vận hành ổn định, mượt mà.
Là 1 sinh viên chuyên ngành kỹ thuật phần mềm, em ưu tiên tư duy thiết kế hệ thống để dễ dàng quản lý và mở rộng. Em có khả năng sử dụng AI để tối ưu hiệu suất và đảm bảo sản phẩm vận hành mượt mà</t>
  </si>
  <si>
    <t>Em đã tự làm lại 1 game flappy bird và thêm 1 số tính năng để game trở nên thú vị hơn, anh/chị có thể hiểu rõ hơn ở video này: https://www.youtube.com/watch?v=0ZdoOE-_SFc</t>
  </si>
  <si>
    <t>https://yan25-06.github.io/my-portfolio/</t>
  </si>
  <si>
    <t>gm2oogog5fksxcegm2oomc0g8omuso18</t>
  </si>
  <si>
    <t>Tiêu Thị Kim Cương</t>
  </si>
  <si>
    <t>ttkimcuong2610@gmail.com</t>
  </si>
  <si>
    <t>+84948485519</t>
  </si>
  <si>
    <t>Điều khiến tôi lựa chọn vị trí Game User Acquisition tại SUN.RISER là sự kết hợp giữa niềm yêu thích của tôi với lĩnh vực marketing dựa trên dữ liệu và sự quan tâm đến ngành game. Tôi hiểu rằng User Acquisition không chỉ là chạy quảng cáo, mà còn là quá trình phân tích hành vi người chơi, tối ưu chiến dịch và mở rộng tăng trưởng một cách hiệu quả.</t>
  </si>
  <si>
    <t>Theo tôi, vị trí Game User Acquisition sẽ bao gồm việc lập kế hoạch, triển khai và tối ưu các chiến dịch marketing nhằm thu hút người chơi chất lượng. Công việc này không chỉ là chạy quảng cáo trên các nền tảng như Facebook, Google hay TikTok, mà còn bao gồm phân tích dữ liệu người dùng và liên tục cải thiện hiệu quả chiến dịch.</t>
  </si>
  <si>
    <t>Công nghệ và đổi mới sáng tạo</t>
  </si>
  <si>
    <t>ucqyvy01zopqv7v3uyucqyp66r83kpt3</t>
  </si>
  <si>
    <t>Trần Thị Thu Hoài</t>
  </si>
  <si>
    <t>kasahoaitran1609@gmail.com</t>
  </si>
  <si>
    <t>+84865116067</t>
  </si>
  <si>
    <t>I chose this position at SUN.RISER because it aligns well with my skills and offers a great opportunity to learn, grow, and contribute in a dynamic environment.</t>
  </si>
  <si>
    <t>This role involves designing engaging game mechanics, balancing gameplay, and creating enjoyable player experiences. It also feels like being both a player and a creatorunderstanding what makes a game fun and meaningful, then translating that experience to others. I’m a good fit because I’m passionate about games enjoy analyzing player behhavior.</t>
  </si>
  <si>
    <t>Software engineering</t>
  </si>
  <si>
    <t>8.7</t>
  </si>
  <si>
    <t>I worked as a Level Designer, Developer, and QA Tester, where I designed levels, balanced difficulty, and improved gameplay flow through playtesting and iteration. The project resulted in a polished 2D platformer with well-paced levels and a smoother player experience based on continuous feedback.</t>
  </si>
  <si>
    <t>https://eliorvance.itch.io/group-3-foxy-adventure-shard-of-hope</t>
  </si>
  <si>
    <t>ii7s14u5w4zp1l9d6qsxii7s14vcnopp</t>
  </si>
  <si>
    <t>Phạm Nguyễn Tài Tuệ</t>
  </si>
  <si>
    <t>taitue04@gmail.com</t>
  </si>
  <si>
    <t>+84357008034</t>
  </si>
  <si>
    <t>Với nền tảng Pháp luật được đào tạo từ trường ĐH Luật TP.HCM, tôi tin bản thân hoàn toàn phù hợp với những nhiệm vụ của vị trí HR intern</t>
  </si>
  <si>
    <t>Về vai trò: Thực hiện quy trình tuyển dụng, sáng tạo nội dung truyền thông thương hiệu và hỗ trợ thiết kế tài liệu đào tạo nội bộ.
Sự phù hợp: Em có kỹ năng viết tốt (đã viết 120+ bài), giúp tối ưu nội dung tuyển dụng/đào tạo. Tư duy ngành Luật giúp em sàng lọc ứng viên chính xác và làm việc kỷ luật, hệ thống.</t>
  </si>
  <si>
    <t>HCMULAW – Trường Đại học Luật TP.HCM</t>
  </si>
  <si>
    <t>Luật</t>
  </si>
  <si>
    <t>Không có</t>
  </si>
  <si>
    <t>Em rất ấn tượng với môi trường sáng tạo tại Sun Studio. Dù đến từ nền tảng chuyên ngành Luật, em tự tin sẽ mang đến sự chỉn chu, tư duy logic và kỹ năng viết lách để đóng góp giá trị thực cho team HR.</t>
  </si>
  <si>
    <t>f20gie4iy6zl6ow1wpb1f20gikz7z8j6</t>
  </si>
  <si>
    <t>Lê Minh Quang</t>
  </si>
  <si>
    <t>quanglm.1993@hotmail.com</t>
  </si>
  <si>
    <t>+84934197743</t>
  </si>
  <si>
    <t>I have passion for designing games and wishes to gain more hands-on experience to further improve my skills, in which this program could help me a lot</t>
  </si>
  <si>
    <t>I believe this role involves supporting the design team in building and refining game systems and player experience through iteration and playtesting. I’m a good fit because I’ve designed and balanced mechanics in my projects while improving them based on player feedback.</t>
  </si>
  <si>
    <t>Game Designer</t>
  </si>
  <si>
    <t>2.9/4.0</t>
  </si>
  <si>
    <t>In Dungeons &amp; Diners, I worked as a game designer, focusing on system design and balancing the in-game economy while iterating through playtesting, which resulted in a more stable progression and player flow. I also led design in Dungeon Farmer, where I coordinated the team and refined core mechanics through multiple testing phases to ensure the game stayed within scope and delivered a complete playable prototype.</t>
  </si>
  <si>
    <t>lmquang.uwu.ai</t>
  </si>
  <si>
    <t>I’m eager to learn, but I also value being involved and contributing as much as I can from the start. I enjoy the process of refining ideas through iteration and feedback, and I’m looking for a team where I can grow through that process. I’d really appreciate the chance to do that at SUN.STUDIO</t>
  </si>
  <si>
    <t>5efbncfu8yvuiepj7uj5efbncz6aut87</t>
  </si>
  <si>
    <t>Vũ Hoàng Minh</t>
  </si>
  <si>
    <t>crossmanger1330@gmail.com</t>
  </si>
  <si>
    <t>+84902429999</t>
  </si>
  <si>
    <t>Vị trí hiện tại khá phù hợp với chuyên ngành hiện tại của em.</t>
  </si>
  <si>
    <t>- Em nghĩ vị trí này sẽ hỗ trợ xây dựng và triển khai mô hình AI vào các sản phẩm thực tế.
- Em nghĩ mình phù hợp với vị trí này vì em đang định hướng theo Data Science và đã có nền tảng về lập trình, đặc biệt là Python và các thao tác xử lý dữ liệu.</t>
  </si>
  <si>
    <t>9.01</t>
  </si>
  <si>
    <t>không</t>
  </si>
  <si>
    <t>https://github.com/CrossManger</t>
  </si>
  <si>
    <t>không ạ</t>
  </si>
  <si>
    <t>7ui5n7caxtdhq1uic97u0c6tsavtzgui</t>
  </si>
  <si>
    <t>Nguyễn Trọng Nhân</t>
  </si>
  <si>
    <t>nhannguyen2772005@gmail.com</t>
  </si>
  <si>
    <t>+84816352781</t>
  </si>
  <si>
    <t>Em muốn học cách thiết kế game và trải nghiệm thực tế quá trình tạo nên một game hoàn chỉnh</t>
  </si>
  <si>
    <t>Vị trí này sẽ:
- Cụ thể hóa ý tưởng game bằng GDD thay vì nêu khái quát
- Thiết kế các hệ thống, điều chỉnh, cân bằng game
- Playtest game để tìm lỗi
- Phác thảo UI/UX
Em thấy phù hợp vì:
- Em thích phân tích cơ chế game trong lúc chơi
- Em sẵn sàng học hỏi, tiếp nhận feedback</t>
  </si>
  <si>
    <t>8,21</t>
  </si>
  <si>
    <t>Vai trò của em: thiết kế gameplay, vẽ asset (pixel art), viết 1 phần game loop
Kết quả: Chỉ hoàn thành được core loop và logic game, nhóm chưa có kinh nghiệm làm game nên trong sản phấm cuối cùng, game còn khá đơ, chưa có animation, VFX, visual feedback, là những thứ người chơi có thể không để ý nhưng không thể không có. Qua bài tập nhóm này, em học được cách lên ý tưởng gameplay và hiện thực hóa qua việc viết game loop, tuy nhiên do không có kinh nghiệm nên không viết GDD để thống nhất các việc cần làm mà chỉ có hướng dẫn luật chơi, do vậy nên không kiểm soát được kết quả cuối cùng.</t>
  </si>
  <si>
    <t>https://drive.google.com/drive/folders/1dy1UoqI3MNSap-Od_Ho9mATRLu2SYdD2?usp=drive_link</t>
  </si>
  <si>
    <t>Em thấy công ty mình đang tập trung vào các game Casual/Puzzle truyền thống như Bubble Shooter và Match-3. Em muốn hỏi là công ty có định hướng kết hợp thêm yếu tố cốt truyện hoặc các hoạt động tương tác bên ngoài màn chơi không ạ? Em nghĩ làm như vậy sẽ giúp trải nghiệm game mới mẻ và khác biệt hơn ạ.</t>
  </si>
  <si>
    <t>3hguu7o370k3jioo3hgub1wje6d8jb9e</t>
  </si>
  <si>
    <t>Huỳnh Thành Tài</t>
  </si>
  <si>
    <t>htt032003@gmail.com</t>
  </si>
  <si>
    <t>+84706732140</t>
  </si>
  <si>
    <t>I am a fresh graduate with a passion for video games and data analysis. I want to use my data analytics skills and analytical mindset in practice. When I found this SUN.RISER INTERNSHIP PROGRAM 2026, I want to apply and be part of the company.</t>
  </si>
  <si>
    <t>I am applying for a Data Analysis intern position. I think this role involves analyzing gaming data to identify patterns and propose solutions to improve game performance. With my hands-on experience in relevant data projects, I confidently believe to be fit for this role.</t>
  </si>
  <si>
    <t>Economics</t>
  </si>
  <si>
    <t>8.22</t>
  </si>
  <si>
    <t>Customer Segmentation   
Top 1 Final Project DA57 course - MindX 
Description: This project aims to analyze customer datasets from Kaggle to help business departments gain deeper insights into their customers, allowing them to tailor products to meet the specific needs, behaviors, and concerns of various customer segments. 
Goal: Understand customer behavior, identify customer segments, and propose strategies to attract new customers and retain existing ones to maximize revenue and minimize costs.    
Role details:  
• Leader of a 3-member project team 
• Use Python for preprocessing raw data consisting of 2,240 rows and 29 columns, handling 1% null data and addressing outliers in specific columns. 
• Conduct EDA on the customer dataset based on demographic characteristics and purchasing behavior to identify key behavioral insights. 
• Develop two predictive clustering models (K-means, GMM) to segment customers into appropriate groups based on demographic characteristics and RFM attributes.</t>
  </si>
  <si>
    <t>https://drive.google.com/drive/folders/1W00HOMmKv1bQj0oxEQ-ipY6mZS-ovhje</t>
  </si>
  <si>
    <t>z7s3ohtmpnfgtz7schhco1c59ut9uzch</t>
  </si>
  <si>
    <t>Trần Vĩnh Trường</t>
  </si>
  <si>
    <t>vinhtruong060705@gmail.com</t>
  </si>
  <si>
    <t>+84901484575</t>
  </si>
  <si>
    <t>I have a huge passion on gaming and also developing games. Furthermore, a small experience but a big enthusiastic about data engineer and data analytic. Fortunately, I found out that there is a data analysis intern role in a gaming company make me feel very excited and lust in this position. That's a reason why i apply this position in SUN.RISER.</t>
  </si>
  <si>
    <t>This is the role where people using data to predict the trend involved collecting, cleaning player data to analyzed user behavior. I have both interest in technology and gaming which give me an understanding about player behavior which make me suitable for this role.  A patient worker, a friendly employee also make me a appropriate candidate &lt;3</t>
  </si>
  <si>
    <t>Applying Java to display the interaction between character. Using health, power, point to calculate the attacking power and build matrix for simulating a map. Another likely assignment but developing in C++. All the assignment just only implemented in backend stage.</t>
  </si>
  <si>
    <t>https://github.com/TVTruong777/PF242-Assignment2.git</t>
  </si>
  <si>
    <t>Trường đại học, My friends</t>
  </si>
  <si>
    <t>Appreciate for having time to review my application, hope we have a chance to work together. Wish you all the best ! Cheer !</t>
  </si>
  <si>
    <t>b28d1hue1l5kraxb28dx0zyjrxz4u92x</t>
  </si>
  <si>
    <t>Nguyễn Minh Quang</t>
  </si>
  <si>
    <t>quangng170@gmail.com</t>
  </si>
  <si>
    <t>+84338539450</t>
  </si>
  <si>
    <t>I want to gain hands-on experience related to the concept of User Acquisition in the game context in Marketing</t>
  </si>
  <si>
    <t>Game User Acquisition sits at the core of performance marketing,  driving player growth through paid channels, creative testing, and metrics like CPI, ROAS, and LTV. I believe I'm a strong fit because my experience already follows the same logic as my previous projects and relevant courseworks</t>
  </si>
  <si>
    <t>Marketing</t>
  </si>
  <si>
    <t>https://drive.google.com/drive/folders/19iUpxRaz_4I63Lm1pa_hOOv0knfDNmUl?usp=sharing</t>
  </si>
  <si>
    <t>I kindly want to know about the development roadmap in SUN.STUDIO related to my position in the future</t>
  </si>
  <si>
    <t>fzw58xpgt646vdj2vfzw58eas8n9auxr</t>
  </si>
  <si>
    <t>Đinh Hoàng Nam</t>
  </si>
  <si>
    <t>dhnam23@clc.fitus.edu.vn</t>
  </si>
  <si>
    <t>+84369280305</t>
  </si>
  <si>
    <t>Là một sinh viên chuyên ngành Kỹ thuật Phần mềm, em hiểu rằng một dòng code tốt chỉ thực sự có giá trị khi nó mang lại trải nghiệm ổn định cho người dùng. Em chọn QA vì em yêu thích việc phân tích hệ thống để tìm ra các lỗ hổng logic song song với đó là được học hỏi những kinh nghiệm từ anh chị đi trước.</t>
  </si>
  <si>
    <t>Em nghĩ vị trí này sẽ tìm kiếm lỗi và xác định các bước chính xác để lỗi đó xuất hiện. Sau khi lỗi được sửa thì sẽ phải kiểm tra có bị ảnh hưởng các tính năng khác hay không. Và vì bản thân em cũng là 1 người dùng nên sẽ rất cần những ứng dụng mượt mà về mặt trải nghiệm nên em nghĩ mình sẽ có những đóng góp về mặt gameplay hoặc độ khó của game.</t>
  </si>
  <si>
    <t>Kỹ thuật phần mềm (Software Engineering)</t>
  </si>
  <si>
    <t>64bggw7lcvv578sxe64bgg9ks025hwdl</t>
  </si>
  <si>
    <t>Trần Ngọc Yến Vy</t>
  </si>
  <si>
    <t>yenvy.tny@gmail.com</t>
  </si>
  <si>
    <t>+84899893168</t>
  </si>
  <si>
    <t>I am interested in HR and believe SUN.RISER is a dynamic and creative environment, especially as a game company. I am excited about the opportunity to learn and grow in such a fun and energetic workplace.</t>
  </si>
  <si>
    <t>From my understanding, this role likely involves supporting HR work such as employer branding and recruitment, along with some related coordination tasks. I couldn’t find a detailed JD. I’m proactive, adaptable, and fit well in dynamic environments like SUN.RISER. My interest in games also helps me understand the company’s culture and audience.</t>
  </si>
  <si>
    <t>Industrial Management (Quản lý công nghiệp)</t>
  </si>
  <si>
    <t>8.04</t>
  </si>
  <si>
    <t>Not yet</t>
  </si>
  <si>
    <t>https://www.canva.com/design/DAHGYMmxBLU/9d6XP2P3Cyk0U6yXHvtYcw/view</t>
  </si>
  <si>
    <t>I just wanted to share a small note regarding my transcript. Some of my earlier semesters and math-related courses have lower grades, so I hope the evaluation can be considered as a whole progression rather than focusing too much on the early results.</t>
  </si>
  <si>
    <t>810qpjzq4cjgay810q0jemt1615n1jlr</t>
  </si>
  <si>
    <t>Nguyễn Mạc Gia Huy</t>
  </si>
  <si>
    <t>hayden.nmacgiahuy@gmail.com</t>
  </si>
  <si>
    <t>+84373569734</t>
  </si>
  <si>
    <t>Điều khiến em quyết định ứng tuyển vào vị trí HR Intern tại SUN.STUDIO trước hết là sự ấn tượng với quy mô và sức sáng tạo của công ty trong lĩnh vực Game. Qua tìm hiểu, em thấy chương trình SUN.RISER không chỉ dừng lại ở việc hỗ trợ hành chính mà thực sự cho phép Intern tham gia vào các dự án phát triển con người thực thụ</t>
  </si>
  <si>
    <t>Vị trí này tập trung vào việc số hóa quy trình tuyển dụng, xây dựng thương hiệu nhà tuyển dụng trên mạng xã hội và tổ chức các hoạt động đào tạo, gắn kết nội bộ.
Em tin mình là mảnh ghép phù hợp vì có tư duy hệ thống thông qua việc xây dựng Dashboard quản lý nhân sự, giúp tối ưu hóa dữ liệu và quy trình.</t>
  </si>
  <si>
    <t>Công nghệ thông tin kinh doanh</t>
  </si>
  <si>
    <t>7.85</t>
  </si>
  <si>
    <t>Em đã có kinh nghiệm thực chiến trong mảng nhân sự tại HLV Joint Stock Company và Đoàn UEH, tập trung vào:
Tuyển dụng &amp; Onboarding: Trực tiếp đăng tin, sàng lọc hồ sơ và điều phối phỏng vấn. Em cũng thiết kế lộ trình hội nhập giúp thành viên mới thích nghi nhanh chóng.
Đào tạo &amp; Phát triển (L&amp;D): Thiết kế tài liệu đào tạo và tổ chức các buổi workshop kỹ năng. Tại Bach Khoa Mentoring, em đã phân tích nhu cầu học tập để xây dựng khung chương trình phát triển phù hợp.
Employer Branding &amp; Engagement: Tổ chức các hoạt động gắn kết nội bộ và sự kiện giải trí để thúc đẩy văn hóa tổ chức.
Đặc biệt, với chứng chỉ HR Analytics &amp; Gen AI và nền tảng từ Trường Công nghệ và Thiết kế UEH, em có khả năng ứng dụng công nghệ và dữ liệu để tối ưu hóa hiệu quả công việc nhân sự tại một studio game như SUN.STUDIO.</t>
  </si>
  <si>
    <t>Em không có link dự án</t>
  </si>
  <si>
    <t>pgg7nj4o6d7en68s4hpgg7njwyu0g6hx</t>
  </si>
  <si>
    <t>Trần Văn Trường</t>
  </si>
  <si>
    <t>truongvtrpaul@gmail.com</t>
  </si>
  <si>
    <t>+84852864102</t>
  </si>
  <si>
    <t>I am motivated to choose this position at SUN.RISER because I am looking for an environment where I can both learn and apply my skills in real-world projects.
I am particularly interested in building AI-driven solutions and I have been actively exploring areas such as LLM-based automation.</t>
  </si>
  <si>
    <t>I believe this role involves building and applying AI solutions in real projects while learning quickly and working with a team.
I am a good fit because I have hands-on experience with AI tools, especially LLM-based automation, and I learn fast through practical work. I am proactive, motivated, and ready to improve and contribute.</t>
  </si>
  <si>
    <t>8.59</t>
  </si>
  <si>
    <t>I have worked on personal projects related to AI and automation, including building LLM-based tools to support workflows such as task automation and data processing.
I also have hands-on experience in web application testing, where I performed black-box assessments and validated security issues. These experiences helped me develop strong problem-solving skills and a practical approach to building and analyzing systems.</t>
  </si>
  <si>
    <t>https://github.com/paultheal1en/VulCan</t>
  </si>
  <si>
    <t>I am eager to learn, improve, and contribute through real projects. 
I may not have extensive experience yet, but I am highly motivated, proactive, and willing to put in the effort to grow quickly and deliver real value to the team.</t>
  </si>
  <si>
    <t>f4e99dirgrhjnbpq0kdpf4e99d4d48ep</t>
  </si>
  <si>
    <t>Bùi Đoàn Thúy Vy</t>
  </si>
  <si>
    <t>thuyvy29032004@gmail.com</t>
  </si>
  <si>
    <t>+84971014978</t>
  </si>
  <si>
    <t>I am passionate about turning raw data into insights. With experience in building ETL pipelines (Kafka, Spark) and Power BI dashboards (ODAP project), I want to join SUN.RISER to apply these skills in Sun Life's data-driven environment and help optimize customer experiences.</t>
  </si>
  <si>
    <t>I believe this role involves ETL processing and data visualization to drive business decisions. I am a good fit because I have hands-on experience with Kafka, Spark (ODAP project), and Power BI, allowing me to turn complex raw data into actionable insights effectively.</t>
  </si>
  <si>
    <t>8.43</t>
  </si>
  <si>
    <t>I developed a complete BI system for airline analytics. I built an ETL pipeline with SSIS to manage and clean complex datasets before loading them into a Data Warehouse. I also created Power BI dashboards to track KPIs like OTP and Delay trends. Additionally, I used Data Mining to predict the likelihood of delays, helping to optimize operational decisions.</t>
  </si>
  <si>
    <t>https://drive.google.com/drive/folders/1pzhcZjMrn7OvshenE3pnISkrt3ND6FVK?usp=drive_link</t>
  </si>
  <si>
    <t>I am very excited about the opportunity to join SUN.STUDIO. As a final-year student, I am ready to bring my technical foundation in Data Analytics and my proactive mindset to contribute to the team. I look forward to learning from professional mentors and helping SUN.STUDIO build data-driven solutions that create real value for customers.</t>
  </si>
  <si>
    <t>tokfadlrbz6xrrscrytokfadlwe16wdp</t>
  </si>
  <si>
    <t>Nguyễn Gia Huy</t>
  </si>
  <si>
    <t>giahuynguyen9700@gmail.com</t>
  </si>
  <si>
    <t>+84393424052</t>
  </si>
  <si>
    <t>Em chọn vị trí này tại SUN.RISER vì phù hợp với định hướng trở thành Unity Game Developer của em, đặc biệt là phát triển gameplay và tích hợp AI vào game. Em mong muốn được học hỏi quy trình làm việc thực tế, nâng cao kỹ năng và đóng góp vào các dự án của công ty.</t>
  </si>
  <si>
    <t>Em nghĩ vị trí này sẽ tham gia phát triển game bằng Unity, xây dựng gameplay, xử lý input và hỗ trợ hoàn thiện các tính năng trong dự án.
Em phù hợp vì đã có kinh nghiệm làm các project thực tế như game Unity điều khiển bằng AI (FaceMesh) và hệ thống web fullstack. Em có nền tảng C#, tư duy logic tốt và khả năng học nhanh, nên sẽ cố gắng thích nghi</t>
  </si>
  <si>
    <t>7.28</t>
  </si>
  <si>
    <t>Em đã có kinh nghiệm thông qua các dự án cá nhân.
Cụ thể, em đã phát triển một game đua xe 2D bằng Unity, trong đó người chơi điều khiển xe bằng chuyển động đầu sử dụng MediaPipe FaceMesh. Em đảm nhiệm việc xây dựng gameplay, xử lý input và tích hợp AI vào game.</t>
  </si>
  <si>
    <t>https://huyagto.itch.io/racingai</t>
  </si>
  <si>
    <t>SUN.STUDIO LinkedIn, Ybox, TopCV</t>
  </si>
  <si>
    <t>Em rất mong có cơ hội được học hỏi và phát triển tại SUN.STUDIO. Em sẵn sàng tiếp thu kiến thức mới, làm việc nghiêm túc và đóng góp hết khả năng của mình vào các dự án của công ty.</t>
  </si>
  <si>
    <t>18n1zg6b3b7caa5189s7hcuv1b3i04dc</t>
  </si>
  <si>
    <t>Bùi Hà Bảo Khanh</t>
  </si>
  <si>
    <t>khanhbao0806@gmail.com</t>
  </si>
  <si>
    <t>+84918960090</t>
  </si>
  <si>
    <t>I am motivated to apply to SUN.RISER because I am genuinely interested in the game industry, especially how data is used to understand player behavior and improve game experience.</t>
  </si>
  <si>
    <t>I think I am a good fit because I have a strong foundation in data analysis with Python and SQL, along with experience in data cleaning, exploration, and visualization. Through my projects, I have worked with real datasets to extract insights and present results clearly. I am also a fast learner and highly motivated to apply my skills</t>
  </si>
  <si>
    <t>7.918</t>
  </si>
  <si>
    <t>I have worked on several academic projects related to data analysis and machine learning.
In a household electricity demand forecasting project, I analyzed time-series data, performed preprocessing (feature engineering, seasonality analysis), and built models to identify usage patterns and support forecasting. The project was presented at a scientific conference and reached the final round of the 3MT competition.
In an environmental sound classification project, I worked with audio data, extracted features, and built a CNN model, achieving around 72% accuracy, improving over the baseline.
In a recommendation system project, I analyzed user behavior data and built models to understand user preferences and improve recommendation quality.
Additionally, I achieved a score of 8.9 in Python for Data Science and 8.5 in Pattern Recognition, which strengthened my practical and analytical skills.</t>
  </si>
  <si>
    <t>https://github.com/KhanhBaoBuiHa/Classification-of-environmental-noise . https://github.com/KhanhBaoBuiHa/RecommendationSystem-</t>
  </si>
  <si>
    <t>I am really interested in the opportunity to work at SUN.STUDIO, especially in a data-driven game environment. I am eager to learn how data is used to understand player behavior and improve game performance. I am a fast learner, highly motivated, and willing to take on challenges to grow. I would really appreciate the chance to contribute and develop my skills with your team.</t>
  </si>
  <si>
    <t>cy35r0krso8f9xjcy3n3pgohvjygo293</t>
  </si>
  <si>
    <t>Trần Xuân Lộc</t>
  </si>
  <si>
    <t>xuanloc492002@gmail.com</t>
  </si>
  <si>
    <t>+84706169918</t>
  </si>
  <si>
    <t>Em chọn vị trí này vì đây là một vị trí giao thoa giữa kỹ thuật và đam mê, nó cho phép em áp dụng tư duy lập trình (lập trình viên thường có thể đoán được lỗi có thể phát sinh ở đâu) vào việc đảm bảo trải nghiệm người dùng cuối trong ngành game.</t>
  </si>
  <si>
    <t>Em nghĩ vị trí này sẽ thực hiện các test case để đảm bảo game vận hành đúng thiết kế. Cũng như mô tả lại các bước tái hiện lỗi nếu có và đóng góp ý kiến dưới góc độ người chơi để cải thiện gameplay và trải nghiệm người dùng.
Em tin mình phù hợp vị trí này vì niềm đam mê cũng như kinh nghiệm, kiến thức liên quan tới lĩnh vực game.</t>
  </si>
  <si>
    <t>Em từng học môn phát triển game và đã tạo ra một tựa game 2D sử dụng Unity.
Ngoài ra em từng làm cộng tác viên manual tester cho tựa game metados.</t>
  </si>
  <si>
    <t>https://github.com/tathankochi/Fantasy2D</t>
  </si>
  <si>
    <t>Em rất mong là SUN.STUDIO sẽ cho em 1 cơ hội để có thể được làm việc trong lĩnh vực game</t>
  </si>
  <si>
    <t>kdp504iisirztemngwm0kdp50i0ymrlh</t>
  </si>
  <si>
    <t>Đoàn Nguyễn Minh Thư</t>
  </si>
  <si>
    <t>24521725@gm.uit.edu.vn</t>
  </si>
  <si>
    <t>+84859361633</t>
  </si>
  <si>
    <t>Em nhận thấy AI không chỉ giúp nâng cao trải nghiệm người chơi (NPC thông minh hơn, cá nhân hóa nội dung, tối ưu gameplay) mà còn mở ra nhiều hướng phát triển mới cho sản phẩm game.  Vì vậy, em mong muốn được tham gia vào SUN.RISER để vừa áp dụng kiến thức AI của mình vào thực tế, vừa học hỏi thêm kinh nghiệm và phát triển game của công ty.</t>
  </si>
  <si>
    <t>- Vị trí này sẽ đòi hỏi nghiên cứu về các công nghệ AI từ đó áp dụng vào game để nâng cao trải nghiệm người dùng.
- Em phù hợp với vị trí này vì là sinh viên ngành Khoa học Máy tính, đã được tiếp cận với AI và hiểu cách các mô hình hoạt động, từ đó có thể lựa chọn và áp dụng các giải pháp AI phù hợp cho sản phẩm.</t>
  </si>
  <si>
    <t>8.74</t>
  </si>
  <si>
    <t>Hiện em đang thực hiện đồ án về nhận diện tiền Việt Nam và trình bày ý nghĩa của từng tờ tiền. Em phụ trách xây dựng và triển khai mô hình CNN cho bài toán nhận diện hình ảnh. Kết quả, nhóm em đã demo thành công hệ thống, thể hiện khả năng áp dụng AI vào bài toán thực tế.</t>
  </si>
  <si>
    <t>https://github.com/DoanThu-collab/CS231-vietnamese-currency-recognition</t>
  </si>
  <si>
    <t>Em mong có cơ hội gia nhập SUN.STUDIO để không chỉ phát triển bản thân mà còn đóng góp vào việc xây dựng các sản phẩm chất lượng, ứng dụng AI hiệu quả trong game.</t>
  </si>
  <si>
    <t>picdx8p2jxotjx9n8l5vmpicdx8mt3ep</t>
  </si>
  <si>
    <t>Lê Trọng Thiện</t>
  </si>
  <si>
    <t>thien.lee@hcmut.edu.vn</t>
  </si>
  <si>
    <t>+84345754672</t>
  </si>
  <si>
    <t>Em ứng tuyển đơn giản vì em rất thích game và muốn được tự tay tạo ra chúng.
Về khả năng, em có nền tảng lập trình tốt, tư duy logic nhạy bén và khả năng học hỏi công nghệ mới rất nhanh, nên em tự tin mình sẽ sớm làm quen được với môi trường Unity.</t>
  </si>
  <si>
    <t>Em nghĩ vị trí này sẽ hỗ trợ lập trình bằng C#, fix bug và học quy trình làm game. Em phù hợp vì nền tảng tư duy lập trình tốt giúp em tiếp thu Unity rất nhanh. Đặc biệt, vì yêu thích làm game, em luôn có sự chủ động và năng lượng tích cực để hoàn thành tốt công việc.</t>
  </si>
  <si>
    <t>Em chưa có dự án làm game trực tiếp, nhưng em xin gửi link dự án Đồ họa 3D do em tự code. Dự án này thể hiện tư duy không gian và nền tảng lập trình 3D của em, rất có ích cho việc dùng Unity sau này ạ: https://github.com/Thien-lee-44/3D-editor</t>
  </si>
  <si>
    <t>mh4mznlr0ecuwivemh4mzi830yjvow9g</t>
  </si>
  <si>
    <t>Nguyễn Hoàng Minh</t>
  </si>
  <si>
    <t>hoangminhnguyen2407@gmail.com</t>
  </si>
  <si>
    <t>+821021816197</t>
  </si>
  <si>
    <t>Em mong muốn được phát triển trong một môi trường có lộ trình rõ ràng, được học từ đội ngũ làm game thực chiến và được va chạm với các dự án đang hình thành. Với em, SUN.RISER là cơ hội phù hợp để em chuyển từ việc chỉ học và quan sát sang việc thật sự đóng góp giá trị cho sản phẩm, hiểu sâu hơn về cách một trò chơi được xây dựng ạ.</t>
  </si>
  <si>
    <t>Em tin mình phù hợp vì em có nền tảng nghiên cứu thị trường và phân tích insight người dùng để đưa ra đề xuất cụ thể; bên cạnh đó, em có khả năng kết hợp tư duy sáng tạo với tư duy số liệu, phù hợp với bản chất của User Acquisition là liên tục test creatives, đo lường chỉ số và tối ưu chiến dịch.</t>
  </si>
  <si>
    <t>Yonsei University</t>
  </si>
  <si>
    <t>9.84</t>
  </si>
  <si>
    <t>Em đã có trải nghiệm liên quan đến hướng User Acquisition trong vai trò Global Marketing Intern tại Viện giáo dục Quốc tế của chính phủ Hàn Quốc. Trong dự án xây dựng kênh kênh truyền thông về du học Hàn Quốc, em chịu trách nhiệm từ nghiên cứu thị trường, xác định đối tượng mục tiêu đến triển khai và tối ưu nội dung. Cụ thể, em phân tích các thị trường tiềm năng (đặc biệt là Việt Nam và các quốc gia Đông Nam Á), nghiên cứu hành vi người dùng và xu hướng nội dung để xác định những format phù hợp với nhóm audience quan tâm đến du học.
Dựa trên đó, em trực tiếp xây dựng và thử nghiệm nhiều hướng nội dung khác nhau (topic, hook, storytelling, hashtag), đồng thời theo dõi các chỉ số như lượt xem, tương tác và tỷ lệ giữ chân để liên tục tối ưu. Em cũng quản lý toàn bộ pipeline sản xuất nội dung và phối hợp với team để cải thiện hiệu suất theo từng tuần.
Kết quả, kênh đã đạt hơn 2.5 triệu lượt xem, 120K+ lượt thích và trung bình 45,000+ engagement mỗi video trong vòng 5 tháng. Trải nghiệm này giúp em hiểu rõ cách tiếp cận người dùng toàn cầu thông qua việc kết hợp giữa market insight, creative testing và data-driven optimization, rất tương đồng với cách vận hành của User Acquisition trong ngành game.</t>
  </si>
  <si>
    <t>https://canva.link/znqiptynu6amqi0</t>
  </si>
  <si>
    <t>6df113hc1qewmuc5ljiztmgm6df113h5</t>
  </si>
  <si>
    <t>Nguyễn Trần Nhựt Nam</t>
  </si>
  <si>
    <t>namnhut1426@gmail.com</t>
  </si>
  <si>
    <t>+84799443204</t>
  </si>
  <si>
    <t>I am motivated to join SUN.RISER as an AI Engineer to gain practical work experience and apply my technical skills to real-world projects. I believe this position will provide the professional environment I need to grow while contributing to the team's goals.</t>
  </si>
  <si>
    <t>My long-term goal has been to become an AI engineer. I've worked on many projects related to Agentic AI, LLM, and model improvement research, so I'm very confident in my abilities for this position.</t>
  </si>
  <si>
    <t>OU – Trường Đại học Mở TP.HCM</t>
  </si>
  <si>
    <t>I redesigned a simple 5x5 Go-playing bot using the AlphaGo algorithm, and I can play against it, but it's not really that smart yet.</t>
  </si>
  <si>
    <t>Not record yet</t>
  </si>
  <si>
    <t>I would like to have the opportunity to work at your company.</t>
  </si>
  <si>
    <t>ttsb6dxfjw8idrs3isttsb68y565a3gm</t>
  </si>
  <si>
    <t>Vũ Ngọc Sơn</t>
  </si>
  <si>
    <t>vungocson189204@gmail.com</t>
  </si>
  <si>
    <t>+84985214127</t>
  </si>
  <si>
    <t>I'm driven to understand AI deeply, not just use it, but build it. I grew from Computer Vision (YOLOv5, TFLite on hardware) to NLP (PhoBERT) to GNNs, each domain expanding how I think. SUN.RISER excites me because games demand real-time AI that directly shapes user experience, exactly the challenge I want to grow into.</t>
  </si>
  <si>
    <t>I see this role as applying AI to live game systems, player behavior, real-time decisions, or content pipelines. My background spans CV, NLP, and GNNs, all built end-to-end. I'm a fit because I don't just experiment, I ship: from model training to deployment, including on embedded hardware.</t>
  </si>
  <si>
    <t>7.83</t>
  </si>
  <si>
    <t>Built a Pacman agent (Double DQN + Prioritized Experience Replay) from scratch in PyTorch without RL libraries. Key decisions: decoupled Q-networks to eliminate overestimation bias; SumTree-based PER to focus learning on high-TD-error transitions; 3-layer CNN processing raw pixels directly. Trained over 1M steps.</t>
  </si>
  <si>
    <t>https://github.com/Reinforcement-Learning-Pacman/Double-DeepQ-Learning</t>
  </si>
  <si>
    <t>I genuinely love what SUN.STUDIO builds, and I'd be excited to contribute. Maybe I'm not the perfect candidate for this position, but I'm someone who learns fast, pushes through hard problems, and always looks for what's next to explore. I commit to getting better every single day and I won't waste the team's time.</t>
  </si>
  <si>
    <t>tmolrrc56t7en5ktmjaz667haarwknx3</t>
  </si>
  <si>
    <t>Lương Nguyệt Thuý</t>
  </si>
  <si>
    <t>luongnguyetthuy@gmail.com</t>
  </si>
  <si>
    <t>+84888738201</t>
  </si>
  <si>
    <t>Em có nền tảng ngành Quản trị nguồn nhân lực và định hướng phát triển chuyên sâu trong HR ở tương lai xa. Đây là ngành học em rất tâm huyết, cũng như những kinh nghiệm em tích luỹ được trong kỳ thực tập trước và trong quá trình học tập, em cảm thấy bản thân rất phù hợp. HR Intern tại SUN.RISER em tìm hiểu vừa có thể giúp em học tập phát triển</t>
  </si>
  <si>
    <t>Các công tác liên quan đến Tuyển dụng, đào tạo, gắn kết, hành chính đều sẽ nằm trong HR, với vai trò là 1 Intern, em nghĩ em sẽ được học tập và làm các nghiệp vụ trên. Về phần phù hợp, em đã trả lời ở câu trước, liên quan đến nền tảng, định hướng và kinh nghiệm.</t>
  </si>
  <si>
    <t>Quản trị Nguồn nhân lực</t>
  </si>
  <si>
    <t>Chưa có kinh nghiệm về game</t>
  </si>
  <si>
    <t>Bạn bè giới thiệu</t>
  </si>
  <si>
    <t>Em cảm ơn các anh chị đã xem xét hồ sơ của em. Rất mong có thể được trao đổi trực tiếp để em được hiểu hơn và đồng hành cùng công ty!!</t>
  </si>
  <si>
    <t>0rg873cync0cxf40rg873blyh3i0d6vj</t>
  </si>
  <si>
    <t>Hoàng Kim Tùng</t>
  </si>
  <si>
    <t>hktung.work@gmail.com</t>
  </si>
  <si>
    <t>+84923107814</t>
  </si>
  <si>
    <t>Em chọn SUN.STUDIO vì em thấy vị trí Human Resources Intern trong chương trình SUN.RISER khá sát với định hướng của mình là làm việc với con người, đặc biệt là mảng tuyển dụng và phát triển nhân sự.
Em muốn được học sâu hơn về Nhân sự trong một môi trường thực tế, và em nghĩ SUN.STUDIO là nơi phù hợp để em vừa học hỏi, vừa đóng góp.</t>
  </si>
  <si>
    <t>Em hiểu vị trí này tham gia end-to-end tuyển dụng (sourcing, screening, phỏng vấn), xây dựng talent pipeline, hỗ trợ onboarding, employer branding và đào tạo nội bộ.
Em nghĩ em sẽ phù hợp nhờ kinh nghiệm tổ chức sự kiện, quản lý team và phối hợp đa phòng ban trước đây, điều này đã giúp em có kỹ năng giao tiếp, điều phối và làm việc với con người.</t>
  </si>
  <si>
    <t>No experience</t>
  </si>
  <si>
    <t>Em mong muốn nếu có cơ hội đồng hành cùng SUN.STUDIO, em có thể học hỏi nhiều hơn về cách xây dựng và phát triển con người trong tổ chức, đồng thời đóng góp sự chủ động và tinh thần học hỏi của mình vào các hoạt động chung.</t>
  </si>
  <si>
    <t>d9kbqqejgaqh82o4zi3zd9kbqxt4pjiy</t>
  </si>
  <si>
    <t>Trương Vĩnh An</t>
  </si>
  <si>
    <t>vinhan188@gmail.com</t>
  </si>
  <si>
    <t>+84867911513</t>
  </si>
  <si>
    <t>Because it aligns strongly with both my technical interests and my long-term career direction. In my previous projects, I have worked with AI systems involving LLMs, RAG pipelines and data-driven applications. These experiences strengthened my passion for building intelligent tools that solve meaningful problems.</t>
  </si>
  <si>
    <t>I believe this role focuses on applying AI to improve game production workflows, automate processes and create practical tools that enhance efficiency and quality. I am a strong fit because I have hands-on experience with AI systems such as LLM applications and RAG pipelines, along with solid Python skills and a problem-solving mindset.</t>
  </si>
  <si>
    <t>8.8</t>
  </si>
  <si>
    <t>I have worked on several AI-related personal and academic projects, mainly focused on building practical applications of machine learning and generative AI. One notable project was developing a Vietnamese fake news detection system using LLMs and RAG, where I designed the pipeline and integrated retrieval-based reasoning to improve response quality. I have also participated in AI and data science competitions, working with multimodal data and model optimization. Through these experiences, I strengthened my skills in Python, AI system design and problem-solving, while delivering functional prototypes that addressed real-world use cases.</t>
  </si>
  <si>
    <t>https://github.com/kNhung/ClaimCheck</t>
  </si>
  <si>
    <t>I am excited about the opportunity to contribute, learn, and grow within SUN.STUDIO. I believe this internship is more than just a role—it is a chance to build meaningful skills in a real production environment. If given the opportunity, I will bring curiosity, dedication, and a strong willingness to create practical AI solutions that add value to the team.</t>
  </si>
  <si>
    <t>17w3x4fiwapzruquazn17w3x4pel9wje</t>
  </si>
  <si>
    <t>TRẦN THỊ THU LƯƠNG</t>
  </si>
  <si>
    <t>tranthithuluongarmy@gmail.com</t>
  </si>
  <si>
    <t>+84926083260</t>
  </si>
  <si>
    <t>Em bị thu hút bởi môi trường năng động của ngành Game. Em đặc biệt hứng thú với vai trò kết nối con người, góp phần xây dựng đội ngũ phù hợp để tạo ra sản phẩm chất lượng. Bên cạnh đó, môi trường trẻ, năng động cùng cơ hội học hỏi toàn diện từ tuyển dụng đến phát triển đội ngũ tại SUN.RISER rất phù hợp với mục tiêu phát triển lâu dài của em.</t>
  </si>
  <si>
    <t>Em nghĩ vị trí này hỗ trợ đội ngũ trong các công việc vận hành nhân sự như tham gia Employee Onboarding, hoàn thiện và quản lý hồ sơ nhân sự, triển khai các hoạt động truyền thông nội bộ. Em thấy mình là người chủ động, có trách nhiệm và kỹ năng giao tiếp, làm việc nhóm tốt. Em tin mình có thể phối hợp với các anh chị tại SUN.RISE làm việc hiệu quả</t>
  </si>
  <si>
    <t>Quản trị kinh doanh</t>
  </si>
  <si>
    <t>7.35</t>
  </si>
  <si>
    <t>.</t>
  </si>
  <si>
    <t>Em mong muốn được trở thành một phần của SUN.STUDIO để học hỏi, đóng góp và phát triển lâu dài trong lĩnh vực Nhân sự. Với tinh thần chủ động và cầu tiến, em hy vọng có thể hỗ trợ đội ngũ xây dựng môi trường làm việc gắn kết, đồng thời cùng SUN.STUDIO. Dù kết quả thế nào, em vẫn rất trân trọng cơ hội được ứng tuyển và hy vọng sẽ có dịp đồng hành cùng công ty trong tương lai.</t>
  </si>
  <si>
    <t>jxmw1dq0tzlf3tqjxmz088lionty0w8s</t>
  </si>
  <si>
    <t>Đoàn Thị Minh Anh</t>
  </si>
  <si>
    <t>minhanh120204@gmail.com</t>
  </si>
  <si>
    <t>+84941665470</t>
  </si>
  <si>
    <t>This role perfectly merges my AI major with my interest in gaming. My goal is to build practical AI tools that accelerate game development. With a strong Computer Science background and experience automating tasks using AI models, I really want to be a part of your company.</t>
  </si>
  <si>
    <t>I believe this role involves using AI to automate workflows, speed up production and improve game quality. I am a strong fit because I have fast learning skills with hands-on AI experience. My excellent academic background proves I can quickly adapt to new technologies, while my practical projects have taught me how to build real AI products.</t>
  </si>
  <si>
    <t>9.29</t>
  </si>
  <si>
    <t>Yes, I have game-related experience from a coursework project where I helped build a Gomoku (Caro) game. My main responsibilities were designing the user interface and debugging the core game logic. Specifically, I fixed logic bugs related to the win, loss, and draw rules. The outcome was a fully functional and playable game with correct rule execution.</t>
  </si>
  <si>
    <t>https://github.com/notDuyLam/DO-AN-CO-CARO</t>
  </si>
  <si>
    <t>14t9z163p2jf2bs14t9z2qabv95c2ba8</t>
  </si>
  <si>
    <t>Nguyễn Nhật Quang</t>
  </si>
  <si>
    <t>quang.nguyen1452000vn@gmail.com</t>
  </si>
  <si>
    <t>+84933376639</t>
  </si>
  <si>
    <t>Em muốn được trải nghiệm cũng như đút kết kinh nghiệm về mảng game.</t>
  </si>
  <si>
    <t>Về vị trí QA, em nghĩ vị trí này sẽ phụ trách về kiểm soát quá trình lập trình game để tìm ra những lỗi đang và có thể phát sinh trong quá trình phát triễn để kịp thời xử lý chúng.</t>
  </si>
  <si>
    <t>Trường đại học Công Nghệ Sydney, UTS</t>
  </si>
  <si>
    <t>Kỹ sư phần mềm</t>
  </si>
  <si>
    <t>7.8</t>
  </si>
  <si>
    <t>17xastfxcq8cc45kv7ick17xasthyz1y</t>
  </si>
  <si>
    <t>Hồ Trọng Nghĩa</t>
  </si>
  <si>
    <t>hotrongnghia310@gmail.com</t>
  </si>
  <si>
    <t>+84966404344</t>
  </si>
  <si>
    <t>Mình muốn được đóng góp cho Sun Studio, ngoài ra học hỏi nhiều hơn về lập trình game, về Unity, và quan trọng nhất là về cách hợp tác, làm việc chung.</t>
  </si>
  <si>
    <t>Mình có kiến thức nền tảng liên quan tới công việc tốt, kèm theo đó là khả năng làm việc trong nhóm và giao tiếp trong lĩnh vực.</t>
  </si>
  <si>
    <t>7.2</t>
  </si>
  <si>
    <t>Làm game VR ngắm bắn mục tiêu đơn giản để học về các hệ thống trong Unity, về hiệu năng và framerate, và API C# để tương tác với các hệ thống và dữ liệu trong Unity.</t>
  </si>
  <si>
    <t>https://www.linkedin.com/in/hotrongnghia/</t>
  </si>
  <si>
    <t>Cảm ơn SUN.STUDIO đã dành thời gian xem qua ứng tuyển của em và mong có thể được gặp gỡ và thực tập với SUN.STUDIO trong thời gian tới.</t>
  </si>
  <si>
    <t>79b2z702ya07z2valrinl79b2wgceepi</t>
  </si>
  <si>
    <t>Vũ Minh Chiến</t>
  </si>
  <si>
    <t>chienvuminhk22us@gmail.com</t>
  </si>
  <si>
    <t>+84387649640</t>
  </si>
  <si>
    <t>What motivates me to apply for the AI Engineering Intern position at SUN.RISER is the opportunity to apply advanced AI techniques to solve real-world challenges in the gaming industry. I am particularly excited about the goal of integrating AI into workflows to accelerate production and enhance game quality, as mentioned in the program.</t>
  </si>
  <si>
    <t>I believe it involves: integrating AI into game development workflows, optimizing game quality and deploying production-ready AI service that can handle real-time interaction in games.
I am a strong fit for this position because of my solid technical foundation and proven ability to deliver production-ready AI systems in my previous internship.</t>
  </si>
  <si>
    <t>8.32</t>
  </si>
  <si>
    <t>When I joined Amiras as an AI Engineer Intern, the company needed to build a RAG chatbot to leverage its internal knowledge base — but there was no foundation at all: no codebase, no pre-defined tech stack, no documentation. I was practically starting from scratch. I spent 4 months to research and learning Typescript (as the company required tech stack consistency) at production level to delivered a complete system.</t>
  </si>
  <si>
    <t>https://github.com/Chien-VuMinh</t>
  </si>
  <si>
    <t>I'm really looking forward to having a chance for further conversation.</t>
  </si>
  <si>
    <t>3u0uomrp7su1mn3u07p6mhgh9oe7pgjz</t>
  </si>
  <si>
    <t>Đinh Thị Thanh Hằng</t>
  </si>
  <si>
    <t>hangthanhdinhthi@gmail.com</t>
  </si>
  <si>
    <t>+84933519727</t>
  </si>
  <si>
    <t>To apply my expertise in user behavior and retention analysis to a massive, fast-paced ecosystem of over 1 billion players. Through my experience at Ahamove and my data projects, I have developed a strong passion for using SQL and Python to uncover behavioral bottlenecks and optimize user journeys—which aligns perfectly with SUN.</t>
  </si>
  <si>
    <t>I believe this role involves analyzing massive player datasets to uncover in-game behavioral patterns, to help the team optimize the overall gaming experience. I am a strong fit I am proactive, 'ownership-driven' mindset, which perfectly aligns with Sun.Studio</t>
  </si>
  <si>
    <t>I have led a team of 3 members to engineer a data pipeline by Pyspark to transform 0.5 million rows of unstructured data into analytics-ready format. I act as the main Data Analyst, diagnosed early-stage user lifecycles and identified a critical retention bottleneck: 34% of the customer base churned
after only 1–2 purchases, highlighting the need for optimized onboarding. I conducted Market Basket Analysis with FP-Growth, and Cohort analysis to identify users' drop-off points, and develop bundling strategies to increase AOV</t>
  </si>
  <si>
    <t>https://github.com/CeciliaDinh</t>
  </si>
  <si>
    <t>I just want to express my genuine enthusiasm for the SUN.RISER program and SUN.STUDIO's vision of creating accessible games for everyone. Your emphasis on the 'Fast' and 'Quality' core values perfectly matches the working style I built during my previous internship. I am fully prepared to commit, learn rapidly, and start my 'rise' together with the SUN.STUDIO team.</t>
  </si>
  <si>
    <t>6g2f8uoi4a9pqsrhw6hioi8k6g2f8uoe</t>
  </si>
  <si>
    <t>Bùi Khánh Duy</t>
  </si>
  <si>
    <t>buikhanhduy13082003@gmail.com</t>
  </si>
  <si>
    <t>+84585089691</t>
  </si>
  <si>
    <t>I am a dedicated person with a genuine passion in game development. I have always wanted to turn game development into a long-term career. So, this position is a great opportunity for me to accomplish that dream.</t>
  </si>
  <si>
    <t>I think this roles will involve developing gameplay mechanics, optimizing game performance and maintaining using Unity. It will also includes collaborating with artists team, designers.
I believe I'm a good fit because I have experience developing my personal game projects with Unity and C#. I am eager to learn new technologies and techniques.</t>
  </si>
  <si>
    <t>Trường Đại Học Công Thương TP.HCM - HUIT</t>
  </si>
  <si>
    <t>I finished my internship as a web developer where I joined a team of five members to develop a website for the company's English language center. My responsibilities included front-end website development and implementing several back-end features as assigned. I scored an 8.0 on the final internship evaluation after the project was successfully finished and deployed for internal usage.</t>
  </si>
  <si>
    <t>https://github.com/kduy138</t>
  </si>
  <si>
    <t>SUN.STUDIO Sunriser internship program has opened a great opportunity for me to be a part of the game industry and to build a long-term career with the company. I will always try to improve my skill through personal game projects, learn new techniques and technologies in game development.
I would be grateful to be a part of SUN.STUDIO
Thank you.</t>
  </si>
  <si>
    <t>dftf78gydbj4gcczgvdftf78un15y7c6</t>
  </si>
  <si>
    <t>Nguyễn Trương Hoàng</t>
  </si>
  <si>
    <t>hoangmcd@gmail.com</t>
  </si>
  <si>
    <t>+84913421855</t>
  </si>
  <si>
    <t>Đó là cơ hội được hiểu sâu cách dữ liệu phản ánh chất lượng và hiệu suất của một tựa game. Em đặc biệt quan tâm đến các mà các chỉ số liên kết với nhau để đưa ra một insight nào đó về một game đang thực sự tốt hay đang gặp vấn đề.</t>
  </si>
  <si>
    <t>Em nghĩ vị trí này sẽ là viết các câu truy vấn SQL để lấy dữ liệu từ BigQuery, xây dựng pipeline transform dữ liệu, phát triển dashboard để phục vụ team khác. 
Em đã xây dựng luồng xử lý dữ liệu tự động với Python và API, cũng như thiết kế dashboard bằng PowerBI khi intern. Em cũng có kiến thức về truy vấn SQL thông qua dự án môn học ở trường.</t>
  </si>
  <si>
    <t>Song ngành Khoa học dữ liệu và Tài chính</t>
  </si>
  <si>
    <t>Trong cuộc thi đó em sẽ đảm nhận nhiệm vụ đọc hiểu, tiền xử lý và phân tích sơ bộ, trích xuất dữ liệu theo yêu cầu từ các bạn làm phần Business và thiết kế dashboard để trình bày. Kết quả của dự án là nhóm em đạt quý quân cuộc thi RMIT business analytics 2026.</t>
  </si>
  <si>
    <t>https://drive.google.com/drive/folders/1-M3xFXu_k2xw-Ne4QYyt4rqBlTKU1cbT?usp=sharing</t>
  </si>
  <si>
    <t>Em hi vọng là chương trình sẽ process theo như đúng timeline cũng như là có thank you letter nếu như em không thể pass được chương trình ạ</t>
  </si>
  <si>
    <t>gj4fx0d89zy7gm7a0xhf9gj4fx0dbdga</t>
  </si>
  <si>
    <t>Phạm Cao Trí</t>
  </si>
  <si>
    <t>caotripham2004@gmail.com</t>
  </si>
  <si>
    <t>+84342871816</t>
  </si>
  <si>
    <t>Mặc dù định hướng data nhưng em rất có hứng thú với thiết kế game và đã từng sử dụng qua Godot Engine để làm game. Vị trí Data Analyst của SUN.RISER là một cơ hội tuyệt vời để vừa học hỏi trau dồi kỹ năng phân tích xử lý dữ liệu, vừa thoả mãn đam mê thiết kế game của em.</t>
  </si>
  <si>
    <t>Thu thập, tổng hợp thành dashboard báo cáo, theo dõi phân tích các chỉ số liên tục và sau mỗi bản cập nhật, đánh giá phản hồi khách hàng của game mới và sau các bản cập nhật, hỗ trợ đưa ra quyết định xoay quanh dữ liệu đó. Em nghĩ mình phù hợp với vị trí này do kiến thức về data lẫn thiết kế game và khảo sát người dùng</t>
  </si>
  <si>
    <t>8.86</t>
  </si>
  <si>
    <t>Trường đại học, Forum UIT</t>
  </si>
  <si>
    <t>Chúc anh / chị có một ngày tốt lành!</t>
  </si>
  <si>
    <t>iicr7qu4s0lqdf2ouiigqqd7wuqdjbmm</t>
  </si>
  <si>
    <t>Tuan Anh Tran</t>
  </si>
  <si>
    <t>trantuananhk4x6@gmail.com</t>
  </si>
  <si>
    <t>+84368757916</t>
  </si>
  <si>
    <t>I am a Computer Science student with a focus on AI, and I have hands-on experience as a QA Tester. This background allows me to understand both system logic and product quality. I am eager to learn, improve my skills, and contribute to the team. I am also attracted to SUN.STUDIO because of its dynamic and growth-oriented environment.</t>
  </si>
  <si>
    <t>I believe this role focuses on testing, improving product quality, and supporting development. I have 6 months of QA experience in AI projects, strong logical thinking, and attention to detail. I am eager to learn and contribute, which makes me a good fit.</t>
  </si>
  <si>
    <t>Yes. I have strong experience working on AI-related systems through both academic projects and practical work. As a Computer Science student focusing on AI, I have built and contributed to projects such as real-time object detection systems and AI-powered interview platforms. Through these, I gained hands-on experience with machine learning models, data processing, and understanding how intelligent systems operate in real-world scenarios.
In addition, I worked as a QA Tester at F5 E-Commerce Technology, where I tested AI systems, virtual assistants, and ERP/CRM platforms. My responsibilities included designing test cases, performing manual testing, analyzing user flows, and tracking bugs. I also tested chatbot responses and AI workflows to ensure accuracy, consistency, and usability from a user perspective.
By combining both AI development knowledge and QA experience, I am able to understand systems from both technical and user perspectives. This allows me not only to detect issues effectively but also to think about how to improve system performance and user experience.
As a result, I contributed to improving system stability, enhancing AI feature quality, and ensuring a more reliable user experience. I believe this combination of AI background and QA mindset makes me a strong fit for roles that require both technical understanding and product quality awareness.</t>
  </si>
  <si>
    <t>https://github.com/Trantuananhk4x6, INTERVIEWAI.VN</t>
  </si>
  <si>
    <t>I would like to express my strong interest in joining SUN.STUDIO. I truly admire the company’s dynamic environment and product-driven mindset. I am eager to learn, take on challenges, and contribute my skills to the team. I hope to grow not only as an intern but also as a long-term contributor to SUN.STUDIO.</t>
  </si>
  <si>
    <t>av1vznqvug0n1flav1vbow4z9bug2qmy</t>
  </si>
  <si>
    <t>Lê Nguyên Khang</t>
  </si>
  <si>
    <t>nguyenkhang170104@gmail.com</t>
  </si>
  <si>
    <t>+84902944859</t>
  </si>
  <si>
    <t>Vì đam mê game và muốn học để có thể hiểu và biết code game. Vì ko được học Unity ở trường nên muốn được intern để có thêm kinh nghiệm</t>
  </si>
  <si>
    <t>Tôi nghĩ vị trí này là làm về dev game, có thể tạo ra game mà mình mong muốn.
Tôi nghĩ tôi phù hợp vì tôi đã có kiến thức lập trình chuyên về mảng Backend, khả năng học hỏi tốt, teamwork tốt và tôi cũng đam mê game.</t>
  </si>
  <si>
    <t>7.5-8.0</t>
  </si>
  <si>
    <t>chưa có kinh nghiệm về dev game</t>
  </si>
  <si>
    <t>không có</t>
  </si>
  <si>
    <t>mình mong sẽ nhận được mail phản hồi process sớm nhất từ bên công ty</t>
  </si>
  <si>
    <t>uztxqvvalzm9k8nbfqwuztxqpi85kcqf</t>
  </si>
  <si>
    <t>Đặng Hoàng Như Thuỷ</t>
  </si>
  <si>
    <t>thuybm02@gmail.com</t>
  </si>
  <si>
    <t>+84768114665</t>
  </si>
  <si>
    <t>Ở đây có thể đào tạo và dệt ước mơ trở thành game designer của em.</t>
  </si>
  <si>
    <t>Xây dựng cơ chế, quy tắc, câu chuyện và trải nghiệm người dùng, giống như làm kiến trúc sư cho game.</t>
  </si>
  <si>
    <t>Thiết kế kịch bản mode chơi Main Story.
Thực hiện các nhiệm vụ thiết kế game: kịch bản, hệ thống, màn chơi, cân bằng, UX Wireframes tiền
tệ, level design, gameplay…</t>
  </si>
  <si>
    <t>https://docs.google.com/document/d/1lUNvJ5kgSAYmrJrSJ9F6KnwofAkloqj7/edit?usp=drivesdk&amp;ouid=110842693275530401308&amp;rtpof=true&amp;sd=true</t>
  </si>
  <si>
    <t>Em mong rằng quý công ty cho em cơ hội để được trở thành thực tập sinh ở công ty.</t>
  </si>
  <si>
    <t>km2qq1g6rf0eygimv6ukm2qqk99gj5fs</t>
  </si>
  <si>
    <t>Châu Mỹ Phương</t>
  </si>
  <si>
    <t>chmfuong@gmail.com</t>
  </si>
  <si>
    <t>+84783555097</t>
  </si>
  <si>
    <t>Tôi không tìm kiếm một vị trí thực tập chỉ để học hỏi, mà tôi tìm kiếm một thử thách thực tế để rèn luyện tư duy phân tích và kỹ năng kỹ thuật của mình để giải quyết các bài toán dữ liệu/hệ thống thực tại SUN.RISER.</t>
  </si>
  <si>
    <t>Ở vị trí này, tôi sẽ đảm nhận việc khai thác dữ liệu để tối ưu hiệu suất hoặc thiết lập bộ lọc logic để đảm bảo chất lượng sản phẩm game, nhằm mang lại trải nghiệm tốt nhất cho người dùng. Tôi phù hợp với SUN.RISER nhờ nền tảng MIS vững chắc, khả năng sử dụng thành thạo SQL/Python và kinh nghiệm thực chiến với các hệ thống phức tạp như ERP.</t>
  </si>
  <si>
    <t>HSU – Trường Đại học Hoa Sen</t>
  </si>
  <si>
    <t>Hệ thống thông tin quản lý</t>
  </si>
  <si>
    <t>Hiện tại chưa có những dự án liên quan đến game nhưng rất mong muốn có cơ hội được thực tập. Tôi có vài project liên quan đến DA và programming tại https://github.com/chaumyphuong?tab=repositories</t>
  </si>
  <si>
    <t>https://github.com/chaumyphuong?tab=repositories</t>
  </si>
  <si>
    <t>Tôi rất đam mê với game và mong muốn có thể làm việc theo lĩnh vực này</t>
  </si>
  <si>
    <t>qvk19lstv9vc1szg9ljikqvk19l8djz4</t>
  </si>
  <si>
    <t>Nguyễn Vạn Xuân</t>
  </si>
  <si>
    <t>xuan.nguyenvanxuaniq2@hcmut.edu.vn</t>
  </si>
  <si>
    <t>+84944386941</t>
  </si>
  <si>
    <t>Từ lâu em đã luôn tìm kiếm 1 cơ hội để có thể làm game và thực hiện ước mơ và sun riser đến với em như một sự tình cờ để em có thể viết tiếp nó</t>
  </si>
  <si>
    <t>Lên ý tưởng thực hiện ý tưởng và làm cho nó thực thi được để mọi người có thể chơi thử nó</t>
  </si>
  <si>
    <t>-Đầu tiên là về sokoban thì mục tiêu của nó là hiện thực 1 màn chơi với mục tiêu là đẩy thùng đúng ô đồng thời hiện thực giải thuật tìm đường đi để tự giải nó
-Trò chơi thứ 2 là cờ vua thực hiện 2 model AI để chơi thử</t>
  </si>
  <si>
    <t>https://github.com/xuanday/Sokoban-project</t>
  </si>
  <si>
    <t>Chúc công ty ngày càng thành công</t>
  </si>
  <si>
    <t>yw76jal0l3clzxxd0k5myw76jalg6qcp</t>
  </si>
  <si>
    <t>Đoàn Hồng Bảo</t>
  </si>
  <si>
    <t>doanhongbao9a@gmail.com</t>
  </si>
  <si>
    <t>+84814474321</t>
  </si>
  <si>
    <t>I’m motivated to apply for this position at SUN.RISER because I’m looking for an environment where I can both strengthen my technical foundation and contribute to real-world products.</t>
  </si>
  <si>
    <t>I believe I’m a good fit because I have a strong foundation in algorithms and hands-on experience with AI projects. I’ve worked on problems like sleep stage classification and object detection, where I not only focused on model performance but also on how the solution can be applied in practice.</t>
  </si>
  <si>
    <t>8.28</t>
  </si>
  <si>
    <t>I developed a farming simulation game using Pygame, where I implemented core gameplay mechanics such as character movement, interaction systems, and basic game logic. I used visual assets from itch.io and focused on integrating them into a consistent game environment. My role involved designing the game structure, handling game states, and ensuring smooth user interaction. Through this project, I improved my programming skills, problem-solving ability, and understanding of game development workflows.</t>
  </si>
  <si>
    <t>https://github.com/DOANHONGBAO/NongTraiVuiVe</t>
  </si>
  <si>
    <t>I’m eager to learn, contribute, and grow while helping build meaningful and engaging products at SUN.STUDIO.</t>
  </si>
  <si>
    <t>vcgkhfwfg5vhuuc35lvcgkhrf61hv6kj</t>
  </si>
  <si>
    <t>Phạm Huỳnh Tấn</t>
  </si>
  <si>
    <t>phamhuynh.tan04@gmail.com</t>
  </si>
  <si>
    <t>+84943402253</t>
  </si>
  <si>
    <t>Tôi muốn nâng cao kĩ năng của bản thân trước khi ra trường đồng thời tôi cũng mong muốn góp phần cho sự phát triển của công ty</t>
  </si>
  <si>
    <t>Ở vị trí AI Engineering đó là tôi sẽ tìm hiểu các quy trình làm việc của các team sau đó sử dụng những model AI agent hiện nay ví dụ như claude hay chatgpt ( CodeX ) thay thế cho những công việc thủ công đó hoặc là giảm thiểu thời gian làm những công việc thủ công đấy với độ chính xác cao hơn và xây dựng ChatBot RAG để xử lý thông tin nội bộ</t>
  </si>
  <si>
    <t>7.88 ( 3.15 trên thang 4 )</t>
  </si>
  <si>
    <t>Tôi có 1 dự án cá nhân đó là clone lại con game KitchenChaos của youtuber Code monkey nó là thể loại cooking simulation kết hợp multiplayer có thể chơi với bạn bè</t>
  </si>
  <si>
    <t>https://github.com/phtan2005/Anime-recommendation-system-project</t>
  </si>
  <si>
    <t>Tôi mong bản thân sẽ có 1 cơ hội và tôi hứa bản thân sẽ làm tốt nhất khi có được cơ hội này ,đồng thời nếu bản thân tôi có thiếu sót tôi sẽ sửa chữa và cải thiện</t>
  </si>
  <si>
    <t>rqtlcyhb47fab7qrjkzrqtcbeo50q2cz</t>
  </si>
  <si>
    <t>Nguyễn Thế Anh</t>
  </si>
  <si>
    <t>ngtanh1308@gmail.com</t>
  </si>
  <si>
    <t>+84356147177</t>
  </si>
  <si>
    <t>SUN.RISER's creative vision motivates me to apply my Game Dev background professionally. Having built 2D Unity titles using C# and OOP, I am eager to contribute my strong technical foundation, clean code, and passion for engaging game mechanics to your upcoming projects.</t>
  </si>
  <si>
    <t>This role involves writing C# logic, implementing mechanics, and optimizing Unity games. I believe I fit well because my HCMUT background and hands-on Unity experience provide strong OOP skills. Having built custom physics and led dev teams, I can effectively translate designs into high-quality code.</t>
  </si>
  <si>
    <t>During my Game Development concentration at Ho Chi Minh City University of Technology (HCMUT), I acted as the Team Lead for several high-intensity projects:
- Infinite Flyer (2D Game Development Coursework): I directed a 4-person team to deliver a complete, dual-mode 2D game. My primary responsibilities included managing Git version control and conducting code reviews to maintain a cohesive Finite State Machine (FSM) architecture. I personally engineered the custom gravity-flipping physics and efficient sprite management.
- Local Multiplayer Tank Battle (Academic Project): I led the development of a competitive local multiplayer game, focusing on vector-based physics and pixel-perfect mask collision systems to ensure smooth performance during high-action gameplay.
To supplement my academic foundation, I have completed several personal projects using Unity and C#:
- Laser Defender: I developed this 2D shooter to master core Object-Oriented Programming (OOP) principles, implementing a modular wave spawning system and an Object Pool for projectiles to optimize performance. I utilized Singletons for persistent state management to create a polished, "market-ready" feel.
- TileVania: I engineered this 2D platformer to focus on environmental interaction using Unity’s Tilemap system, utilizing Rule Tiles and Layer Masks to create complex, collision-aware level layouts. I implemented a robust C# player controller featuring multi-state mechanics and trigger-based logic to ensure a cohesive, bug-free gameplay experience.
Project Outcomes
These experiences have resulted in a strong technical foundation in C# and Python and a proven ability to lead multi-person teams to deliver functional, high-performance software. I am comfortable bridging the gap between design and code to produce clean, maintainable systems for professional-grade games.</t>
  </si>
  <si>
    <t>My projects at HCMUT: https://github.com/hachiware-the-dreamer/LapTrinhGame</t>
  </si>
  <si>
    <t>Beyond my technical skills, I bring an IELTS 8.0 English proficiency, making me fully equipped for collaboration in international team environments. I am a proactive learner who values clean code and constructive feedback. I am eager to align my development habits with SUN.STUDIO’s professional standards and contribute to the team's long-term success.</t>
  </si>
  <si>
    <t>5qrp61qi9ra8jw5qrp65ua78rv0m5o1u</t>
  </si>
  <si>
    <t>Nguyễn Đặng Minh Duy</t>
  </si>
  <si>
    <t>mduy88201010@gmail.com</t>
  </si>
  <si>
    <t>+84886432119</t>
  </si>
  <si>
    <t>This position helps me to develop in-depth knowledge about both AI engineering and game development. I’m motivated by the chance to work in a professional team where I can learn from experienced engineers, contribute to meaningful projects, and continuously improve myself.</t>
  </si>
  <si>
    <t>I believe an AI Engineer role involves not only building machine learning models but also taking responsibility for the entire pipeline from data preprocessing and model training to evaluation and deployment.
I believe I am a good fit for this role because I have a strong foundation in machine learning and have worked on project using models</t>
  </si>
  <si>
    <t>Công nghệ thông tin (CLC) chuyên ngành Công nghệ tri thức</t>
  </si>
  <si>
    <t>https://github.com/Alterix53</t>
  </si>
  <si>
    <t>Thank you very much for the opportunity to join your company. I truly appreciate the chance and am excited about the possibility of contributing to your team.</t>
  </si>
  <si>
    <t>v2htaq1fvhirqs37fagxzv2htucvxitq</t>
  </si>
  <si>
    <t>Nguyễn Quốc Anh Quân</t>
  </si>
  <si>
    <t>nguyenquocanhquangl@gmail.com</t>
  </si>
  <si>
    <t>+84336437356</t>
  </si>
  <si>
    <t>Em chọn vị trí này vì đam mê biến ý tưởng sáng tạo thành những cơ chế game logic và lôi cuốn.</t>
  </si>
  <si>
    <t>Em nghĩ vị trí này sẽ lên kế hoạch và sắp đặt mọi quy tắc, thử thách và phần thưởng để dẫn dắt người chơi trải qua một cuộc hành trình cảm xúc có chủ đích, đồng thời thời phối hợp cùng các bộ phận khác để hiện thực hóa các nội dung đó vào sản phẩm.
Là một người yêu thích game, và mong muốn được góp phần tạo ra các tựa game lôi cuốn cho người chơi.</t>
  </si>
  <si>
    <t>Công nghệ phần mềm</t>
  </si>
  <si>
    <t>Bài tập: Thiết kế chế độ Tower Defense
Nội dung thực hiện: 
- Xây dựng cơ chế thủ thành, thu thập tài nguyên và thăng cấp nhân vật.
- Lập bảng cân bằng cho hệ thống quái vật, Boss và lộ trình 20 đợt tấn công.
- Xây dựng hệ thống Buff Roguelike và Cây kỹ năng để tăng tính chiến thuật.</t>
  </si>
  <si>
    <t>https://docs.google.com/spreadsheets/d/1ECnHCKTiqNeS68UvrZ8GpTwlecUwfbSacd0VvdFHQf4/edit?usp=sharing</t>
  </si>
  <si>
    <t>Em mong có cơ hội học hỏi từ đội ngũ giàu kinh nghiệm của công ty, và hy vọng rằng có thể mang lại đóng góp bằng sự chăm chỉ và khả năng hỗ trợ tốt trong các công việc liên quan đến thiết kế nội dung game.</t>
  </si>
  <si>
    <t>okbbmhp528uvjcbexnokbbmhf61ne8ih</t>
  </si>
  <si>
    <t>minh2508tv@gmail.com</t>
  </si>
  <si>
    <t>+84345383575</t>
  </si>
  <si>
    <t>I’m interested in this position because it focuses on applying AI to real workflows and solving practical problems.
I enjoy building AI systems that reduce manual work, so I’m excited to contribute to improving efficiency at SUN.STUDIO.</t>
  </si>
  <si>
    <t>I believe this role focuses on analyzing workflows and building AI solutions to automate and optimize processes. I’m a good fit because I’ve built end-to-end AI pipelines and enjoy solving real-world problems with practical systems</t>
  </si>
  <si>
    <t>Software engineer</t>
  </si>
  <si>
    <t>I have worked on AI projects like document intelligence and retrieval systems, focusing on reducing manual work and improving efficiency. I also built recommendation and search pipelines, gaining experience in end-to-end AI system development.</t>
  </si>
  <si>
    <t>GitHub: https://github.com/nhatminh280  Related Projects:  Heartify — Document Intelligence &amp; Retrieval System E-commerce Hybrid Retrieval &amp; Recommendation System Video Object Retrieval System — Champion AI Contest PTIT</t>
  </si>
  <si>
    <t>Nhân viên công ty giới thiệu, SUN.STUDIO LinkedIn</t>
  </si>
  <si>
    <t>Phạm Hùng Thiên</t>
  </si>
  <si>
    <t>I’m really interested in applying AI to real business workflows and creating practical impact.
I may not have direct experience in game development yet, but I’m eager to learn quickly and contribute by building AI solutions that improve efficiency across teams.
I’m also looking for an environment where I can grow through real problems and collaborate with others to build meaningful products.</t>
  </si>
  <si>
    <t>3fqur708hnoqedc3fqt4vzqyb857hcho</t>
  </si>
  <si>
    <t>Nguyễn Võ Ngọc Bảo</t>
  </si>
  <si>
    <t>contact.adamnguyen@gmail.com</t>
  </si>
  <si>
    <t>+84329501759</t>
  </si>
  <si>
    <t>My motivation for choosing the Unity Development Intern position in SUN.RISER comes from my passion for game development and my desire to work on real game products. I want to improve my Unity/C# skills, learn from experienced developers, and contribute to creating better gameplay experiences for players.</t>
  </si>
  <si>
    <t>I think this role involves building gameplay features in Unity, writing C# code, fixing bugs, and working with Game Designers and QA to improve the player experience. I believe I am a good fit because I have Unity/C# experience, basic game development knowledge, and a strong willingness to learn and contribute to real projects.</t>
  </si>
  <si>
    <t>Information Systems &amp; Computer Science</t>
  </si>
  <si>
    <t>7.74</t>
  </si>
  <si>
    <t>Yes. I developed Unity 2D platformer projects such as Celeste 2D Lite and Super Mario Bros 2D. My roles included implementing player controls, movement, jumping, dash/wall mechanics, checkpoints, UI, audio and VFX. The outcomes were playable PC game prototypes with core gameplay systems completed.</t>
  </si>
  <si>
    <t>https://github.com/AdamNbz/celeste-2d-pc-version</t>
  </si>
  <si>
    <t>I would like to thank SUN.STUDIO for creating the SUN.RISER program and giving students the opportunity to learn from real game projects. I am excited about the chance to grow in a professional game studio, contribute with my skills, and keep improving to become a better Game Developer.</t>
  </si>
  <si>
    <t>9ckwu217hg65rz5a8dty9ckwu21oq0qd</t>
  </si>
  <si>
    <t>Bùi Đình An Lộc</t>
  </si>
  <si>
    <t>locbuidinhan@gmail.com</t>
  </si>
  <si>
    <t>+84367937626</t>
  </si>
  <si>
    <t>I chose this position because I want to understand software quality from a testing perspective, as testing is an essential part of the software development lifecycle. I am interested in how products are validated, how issues are identified early, and how testing contributes to delivering a stable and reliable user experience.</t>
  </si>
  <si>
    <t>This role involves testing features, finding bugs, and ensuring the product works correctly before release. I believe I’m a good fit because I understand how systems work, pay attention to detail, and can clearly identify and communicate issues.</t>
  </si>
  <si>
    <t>7.33</t>
  </si>
  <si>
    <t>I have experience through my projects, particularly a full-stack web application (StayHub), where I developed features and worked with system workflows and APIs. During development, I frequently tested different scenarios, checked data flows, and identified issues in feature interactions.
This helped me build a habit of analyzing system behavior, detecting edge cases, and ensuring features work correctly, which I believe is relevant to QA and game testing.</t>
  </si>
  <si>
    <t>https://github.com/locbuidinhan/StayHub</t>
  </si>
  <si>
    <t>I am very interested in learning how QA is applied in real game products and how teams ensure quality at scale. I’m eager to contribute, learn quickly from feedback, and take responsibility for my work. I also enjoy analyzing systems and identifying edge cases, and I hope to grow further in a structured QA environment like SUN.RISER.</t>
  </si>
  <si>
    <t>7vw42jyingclrjqaa33ad7vw42jyaj0o</t>
  </si>
  <si>
    <t>Lê Thành Công</t>
  </si>
  <si>
    <t>lethanhcong.work@gmail.com</t>
  </si>
  <si>
    <t>+84772017159</t>
  </si>
  <si>
    <t>Leveraging a solid background in Unity development, I aim to excel as a Game QA at SUN.STUDIO. I thrive in cross-functional environments where I can bridge the gap between Dev, Design, and Art teams through clear communication and proactive problem-solving. I am committed to evolving from a SUN.RISER into a key guardian of your game's integrity.</t>
  </si>
  <si>
    <t>I see this role as the vital link between development, design, and player experience. Combining my Software Engineering foundation with a sharp eye for detail, I bring a technical mindset to identify systemic issues and ensure seamless communication across teams to deliver a polished, high-quality game.</t>
  </si>
  <si>
    <t>FPT - Trường đại học FPT - TP.HCM</t>
  </si>
  <si>
    <t>8.4/4</t>
  </si>
  <si>
    <t>In the "Surf n' Survive" project, I served as Team Lead, coordinating a group of 6 people and directly programming the gameplay. A notable achievement was that the project made it to the Top 37 of Vietnam GameVerse 2025 and was exhibited at the FPT Meta Art Spring 2025 exhibition.</t>
  </si>
  <si>
    <t>https://github.com/LeThanhCong1506</t>
  </si>
  <si>
    <t>I would like to express my sincere gratitude to SUN.STUDIO for creating the SUN.RISER program. It is an invaluable opportunity for me to learn from industry experts and contribute my skills to the studio's creative journey. I am truly excited about the possibility of joining your team.</t>
  </si>
  <si>
    <t>lifxhn0611bpy5jyq9rilifxhzw9z4g5</t>
  </si>
  <si>
    <t>Nguyễn Vũ Thuỳ Trâm</t>
  </si>
  <si>
    <t>tram10102005@gmail.com</t>
  </si>
  <si>
    <t>+84914832707</t>
  </si>
  <si>
    <t>I decide to choose Data Analysis position in SUN.RISER because SUN.STUDIO gives me the opportunity to work with such a diverse dataset in the gaming field. Besides, the company also provides a clear path to becoming a full-time employee. This demonstrates that the company invests in intern’s development - exactly what i’m looking for.</t>
  </si>
  <si>
    <t>This role need to query and explore data about game products in BigQuery, optimize transformation pipelines, create interactive dashboards to present insights and analysis performance, track metric and make reports about data logic and insights. I’m familiar with building data pipelines, performing data cleaning and modeling.</t>
  </si>
  <si>
    <t>I haven’t  had experience in the gaming field yet, but i’m interested in it and willing to learn quickly to adapt to the role.</t>
  </si>
  <si>
    <t>https://github.com/NguyenTram05</t>
  </si>
  <si>
    <t>Currently, there are few internship programs like this one on the job market. So, i hope SUN.STUDIO can develop more programs like this so that students have opportunities to experience real-world project and gain a more comprehensive understanding instead of just theoretical knowledge. This is just my opinion. Thank you very much for your listening.</t>
  </si>
  <si>
    <t>gi44ckiups6tu9v41rgi44ckily0n41q</t>
  </si>
  <si>
    <t>Nguyễn Tấn Thành</t>
  </si>
  <si>
    <t>nguyentanthanh06072007@gmail.com</t>
  </si>
  <si>
    <t>+84906433607</t>
  </si>
  <si>
    <t>Tôi là một người có niềm đam mê mạnh mẽ ở mảng game, từ việc chơi game, xem streamer đến mò mẫm những bài phân tích game. Vì thế, với kiến thức và kĩ năng của một người sinh viên truyền thông, tôi mong muốn được cống hiến sức lực của mình ở một môi trường mà mình đam mê. Vì thế, 2 nguyện vọng tôi chọn có nhiều sự  tương thích với tôi nhất.</t>
  </si>
  <si>
    <t>Thu hút người chơi mới thông qua các chiến dịch quảng cáo trả phí trên mạng xã hội, chịu trách nhiệm lên ý tưởng và trực tiếp sản xuất các nội dung sáng tạo để tối ưu hóa tỷ lệ người dùng tải game, theo dõi số liệu và cập nhật xu hướng thị trường để điều chỉnh các mẫu quảng cáo đạt hiệu quả cao nhất.</t>
  </si>
  <si>
    <t>Year 1 / Năm 1</t>
  </si>
  <si>
    <t>Truyền thông đa phương tiên</t>
  </si>
  <si>
    <t>3.69</t>
  </si>
  <si>
    <t>- Dự án Nhiếp ảnh "Dương Gian" (Đồ án môn học).
- Vai trò: Đảm nhiệm vị trí Thiết kế Album và Hậu kỳ hình ảnh, ứng dụng nghệ thuật "Khảm xà cừ" truyền thống vào bố cục đồ họa.
- Kết quả: Đạt 9.7 điểm (cao nhất lớp) và được đánh giá là đồ án xuất sắc nhất.</t>
  </si>
  <si>
    <t>https://drive.google.com/file/d/1qqdBeuUmqDAp_XIHDgG_gp09iZABrbUX/view?usp=sharing</t>
  </si>
  <si>
    <t>Dù đang là sinh viên năm nhất với những bước đi đầu tiên từ các hoạt động cộng tác viên và phong trào, em tự tin vào tư duy sáng tạo và khả năng tự học của mình. Em không ngại lăn xả để mài giũa kỹ năng và tin rằng sự quyết liệt, tận tâm của mình sẽ mang lại giá trị cho SUN.STUDIO. Rất mong Studio sẽ cho em một cơ hội được bắt đầu và cống hiến hết mình tại đây ạ!</t>
  </si>
  <si>
    <t>4lat8oqeam0f9pd23p2iqmrw4lat8oqe</t>
  </si>
  <si>
    <t>Nguyễn Mai Phương</t>
  </si>
  <si>
    <t>phuongnmp24419@gmail.com</t>
  </si>
  <si>
    <t>+84869123103</t>
  </si>
  <si>
    <t>My marketing background, data analysis experience with SmartPLS, Excel and content strategy work across multiple brands align perfectly with SUN.RISER's UA focus. I'm driven by the challenge of combining creativity with data to scale mobile products and SUN.RISER feels like the ideal environment to grow in that direction.</t>
  </si>
  <si>
    <t>This role involves managing user acquisition campaigns, analyzing performance data and testing innovative content to increase mobile game user numbers. My experience managing 7 social media channels, creating viral content and analyzing data using Excel gives me confidence that I can make an effective contribution in a relatively short period.</t>
  </si>
  <si>
    <t>I don't have direct game industry experience, but my background in social media management, viral content creation and data analysis transfers well to UA marketing. I'm a fast learner who's genuinely passionate about mobile games and I'm committed to quickly closing that knowledge gap.</t>
  </si>
  <si>
    <t>https://trianthach0311.my.canva.site/nguyenmaiphuong</t>
  </si>
  <si>
    <t>I'm genuinely excited about this opportunity. Though I'm new to the game industry, I bring a strong work ethic, reflected in my scholarship record and highest-scoring thesis. I learn fast, embrace challenges and am committed to growing with SUN.STUDIO long-term.</t>
  </si>
  <si>
    <t>kinz31wj115uw02z4fplkinz348bclle</t>
  </si>
  <si>
    <t>Nguyễn Hồng Luân</t>
  </si>
  <si>
    <t>hongluan208@gmail.com</t>
  </si>
  <si>
    <t>+84325958250</t>
  </si>
  <si>
    <t>Có niềm đam mê về game và cảm thấy khó chịu khi nó bị lỗi</t>
  </si>
  <si>
    <t>Vị trí này sẽ tìm và ngăn chặn các lỗi có thể xảy ra trong game, Mình cảm thấy phù hợp với vị trí này vì mình là một người đam mê về game và khó chịu khi nó bị lỗi hoặc vấn đề gì khác</t>
  </si>
  <si>
    <t>Phát Triển Phần Mềm</t>
  </si>
  <si>
    <t>Từng thực hiện test game 2D nó dạng giống như trò Mario</t>
  </si>
  <si>
    <t>Vì lí do bảng quyền nên mình không thể public được</t>
  </si>
  <si>
    <t>Rất mong được đồng hành và cống hiến cùng quý công ty.</t>
  </si>
  <si>
    <t>a4tkmj14t8zzmgps9d7a4tkmjn4tdisp</t>
  </si>
  <si>
    <t>Phạm Anh Đức</t>
  </si>
  <si>
    <t>hsganh1508@gmail.com</t>
  </si>
  <si>
    <t>+84823083259</t>
  </si>
  <si>
    <t>Tôi bị ấn tượng bởi những gì mà công ty đã và đang làm được, một môi trường tuyệt vời để tôi có thể phát triển hơn trong sự nghiệp. Tôi cảm thấy rằng mình đủ tư duy và thái độ để cống hiến cho một công ty lớn và có tiếng như SUN.RISER. Đây là một cơ hội mà tôi không thể bỏ lỡ để được phát triển năng lực cũng như đóng góp cho công ty.</t>
  </si>
  <si>
    <t>GAME UA sẽ thu hút những game thủ cài đặt, đăng ký hoặc chơi game thông qua các hoạt động quảng cáo, marketing, và tôi có kinh nghiệm thiết kế những Social Post để quảng bá cho game. 
Game Design thì phụ trách sáng tạo và phát triển mọi khía cạnh trong game. Tôi được theo học ngành Nghệ thuật số và cũng có kinh nghiệm thiết kế nhân vật, bối cảnh.</t>
  </si>
  <si>
    <t>Digital Art - Nghệ thuật số</t>
  </si>
  <si>
    <t>Tôi từng phụ trách xây dựng kênh Tiktok về một tựa game MOBA trên điện thoại, nhằm marketing và thu hút thêm user cho game.</t>
  </si>
  <si>
    <t>https://www.behance.net/anhcphm2</t>
  </si>
  <si>
    <t>Tôi đồng ý và tôi sẵn sàng có thể thực tập nhiều hơn, vì tôi ưu tiên phát triển kỹ năng và kinh nghiệm hơn là những yếu tố khác.</t>
  </si>
  <si>
    <t>Tôi sẵn sàng đồng ý.</t>
  </si>
  <si>
    <t>Dù kết quả có như thế nào thì tôi chúc cho công ty SUN.STUDIO sẽ luôn luôn thành công như những gì đã làm và sẽ gặt hái những vinh quang nhiều hơn trong tương lai. Những gì công ty đã và đang làm thực sự rất tuyệt vời và truyền cảm hứng cho nhiều thế hệ như tôi.</t>
  </si>
  <si>
    <t>kvtq18fp79sacpr348mmkvtqn9jvled1</t>
  </si>
  <si>
    <t>Hoàng Thanh Lâm</t>
  </si>
  <si>
    <t>lamhoang16102002@gmail.com</t>
  </si>
  <si>
    <t>+84772731783</t>
  </si>
  <si>
    <t>I’m interested in SUN.RISER because it focuses on applying AI to real workflows. I enjoy building practical AI solutions like pipelines and automation, and I’d like to grow more with LLM systems in a real working environment.</t>
  </si>
  <si>
    <t>I think this role focuses on using AI, especially LLMs, to optimize workflows and automate tasks. It involves prompt design and building simple AI pipelines.
I’m a good fit because I have experience building multi-step AI pipelines and working with structured data.</t>
  </si>
  <si>
    <t>7.22</t>
  </si>
  <si>
    <t>I don’t have direct game development experience, but I have worked on AI projects in computer vision and OCR, focusing on building pipelines and improving performance. I believe these skills can be applied to game-related systems.</t>
  </si>
  <si>
    <t>https://github.com/jin0507/OCR-Cosmetic-Ingredients</t>
  </si>
  <si>
    <t>I’m really interested in applying AI to real products and learning how to build practical systems that create impact. I’m eager to learn, adapt quickly, and contribute to improving workflows through AI at SUN.STUDIO.</t>
  </si>
  <si>
    <t>hqj9rasj9946tv20ut5hqj9r4q71p7q4</t>
  </si>
  <si>
    <t>Nguyễn Hữu Tuấn Tú</t>
  </si>
  <si>
    <t>tuantuhuunguyen.work@gmail.com</t>
  </si>
  <si>
    <t>+84376261382</t>
  </si>
  <si>
    <t>Được đào tạo về kỹ năng, tư duy theo quy trình quy chuẩn trong ngành. Được gặp gỡ và học hỏi từ đội ngũ thực chiến nhiều kinh nghiệm để tương lai tạo ra đóng góp giá trị cho công ty.</t>
  </si>
  <si>
    <t>Vị trí này sẽ làm là lập trình các tính năng gameplay theo đúng thời hạn và thông số theo tài liệu thiết kế. Đọc hiểu code nguồn có sẵn, debug và tối ưu hoá hiệu suất, tích hợp các hệ thống liên quan. Lý do phù hợp là theo con đường làm game lâu dài, vị trí này sẽ giúp theo đúng quy trình, làm việc với team thực tế và phát triển nhanh hơn.</t>
  </si>
  <si>
    <t>Kỹ Thuật Phần Mềm</t>
  </si>
  <si>
    <t>Mình đã tham gia gamejam làm game trong 3 ngày ( Winter MelonJam 2025) với 3 bạn khác với vai trò là Unity Dev. Theme của jam đợt đó là "Mask" (mặt nạ) nên mình và team bàn và chốt ý tưởng về chú hề có mặt nạ dịch chuyển giữa hiện tại và quá khứ để giải đố và qua màn. Team gồm có 1 bạn Audio ở Anh, 1 Artist và 1 Dev ở Mỹ và mình. Nên team thống nhất là 2 Dev sẽ làm việc "cuốn chiếu". Trong dự án mình đã thực hiện gameManager để quản lý trạng thái trò chơi, ứng dụng Observer để thông báo cho các component khác khi state thay đổi, hệ thống di chuyển ứng dụng statemachine để thay đổi animation, tạo game UI và import art của bạn Artist vào engine và polish lại game cho kịp giờ nộp.
Kết quả của gamejam mình đạt 88/189. (https://itch.io/jam/wmj2025/rate/4156213).
Tham gia Winter MelonJam 2025 giúp mình học được cách làm việc nhóm hiệu quả trong thời gian rất ngắn, ưu tiên hoàn thiện core gameplay và phối hợp tốt giữa code, art, audio trong một dự án thực tế. Qua đó, mình cũng rút ra kinh nghiệm về cách tổ chức hệ thống trong Unity như GameManager, Observer và State Machine để game dễ mở rộng, dễ bảo trì và kịp tiến độ.</t>
  </si>
  <si>
    <t>https://akkii0609.itch.io/washed-up-clown</t>
  </si>
  <si>
    <t>Em rất mong có cơ hội được học hỏi và phát triển cùng SUN.STUDIO. Em hy vọng sẽ được đóng góp bằng tinh thần chủ động, trách nhiệm và sự nghiêm túc trong công việc, đồng thời tiếp thu thêm kinh nghiệm từ anh/chị và team để ngày càng hoàn thiện bản thân hơn trong vai trò Unity Developer.</t>
  </si>
  <si>
    <t>65mcd53mk810n65mcd5ibeifcdyahfmh</t>
  </si>
  <si>
    <t>Truong Quang Nghia</t>
  </si>
  <si>
    <t>nghiatruong1.dev@gmail.com</t>
  </si>
  <si>
    <t>+84918428711</t>
  </si>
  <si>
    <t>To explore, to learn and to fulfil my desire to work in the game industry. I love games, and it always will be. Every time I play a game, I think about its mechanical brilliance and always dream of designing one myself. I also love programming and I would like to take this opportunity to explore more aspects of it.</t>
  </si>
  <si>
    <t>I think my duties are to learn the responsibilities and skills required to design and implement a vision into a working video game. I believe that my excellent communication, teamwork, and creative skills will bring fresh ideas to the teams</t>
  </si>
  <si>
    <t>quanghia.dev</t>
  </si>
  <si>
    <t>I hope I can bring my experience to work with the team.</t>
  </si>
  <si>
    <t>8tljyn31ip411dcy6kx8tljyn31f30cn</t>
  </si>
  <si>
    <t>NGO QUANG MINH</t>
  </si>
  <si>
    <t>quangminh.it.59@gmail.com</t>
  </si>
  <si>
    <t>+84384194364</t>
  </si>
  <si>
    <t>Tôi chọn vị trí này tại SUN.RISER vì khao khát được áp dụng chuyên môn AI và Full-stack vào các dự án thực tế, đồng thời phát triển trong môi trường công nghệ đột phá.</t>
  </si>
  <si>
    <t>Phát triển mô hình: Thiết kế, huấn luyện và tối ưu hóa các thuật toán học máy (Machine Learning) và học sâu (Deep Learning).
Triển khai thực tế: Tích hợp các mô hình AI vào hệ thống phần mềm, đảm bảo khả năng hoạt động ổn định và hiệu quả trên hạ tầng cloud hoặc edge.
Xử lý dữ liệu: Xây dựng quy trình xử lý dữ liệu lớn để cải thiện độ chính xác</t>
  </si>
  <si>
    <t>Đồ án Find Anyone Online là một hệ thống nhận diện khuôn mặt thông minh với các thông tin chi tiết sau:
    Công nghệ sử dụng: Kết hợp sức mạnh của CNN (FaceNet) để trích xuất vector đặc trưng cao chiều cùng khung phát triển Spring Boot (Backend) và ReactJS (Frontend). Hệ thống được đóng gói bằng Docker để tối ưu hóa việc triển khai.
Giải quyết vấn đề: Xây dựng một quy trình nhận diện khuôn mặt tự động, tích hợp mô hình Machine Learning trực tiếp vào ứng dụng web để xử lý dữ liệu hình ảnh và tìm kiếm danh tính người dùng dựa trên đặc trưng khuôn mặt.
Kết quả đạt được: Tối ưu hóa thành công mô hình để đạt khả năng nhận diện khuôn mặt chính xác trong thời gian thực.</t>
  </si>
  <si>
    <t>https://my-portfolio-seven-blond-96.vercel.app/</t>
  </si>
  <si>
    <t>Với niềm đam mê lớn dành cho AI và kinh nghiệm thực chiến trong việc triển khai các mô hình Deep Learning lên hạ tầng Cloud, tôi mong muốn mang tư duy sáng tạo và khả năng giải quyết vấn đề để cùng SUN.STUDIO tạo ra những giải pháp đột phá, đóng góp vào sự phát triển công nghệ bền vững của công ty.</t>
  </si>
  <si>
    <t>acflzqukf4bbmq1hacfl8bbuzwsp84vt</t>
  </si>
  <si>
    <t>Nguyễn Thị Như Quỳnh</t>
  </si>
  <si>
    <t>nhuquynhnguyenthi709@gmail.com</t>
  </si>
  <si>
    <t>+84707982939</t>
  </si>
  <si>
    <t>I am motivated to join SUN.RISER because it aligns with my goal of becoming a QA Engineer in a product-driven environment. I am interested in game testing, especially ensuring quality in game logic, UI, and user experience.
With my knowledge of test cases, bug reporting, and functional testing, I believe I can contribute while learning quickly. I</t>
  </si>
  <si>
    <t>I understand that this role involves executing test cases, identifying and reporting bugs, supporting regression testing, and collaborating with the team to ensure game quality before release.
I believe I am a good fit because I have a strong foundation in software testing, including test case design and bug reporting.</t>
  </si>
  <si>
    <t>I have experience in software testing through projects like a social networking app and an e-commerce system. I worked on test case design, bug reporting, regression testing, and data validation using SQL, and also applied automation testing with Selenium and Robot Framework.
Although I have not worked on a game project yet, I have a strong foundation in QA and a user-focused mindset, and I am eager to apply these skills to game testing.</t>
  </si>
  <si>
    <t>https://github.com/nwyn-07, https://bit.ly/4dvlHo5, https://bit.ly/4meA9D6</t>
  </si>
  <si>
    <t>I would like to express my strong interest in joining SUN.STUDIO and contributing to delivering high-quality game experiences to users.
Although I am still at the early stage of my career, I am highly motivated, detail-oriented, and always eager to learn. I enjoy testing from a user’s perspective, especially identifying issues that can impact user experience and product quality.
I am also willing to take ownership of my tasks, actively seek feedback, and continuously improve my skills. I believe that with the right guidance and a collaborative environment at SUN.STUDIO, I can grow quickly and contribute effectively to the team.
Thank you for considering my application. I look forward to the opportunity to learn and contribute.</t>
  </si>
  <si>
    <t>dxk14zfoszogbdxk14fi02ye3wf8g0ja</t>
  </si>
  <si>
    <t>Nguyễn Khải</t>
  </si>
  <si>
    <t>nguyenkhai1470@gmail.com</t>
  </si>
  <si>
    <t>+84858561490</t>
  </si>
  <si>
    <t>My motivation stems from a deep passion for creating immersive gaming experiences. Having built a foundation in C# and Unity, I am eager to apply my skills in a professional environment like SUN.RISER. I admire the company's creative direction and believe that this internship will provide the perfect opportunity for me to learn from experts</t>
  </si>
  <si>
    <t>I believe this role involves translating game designs into functional features using Unity and C#, while optimizing performance for a seamless user experience. I am a strong fit because of my solid Software Engineering background and my ability to write clean, maintainable code</t>
  </si>
  <si>
    <t>HUFLIT - Đại học Ngoại Ngữ - Tin Học TP.HCM</t>
  </si>
  <si>
    <t>I have developed personal game projects where I served as the Lead Developer. My roles included architecting gameplay mechanics in C#, managing assets in Unity, and optimizing UI performance. These projects resulted in functional prototypes with smooth character controllers and integrated game logic, demonstrating my ability to handle end-to-end game development</t>
  </si>
  <si>
    <t>https://ngkhai.itch.io/demo-owlet-adventure</t>
  </si>
  <si>
    <t>408qnzsa4jufk64nfpwn408qnz90sr16</t>
  </si>
  <si>
    <t>Trần Ngọc Khánh Huy</t>
  </si>
  <si>
    <t>huybacdau123@gmail.com</t>
  </si>
  <si>
    <t>+84395224204</t>
  </si>
  <si>
    <t>I chose SUN.RISER to transition from operations to direct game creation. My 2-year tenure at VTC Online provided deep insights into player psychology. Leveraging my CS background from HCMUT and hardware skills, I offer product-driven design or technical rigor for Game QA.</t>
  </si>
  <si>
    <t>This role involves crafting experiences and ensuring technical quality. My tenure at VTC Online ensures a profound understanding of player behavior. With a CS foundation from HCMUT and software testing skills, I can deliver practical game designs and precise QA results.</t>
  </si>
  <si>
    <t>6.19</t>
  </si>
  <si>
    <t>I served as Operations Manager at VTC Online for 2 years, managing user accounts and monitoring player trends to provide data-driven strategic insights. Additionally, I developed an AI-Powered Travel Planner using Python and Search Algorithms , and a Foodiness web system using Node.js. These roles and projects honed my understanding of player behavior, system architecture, and quality control.</t>
  </si>
  <si>
    <t>https://github.com/rosenberg-2002; https://github.com/SirGreen/Advanced-Money-Management-App; https://github.com/YokkaLuv/ConveyorSystemApplication-FE; https://github.com/HieNguyen08/Introduction-AI-Assignment; https://github.com/rosenberg-2002/Foodiness</t>
  </si>
  <si>
    <t>With 2 years as VTC Online's Ops Manager , I’ve lived the player's reality. Beyond 'paper' design, I bring battle-tested insights to SUN.STUDIO to build games players crave, merging tech logic with community heart.</t>
  </si>
  <si>
    <t>j1jwbxtyysk9iuc11fj1jwbxtal9ui6c</t>
  </si>
  <si>
    <t>Trần Tấn Tài</t>
  </si>
  <si>
    <t>22521287@gm.uit.edu.vn</t>
  </si>
  <si>
    <t>+84944884531</t>
  </si>
  <si>
    <t>Em đã có một chút kinh nghiệm về AI, nên em nghĩ đây là động lực lớn nhất để em tiếp tục apply AI Engineer.</t>
  </si>
  <si>
    <t>Đây là vị trí em sẽ được ứng dụng AI vào quy trình làm việc, và em đã có kinh nghiệm trước đó về vị trí liên quan, nên em nghĩ rằng em phù hợp cho vị trí này</t>
  </si>
  <si>
    <t>AI Engineer Intern: phát triển chatbot nội bộ dùng RAG/LLM, tối ưu chất lượng phản hồi và cải thiện phân loại dữ liệu.
Tham gia cuộc thi UIT - Data Science Challenge 2025: fine-tune mô hình LLM, đạt Top 7 vòng Private Test.</t>
  </si>
  <si>
    <t>Vì lý do bảo mật và cam kết với công ty trước đây, em không thể public source code hoặc chi tiết các project nội bộ. Tuy nhiên, em sẵn sàng chia sẻ tổng quan về vai trò, công nghệ sử dụng, quy trình triển khai và những kết quả đạt được trong buổi phỏng vấn.</t>
  </si>
  <si>
    <t>Em mong muốn được gia nhập SUN.STUDIO để học hỏi môi trường làm game chuyên nghiệp, rèn luyện tư duy sản phẩm và nâng cao kỹ năng kỹ thuật. Với tinh thần chủ động học nhanh, sẵn sàng tiếp thu feedback và trách nhiệm trong công việc, em hy vọng có thể đóng góp giá trị cho team cũng như phát triển lâu dài cùng công ty.</t>
  </si>
  <si>
    <t>957rdziue710aw6m8957rqi384l0iuz6</t>
  </si>
  <si>
    <t>Nguyễn Đức Phúc</t>
  </si>
  <si>
    <t>nducphuc04219@gmail.com</t>
  </si>
  <si>
    <t>+84902908542</t>
  </si>
  <si>
    <t>I believe I am a strong candidate for this position because I combine a solid technical foundation in Data Science with a highly proactive and growth-oriented mindset.
From my academic projects, I have gained hands-on experience working with data processing, machine learning, and building data-driven systems and comfortable working Python framework</t>
  </si>
  <si>
    <t>From my academic projects, I have gained hands-on experience working with data processing, machine learning, and building data-driven systems. I am comfortable working with Python and handling real-world data tasks such as preprocessing, analysis, and pipeline development, which are essential for AI/ML/Data Engineering roles.</t>
  </si>
  <si>
    <t>7.88</t>
  </si>
  <si>
    <t>https://github.com/DucPhuc1</t>
  </si>
  <si>
    <t>I hope that I will the opportunity to learn valuable experience through the internship</t>
  </si>
  <si>
    <t>sf8p1md9eno3ra0nc7po2sf8p1md5zoo</t>
  </si>
  <si>
    <t>Phạm Thành Đạt</t>
  </si>
  <si>
    <t>ptdat1225@gmail.com</t>
  </si>
  <si>
    <t>+84705800474</t>
  </si>
  <si>
    <t>Tôi muốn kết hợp lý thuyết và kiến ​thức vào việc làm game chuyên nghiệp. Mục tiêu của tôi là được đóng góp vào các dự án của công ty, đồng thời học hỏi các quy trình kỹ thuật để tạo ra những game thú vị</t>
  </si>
  <si>
    <t>Phát triển logic, xây dựng cơ chế gameplay và tối ưu hóa hiệu suất để trò chơi vận hành mượt mà. Tôi thực sự yêu thích việc làm game và luôn khao khát tạo ra những game thú vị. Tôi đã từng tự tay phát triển dự án game cá nhân bằng Unity</t>
  </si>
  <si>
    <t>Tôi giữ vai trò developer, trực tiếp thiết kế logic trò chơi, xây dựng cơ chế điều khiển vật lý và quản lý vòng đời của các đối tượng trong môi trường Unity.
Hoàn thiện Gameplay: Xây dựng thành công cơ chế hạ cánh tàu vũ trụ dựa trên trọng lực và quán tính</t>
  </si>
  <si>
    <t>https://github.com/thanhdatttt/LuaLander.git</t>
  </si>
  <si>
    <t>Nếu được nhận intern, tôi mong muốn học hỏi từ đội ngũ chuyên gia của studio và đóng góp kiến thức, sự sáng tạo của mình vào những dự án của công ty</t>
  </si>
  <si>
    <t>tdqb3pww20lqqltdqb3p2waghg5qlnl3</t>
  </si>
  <si>
    <t>Nguyễn Đăng Khôi</t>
  </si>
  <si>
    <t>ndkhoi.gdsciu@gmail.com</t>
  </si>
  <si>
    <t>+84767009955</t>
  </si>
  <si>
    <t>Em chọn vị trí này vì em là một người đã chơi nhiều thể loại game khác nhau và hiểu được cách game được thiết kế để thu hút người chơi, trải nghiệm người dùng cũng như cách một số game kiếm tiền hiệu quả.</t>
  </si>
  <si>
    <t>Game Designer là người tìm ý tưởng, lên kế hoạch phát triển và thiết kế game sao cho game phù hợp và vui đối với đối tượng người dùng đã được xác định. Là một người đã trải nghiệm nhiều thể loại game khác nhau, em tin rằng mình có thể học hỏi cách những nhà phát triển duy trì game đạt nhiều người chơi để đóng góp vào quá trình làm game của công ty</t>
  </si>
  <si>
    <t>8.14</t>
  </si>
  <si>
    <t>https://drive.google.com/drive/folders/1AqYgrCIBqCMUOdmwBu4rbAfgWU6MBjm7?usp=sharing</t>
  </si>
  <si>
    <t>2mr9xrsu838voy8pb09m2mr9xnn7vt7k</t>
  </si>
  <si>
    <t>Huỳnh Quốc Huy</t>
  </si>
  <si>
    <t>quochuyhuynh.120204@gmail.com</t>
  </si>
  <si>
    <t>+84335538025</t>
  </si>
  <si>
    <t>My main motivation is to apply my AI/Machine Learning expertise to solve complex, real-world problems on live products. SUN.RISER’s dynamic environment, which highly values logical thinking and proactive problem-solving, is the perfect place for me to accelerate my growth as a practical AI Engineer.</t>
  </si>
  <si>
    <t>I expect this role focuses on deploying ML/DL algorithms to optimize live products. I am a strong fit due to my expertise in Deep Learning (Python, PyTorch) and backend system design. My proactive, logical approach enables me to seamlessly translate complex AI into scalable, real-world solutions.</t>
  </si>
  <si>
    <t>Developed a deep learning-based Optical Character Recognition (OCR) system to accurately extract and recognize Vietnamese handwritten text from images.</t>
  </si>
  <si>
    <t>https://github.com/QuocHuy1202/VN_handwritting_ocr</t>
  </si>
  <si>
    <t>SUN.STUDIO LinkedIn, Trường đại học, TopCV, Mạng xã hội</t>
  </si>
  <si>
    <t>I am ready to bring my proactive mindset and strong Deep Learning foundation to SUN.STUDIO. I look forward to the opportunity to learn, build scalable solutions, and grow with your engineering team this summer!</t>
  </si>
  <si>
    <t>n1skuesvhch4mdo2bn1skuesxjytjdjr</t>
  </si>
  <si>
    <t>Nguyễn Thị Bình Minh</t>
  </si>
  <si>
    <t>thanyminminh@gmail.com</t>
  </si>
  <si>
    <t>+84328452607</t>
  </si>
  <si>
    <t>Vì nó cũng hợp với chuyên ngành của tôi</t>
  </si>
  <si>
    <t>Phân tích dữ liệu,  thống kê,  visualization, dụe đoán</t>
  </si>
  <si>
    <t>Management information system</t>
  </si>
  <si>
    <t>jpfeuiffqifi9lejpfex97ux90we3r5k</t>
  </si>
  <si>
    <t>Nguyễn Khắc Tùng Dương</t>
  </si>
  <si>
    <t>tungduong.g2004@gmail.com</t>
  </si>
  <si>
    <t>+84348720082</t>
  </si>
  <si>
    <t>Em có sự yêu thích và hứng thú làm việc với AI. Điểm mạnh của em là có tư duy logic và tối ưu hoá hệ thống. Vì vậy, đây là một vị trí mà em cảm thấy mình phù hợp. Ngoài ra, em muốn được học tập nhiều hơn để có thể phát triển bản thân trong tương lai.</t>
  </si>
  <si>
    <t>Em nghĩ rằng vị trí này không chỉ là xây dựng một mô hình AI mà còn cần phân tích workflow của dự án, xây dựng các prompt để AI có khả năng lập luận chính xác, tạo structured output đảm bảo AI xuất ra dữ liệu chuẩn
Em thấy mình phù hợp với vị trí này bởi vì em có tư duy hệ thống, kỹ năng kết nối hệ thống, ngoài ra em còn có khả năng tự học tốt.</t>
  </si>
  <si>
    <t>8.09</t>
  </si>
  <si>
    <t>Em từng làm game Sudoku, Em là người làm việc chính về các thuật toán giải Sudoku. Ví dụ, Hint khi chơi game sẽ theo hướng đó là có cơ sở để ra được đáp án tại ô đó (có kèm giải thích cho người chơi), chứ không phải chỉ ra đáp án từ trên xuống dưới thì không phù hợp với người mới chơi</t>
  </si>
  <si>
    <t>https://github.com/cownon/Sudoku-Game</t>
  </si>
  <si>
    <t>Một người bạn</t>
  </si>
  <si>
    <t>Em thực sự mong muốn được làm việc với SUN.STUDIO. Qua cách công ty đăng job cũng như qua các câu hỏi phía trên em cảm thấy đây là một môi trường thân thiện, chân thật và có sự chặt chẽ trong cách làm việc. Em không chỉ muốn đến công ty với một vai trò thực tập sinh mà còn hướng tới mong muốn xa hơn là làm nhân viên chính thức của công ty.</t>
  </si>
  <si>
    <t>ak7tyt1d9akx43mak6iv8aak7tqs0ar3</t>
  </si>
  <si>
    <t>Trần Nguyễn Khắc Duy</t>
  </si>
  <si>
    <t>duytnk.dev@gmail.com</t>
  </si>
  <si>
    <t>+84389264839</t>
  </si>
  <si>
    <t>Điều khiến em chọn vị trí này là bởi vì khi làm việc, em sẽ được trực tiếp tham gia vào quá trình phát triển game dưới sự hướng dẫn của mentor. Trong các dự án, em luôn là người tích hợp UI và có khả năng làm việc nhóm, nên em nghĩ mình là bản ghép phù hợp cho vị trí Unity Developer Intern.</t>
  </si>
  <si>
    <t>Em nghĩ ở vị trí này, em sẽ tìm hiểu về cơ chế gameplay 2d, tích hợp giao diện UI, làm quen cấu trúc project cũng như tìm hiểu về công cụ làm việc, phối hợp với team, báo cáo tiến độ dự án đồng thời sữa lỗi và tối ưu game.</t>
  </si>
  <si>
    <t>Game development</t>
  </si>
  <si>
    <t>Relic Seeker
Vai trò: Thiết kế UI/UX, sửa lỗi và tối ưu.
Kết quả: Đơn giản hóa các cơ chế giải đố phức tạp thành tương tác dễ hiểu, đồng thời cải thiện hiệu năng giúp game chạy ổn định trên nhiều thiết bị mobile.
StreetBeat
Vai trò: Xây dựng core gameplay và thiết kế UI/UX responsive, tối ưu trải nghiệm .
Kết quả: Đạt độ đồng bộ cao giữa input và âm nhạc, mang lại cảm giác điều khiển mượt và tăng khả năng giữ chân người chơi.
Crazy Lobby
Vai trò: Phát triển gameplay end-to-end và tích hợp hệ thống multiplayer với fusion.
Kết quả: Được đánh giá xuất sắc trong bài bảo vệ môn, là sản phẩm sẽ được pr trên trang tin tức chính thức của trường.</t>
  </si>
  <si>
    <t>Github Portfolio: https://github.com/D157D</t>
  </si>
  <si>
    <t>Em mong muốn có một cơ hội để được làm việc trong môi trường chuyên nghiệp, được hướng dẫn công việc thông qua các dự án game. Em sẵn sàng tiếp thu và cải thiện kỹ năng, không ngừng học hỏi để mang lại giá trị thật cho team. Em cảm ơn ạ.</t>
  </si>
  <si>
    <t>uiz8a4xtp5tuefdc5fopq1suiz8awciw</t>
  </si>
  <si>
    <t>Mai Hoàng Hưng</t>
  </si>
  <si>
    <t>mhhung0811@gmail.com</t>
  </si>
  <si>
    <t>+84917157785</t>
  </si>
  <si>
    <t>I'm passionate about game development and want to gain real hands-on experience in an actual production environment. SUN.RISER's work really resonates with me, and I'd love to learn from an experienced team while contributing what I can as a fresh developer</t>
  </si>
  <si>
    <t>I think it involves hands-on development work — coding, prototyping, and learning the studio pipeline. I have the technical foundation for it, I pick things up quickly, and I'm genuinely passionate about making games.</t>
  </si>
  <si>
    <t>I've worked on several projects using Unity and C#. Most recently, I interned at IMBA where I worked on two live games, handling gameplay features and UI. I also built a full roguelike game as my graduation thesis, where I led a team of 2 and handled core systems like procedural generation, object pooling, and save systems — it scored 9/10. Earlier, I joined Gameloft's pre-mentorship program and built a puzzle platformer featuring a custom action replay mechanic. All projects are published or available with demos.</t>
  </si>
  <si>
    <t>Source code: https://github.com/mhhung0811/ammoria; Demo: https://www.youtube.com/watch?v=3DLvVD6CTE4; Store:  https://just-a-wind.itch.io/ammoria</t>
  </si>
  <si>
    <t>vjajsztv586cqewlovjajs60v3eue9mt</t>
  </si>
  <si>
    <t>Nguyễn Thị Thu Trang</t>
  </si>
  <si>
    <t>ngthutrang0806@gmail.com</t>
  </si>
  <si>
    <t>+84965023726</t>
  </si>
  <si>
    <t>Em muốn được thực tập vị trí này của công ty</t>
  </si>
  <si>
    <t>Em nghỉ vị trí này sẽ chuyên về dữ liệu, thống kế các dữ liệu. Vì em có khả năng tìm hiểu và học hỏi thêm.</t>
  </si>
  <si>
    <t>HUFLIT Đại học Ngoại Ngữ Tin Học</t>
  </si>
  <si>
    <t>6.85</t>
  </si>
  <si>
    <t>Em chưa làm qua dự án game nhưng em đã có làm qua app đọc tuyện</t>
  </si>
  <si>
    <t>https://github.com/thutrang3772/CNPM_Ca1_N1</t>
  </si>
  <si>
    <t>3 days/week</t>
  </si>
  <si>
    <t>Xin chân thành cảm ơn.</t>
  </si>
  <si>
    <t>m3autdv0uavz837sjm3autdvispl7mix</t>
  </si>
  <si>
    <t>Huỳnh Nguyễn Minh Khang</t>
  </si>
  <si>
    <t>hnmkhang11@gmail.com</t>
  </si>
  <si>
    <t>+84852214104</t>
  </si>
  <si>
    <t>Đam mê lớn nhất của mình là theo đuổi con đường phát triển game. Mình ứng tuyển vào SUN.RISER vì mình tin rằng đây chính là môi trường lý tưởng nhất để mình khai phá tiềm năng bản thân và tiến xa hơn trong sự nghiệp.</t>
  </si>
  <si>
    <t>Theo mình tìm hiểu, vị trí Game Developer đòi hỏi nhiều hơn việc chỉ viết code, mà các developer còn phải thiết kế trải nghiệm tương tác mượt mà.
Qua quá trình học Kỹ thuật Phần mềm tại trường Khoa học Tự nhiên, tìm hiểu về Game Development, Unity và phát triển những project cá nhân, mình tin rằng mình có thể đóng góp vào các dự án của SUN.RISER</t>
  </si>
  <si>
    <t>7.68</t>
  </si>
  <si>
    <t>Dự án 1: Arrows
Công nghệ: Unity 2D, C#
Vai trò: Solo Developer
Kết quả: Xây dựng thuật toán tạo màn chơi tự động, có khả năng mở rộng vô hạn, đảm bảo các câu đố luôn có cách giải và cho phép dễ dàng tích hợp các tài nguyên đồ họa (assets) mới. Xử lý logic tương tác cảm ứng trên mobile bằng cách tích hợp các hiệu ứng hình ảnh (VFX) và âm thanh (SFX).
Dự án 2: Space Shooter
Công nghệ: Unity 2D, C#
Vai trò: Level Designer và Game Developer
Kết quả: Thiết kế hệ thống vũ khí dựa trên tư duy OOP để hỗ trợ đa dạng các kiểu bắn và đường đạn. Tối ưu hóa hiệu năng bằng kỹ thuật Object Pooling để xử lý mượt mà hàng trăm viên đạn trên màn hình cùng lúc, đồng thời lập trình các trạng thái đánh nhau khác nhau cho Boss bằng Unity Coroutines.
Dự án 3: Untitled Dungeon Crawler | Action Roguelike (Đang phát triển - WIP)
Công nghệ: Unity 2D, C#
Vai trò: Solo Developer
Kết quả: Xuyên suốt 7 tuần phát triển, mình đã xây dựng thuật toán tạo bản đồ ngẫu nhiên (procedural map generation) để lắp ráp linh hoạt các hầm ngục từ những phòng Prefab có sẵn. Lập trình thuật toán dò đường A* tùy chỉnh để tạo AI thông minh cho kẻ địch, đồng thời xử lý hệ thống phân lớp 2D và ma trận va chạm để đảm bảo cơ chế chiến đấu mượt mà.</t>
  </si>
  <si>
    <t>dodgero11.itch.io, github.com/dodgero11</t>
  </si>
  <si>
    <t>3tkkw50w4h5vx43tkkwhlvfr6vhtqf6s</t>
  </si>
  <si>
    <t>Tôn Thất Minh Toàn</t>
  </si>
  <si>
    <t>tonhat.minhtoan1998@gmail.com</t>
  </si>
  <si>
    <t>+84705862279</t>
  </si>
  <si>
    <t>- For every game I’ve played, whether online or offline, I quickly grasp the mechanics, develop a deep understanding, and effectively leverage available resources to come up with fast solutions.
- My experience competing professionally in esports has sharpened my patience and strengthened my ability to handle high pressure, both in terms of perform</t>
  </si>
  <si>
    <t>A Game QA is responsible for ensuring the quality of the game by identifying errors, bugs, and other issues. There are two common testing approaches: manual testing and automated testing. I believe I am well-suited for a QA position because I am patient, detail-oriented, and strive for a high level of perfection. In addition, I can handle pressure</t>
  </si>
  <si>
    <t>Green Academy - Graphic Designer</t>
  </si>
  <si>
    <t>Đã kết thúc</t>
  </si>
  <si>
    <t>Graphic Designer</t>
  </si>
  <si>
    <t>Sun.Studio may consider me overage or not meeting the required educational qualifications. However, I am confident that my passion for games, my knowledge, and my perseverance will enable me to create value for Sun.Studio in the future.</t>
  </si>
  <si>
    <t>byj8awegvxicyhybfmbyj8vr46etmbts</t>
  </si>
  <si>
    <t>Hoàng Nhân Khánh</t>
  </si>
  <si>
    <t>hoangkhanh11223@gmail.com</t>
  </si>
  <si>
    <t>+84797879129</t>
  </si>
  <si>
    <t>Tôi lựa chọn vị trí này tại SUN.RISER vì đây là môi phù hợp để tôi phát triển kỹ năng lập trình game với Unity và tham gia vào các dự án thực tế.</t>
  </si>
  <si>
    <t>Theo tôi, vị trí này sẽ tham gia phát triển và tối ưu các sản phẩm game bằng Unity, phối hợp với các bộ phận như thiết kế, art để hoàn thiện sản phẩm.
Tôi phù hợp với vị trí này vì có nền tảng về C#, Unity và đam mê phát triển game.</t>
  </si>
  <si>
    <t>Tôi đã có kinh nghiệm xây dựng 1 vài dự án cá nhân nhỏ liên quan đến phát triển game bằng Unity. Vai trò của tôi là lập trình chính, chịu trách nhiệm xây dựng gameplay, xử lý logic.</t>
  </si>
  <si>
    <t>GitHub: https://github.com/HNKhanh031/HeroGame</t>
  </si>
  <si>
    <t>Tôi rất mong có cơ hội được đồng hành cùng SUN.STUDIO để học hỏi, phát triển bản thân và đóng góp giá trị thông qua khả năng của mình. Tôi tin rằng với tinh thần cầu tiến, trách nhiệm và niềm đam mê với lĩnh vực game, tôi sẽ luôn nỗ lực hết mình để hoàn thành tốt công việc được giao.</t>
  </si>
  <si>
    <t>7hkx3canp7zg9cn7hkk4m45asnztcux1</t>
  </si>
  <si>
    <t>Nguyễn Xuân Hoài</t>
  </si>
  <si>
    <t>hoainx.work@gmail.com</t>
  </si>
  <si>
    <t>+84989522125</t>
  </si>
  <si>
    <t>Em mong muốn được học tập trong môi trường chuyên nghiệp hơn, ngoài ra tiếp xúc với những người đã có kinh nghiệm sẽ giúp em phát triển và đi sâu hơn trong chuyên ngành này.</t>
  </si>
  <si>
    <t>Em nghĩ vị trí này không chỉ là sử dụng unity để làm ra các tựa game mà còn phải đáp ứng được các nhu cầu của người chơi từ tối ưu cho đến đồ họa.
Lý do em nghĩ em phù hợp với vị trí này là vì em là một người có thể học hỏi và làm việc một cách linh động. Ngoài ra em cũng có nền tảng kiến thức về các công nghệ cần thiết.</t>
  </si>
  <si>
    <t>Đại học giao thông vận tải thành phố Hồ Chí Minh(UTH)</t>
  </si>
  <si>
    <t>7,16</t>
  </si>
  <si>
    <t>Em có làm một vài tựa game nhỏ để tự học về Unity tuy nhiên các tựa game đó quy mô chưa lớn và em cũng chưa có cơ hội tiếp xúc với môi trường làm việc chuyên nghiệp hơn.</t>
  </si>
  <si>
    <t>Chưa có ạ</t>
  </si>
  <si>
    <t>Mong công ty sẽ cho em cơ hội tham gia vào kì thực tập này, em sẽ cố gắng hết sức học hỏi để nâng cao kĩ năng và kinh nghiệm.</t>
  </si>
  <si>
    <t>yefglzrqj1pomyw91oyefgy4gp48dlaw</t>
  </si>
  <si>
    <t>Ngô Thị Ánh Dương</t>
  </si>
  <si>
    <t>naduong.gdsciu@gmail.com</t>
  </si>
  <si>
    <t>+84366024073</t>
  </si>
  <si>
    <t>I am motivated to apply for this position at SUN.RISER because it aligns with my passion for building real-world AI applications.
I enjoy developing end-to-end systems and want to contribute to practical, scalable solutions.
This role is a great opportunity for me to grow and become a professional AI engineer.</t>
  </si>
  <si>
    <t>I believe this role involves building and deploying AI solutions, working with data pipelines, and solving real-world problems.
I am a good fit because I have hands-on experience developing end-to-end projects like a RAG-based system and credit scoring model.
My strong foundation and eagerness to learn will help me contribute effectively.</t>
  </si>
  <si>
    <t>8.69</t>
  </si>
  <si>
    <t>In rag chatbot project, I engaged in building vector database and rag retriever pipeline using tech stack like qdrant, langchain or llamaIndex.</t>
  </si>
  <si>
    <t>https://github.com/anhduong77/rag_agent</t>
  </si>
  <si>
    <t>I am highly motivated to learn and grow quickly in a professional environment like SUN.STUDIO.
I am proactive, responsible, and enjoy tackling challenging problems through hands-on work.
I would love the opportunity to contribute, learn from the team, and create meaningful AI solutions.</t>
  </si>
  <si>
    <t>ptv7cyxei27bm2jk6wju8v6ptvz52cd9</t>
  </si>
  <si>
    <t>Đoàn Mạnh Tất</t>
  </si>
  <si>
    <t>doanmanhtat05@gmail.com</t>
  </si>
  <si>
    <t>+84822203534</t>
  </si>
  <si>
    <t>Đây là cơ hội để em áp dụng kiến thức về Python, xử lý dữ liệu và machine learning vào thực tế. Em mong muốn được học hỏi thêm về xây dựng mô hình AI, phân tích dữ liệu và làm việc với các hệ thống dữ liệu thực tế, đồng thời phát triển kỹ năng trong môi trường chuyên nghiệp.
Và em cũng thích và mong muốn có cơ hội làm việc trong công ty về game ạ.</t>
  </si>
  <si>
    <t>Theo em, vị trí AI Engineer/Data Analyst Intern tại SUN.STUDIO sẽ tập trung vào việc xử lý và phân tích dữ liệu người chơi, xây dựng và áp dụng các mô hình AI để tối ưu trải nghiệm game, cũng như hỗ trợ các đội như Game Design hoặc User Acquisition đưa ra quyết định dựa trên dữ liệu.
Reason: khả năng tự học nhanh, thích nghi với công nghệ mới,....</t>
  </si>
  <si>
    <t>8.52</t>
  </si>
  <si>
    <t>trong dự án dự đoán churn khách hàng, em xử lý dữ liệu (missing, mất cân bằng bằng SMOTE), xây dựng mô hình XGBoost và tối ưu bằng Optuna, đạt ROC-AUC &gt; 0.95, đồng thời xây dựng dashboard bằng Streamlit để trực quan hóa insight.
Trong dự án dự đoán giá bất động sản, em phát triển end-to-end ML pipeline và cải thiện độ chính xác mô hình khoảng 40% so với baseline, kèm dashboard Power BI.
Ngoài ra, trong dự án Spotify, em xây dựng hệ thống chatbot sử dụng RAG (Retrieval-Augmented Generation), kết hợp dữ liệu lưu trữ (MongoDB) và truy vấn ngữ nghĩa để cho phép người dùng hỏi đáp bằng ngôn ngữ tự nhiên trên dataset.</t>
  </si>
  <si>
    <t>https://drive.google.com/drive/folders/1hzbf4vI9mRg9FNdrf-POgsqO1kNciqmU?usp=drive_link</t>
  </si>
  <si>
    <t>Em rất mong có cơ hội được thử sức cũng như phỏng vấn tại sun.studio, được học hỏi cũng như trải nghiệm những quy trình ở 1 công ty game.</t>
  </si>
  <si>
    <t>ezj1tiv8xor7bpezj6sip0vdsc5133vt</t>
  </si>
  <si>
    <t>Tôn Võ Hoài Khiêm</t>
  </si>
  <si>
    <t>khiem.ton19406@hcmut.edu.vn</t>
  </si>
  <si>
    <t>+84858951424</t>
  </si>
  <si>
    <t>Mình chọn vị trí AI Engineering Intern tại SUN.RISER vì đây là môi trường phù hợp với định hướng phát triển của mình theo hướng AI engineering – không chỉ dừng ở việc xây dựng mô hình mà còn làm việc với dữ liệu, pipeline và triển khai thực tế; đồng thời mình cũng mong muốn được tham gia vào các dự án thực tế và học hỏi từ team để nâng cao kỹ năng.</t>
  </si>
  <si>
    <t>Mình nghĩ vị trí này sẽ làm về xử lý dữ liệu, xây dựng và triển khai mô hình AI vào hệ thống thực tế. Mình phù hợp vì có nền tảng lập trình, đã làm EDA và một số bài toán dự báo, đồng thời có tư duy hệ thống nên có thể học và làm tốt cả phần model lẫn engineering.</t>
  </si>
  <si>
    <t>6.95</t>
  </si>
  <si>
    <t>Mình đóng vai trò chính trong việc phát triển và thiết kế: xây dựng web chess app với AI Minimax để tính nước đi và thiết kế giao diện/asset; ngoài ra phát triển game Tetris bằng C++ với đầy đủ cơ chế gameplay như collision, scoring và level. Kết quả là các sản phẩm đều chạy ổn định, có thể chơi được và thể hiện rõ khả năng xây dựng logic, AI cơ bản và hoàn thiện một ứng dụng end-to-end.</t>
  </si>
  <si>
    <t>https://github.com/19406</t>
  </si>
  <si>
    <t>Mình thực sự mong có cơ hội được trở thành một phần của SUN.STUDIO vì mình đang ở giai đoạn rất muốn học nhanh và làm thật. Mình biết bản thân còn nhiều thiếu sót, nhưng sẵn sàng nhận task khó, tự tìm hiểu và cải thiện liên tục để theo kịp team. Hy vọng có thể vừa đóng góp giá trị, vừa trưởng thành rõ rệt qua các dự án thực tế tại đây.</t>
  </si>
  <si>
    <t>pdl6sxpao1jdiuhbkpdafdnguxxe8bck</t>
  </si>
  <si>
    <t>Nguyễn Nhật Hiệu</t>
  </si>
  <si>
    <t>hieu180230@gmail.com</t>
  </si>
  <si>
    <t>+84359772230</t>
  </si>
  <si>
    <t>ình không chỉ muốn là người xây dựng hạ tầng hay bảo vệ hệ thống; mình muốn được là người trực tiếp tạo ra giá trị trải nghiệm. Sau thời gian dài rèn luyện với Rust và C++, mình nhận thấy ngành Game Developer là nơi thử thách cao nhất về khả năng tối ưu hóa hiệu suất và tư duy logic.</t>
  </si>
  <si>
    <t>Theo mình một Game Designer sẽ thiết kế các quy tắc trong game (Level Design), cân bằng game, viết Game Design Document,  và quan sát feedback của người dùng. Game Designer phải phục vụ người chơi, không phải phục vụ sở thích code của bản thân.</t>
  </si>
  <si>
    <t>Trong project C++ game engine cơ bản này, mình đóng vai trò là nhà phát triển chính, trực tiếp xây dựng nền tảng hệ thống bằng ngôn ngữ C++. Công việc của mình tập trung vào việc hiện thực hóa các mẫu thiết kế (design patterns) như Composite để tạo cấu trúc module linh hoạt , đồng thời tối ưu hóa các thuật toán và cấu trúc dữ liệu để quản lý bộ nhớ hiệu quả. Mình đã xử lý thành công việc tương tác với thư viện SDL2 để quản lý cửa sổ và input, cũng như xây dựng bộ phân tích dữ liệu XML để nạp bản đồ game. Kết quả là một engine hoạt động ổn định đã được hình thành, thiết lập lộ trình nâng cấp công cụ vật lý trong tương lai và chứng minh khả năng quản lý mã nguồn thông qua Git.</t>
  </si>
  <si>
    <t>https://github.com/hieu180230/Game-Test-w-SDL.git</t>
  </si>
  <si>
    <t>b1bv5hlbeb5h0cml7adwbgbb1bv5hlkd</t>
  </si>
  <si>
    <t>Vũ Quốc Bảo</t>
  </si>
  <si>
    <t>vuquocbao2903@gmail.com</t>
  </si>
  <si>
    <t>+84938043751</t>
  </si>
  <si>
    <t>Điều khiến em muốn gia nhập Sun Studio là văn hóa môi trường trẻ trung, nhiệt huyết. Em rất mong muốn được tham gia và đóng góp công sức của mình trong việc biến những ý tưởng game đầy tiềm năng thành các sản phẩm thành công và có khả năng giữ chân người chơi lâu dài.</t>
  </si>
  <si>
    <t>Vị trí này sẽ là người thiết kế toàn bộ trải nghiệm chơi game của người chơi, phân tích hành vi người chơi, xây dựng luật chơi, bối cảnh, trang bị, nhân vật,... 
Em nghĩ mình sẽ phù hợp với vị trí này vì em yêu thích chơi game và có niềm đam mê mãnh liệt với việc tạo ra những ý tưởng phát triển game và quan tâm đến trải nghiệm người chơi.</t>
  </si>
  <si>
    <t>Thiết kế đồ họa</t>
  </si>
  <si>
    <t>Dù chưa có kinh nghiệm thực tập ở những công ty khác nhưng em có kinh nghiệm phân tích game và viết GDD cơ bản.</t>
  </si>
  <si>
    <t>https://drive.google.com/file/d/1ju5FfPTUwoRLZ44EyeLizsuXqop9cx0-/view?usp=sharing</t>
  </si>
  <si>
    <t>Em rất mong muốn được tham gia Sun và đóng góp công sức của mình trong việc biến những ý tưởng game đầy tiềm năng thành các sản phẩm thành công và có khả năng giữ chân người chơi lâu dài.
Trân trọng</t>
  </si>
  <si>
    <t>a6dxvny4efqlxncl2bgwoh4pa6dxvny7</t>
  </si>
  <si>
    <t>Trần Lê Hoàng Huy</t>
  </si>
  <si>
    <t>hoanghuytranle48@gmail.com</t>
  </si>
  <si>
    <t>+84382896246</t>
  </si>
  <si>
    <t>Muốn có việc làm về phát triển game, học hỏi kinh nghiệm</t>
  </si>
  <si>
    <t>Vị trí này sẽ chuyên về phát triển, tối ưu game dựa trên những concept của game designer đưa ra góp ý trao dồi ý tưởng thêm cho  game để hoàn chỉnh. Em đã làm những game 3D, 2D, RGP, TDS ,FPS trong quá trình học tập.</t>
  </si>
  <si>
    <t>NTT – Trường Đại học Nguyễn Tất Thành</t>
  </si>
  <si>
    <t>Thực tế ảo và lập trình games</t>
  </si>
  <si>
    <t>game cốt truyện - game dev
phát triển phòng mẹ và em với cơ chế drag &amp; drop và chọn trắc nghiệm sử dụng scriptableobject. Raycast để check đồ vật, highlight vật phẩm, góc nhìn thứ nhất cho nhận vật.</t>
  </si>
  <si>
    <t>https://github.com/0382896246</t>
  </si>
  <si>
    <t>SUN.STUDIO LinkedIn, Mạng xã hội, bạn giới thiệu</t>
  </si>
  <si>
    <t>Nếu có sai sót mong anh chị có thể đóng góp thêm cho e với ạ</t>
  </si>
  <si>
    <t>pbqbushnog82jjipbqusx2gf4kikusx2</t>
  </si>
  <si>
    <t>Nguyễn Đình Minh Nhật</t>
  </si>
  <si>
    <t>nhat2004hcm@gmail.com</t>
  </si>
  <si>
    <t>+84868389329</t>
  </si>
  <si>
    <t>Vì dù đã có nhiều kinh nghiệm lập trình nhưng lại chưa có nhiều kinh nghiệm trong mảng game developer, vốn đang có hứng thú với mảng này nên khi biết tin công ty đang có nhu cầu tuyển thực tập sinh tiềm năng nên mình rất hứng thú và mong có cơ hội thử sức.</t>
  </si>
  <si>
    <t>Vị trí này trực tiếp lập trình, tối ưu hệ thống và phối hợp sản xuất game thực tế. Tôi phù hợp vì là sinh viên năm 4 CNTT, có nền tảng Coding vững. Từng là game thủ nên có khả năng am hiểu sâu cơ chế game và có tư duy logic và khả năng chủ động giải quyết bài toán kỹ thuật phức tạp.</t>
  </si>
  <si>
    <t>8.55</t>
  </si>
  <si>
    <t>Chưa làm qua</t>
  </si>
  <si>
    <t>Chưa làm</t>
  </si>
  <si>
    <t>cad13n7m6y75mcmxucad13nbgkaezc0b</t>
  </si>
  <si>
    <t>Trần Hoàng Phúc</t>
  </si>
  <si>
    <t>trhoangphuc1572005@gmail.com</t>
  </si>
  <si>
    <t>+84369889062</t>
  </si>
  <si>
    <t>Với kỹ năng làm việc, dẫn dắt nhóm và các dự án đã làm từ khi còn ở ghế nhà trường. Em có khả năng làm việc tại vị trí này của công ty và mong muốn được đóng góp cho công ty trong tương lai.</t>
  </si>
  <si>
    <t>Đối với vị trí này sẽ làm về lập trình tính năng, chức năng của game đối với Game Developer. Tối ưu code và debug để game có thể tối ưu nhất có thể. Em phù hợp với vị trí này vì em đã có kinh nghiệm làm trong Unity Engine và tìm hiểu công nghệ AI để giúp cho năng suất làm nhanh hơn.</t>
  </si>
  <si>
    <t>8.4/10</t>
  </si>
  <si>
    <t>Dự án Game Việt 2024 do em làm leader của team và dẫn dắt team đạt được giải sáng tạo Game Việt, em phụ trách review code, merge git và làm một vài chức năng của game.
Dự án tốt nghiệp cũng được em dẫn dắt team và phụ trách về review code, backend và làm cutscene cho dự án.</t>
  </si>
  <si>
    <t>thp1923.github.io/Portfolio/</t>
  </si>
  <si>
    <t>ll3nmc3a2duh9e92l43kll3nmz3gq58i</t>
  </si>
  <si>
    <t>Nguyen Tien Thinh</t>
  </si>
  <si>
    <t>thinhnt.uit@gmail.com</t>
  </si>
  <si>
    <t>+84925674684</t>
  </si>
  <si>
    <t>What attracts me most is the opportunity to work directly with real datasets and systems, while being mentored by experienced teams. I believe this hands-on exposure will help me strengthen my analytical thinking, improve my ability to turn data into actionable insights, and gradually build practical AI applications.</t>
  </si>
  <si>
    <t>I believe the DA role focuses on analyzing player data to generate insights for product decisions, while the AI engineer role involves applying AI to improve workflows and game quality. I am a quite fit for this position because I have practical experience in data analysis and fundamental AI modeling, and I am eager to apply both.</t>
  </si>
  <si>
    <t>8.15</t>
  </si>
  <si>
    <t>I participated in a Game Developer recruitment process at a game development company and passed the technical test round. This experience helped me strengthen my problem-solving skills and understanding real-world development requirements.</t>
  </si>
  <si>
    <t>https://github.com/thinhnt-uit</t>
  </si>
  <si>
    <t>I don’t have direct experience in the game industry yet, but I’m genuinely interested in how data and AI are applied in real products. I’m eager to learn, gain hands-on experience, and understand how my skills can create real impact.</t>
  </si>
  <si>
    <t>s5ljxfvbvquwrlas5lxjq63tdh6f5dhm</t>
  </si>
  <si>
    <t>Nguyễn Thị Huyền Trang</t>
  </si>
  <si>
    <t>21520488@gm.uit.edu.vn</t>
  </si>
  <si>
    <t>+84767367435</t>
  </si>
  <si>
    <t>I am motivated to apply for the Data Intern position at SUN.RISER because it aligns well with my background in Data Science and my interest in working with real-world data.</t>
  </si>
  <si>
    <t>I believe this role involves data analysis, cleaning, and ensuring data accuracy. I am a good fit because I have prior experience as a Data Intern working with real datasets, along with strong attention to detail and a willingness to learn.</t>
  </si>
  <si>
    <t>7.92</t>
  </si>
  <si>
    <t>During my internship as a Data Analyst Intern at Bosch, I worked with real-world datasets, performing data cleaning and analysis to ensure data accuracy. I also supported reporting tasks and collaborated with team members to identify and resolve data-related issues.</t>
  </si>
  <si>
    <t>I look forward to the opportunity to discuss my application further in the next round.</t>
  </si>
  <si>
    <t>x92xotm320dzfxuoyhkq5x92xotxiokh</t>
  </si>
  <si>
    <t>Nguyễn Thanh Bình</t>
  </si>
  <si>
    <t>iambinhage17@gmail.com</t>
  </si>
  <si>
    <t>+84961682107</t>
  </si>
  <si>
    <t>Định hướng tôi phù hợp với vị trí của công ty đang cần tuyển</t>
  </si>
  <si>
    <t>Tôi có nền là developer và đang trong quá trình tìm hiểu về AI Engineering , tôi đang ở mức có thể tích hợp được AI vào các hệ thống .</t>
  </si>
  <si>
    <t>Kỹ thuật Phần Mềm</t>
  </si>
  <si>
    <t>7.6/10</t>
  </si>
  <si>
    <t>https://github.com/thanhbinh21</t>
  </si>
  <si>
    <t>Hãy cho tôi cơ hội , tôi đảm bảo sẽ mang lại giá trị nào đó cho SUN.STUDIO.</t>
  </si>
  <si>
    <t>ibbjcw03dkxpjj36g1v8lqynaibbjcw0</t>
  </si>
  <si>
    <t>Dương Triệu Vy</t>
  </si>
  <si>
    <t>duongtrieuvygr@gmail.com</t>
  </si>
  <si>
    <t>+84866788164</t>
  </si>
  <si>
    <t>Thông qua quá trình intern, mình muốn tìm hiểu, cách để tạo ra một con game là như thế nào. Ở hiện tại, mình vừa mới tốt nghiệp đại học xong. Và rất sẵn sàng được đào tạo trong một môi trường chuyên nghiệp mới.</t>
  </si>
  <si>
    <t>Mình nghĩ vị trí này là quá trình hỗ trợ sáng tạo, lên ý tưởng, xây dựng cốt truyện, quy tắc, nhân vật và cơ chế gameplay. Vì mình nhận thấy, mình có một thái độ nghiêm túc và cầu tiến trong công việc. Luôn sáng tạo, có tư duy về kỹ năng trình bày logic, hệ thống.</t>
  </si>
  <si>
    <t>MKU - Trường Đại Học Cửu Long.</t>
  </si>
  <si>
    <t>Graphic design</t>
  </si>
  <si>
    <t>3.3/4.0 = 7.9/10</t>
  </si>
  <si>
    <t>Mình chỉ thiết kế bài post về game để đưa vào portfolio ứng tuyển thực tập thôi. Rất tiếc là vẫn chưa có cơ hội thử sức về mảng game.</t>
  </si>
  <si>
    <t>https://drive.google.com/drive/folders/1jMmU4AVjpXLGmMo9dJLJcPpL1N3uqcj1?usp=drive_link</t>
  </si>
  <si>
    <t>Mình xin cảm ơn đến SUN.STUDIO</t>
  </si>
  <si>
    <t>3a31dve4y42nch2efaua3a31dvei7ig4</t>
  </si>
  <si>
    <t>Lâm Thành Trung</t>
  </si>
  <si>
    <t>trungdevil3@gmail.com</t>
  </si>
  <si>
    <t>+84375865352</t>
  </si>
  <si>
    <t>Tôi chọn vị trí này vì phù hợp với chuyên ngành Game tôi đang theo học. Tôi muốn được học hỏi thêm từ dự án thực tế và nâng cao khả năng phát triển Game trong môi trường chuyên nghiệp.</t>
  </si>
  <si>
    <t>Tôi nghĩ ở vị trí này tôi sẽ lập trình game trong unity, làm việc với Git và phối hợp với team. Thiết kế cơ chế chơi, level, nhiệm vụ. test gameplay và điều chỉnh trải nghiệm người chơi.
Lý do vị trí phù hợp với tôi vì tôi đã có nền tảng về Unity và đã làm các dự án gameplay thực tế, đồng thời cũng hiểu quy trình phát triển game và làm việc nhóm.</t>
  </si>
  <si>
    <t>Sinh viên kỳ cuối sắp tốt nghiệp</t>
  </si>
  <si>
    <t>Tôi đã được thực hiện thiết kế xây dựng map, giao diện UI, lập trình gameplay bằng Unity (C#).
kết quả hoàn thành game chạy ổn định, các chức năng chính hoạt động đúng và được thầy cô khen ngợi.</t>
  </si>
  <si>
    <t>https://github.com/DeeMupply/Palmon.git</t>
  </si>
  <si>
    <t>Tôi mong sớm nhận được phản hồi từ Quý Công Ty. 
Chúc Quý Công Ty ngày càng phát triển và đạt nhiều thành công.</t>
  </si>
  <si>
    <t>amaeunkkzyxx89qamaeungdwvu0y4fow</t>
  </si>
  <si>
    <t>Nguyễn Võ Minh Quân</t>
  </si>
  <si>
    <t>quannguyen16122004@gmail.com</t>
  </si>
  <si>
    <t>+84862741773</t>
  </si>
  <si>
    <t>Là vì muốn được làm công việc liên quan đến ngành nghề và đam mê của em</t>
  </si>
  <si>
    <t>Em nghĩ vị trí này sẽ làm những công việc như thực hiện những ý tưởng đưa ra cho dự án và sửa bug, lý do em nghĩ em phù hợp là vì khi còn học ở trường em cũng làm những công việc tương tự.</t>
  </si>
  <si>
    <t>Thiết kế cơ chế gameplay, tinh chỉnh giao diện, animation, test game. Kết quả đạt giải sáng tạo cuộc thi Game Việt 2024</t>
  </si>
  <si>
    <t>https://nvmq1011.github.io/Portforlio/</t>
  </si>
  <si>
    <t>Em hiện đang trực dân quân với lại sắp tới em có khả năng đi huấn luyện 15 ngày hiện em ko rõ thời gian như thế nào</t>
  </si>
  <si>
    <t>feld3qpsoxevvdr5ausamfeld13q32oc</t>
  </si>
  <si>
    <t>Đỗ Việt Hùng</t>
  </si>
  <si>
    <t>doviethung.5409@gmail.com</t>
  </si>
  <si>
    <t>+84387834332</t>
  </si>
  <si>
    <t>I want to join SUN.RISER because I’m serious about becoming an AI engineer and I want real-world experience, not just theory.
The focus on mentorship and real projects really stands out to me.
I believe my background in LLM, recommendation system and NLP gives me a solid starting point to learn fast and contribute effectively.</t>
  </si>
  <si>
    <t>I think this role involves building end-to-end AI solutions that solve real-world problems, from data processing to deployment.
I’m a good fit because I have a strong foundation in Python and NLP, and I’m interested in how AI systems are applied in practice.
I’m eager to learn quickly and contribute to developing impactful AI solutions.</t>
  </si>
  <si>
    <t>Bachelor of Engineering in Artificial Intelligence (AI)</t>
  </si>
  <si>
    <t>3.08</t>
  </si>
  <si>
    <t>I built a house price prediction system that improved accuracy by 27%, achieving a MAPE of 14.9% on real-world data.
I also developed a conversational recommendation system that delivers personalized suggestions using NLP and hybrid retrieval techniques.
These projects helped me understand how to build end-to-end AI systems that work effectively in real-world scenarios.</t>
  </si>
  <si>
    <t>https://github.com/doviethung11192023/predicting_house_price_in_HCM_city</t>
  </si>
  <si>
    <t>I believe I have a strong foundation in AI, especially in Python and NLP, and I’m confident in my ability to learn and adapt quickly.
I’m ready to give my full effort and use all my abilities to prove my value through real results.
I hope to contribute meaningfully and grow as an AI engineer at SUN.STUDIO.</t>
  </si>
  <si>
    <t>rcmwh0dk0ouwqypzdi5rcmwh0l617hbu</t>
  </si>
  <si>
    <t>Trần Lê Đông Anh</t>
  </si>
  <si>
    <t>tranledonganhtth@gmail.com</t>
  </si>
  <si>
    <t>+84383502327</t>
  </si>
  <si>
    <t>I am particularly motivated to apply for the Data Analyst Intern position at SUN.RISER because it aligns closely with both my academic background and my long-term career goals. As a student majoring in MIS, I have developed a strong interest in how data can be transformed into meaningful insights to support business decisions.</t>
  </si>
  <si>
    <t>The role involves collecting, cleaning, and analyzing data to generate insights for decision-making. I’m a good fit due to my MIS background, SQL experience, and strong analytical mindset. I’m detail-oriented, eager to learn, and ready to apply my skills to real business problems effectively.</t>
  </si>
  <si>
    <t>HUB – Trường Đại học Ngân hàng TP.HCM</t>
  </si>
  <si>
    <t>Hệ thống thông tin kinh doanh và chuyển đổi số</t>
  </si>
  <si>
    <t>Cleaned and structured large‑scale datasets (50,000+ records), applied SQL/Python for preprocessing, and ensured data quality for analysis.
Conducted exploratory data analysis and predictive modeling (clustering, regression) to identify 3 high‑potential customer segments with &gt;15% projected growth.
Built interactive Tableau dashboards and validated insights with 20+ test cases, achieving &gt;90% model accuracy and delivering actionable.
recommendations to stakeholders and achieving Top 15 Business Analyst Season 5 Competition.</t>
  </si>
  <si>
    <t>https://drive.google.com/drive/folders/1PB32umB5PelthyP4r6gd4RRqmPQU_hn9?usp=sharing</t>
  </si>
  <si>
    <t>SUN.STUDIO LinkedIn, Ybox</t>
  </si>
  <si>
    <t>I would love to share that I’m genuinely eager to learn and grow in a professional data environment. I value feedback, take initiative, and adapt quickly to new challenges. I hope to contribute with my analytical mindset while continuously improving my technical and business understanding at SUN.STUDIO.</t>
  </si>
  <si>
    <t>ssjz6uqkkopgh947k2kissjzw863jfu1</t>
  </si>
  <si>
    <t>Thái Thanh Kha</t>
  </si>
  <si>
    <t>thaikha14102003@gmail.com</t>
  </si>
  <si>
    <t>+84967685601</t>
  </si>
  <si>
    <t>My biggest passion is bringing unique game ideas to life and making them profitable through professional, high-quality work. SUN.RISER is the perfect place for me to achieve this.</t>
  </si>
  <si>
    <t>The Unity Intern will directly use Unity to build games and collaborate with Game QA and Game Design to bring ideas to life. 
Meanwhile, Game QA creates specific production processes and coding standards to ensure high-quality games and prevent bugs or errors during development.</t>
  </si>
  <si>
    <t>UFM – Trường Đại học Tài chính – Marketing TP.HCM</t>
  </si>
  <si>
    <t>management information system</t>
  </si>
  <si>
    <t>The game is KYS, a 2D Stealth-Roguelike built with Unity. It features stealth action with a loop mechanic similar to Hades: players lose items upon death but keep permanent upgrades. The project strongly focuses on system design and optimizing the user experience, specifically inventory and UX/UI design.</t>
  </si>
  <si>
    <t>https://github.com/MomonTK/KYS-Game</t>
  </si>
  <si>
    <t>Ybox, Trường đại học, SUN.STUDIO LinkedIn</t>
  </si>
  <si>
    <t>I have deep respect and admiration for the high-quality products and positive values the studio has brought to the community. My biggest passion is bringing unique game ideas to life and making them profitable through highly professional work.</t>
  </si>
  <si>
    <t>8uj48h3hsahtae2f7c28uj48e8nq3qof</t>
  </si>
  <si>
    <t>Hoàng Hải Yến</t>
  </si>
  <si>
    <t>hoanghaiyencbm@gmail.com</t>
  </si>
  <si>
    <t>+84908003798</t>
  </si>
  <si>
    <t>I believe core systems must be highly optimized to create accessible yet engaging Casual games for millions. Therefore, I aim to apply my hands-on experience in building similar projects to both grow personally and contribute effectively to SUN.RISER</t>
  </si>
  <si>
    <t>This role involves implementing Core Gameplay, integrating UI/UX Canvas, and fixing bugs with QA through Daily Scrum. I am a fit because I have developed similar projects using Scrum with strong team feedback and possess an eager-to-learn spirit</t>
  </si>
  <si>
    <t>I have completed 3 Unity game projects, achieving a 9.7/10 in Game Development with Unity:
- As Lead Core Systems for ChillFarm, I architected an Event-driven framework and engineered the custom Economy Balancing model 
- For Tom &amp; Jerry: Cheesy Runner, I developed the Power up systems and stabilized performance at 60 FPS via Object Pooling. And I got top 10 with this game at SE Apps
- Finally, as the Solo Developer of 2D Shooter, I implemented the combat mechanics, wave-based spawning, and a modular weapon system through extensive playtesting</t>
  </si>
  <si>
    <t>https://zussic.itch.io/</t>
  </si>
  <si>
    <t>As an avid player of SUN.STUDIO’s casual titles during my free time, I have always been impressed by how you balance simplicity with deep engagement. This passion drives my desire to join the team, where I can apply my technical experience in System Architecture and Optimization to contribute to your upcoming projects. I am eager to learn from your experts while delivering immediate value to the studio’s growth. Thank you for this opportunity!</t>
  </si>
  <si>
    <t>cvl87rm4fhggpkjzcvl89ztlw3slki44</t>
  </si>
  <si>
    <t>Nguyễn Thái Diễm Quỳnh</t>
  </si>
  <si>
    <t>nguyenthaidiemquynh162.work@gmail.com</t>
  </si>
  <si>
    <t>+84901734187</t>
  </si>
  <si>
    <t>Em chọn HR vì muốn hiểu cách doanh nghiệp xây dựng đội ngũ để tạo ra sản phẩm chất lượng, đặc biệt trong lĩnh vực game mà em quan tâm. Em muốn tham gia recruitment cycle để hiểu cách tìm đúng người và xây dựng talent pipeline. Từ trải nghiệm startup, em nhận ra sản phẩm phải iterate rất nhiều, nên em cũng tò mò về cách đảm bảo chất lượng đầu ra.</t>
  </si>
  <si>
    <t>Em nghĩ vị trí này sẽ tham gia recruitment cycle, hỗ trợ onboarding, employer branding và L&amp;D. Em phù hợp vì em chủ động, học nhanh, chú ý chi tiết và có khả năng phối hợp, trình bày rõ ràng trong môi trường HR.</t>
  </si>
  <si>
    <t>International Business Economics (Kinh tế đối ngoại)</t>
  </si>
  <si>
    <t>8.37</t>
  </si>
  <si>
    <t>Em chưa có nhiều kinh nghiệm trực tiếp với ngành game, nhưng có góc nhìn người dùng từ việc trải nghiệm một số game mobile.</t>
  </si>
  <si>
    <t>https://canva.link/diemquynh2026portfolio</t>
  </si>
  <si>
    <t>gpexk7idk11nih6sgpexk7komvsntalo</t>
  </si>
  <si>
    <t>Lê Quốc Việt</t>
  </si>
  <si>
    <t>vietlq7721900@gmail.com</t>
  </si>
  <si>
    <t>+84528815642</t>
  </si>
  <si>
    <t>Em chọn vị trí này vì:
- Cơ hội được tham gia và học hỏi quy trình sản xuất thực tế tại SUN.STUDIO
- Có cơ hội được tham gia thị trường lao động đúng chuyên môn</t>
  </si>
  <si>
    <t>- Em nghĩ vị trí này sẽ hỗ trợ team làm các task Unity như gameplay, UI, fix bug, setup scene/prefab và test build. 
- Em phù hợp vì em có nền tảng C# Unity, hiểu OOP và các kỹ thuật Unity cơ bản, đồng thời em học nhanh, chịu khó debug và muốn phát triển nghiêm túc theo hướng game developer.</t>
  </si>
  <si>
    <t>- Triển khai toàn bộ Gameplay mechanic
- Triển khai UI (UI Toolkit)
- Triển khai Sound, Effect, Animation.
- Tối ưu hiệu xuất cho android
- Manual test, Debug và build/release sản phẩm.
- Upload sản phẩm lên Itch.io</t>
  </si>
  <si>
    <t>vietlq0204-gif.github.io/LeQuocViet_Portfolio/</t>
  </si>
  <si>
    <t>Em mong muốn có cơ hội được học hỏi và đóng góp tại SUN.STUDIO. Em sẵn sàng học nhanh, chịu khó tiếp thu feedback và nghiêm túc phát triển lâu dài theo hướng Unity Game Developer.</t>
  </si>
  <si>
    <t>x9c3xbxonvy7x9ohgpsx9c3x40nmhat0</t>
  </si>
  <si>
    <t>Mai Quỳnh Châu</t>
  </si>
  <si>
    <t>mqchaufw@gmail.com</t>
  </si>
  <si>
    <t>+84847046049</t>
  </si>
  <si>
    <t>Em chọn vị trí Game QA Intern tại SUN.RISER vì mong muốn được đóng góp vào việc tối ưu hóa trải nghiệm người dùng. Qua việc học và chơi game, em đã rèn luyện tư duy quan sát tỉ mỉ để phát hiện các lỗi về gameplay và user flow. Em tin rằng sự chỉn chu của mình rất phù hợp để tiếp cận quy trình QA bài bản và thực tế tại SUN.RISER.</t>
  </si>
  <si>
    <t>Vị trí này bao gồm kiểm thử tính năng game, phát hiện và báo lỗi, đảm bảo trải nghiệm người dùng mượt mà. Em phù hợp vì có kinh nghiệm test qua các project, chú ý chi tiết và có tư duy hướng người dùng.</t>
  </si>
  <si>
    <t>Công nghệ và Đổi mới sáng tạo</t>
  </si>
  <si>
    <t>8.33</t>
  </si>
  <si>
    <t>Trong môn Lập trình căn bản, em đã tham gia phát triển game Rắn săn mồi và đạt 8/10 điểm. Trong quá trình thực hiện, em đã kiểm tra hoạt động của game, phát hiện và xử lý một số lỗi logic cơ bản.</t>
  </si>
  <si>
    <t>https://drive.google.com/file/d/1N9uVh3EYPNYXcBzxOY1sh81tXB9YYtiO/view?usp=sharing</t>
  </si>
  <si>
    <t>Em xem đây là cơ hội quý giá để hiểu cách chất lượng định hình trải nghiệm người chơi. Em mong muốn học hỏi từ môi trường thực tế, sẵn sàng nỗ lực nâng cao kỹ năng và đóng góp sự tỉ mỉ của mình để cùng SUN.STUDIO tạo ra những tựa game ổn định, mượt mà nhất.</t>
  </si>
  <si>
    <t>aal03fb7wboggy2aal0cfrd5a1bnu5ij</t>
  </si>
  <si>
    <t>Nguyễn Quốc Tiến</t>
  </si>
  <si>
    <t>nqttqnmk@gmail.com</t>
  </si>
  <si>
    <t>+84388585995</t>
  </si>
  <si>
    <t>Mục tiêu của em là trở thành Game Developer nên đây là cơ hội quý giá để em từng bước hoàn thành mục tiêu đó. Được một Studio game top đầu bồi dưỡng chắc chắn sẽ đem lại cho em nhiều kinh nghiệm quý giá, hoặc hơn thế nữa sẽ tìm được bến đỗ sự nghiệp và đồng hành cùng Sun Studio tạo ra những sản phẩm tuyệt vời.</t>
  </si>
  <si>
    <t>NV1: Unity Developer có vai trò hiện thực hóa các thiết kế game của Game Designer (GD) với nền tảng chính là Unity (C#), xây dựng từng tính năng để hoàn thiện dự án.
NV2: Game Designer giữ vai trò thiết kế thế giới game, màn chơi, nhân vật, cốt truyện và các cơ chế game nhằm mang lại trải nghiệm thú vị (fun) cho người chơi.</t>
  </si>
  <si>
    <t>HUFI đã đổi tên thành HUIT - Trường Đại học Công Thương TP. Hồ Chí Minh</t>
  </si>
  <si>
    <t>Đã tốt nghiệp 1 năm</t>
  </si>
  <si>
    <t>8.19</t>
  </si>
  <si>
    <t>22/12/2025 - 06/02/2026
Thực tập Game Design Gihot Studio: Phân tích đánh giá một số dự án game nội bộ; Quy trình thiết kế game; Lý thuyết thiết kế game.</t>
  </si>
  <si>
    <t>https://docs.google.com/spreadsheets/d/1ub-Ek-CcdLdU8WaKBI7gn69qGV2dcNl1pFoLeCVtOj4/edit?usp=sharing</t>
  </si>
  <si>
    <t>Với chuyên ngành công nghệ phần mềm, điều tự tin nhất em có là khả năng xử lý các bài toán logic, do đó còn rất nhiều thiếu sót trong lĩnh vực phát triển game. Đó cũng chính là lý do em muốn được đến với Sun. Hy vọng Sun sẽ cho em cơ hội tích lũy thêm nhiều kinh nghiệm hơn.</t>
  </si>
  <si>
    <t>w7j6rv2rs536uduptqbvr4w7j6rvjctn</t>
  </si>
  <si>
    <t>Trần Như Phú Quang</t>
  </si>
  <si>
    <t>trnhphquang190703@gmail.com</t>
  </si>
  <si>
    <t>+84902561608</t>
  </si>
  <si>
    <t>I'm interested in Unity Development Intern position at SUN.RISER because it matches both my technical background and my long-term career direction in game development.
And what attracts me most to SUN.RISER is the chance to work in a creative environment, collaborate with a team, and gain hands-on experience in developing games.</t>
  </si>
  <si>
    <t>I believe this role involves developing and improving game features, collaborating with other team members to build engaging gameplay experiences and enhance overall quality of the product.
I think I'm a good fit because I have experience working with Unity and genuinely like making games, turning ideas into something interactive and fun to play.</t>
  </si>
  <si>
    <t>7.78</t>
  </si>
  <si>
    <t>During my previous internship, I had hands-on experience in working on playable ads projects. My role involved rebuilding interactive gameplay scenes from a base game in Unity, and adapting them for platforms such as Luna or Unity Playworks Creative Clouds. The result was lightweight playable experiences that could load within 1-2 seconds while still delivering smooth and engaging gameplay, ready for publishing on networks such as Mintegral or ironSource.</t>
  </si>
  <si>
    <t>https://portfolio-seven-tawny-34.vercel.app/</t>
  </si>
  <si>
    <t>I'm open to starting from an internship position if needed, as I value the opportunity to learn, gain more hands-on experience, and grow within the company. I'm genuinely interested in developing my technical skills and contributing to SUN.STUDIO's projects.</t>
  </si>
  <si>
    <t>zkogqyhid4zdwha4yzzkogqyhw1oiws5</t>
  </si>
  <si>
    <t>Lê Thanh Phát</t>
  </si>
  <si>
    <t>ltphatt2709@gmail.com</t>
  </si>
  <si>
    <t>+84973643001</t>
  </si>
  <si>
    <t>Trong quá trình học tập và có một ít kinh nghiệm làm việc thực tế ở vị trí Game Developer, em thấy đây là vị trí phù hợp với kỹ năng chuyên môn và định hướng phát triển lâu dài của em.</t>
  </si>
  <si>
    <t>- Em nghĩ vị trí này phát triển gameplay, giao diện, hiệu ứng theo yêu cầu của dự án. Đồng thời làm việc nhiều với Game Designer, Artist,... để có một sản phẩm đầu ra tốt nhất.
- Em phù hợp với vị trí này vì em có thể áp dụng tốt các kiến thức đã học vào công việc, ngoài ra em còn là một người thích chơi game và luôn cập nhật xu hướng trò chơi.</t>
  </si>
  <si>
    <t>- Vào năm ngoái, em có làm đồ án tốt nghiệp với chủ đề là phát triển game 3D hỗ trợ trẻ em học Tiếng Anh bằng Unity.
- Vai trò của em là developer chính của dự án, đồng thời thiết kế giao diện cho trò chơi.
- Kết quả là có một sản phẩm hoàn chỉnh được publish trên chợ ứng dụng.</t>
  </si>
  <si>
    <t>https://bit.ly/ltphat-portfolio</t>
  </si>
  <si>
    <t>Em ứng tuyển vào chương trình này với tâm thế là một người bắt đầu và coi đây như là một cơ hội để đồng hành trên chặng đường phát triển cùng SUN.STUDIO. 
Với kiến thức đã học và kinh nghiệm đã có nhờ vào việc đi làm sớm từ lúc còn sinh viên, em tin rằng sẽ nhanh chóng làm quen với quy trình làm việc thực tế của công ty và hoàn thành tốt chương trình.</t>
  </si>
  <si>
    <t>mb4lpz1uqa2a8hm0fmdi6fws75smdxif</t>
  </si>
  <si>
    <t>Nguyễn Thắng Lợi</t>
  </si>
  <si>
    <t>winnguyen1905.work@gmail.com</t>
  </si>
  <si>
    <t>+84375359048</t>
  </si>
  <si>
    <t>The AI Engineer role at SUN.RISER lets me go deeper into what I'm most excited about — LLMs, RAG, and chatbots. School projects gave me a taste; now I want to ship real systems with a team that actually builds, learns together, and uses AI to create something meaningful</t>
  </si>
  <si>
    <t>I see this role as building RAG pipelines, fine-tuning prompts, and shipping chatbots that actually work for users — not just demos. I'm a good fit because I've built LLM projects at school, debug with patience, and learn fast. I care about both the model and the user behind it.</t>
  </si>
  <si>
    <t>3.0</t>
  </si>
  <si>
    <t>At Aladin Contract, I work as an AI/Blockchain Off-Chain Engineer, where my main focus has been OriLife — a biological identification pipeline I co-built in Python with PyTorch. The system combines Meta's DINOv3 for feature extraction and SAM3 for segmentation with server-side keypoint extraction and matching models to deliver fine-grained identity verification. I integrated Milvus as the vector database for high-throughput similarity search across the identification corpus, enabling entity re-identification at scale. The pipeline powers a decentralized identity platform on Cardano, where biological identity is cryptographically anchored on-chain. Alongside OriLife, I also built RAG pipelines with LangChain and HuggingFace for internal Q&amp;A, and developed off-chain Cardano logic with MeshSDK for escrow and CIP-68 NFTs.</t>
  </si>
  <si>
    <t>https://github.com/winnguyen1905-aladin</t>
  </si>
  <si>
    <t>Thank you for taking the time to review my application. What excites me most about SUN.STUDIO is the chance to apply what I've built in AI and blockchain to a team that ships real products with real users. I'm someone who learns fast, takes ownership, and genuinely enjoys the messy parts of engineering — debugging, iterating, and improving systems over time. Even if I'm not the perfect fit right now, I'd love the chance to grow with the team. Looking forward to hearing from you!</t>
  </si>
  <si>
    <t>g53pc5mqlb17sk0pzg5f35eqsfsdofb4</t>
  </si>
  <si>
    <t>Lê Công Tuấn</t>
  </si>
  <si>
    <t>letuancong37@gmail.com</t>
  </si>
  <si>
    <t>+84986914970</t>
  </si>
  <si>
    <t>I chose this position because Unity game development is my genuine passion. I want to apply what I've learned in a real, professional environment like SUN.RISER and grow as a developer under experienced mentors.</t>
  </si>
  <si>
    <t>I believe this role involves building game features in Unity. I'm a good fit because I have hands-on experience working with Unity — setting up GameObjects, applying scripts, and understanding how game components interact — and I'm motivated to deepen my C# skills in a real team environment.</t>
  </si>
  <si>
    <t>Công nghệ tri thức</t>
  </si>
  <si>
    <t>7.56</t>
  </si>
  <si>
    <t>I completed a Game Design and Development course from Michigan State University (Coursera), where I built a 2D top-down shooter in Unity — implementing player movement, enemy AI, and collision detection. I also independently developed a 3D Solar System simulation in Unity, both published on itch.io</t>
  </si>
  <si>
    <t>2D Shooter (Unity): https://utan0710.itch.io/2d-shooter 2D Space Adventure (Unity): https://utan0710.itch.io/2d-space-adventure 3D Solar System (Unity): https://utan0710.itch.io/solar-system GitHub: https://github.com/Otcuan</t>
  </si>
  <si>
    <t>Ứng tuyển qua Chương trình Thực tập hè của Nhà trường (như HCMUS, HCMUT)</t>
  </si>
  <si>
    <t>0248ad8gu14vio0cd0248ace8v486u3w</t>
  </si>
  <si>
    <t>Nguyễn Vy Thảo</t>
  </si>
  <si>
    <t>nguyenvythao1810@gmail.com</t>
  </si>
  <si>
    <t>+84795076141</t>
  </si>
  <si>
    <t>Em định hướng phát triển theo HRBP nên mong muốn được trải nghiệm đa dạng chức năng nhân sự. Với nền tảng tuyển dụng trước đó, em muốn thử thách bản thân ở môi trường có tệp ứng viên khác và có trình độ cao hơn. Đồng thời, em cảm thấy em có những yếu tố phù hợp với yêu cầu được viết trong JD cho vị trí này tại SUN.RISER.</t>
  </si>
  <si>
    <t>Em nghĩ vị trí này sẽ hỗ trợ toàn bộ quy trình tuyển dụng, xây dựng talent pipeline, onboarding, đồng thời tham gia Employer Branding và hỗ trợ các hoạt động đào tạo nội bộ.
Em phù hợp vì đã có kinh nghiệm tuyển dụng số lượng lớn ứng viên, có tư duy phân tích, chú trọng chi tiết, tinh thần chủ động và yêu thích các hoạt động phát triển con người.</t>
  </si>
  <si>
    <t>Quản trị nhân lực</t>
  </si>
  <si>
    <t>9.03</t>
  </si>
  <si>
    <t>(1) Recruitment Intern tại Giao Hàng Tiết Kiệm
Tại đây, em phụ trách sàng lọc và liên hệ 50 - 70 ứng viên mỗi tuần cho các vị trí tuyển dụng số lượng lớn. Em tham gia đăng bài tuyển dụng, tối ưu nội dung đạt hơn 30.000 lượt tiếp cận, phối hợp sắp xếp phỏng vấn, hỗ trợ onboarding và theo dõi các chỉ số tuyển dụng để lập báo cáo, từ đó đề xuất cải thiện quy trình. Thông qua công việc này, em rèn luyện khả năng quản lý khối lượng công việc cao, làm việc có hệ thống, giao tiếp chuyên nghiệp với nhiều nhóm đối tượng và sử dụng dữ liệu để phân tích, ra quyết định thay vì xử lý theo cảm tính.
(2) Các cuộc thi Nhân sự
Khi tham gia các cuộc thi như “Giải mã Ma trận Nhân sự 2025” và “HuReQuiz 2025”, em được tiếp cận các tình huống nhân sự thực tế, yêu cầu phân tích nguyên nhân – hệ quả và đề xuất giải pháp trong thời gian giới hạn. Kết quả, em đạt Top 15/2.000 thí sinh tại “Giải mã Ma trận Nhân sự 2025” và Top 8/50+ đội tại “HuReQuiz 2025”. Qua đó, em phát triển tư duy phản biện, khả năng lập luận logic, bảo vệ quan điểm thuyết phục và kỹ năng làm việc nhóm hiệu quả dưới áp lực.</t>
  </si>
  <si>
    <t>b0p6a2xdwmywyd3b0pn589g4k987apz4</t>
  </si>
  <si>
    <t>Lê Minh Chiến</t>
  </si>
  <si>
    <t>leminhchienvt121098@gmail.com</t>
  </si>
  <si>
    <t>+84334422117</t>
  </si>
  <si>
    <t>Vì là cty làm game và có tuyển vị trí QC/tester, em hứng thú với cả 2 mảng.</t>
  </si>
  <si>
    <t>Đảm bảo chất lượng đầu ra của game, khiến cho game trở nên thu hút có nhiều người chơi, tăng doanh thu. Tôi cảm thấy mình có thể phù hợp với vị trí này vì có thể tính toán được các tình huống rủi ro cũng như là có kinh nghiệm làm QC Hóa chất từ trước</t>
  </si>
  <si>
    <t>...</t>
  </si>
  <si>
    <t>https://www.linkedin.com/in/chien-le-minh-3a6263196/</t>
  </si>
  <si>
    <t>có bị lỗi chọn No ở mục kinh nghiệm dự án thì vẫn phải bắt điền tên dự án vào, kèm bắt buộc phải gửi Portfolio của dự án đó khi mà không có kinh nghiệm gì?</t>
  </si>
  <si>
    <t>nmvnjjbg9e03hza60kdnmvnjjbo3u6zn</t>
  </si>
  <si>
    <t>Ngụy Thành Đạt</t>
  </si>
  <si>
    <t>thanhdat06112004@gmail.com</t>
  </si>
  <si>
    <t>+84764914166</t>
  </si>
  <si>
    <t>Em đã học những môn về phần kiểm thử và quản lý dữ liệu trong quá trình học của mình tại trường và em rất mong muốn được phát triển trong thị trường Game, thị trường mà em rất mong muốn được phát triển sự nghiệp</t>
  </si>
  <si>
    <t>Em nghĩ vị trí QA sẽ đảm bảo suốt quá trình phát triển Game sẽ diễn ra trôi chảy và chính xác. Không để lại các lỗi nặng và hạn chế mọi lỗi trong suốt quá trình phát triển</t>
  </si>
  <si>
    <t>https://github.com/Thanhdatlevi</t>
  </si>
  <si>
    <t>Em rất mong muốn có cơ hội thực tập và phát triển sự nghiệp của mình tại Studio ạ. Hi vọng Studio sẽ cho em cơ hội phỏng vấn để thể hiện khả năng của mình</t>
  </si>
  <si>
    <t>nbbmh3tt7ncl3mx1nbbmh3v1fa7nx8ce</t>
  </si>
  <si>
    <t>Nguyễn Phi Long</t>
  </si>
  <si>
    <t>philongnguyen1704@gmail.com</t>
  </si>
  <si>
    <t>+84914749064</t>
  </si>
  <si>
    <t>Thông qua tìm hiểu qua các diễn đàn và các mối quan hệ cá nhân, em ấn tượng với chính sách phát triển và các chế độ đãi ngộ cho nhân viên, điều này rất hợp với các dự định của em. 
Với nền tảng ICPC và kinh nghiệm làm game cá nhân, em hy vọng được vận dụng, đóng góp kỹ năng cho công ty.</t>
  </si>
  <si>
    <t>Tận dụng cơ hội được học tập và làm việc trong một môi trường chuyên biệt, nguồn lực và sự sáng tạo đều tập trung hoàn toàn vào game. Việc này là điều kiện lý tưởng để em tập trung cao độ phát triển kỹ năng và đóng góp hiệu quả nhất cho công ty.</t>
  </si>
  <si>
    <t>Space Defend – Unity 2D Survival Game
- Phát triển game sinh tồn 2D modular trong Unity bằng C#, thiết kế framework có khả năng mở rộng để tích hợp các hành vi AI steering phức tạp, hệ thống cấp độ quái (wave) linh hoạt và quản lý đối tượng hiệu suất cao.
- Triển khai hệ thống AI tùy chỉnh kết hợp mô hình State Machine với steering behaviors để tạo ra sự di chuyển mượt mà, thực tế cho kẻ địch và các logic chiến đấu phức tạp.
- Xây dựng hệ thống vũ khí modular bằng cách kết hợp Strategy và Factory Method patterns để quản lý linh hoạt hành vi vũ khí theo cấp độ và logic khởi tạo có khả năng mở rộng.
- Sử dụng C# delegates cùng với Observer pattern để triển khai hệ thống spawn quái tự động với độ khó tăng dần theo thời gian thực, đồng thời quản lý các trạng thái gameplay như tính điểm và điều kiện thắng/thua.
- Tăng cường độ chỉn chu và hiệu suất của game bằng cách tích hợp UI mượt mà với DOTween và triển khai Object Pooling để tối ưu hóa việc dựng hình và bộ nhớ.
Climb to the Star – Unity 2D Action-RPG Game
- Triển khai State Machine tách biệt (decoupled) để quản lý các hành vi và hành động phức tạp của nhân vật, đảm bảo chuyển đổi mượt mà giữa các trạng thái chiến đấu, di chuyển và bị choáng.
- Xây dựng Game Manager tập trung sử dụng Singleton pattern để điều phối vòng lặp game tổng thể, tiến trình cấp độ và lưu trữ trạng thái game bền vững giữa các cảnh.
- Triển khai hệ thống AI tùy chỉnh kết hợp State Machine pattern để quản lý các hành vi chiến đấu tự động, cho phép chuyển đổi liền mạch giữa tuần tra, truy đuổi và tấn công tự động.
- Sử dụng Unity Tilemap và Rule Tiles để thiết kế màn chơi dạng modular, đảm bảo phân lớp môi trường hiệu quả và xử lý va chạm tối ưu.
- Tối ưu hóa hiệu suất dựng hình và bộ nhớ bằng cách triển khai Object Pooling cho đạn bay và các thực thể kẻ địch.
Dice Puzzle – Unity 2D Logic-Based Game
- Phát triển trò chơi giải đố dựa trên lưới (grid-based) trong Unity, tập trung vào logic di chuyển dựa trên ma trận hiệu quả và cơ chế khớp các mặt xúc xắc.
- Triển khai các thuật toán tùy chỉnh cho thao tác kéo thả xúc xắc, tính toán góc xoay và ánh xạ tọa độ để đảm bảo phát hiện chính xác mặt xúc xắc trong không gian 2D.
- Sử dụng C# delegates và observers để quản lý các trạng thái gameplay, bao gồm đếm số lượt đi, theo dõi điểm số và các điều kiện thắng/thua.</t>
  </si>
  <si>
    <t>https://github.com/PhiLong1st/space-defend-game, https://github.com/fpt-devteam/climb-to-the-star,  https://github.com/PhiLong1st/dice-puzzle-game</t>
  </si>
  <si>
    <t>SUN.STUDIO LinkedIn, Nhân viên công ty giới thiệu, Mạng xã hội</t>
  </si>
  <si>
    <t>Võ Gia Linh</t>
  </si>
  <si>
    <t>w0jjrxjj3hyhhi4w0jjrtayjj6e74xr2</t>
  </si>
  <si>
    <t>Lê Nguyễn Nhật Trường</t>
  </si>
  <si>
    <t>lnnt190805@gmail.com</t>
  </si>
  <si>
    <t>+84704671908</t>
  </si>
  <si>
    <t>Vì em mong muốn có thể xây dựng những sản phẩm game thực tế và tạo nhiều trải nghiệm khó quên cho người chơi.
Đây cũng là một trong những nguyên nhân mà em đam mê chơi game và muốn hướng tới việc làm trong ngành game. Trong đó, em sẽ xây dựng những cơ chế, những hệ thống trong game qua Unity, một engine mà em đã được học qua.</t>
  </si>
  <si>
    <t>Vị trí này sẽ xây dựng mọi thứ liên quan đến logic của game, đằng sau những giao diện, những model 3D hay sprite 2D. Vì em đang trong giai đoạn tự học làm game với Unity, đã học qua 2 Pathway Unity Essentials và Junior Programmer. Em mong muốn có thể được anh chị mentor tài năng hướng dẫn và định hướng.</t>
  </si>
  <si>
    <t>8.85</t>
  </si>
  <si>
    <t>Em đã học qua 2 Pathway miễn phí của Unity Learn là Essentials và Junior Programmer, qua đó em cũng được làm nhiều Prototype, trong đó em tự hào nhất là game top-down Sumo Wrestling và knockoff Fruit Ninja.
Ngoài ra, em đang là Lead Developer cho dự án Game cá nhân cùng một người bạn. Game lấy cảm hứng các hệ thống, cơ chế chính của Hollow Knight và triển khai theo phong cách Pixelated 2D. Tiến độ hiện tại vẫn ở mức prototype đơn giản do em bắt đầu làm ở tháng 3 và bản thân cũng tự vẽ toàn bộ sprite.</t>
  </si>
  <si>
    <t>Unity Play: https://play.unity.com/en/user/17261eda-8dd0-4172-a177-d3139d57e1a1</t>
  </si>
  <si>
    <t>Hi vọng Studio sẽ giúp em phát triển được bản thân theo đam mê của mình.</t>
  </si>
  <si>
    <t>ue89m195h9lwsw1n3y1yhjtcyue89m1k</t>
  </si>
  <si>
    <t>Hoàng Hữu Nhân</t>
  </si>
  <si>
    <t>nhan.hoanghenrykaka@hcmut.edu.vn</t>
  </si>
  <si>
    <t>+84355510082</t>
  </si>
  <si>
    <t>Tui muốn trải nghiệm một điều gì đó mới mẻ trên con đường coding của mình và tui nghĩ  làm về Game sẽ là một lựa chọn hoàn hảo cho định hướng phát triển tương lai của tui.</t>
  </si>
  <si>
    <t>Tui nghĩ vị trí này sẽ tập trung thiết kế gameplay, cân bằng cơ chế game và cải thiện trải nghiệm người chơi. Tui thấy bản thân mình phù hợp vì tui có tư duy logic tốt, biết chú ý đến những chi tiết nhỏ và có niềm đame mê về game. Tui thích phân tích cách game vận hành và đề xuất cải tiến, đồng thời học hỏi nhanh và làm việc tốt trong team.</t>
  </si>
  <si>
    <t>Tui chưa từng có kinh nghiệm làm về game trước đây.</t>
  </si>
  <si>
    <t>https://github.com/nhanhoanghenrykaka/frontend_DATH_HK251</t>
  </si>
  <si>
    <t>Tui thực sự rất mong muốn có cơ  hội làm thực tập ở SUN.STUDIO. Nếu SUN.STUDIO cho tui cơ  hội làm  việc và học tập ở đây, tui hứa sẽ cống hiến hết mình 1000% nỗ lực của  bản thân vì SUN.STUDIO. Tui sẽ không làm SUN.STUDIO thất vọng.</t>
  </si>
  <si>
    <t>t5yddget97hbhwn6l6t5yddap8oxe2dd</t>
  </si>
  <si>
    <t>Trần Khánh An</t>
  </si>
  <si>
    <t>khanhan501@gmail.com</t>
  </si>
  <si>
    <t>+84789430105</t>
  </si>
  <si>
    <t>I chose SUN.RISER for its hands-on game development experience and mentorship, which I see as the ideal environment to grow in Unity and C#.</t>
  </si>
  <si>
    <t>The role focuses on building game features with Unity and C# while collaborating with a team.
I’m a good fit thanks to my programming background and my current focus on learning Unity and C#.</t>
  </si>
  <si>
    <t>7.79</t>
  </si>
  <si>
    <t>No, I haven’t had such experience yet.</t>
  </si>
  <si>
    <t>ThinkFirst: https://github.com/nhunguyen133/kms-hackathon-noleHCMUT.git; EcoStamp: https://github.com/phuoc147/EcoStamp-FE.git;</t>
  </si>
  <si>
    <t>I’m eager to learn, improve, and contribute as much as I can. Even though I’m still early in my journey with new technologies, I’m committed to putting in the effort to grow and add value to the team.</t>
  </si>
  <si>
    <t>9ig6bo8ha81ovvs9ig692r5toue7p005</t>
  </si>
  <si>
    <t>Trần Tiến Cường</t>
  </si>
  <si>
    <t>trantcuong2312@gmail.com</t>
  </si>
  <si>
    <t>+84338486018</t>
  </si>
  <si>
    <t>I am eager to join SUN.STUDIO as a Game Design Intern to contribute the logical mindset and technical skills gained from my game-related projects and self-study. I aim to apply my academic foundation to a professional environment, bridging the gap between theory and industry practice while delivering value to the SUN.RISER.</t>
  </si>
  <si>
    <t>I believe this role involves market research, system design, and using data and AI to optimize metrics like Retention. I am a strong fit because my Data Science background and experience in game-related projects allow me to handle Product Analysis and Level Balancing with analytical precision to ensure high-quality gameplay.</t>
  </si>
  <si>
    <t>9.05</t>
  </si>
  <si>
    <t>I served as the Developer and Designer for projects including a Snake Game, Rush Hour puzzles, Wumpus World AI Agent. Beyond coding the logic, I designed diverse level layouts and visual assets, creating distinct gameplay scenarios with escalating difficulty.</t>
  </si>
  <si>
    <t>https://github.com/nhquana2/ai-project02-23clc01; https://github.com/nhquana2/ai-project01-23clc01; https://github.com/nhquana2/snake-game-ktlt</t>
  </si>
  <si>
    <t>Although I am at the beginning of my professional career, I am confident that my strong academic foundation and passion for game design will allow me to contribute effectively to SUN.STUDIO. I am a proactive learner, eager to refine my skills and grow within a professional environment. I sincerely hope to be selected for the SUN.RISER internship program to dedicate my efforts to the studio's success.</t>
  </si>
  <si>
    <t>8oelrg66cjhev7jw758oelbqyd2ij8wt</t>
  </si>
  <si>
    <t>Võ Anh KHải</t>
  </si>
  <si>
    <t>khaivo300605@gmail.com</t>
  </si>
  <si>
    <t>+84902316248</t>
  </si>
  <si>
    <t>Điều khiến tôi lựa chọn vị trí Game Design tại SUN.RISER là cơ hội để phát huy khả năng sáng tạo trong việc xây dựng trải nghiệm trò chơi hấp dẫn. Tôi đặc biệt hứng thú với việc thiết kế gameplay, level design và xây dựng luật chơi để mang lại trải nghiệm thú vị cho người chơi.</t>
  </si>
  <si>
    <t>Tôi phù hợp vì đã có kiến thức nền tảng về phát triển game với Unity và C#, từng xây dựng điều khiển nhân vật, AI cơ bản và thiết kế level. Những kỹ năng này chủ yếu đến từ quá trình tự học và chủ động tìm tòi, giúp tôi có khả năng thích nghi nhanh và không ngừng cải thiện bản thân.</t>
  </si>
  <si>
    <t>7.5 / 10</t>
  </si>
  <si>
    <t>kaitodeus.vercel.app</t>
  </si>
  <si>
    <t>sxfxrivvcm0mct8lpfioklsxfxriv88b</t>
  </si>
  <si>
    <t>Trần Tấn Vạn</t>
  </si>
  <si>
    <t>vajn.tt@gmail.com</t>
  </si>
  <si>
    <t>+84384077279</t>
  </si>
  <si>
    <t>I'm motivated to apply for this position because it aligns closely with both my interests and long-term career goals. I enjoy the process of building interactive experiences, from logic design to user experience.</t>
  </si>
  <si>
    <t>I think this role involves working on game features, fixing bugs, and collaborating with the team to improve the game. 
I believe I’m a good fit because I’ve already completed several games through my personal projects, so I’m familiar with the development process. I also enjoy coding, solving problems, and I’m eager to keep learning.</t>
  </si>
  <si>
    <t>Đại học Sư phạm Kỹ thuật Vĩnh Long</t>
  </si>
  <si>
    <t>9.025</t>
  </si>
  <si>
    <t>I completed a personal project called "Parking Car", where I built the core gameplay based on a tutorial, then expanded it by designing additional levels and adding new features.
My role was handling the full development process. The outcome was a fully completed game that I developed beyond the original tutorial, rather than just copying it.</t>
  </si>
  <si>
    <t>https://vantrannnn.itch.io/parking-car</t>
  </si>
  <si>
    <t>I understand that there are very few game development internship opportunities in HCM city, so I truly value this chance and want to make the most of it.
I’m eager to learn, contribute, and grow as a developer, and I hope to have the opportunity to be part of SUN.STUDIO.</t>
  </si>
  <si>
    <t>8z9ax491a1yod216ta8z9ax49brcsfz1</t>
  </si>
  <si>
    <t>Tran Gia Hy</t>
  </si>
  <si>
    <t>trangiahy31082004@gmail.com</t>
  </si>
  <si>
    <t>+84798766186</t>
  </si>
  <si>
    <t>Là một sinh viên mới tốt nghiệp ngành Khoa học dữ liệu, em đặc biệt ấn tượng với các dự án AI mà SUN.RISER đang triển khai. Em khao khát được làm việc trong một môi trường năng động để vừa học hỏi từ các chuyên gia, vừa tận dụng kỹ năng lập trình Python, SQL và tư duy giải quyết vấn đề của mình để giúp công ty tối ưu hóa các giải pháp công nghệ</t>
  </si>
  <si>
    <t>Em chọn vị trí này vì mong muốn ứng dụng chuyên môn Data Science và kinh nghiệm xây dựng AI Agents (RAG &amp; FAISS) vào thực tế tại SUN.RISER. Với nền tảng kỹ thuật vững chắc và tư duy tối ưu hóa, em tự tin có thể đóng góp ngay vào việc phát triển các giải pháp AI thông minh và hiệu quả cho công ty.</t>
  </si>
  <si>
    <t>HUFLIT -  Trường Đại Học Ngoại Ngữ - Tin Học TPHCM</t>
  </si>
  <si>
    <t>Khoa Học Dữ Liệu</t>
  </si>
  <si>
    <t>6.67</t>
  </si>
  <si>
    <t>Data Analyst Intern: Thu thập và xử lý dữ liệu quảng cáo (Facebook, Google, TikTok Ads), giúp tối ưu hóa ngân sách và tăng 25% ROI cho doanh nghiệp.</t>
  </si>
  <si>
    <t>https://github.com/TranGiaHy</t>
  </si>
  <si>
    <t>Thông qua việc ứng tuyển vào SUN.STUDIO, mong muốn lớn nhất của em là được đặt những viên gạch đầu tiên cho sự nghiệp chuyên nghiệp trong một môi trường năng động và sáng tạo. Là một sinh viên vừa tốt nghiệp, em không chỉ mang theo kiến thức chuyên môn về AI và Data Science mà còn mang theo một tinh thần khao khát học hỏi và cam kết phát triển bền vững cùng công ty.
Em mong muốn được thử thách bản thân qua các dự án thực tế, từ đó đóng góp năng lực vào sự thành công chung của SUN.STUDIO. Với em, vị trí này không chỉ là một công việc, mà là cơ hội để em theo đuổi đam mê, rèn luyện tư duy giải quyết vấn đề và từng bước khẳng định giá trị bản thân trên con đường sự nghiệp mà mình đã chọn.</t>
  </si>
  <si>
    <t>uyeqzf4k0p15zfi4uyeqzfy8tj7klykn</t>
  </si>
  <si>
    <t>Nguyễn Xuân Duy</t>
  </si>
  <si>
    <t>xuanduy2302@gmail.com</t>
  </si>
  <si>
    <t>+84985052900</t>
  </si>
  <si>
    <t>Động lực để em chọn vị trí Game Design Intern trong SUN.RISER đó là niềm đam mê và thế mạnh về xây dựng hệ thống và cân bằng các chỉ số trong trò chơi, khiến trò chơi không bị mất cân bằng.</t>
  </si>
  <si>
    <t>Em nghĩ công việc chính của vị trí này sẽ là thiết kế và xây dựng hệ thống cho trò chơi, viết Game Design Document, sau đó liên tục cập nhật để trò chơi hoàn thiện hơn. Lý do em phù hợp với vị trí này là vì em có nền tảng về game khá nhiều, và kiến thức về game và xây dựng hệ thống game đã được rèn luyện thông qua dự án cá nhân của em.</t>
  </si>
  <si>
    <t>Đại học Sài Gòn</t>
  </si>
  <si>
    <t>7.6</t>
  </si>
  <si>
    <t>Hiện tại em đang trong dự án làm game Action RPG đồ họa Pixel, HD - 2D. Vai trò chính của em trong dự án là Game Designer, ngoài ra em cũng tham gia vào các vai trò khác như Tester, Developer, do đây là dự án nhóm nhỏ nên cần làm nhiều việc. Hiện tại dự án của em đã làm xong phần gameplay combat, thiết kế và thực thi hoàn thiện 50+ skill, giao diện túi đồ, dev tools. Với dự án này, em đã tìm được điểm mạnh của bản thân, và học được nhiều kĩ năng mới phù hợp cho vị trí Game Designer.</t>
  </si>
  <si>
    <t>https://subdued-country-04d.notion.site/Portfolio-Game-Designer-3478bf3b3ac58041a6f4cff10d4059c8</t>
  </si>
  <si>
    <t>Với niềm đam mê và sự phù hợp với vị trí này, em hi vọng sẽ có cơ hội được Intern tại SUN.STUDIO, và nếu phù hợp, em rất mong chờ mình sẽ được phát triển sự nghiệp lâu dài ở SUN.STUDIO ạ.</t>
  </si>
  <si>
    <t>n09ofbzkuu63875n09w2b1im2q0vrl2y</t>
  </si>
  <si>
    <t>Phạm Nguyễn Quang Thoại</t>
  </si>
  <si>
    <t>quangthoai31072004@gmail.com</t>
  </si>
  <si>
    <t>+84368835294</t>
  </si>
  <si>
    <t>I'm motivated by the opportunity to work on real-world AI problems, not just academic exercises. This position allows me to apply what I've learned — from building ML models to working with LLMs — in a practical, impactful environment.</t>
  </si>
  <si>
    <t>I believe this role involves building AI/ML models, working with LLMs or APIs, and supporting the team in research and prototyping.
I'm a good fit because I have hands-on experience with Python, HuggingFace through my own projects, I learn fast, and I'm genuinely passionate about applied AI.</t>
  </si>
  <si>
    <t>Chưa có kinh nghiệm</t>
  </si>
  <si>
    <t>Em muốn hỏi về những chính sách đãi ngộ cho các thực tập sinh ạ. Hy vọng sẽ có cơ hội được làm việc với công ty.</t>
  </si>
  <si>
    <t>lk3lr86ox0d2bnlk3wyj15nc2jj13p9c</t>
  </si>
  <si>
    <t>Trần Thị Thanh Vi</t>
  </si>
  <si>
    <t>thanhvi041105@gmail.com</t>
  </si>
  <si>
    <t>+84365043675</t>
  </si>
  <si>
    <t>Em chọn vị trí Game Design Intern tại SUN.STUDIO vì sau khi tìm hiểu và trải nghiệm, mình nhận ra mình thực sự thích quá trình làm ra và cải thiện một tựa game.
Em tin SUN.STUDIO là môi trường phù hợp để em học hỏi, phát triển nghiêm túc và đóng góp lâu dài trong lĩnh vực Game Design.</t>
  </si>
  <si>
    <t>Em nghĩ vị trí này sẽ tập trung vào việc nghiên cứu thị trường và các game hiện có, thiết kế gameplay và level, đồng thời tối ưu sản phẩm dựa trên dữ liệu và quá trình playtesting.
Em phù hợp vì có nền tảng về user research, UX/UI, cùng kinh nghiệm CS game giúp em hiểu hành vi người chơi và xây dựng trải nghiệm hợp lý.</t>
  </si>
  <si>
    <t>Technology Innovation</t>
  </si>
  <si>
    <t>8.50</t>
  </si>
  <si>
    <t>Em đã có kinh nghiệm thông qua dự án học phần “Red Hood’s Adventure” – một trải nghiệm VR mang tính giáo dục dựa trên câu chuyện Cô bé quàng khăn đỏ.
Trong dự án, em tham gia thiết kế gameplay flow, logic tương tác và UI concept, đồng thời đóng góp vào việc xây dựng trải nghiệm người chơi sao cho dễ tiếp cận và hấp dẫn hơn. Kết quả là nhóm đã hoàn thiện được một concept game hoàn chỉnh với luồng trải nghiệm rõ ràng và có tính ứng dụng trong giáo dục.</t>
  </si>
  <si>
    <t>https://thanhvi.framer.website/</t>
  </si>
  <si>
    <t>Ybox, Mạng xã hội, SUN.STUDIO LinkedIn, Nhân viên công ty giới thiệu</t>
  </si>
  <si>
    <t>Hà Thị Lan Anh</t>
  </si>
  <si>
    <t>Em thật sự rất mong có cơ hội được học hỏi và phát triển tại SUN.STUDIO.
Dù em biết mình vẫn còn ít kinh nghiệm thực tế trong Game Design, nhưng em sẵn sàng học nhanh, không ngại thử thách và luôn chủ động cải thiện bản thân. Em thật sự muốn được tham gia vào quá trình tạo ra và phát triển game, được làm việc, sai và học trong một môi trường thực tế như SUN.STUDIO.
Em hy vọng mình có thể được trao cơ hội để chứng minh sự nghiêm túc và tinh thần cầu tiến của mình. Và dù kết quả ra sao, em vẫn rất trân trọng cơ hội này, cũng như mong có thể nhận được góp ý từ team để tiếp tục hoàn thiện bản thân trong hành trình theo đuổi Game Design.</t>
  </si>
  <si>
    <t>avvxy19zdmwpek91apavvxy19h1hv4e9</t>
  </si>
  <si>
    <t>Trần Nhật Duy</t>
  </si>
  <si>
    <t>trannhatd1811@gmail.com</t>
  </si>
  <si>
    <t>+84774421452</t>
  </si>
  <si>
    <t>Với sự khó khăn khi chọn công việc ngành game hiện nay, công ty đã tạo điều kiện cho tất cả mọi người đều có cơ hội được làm việc. Mình rất thích điều đó ở công ty mình^^</t>
  </si>
  <si>
    <t>Đầu tiên mình rất thích chơi game và tìm tòi những điều hay và điều chưa hay về game. Vị trí này sẽ thiết kế tựa game theo góc nhìn của một người đam mê game như mình. Chẳng hạn như Game Choice Matters vậy, tạo ra các nhánh hội thoại phức tạp, xây dựng tiểu sử nhân vật (lore) sâu sắc và đảm bảo tính nhất quán của thế giới trong game</t>
  </si>
  <si>
    <t>Lập trình Game (Game Programming)</t>
  </si>
  <si>
    <t>Dự án thực tập tại trường: Leader của nhóm 5 người về trò chơi ăn cá, kết quả đạt được đánh giá tốt bởi doanh nghiệp. Cuộc thi FPT Hackathon AI 2025: Lập trình Front-end lên Server cuộc thi cho ô tô được chạy đoạt giải khuyến khích ở vòng chung kết.</t>
  </si>
  <si>
    <t>https://github.com/yangg205/DATN (Dự án tốt nghiệp), https://github.com/XTH-CNTT-FPOLY-HCM/SU25-LTGA-PressStartxFPoly-Team11 (Dự án thực tập)</t>
  </si>
  <si>
    <t>Mình cảm ơn SUN.STUDIO đã tạo điều kiện cho mình có có hội được làm việc tại công ty. Hi vọng khi được tham gia cùng SUN.STUDIO mình sẽ cố gắng giúp công ty thành công ạ. Chúc công ty mình nhiều sức khoẻ^^</t>
  </si>
  <si>
    <t>25g4wj79pamgxcnj725g4wjovmfwugge</t>
  </si>
  <si>
    <t>Trương Gia Hào</t>
  </si>
  <si>
    <t>truonggiahao2208@gmail.com</t>
  </si>
  <si>
    <t>+84909462208</t>
  </si>
  <si>
    <t>I chose this position because I enjoy developing simple and fun games using Unity. I really like your focus on creating small and accessible games, which matches what I want to build. I hope to learn more and gain practical experience while contributing to your projects.</t>
  </si>
  <si>
    <t>I believe this role involves supporting the development of 2D casual games in Unity, including implementing basic gameplay features, integrating UI, fixing bugs, and learning development workflows from the team.
I am suitable for this position because I have been learning Unity and C# through small projects and have experience with basic gameplay</t>
  </si>
  <si>
    <t>7.32</t>
  </si>
  <si>
    <t>none</t>
  </si>
  <si>
    <t>I am really excited about the opportunity to join SUN.STUDIO and learn from experienced developers. I appreciate your focus on creating simple and enjoyable games, and I would love to contribute while improving my skills. Thank you for considering my application.</t>
  </si>
  <si>
    <t>nki6fdmw03l63nki6hxmryzjmpj2k3cl</t>
  </si>
  <si>
    <t>Võ Văn Giang</t>
  </si>
  <si>
    <t>vangiang24112020@gmail.com</t>
  </si>
  <si>
    <t>+84906623426</t>
  </si>
  <si>
    <t>Do em có sở thích chơi game và muốn tạo những con game hay cho nhiều người có cùng đam mê, chơi con game do chính bản thân mình tạo ra</t>
  </si>
  <si>
    <t>Em nghĩ vị trí này sẽ phát triển gameplay bằng Unity và C#, phối hợp với team để hoàn thiện game.
Em phù hợp vì đã có kinh nghiệm làm game Unity, xây dựng các hệ thống gameplay và luôn chủ động học hỏi.</t>
  </si>
  <si>
    <t>7.99</t>
  </si>
  <si>
    <t>Em là leader của nhóm qua các dự án game ở trường, thông qua các dự án đó em biết sâu về cách thức hoạt động của nhân vật trong unity, tổ chức file code theo mvc, biết cách xử lý UI game, xử lý animation, dùng các AI cho npc (behavior tree, finite state machine, nav mesh) và phần backend cho game (phần backend em sẽ học sâu hơn so với giáo trình backend game ở trường)</t>
  </si>
  <si>
    <t>https://github.com/yangg205/DATN</t>
  </si>
  <si>
    <t>Mạng xã hội, Ứng tuyển qua Chương trình Thực tập hè của Nhà trường (như HCMUS, HCMUT)</t>
  </si>
  <si>
    <t>Em mong muốn được học hỏi và tích lũy kinh nghiệm thực tế trong môi trường chuyên nghiệp. Hiện tại em đang phát triển các dự án về backend, app và game, nên mình rất mong có cơ hội được áp dụng kiến thức, đóng góp cho team và nâng cao kỹ năng tại SUN.STUDIO. Mình sẵn sàng học hỏi nhanh và chủ động trong công việc.</t>
  </si>
  <si>
    <t>b6b4giju1wo24ngj7x1b6b4gijr98p1s</t>
  </si>
  <si>
    <t>Phạm Tấn Đạt</t>
  </si>
  <si>
    <t>dat519825@gmail.com</t>
  </si>
  <si>
    <t>+84363539478</t>
  </si>
  <si>
    <t>Từ đam mê và kinh nghiệm phát triển các dự án nền tảng, em khao khát được cọ xát thực chiến. Các tựa game casual và puzzle của SUN.RISER rất phù hợp với những dự án em từng thực hiện. Do đó, em tin môi trường chuyên nghiệp, năng động và sáng tạo tại đây chính là bệ phóng lý tưởng cho bước đầu sự nghiệp game developer.</t>
  </si>
  <si>
    <t>Theo em tìm hiểu, vị trí Intern sẽ trực tiếp lập trình các cơ chế gameplay 2D cơ bản, tích hợp UI/UX, fix bug và làm quen với quy trình sản xuất game thực tế. Em tự tin mình phù hợp nhờ kiến thức OOP, C# và Unity 2D . Cùng tư duy toán học, AI, đồ họa và quản lý code qua Git từ các dự án trước đó, em tin mình có thể học hỏi và bắt nhịp nhanh chóng.</t>
  </si>
  <si>
    <t>- Bài tập lớn môn Kỹ năng chuyên nghiệp cho kỹ sư (Turn-based/chiến thuật)
+ Vai trò: Team Lead (nhóm 8 người) và là Sole Developer đảm nhận mảng kỹ thuật. Em chịu trách nhiệm thiết kế kiến trúc code, hiện thực logic cho 3 nhân vật, quản lý hệ thống vật phẩm và tích hợp UI/Audio
--&gt; Kết quả: Hoàn thiện thành công một tựa game tương đối hoàn chỉnh, cân bằng và tối ưu trải nghiệm tương tác của người chơi
- Chuỗi 6 bài tập lớn môn Lập trình Game (Đa dạng thể loại bằng nhiều ngôn ngữ/nền tảng khác nhau như C, C#, Python/Raylib, SDL2, Pygame, Unity)
+ Vai trò: Luân phiên đảm nhận các vị trí khác nhau, tập trung vào xây dựng Core Game Loop, xử lý vật lý/va chạm và phát triển AI tự động hóa cho Bot (áp dụng các thuật toán như Minimax, MCTS)
--&gt; Kết quả: Nắm các kiến thức cơ bản, trau dồi khả năng giải quyết thuật toán, linh hoạt thích ứng với nhiều cơ chế gameplay khác nhau và tối ưu quy trình làm việc nhóm qua Git/Github</t>
  </si>
  <si>
    <t>https://github.com/dat-phamtan</t>
  </si>
  <si>
    <t>SUN.STUDIO LinkedIn, Ứng tuyển qua Chương trình Thực tập hè của Nhà trường (như HCMUS, HCMUT), Mạng xã hội</t>
  </si>
  <si>
    <t>Với những thành tựu mà công ty đã đạt được , SUN.STUDIO là một bến đỗ lý tưởng cho bước đầu sự nghiệp. Em rất mong muốn có cơ hội tham gia đội ngũ SUN.STUDIO và đóng góp sức mình vào các dự án sắp tới của quý công ty. Cảm ơn anh/chị đã dành thời gian đọc hồ sơ của em.</t>
  </si>
  <si>
    <t>6sgxenffxn8ou3x6sgxehg1eqg6nji65</t>
  </si>
  <si>
    <t>Nguyễn Anh Minh</t>
  </si>
  <si>
    <t>nguyenanhminh2005cantho@gmail.com</t>
  </si>
  <si>
    <t>+84394762745</t>
  </si>
  <si>
    <t>I’m excited about SUN.RISER’s vision. With my expertise in AI and Software Engineering, I’m confident I can build smart solutions and add immediate value to your tech team.</t>
  </si>
  <si>
    <t>I see this role as building scalable, AI-driven solutions. I’m a great fit because I combine Software Engineering rigor with AI expertise to deliver high-impact results immediately</t>
  </si>
  <si>
    <t>https://www.linkedin.com/in/nguy%E1%BB%85n-minh-14577330a?utm_source=share_via&amp;utm_content=profile&amp;utm_medium=member_ios</t>
  </si>
  <si>
    <t>7poo3tt77tvb6q3di67poo3t0d7iqhsg</t>
  </si>
  <si>
    <t>Lê Bảo Quốc</t>
  </si>
  <si>
    <t>quoclb23416@st.uel.edu.vn</t>
  </si>
  <si>
    <t>+84337163704</t>
  </si>
  <si>
    <t>Phù hợp với ngành học, định hướng nghề nghiệp và niềm yêu thích game.</t>
  </si>
  <si>
    <t>Làm sạch và quản trị dữ liệu
Phân tích dữ liệu hành vi
Trực quan hóa qua các biểu đồ
Mình phù hợp với vị trí DA Intern vì những kỹ năng về phân tích dữ liệu, AI Automation, tinh thần ham học hỏi, tư duy ownership.</t>
  </si>
  <si>
    <t>UEL – Trường Đại học Kinh tế – Luật – ĐHQG TP.HCM</t>
  </si>
  <si>
    <t>Hệ thống thông tin quản lý (chuyên ngành Kinh doanh số và Trí tuệ nhân tạo)</t>
  </si>
  <si>
    <t>8.35</t>
  </si>
  <si>
    <t>Dự án SaigonHappyTour (Automation &amp; BI): Vai trò chính là xây dựng pipeline tự động (n8n, Selenium) và Dashboard Power BI để theo dõi xu hướng thị trường. Kết quả: Tăng tốc độ thu thập dữ liệu và giúp team ra quyết định dựa trên Insight thực tế thay vì cảm tính.
Dự án MetroPT-3 (Predictive Analytics): Sử dụng Python để xây dựng mô hình dự báo rủi ro và thiết lập phương trình kinh tế định lượng thiệt hại tài chính. Kết quả: Tối ưu hóa quy trình vận hành và đảm bảo độ tin cậy cao cho dữ liệu.
Dự án Quản trị dữ liệu (SQL &amp; Governance): Thiết kế cấu trúc SQL phức tạp và sơ đồ ERD để đảm bảo tính toàn vẹn dữ liệu 100%.</t>
  </si>
  <si>
    <t>Hiên tại, mình chưa xây dựng Porfolio riêng, các dự án về phân tích dữ liệu và tự động hóa đều được trình bày trong CV. Mình rất sẵn sàng thể hiện năng lực ở vòng Test và Phỏng vấn.</t>
  </si>
  <si>
    <t>gu5lm64wabzfoy1g71n5lkdgu5lm64lh</t>
  </si>
  <si>
    <t>Lại Ngọc Phương Nam</t>
  </si>
  <si>
    <t>phuongnam23122004@gmail.com</t>
  </si>
  <si>
    <t>+84981959775</t>
  </si>
  <si>
    <t>With my proactive learning and great passion in AI field, I realized that the internship opportunity at SUN.RISER really help me to have chance to work in real project and professional environment.
Moreover, the idea of integration AI into game product is very attractive and push me up to apply for this position</t>
  </si>
  <si>
    <t>With AI engineer role, I think that the main task is integrate AI agent into the workload, which can help team to have automating repetitive tasks and enhancing overall production efficiency and quality. I consider myself a strong fit for this role because I have hands-on experience building AI systems both LLM and computer vision ( in my resume).</t>
  </si>
  <si>
    <t>7.45</t>
  </si>
  <si>
    <t>I'm develop product of retrieval events system as a product for competition AI Challenge HCMC 2024. My team over 3000 participants and engage in the finalists with great system with AI integration.</t>
  </si>
  <si>
    <t>https://github.com/Tuprott991/AIthena-Multimodal-Video-Retrieval-System</t>
  </si>
  <si>
    <t>I hope that I have chance to join the interview because I think this position is a great chance for me. The hiring team please contact with me through email: phuongnam23122004@gmail.com to let me updated because my phone number is deactivated now.</t>
  </si>
  <si>
    <t>d5tpwn2yh8a2ruzo4f4vpod5tpwn2yq7</t>
  </si>
  <si>
    <t>Mai Anh Sơn</t>
  </si>
  <si>
    <t>sonanhmai0206@gmail.com</t>
  </si>
  <si>
    <t>+84966838756</t>
  </si>
  <si>
    <t>Vừa thích game và vừa mê AI và Data</t>
  </si>
  <si>
    <t>Ứng dụng các mô hình học máy để tối ưu hóa trải nghiệm và hành vi người chơi, và em tin mình phù hợp nhờ nền tảng toán học vững chắc cùng khả năng triển khai AI linh hoạt vào các bài toán thực tế</t>
  </si>
  <si>
    <t>Toán học - Khoa học dữ liệu</t>
  </si>
  <si>
    <t>Trực quan hóa dữ liệu doanh thu về game trên kaggle</t>
  </si>
  <si>
    <t>https://github.com/anhsown/</t>
  </si>
  <si>
    <t>Em iu công ty</t>
  </si>
  <si>
    <t>51jlllo45hhxq5pstk51jlllozskcki6</t>
  </si>
  <si>
    <t>Nguyễn Xuân Đăng Trình</t>
  </si>
  <si>
    <t>dangtrinh1811@gmail.com</t>
  </si>
  <si>
    <t>+84981312709</t>
  </si>
  <si>
    <t>I have been into game development since second year in university and through research, I find that SUN STUDIO is the ideal environment to grow and develop.</t>
  </si>
  <si>
    <t>This role requires candidates to have a basic and strong understanding of Unity and a strive for growing, but a good fit candidate will have both knowledge and passion, which describe who I am.</t>
  </si>
  <si>
    <t>Software Development</t>
  </si>
  <si>
    <t>7.19</t>
  </si>
  <si>
    <t>From Jan 2025 - Sep 2025: I developed 2 prototypes, a Unity web-based 3D platformer and a React-interactive game. Both of them I have trouble in optimizing it to run smoothly on the company's website, but the games run smoothly locally.
From Sep 2025 - March 2026: I developed a casual puzzle game to run on android devices, but the project remained a prototype as I find the team's lack of commitment in the art design. The game  functions, the only problem is missing the design I wanted.</t>
  </si>
  <si>
    <t>https://github.com/TrinhDang1811</t>
  </si>
  <si>
    <t>Mạng xã hội, SUN.STUDIO LinkedIn, TopCV</t>
  </si>
  <si>
    <t>I has acknowledged and been loving SUN STUDIO for a while now, it is my dream job, and I would do what it takes to achieve a position here at SUN</t>
  </si>
  <si>
    <t>079g78jxtj7j383jzxw0079g7avnnikd</t>
  </si>
  <si>
    <t>Mình chọn vị trí Unity Intern trong chương trình SUN.RISER vì mong muốn được phát triển kỹ năng lập trình C# và Unity 2D trong môi trường làm game thực tế.
Mình đặc biệt quan tâm đến lĩnh vực casual game – lĩnh vực mà SUN.STUDIO đang tập trung phát triển.
Mình mong muốn được học hỏi quy trình làm việc chuyên nghiệp, cải thiện tư duy giải quyết vấn</t>
  </si>
  <si>
    <t>Mình nghĩ vị trí này sẽ tham gia phát triển gameplay, sửa lỗi và hỗ trợ team hoàn thiện game. Mình phù hợp vì đã có kinh nghiệm làm game 2D với Unity, hiểu C#, biết làm việc nhóm và luôn chủ động học hỏi để cải thiện sản phẩm.</t>
  </si>
  <si>
    <t>Năm 2 ,Kỳ cuối</t>
  </si>
  <si>
    <t>Trong dự án game 2D mình thực hiện tại trường, mình đảm nhận vai trò Unity Developer và Leader nhóm.
Mình phụ trách xây dựng gameplay, xử lý va chạm, hệ thống bắn đạn, máu nhân vật, UI cơ bản và tối ưu hiệu năng. Đồng thời mình quản lý task, phân chia công việc và theo dõi tiến độ nhóm.
Kết quả: nhóm hoàn thành game đúng deadline, game chạy ổn định, có đầy đủ gameplay cơ bản và được đánh giá tốt trong buổi demo cuối kỳ.</t>
  </si>
  <si>
    <t>https://github.com/Cow040606/EcoWorld.git</t>
  </si>
  <si>
    <t>Nhân viên công ty giới thiệu, Mạng xã hội</t>
  </si>
  <si>
    <t>Lâm Chu Diệu Nhiên</t>
  </si>
  <si>
    <t>Mình rất mong có cơ hội được học hỏi và phát triển tại công ty. Dù còn là sinh viên, mình luôn nghiêm túc với công việc, sẵn sàng tiếp thu góp ý và cải thiện bản thân mỗi ngày.
Mình hy vọng có thể đóng góp giá trị nhỏ bé của mình vào dự án chung và cùng team tạo ra những sản phẩm chất lượng.</t>
  </si>
  <si>
    <t>u738qh75n8eu32j0tlu738qntnur6ika</t>
  </si>
  <si>
    <t>Mai Xuân Thường</t>
  </si>
  <si>
    <t>maithuong.dev@gmail.com</t>
  </si>
  <si>
    <t>+84349373249</t>
  </si>
  <si>
    <t>I’m motivated to apply for this position at SUN.RISER because it aligns closely with both my technical background and my career goal of becoming a professional Unity Developer.</t>
  </si>
  <si>
    <t>I believe this role involves developing gameplay features in Unity using C#, working with systems like UI, physics, and game logic, while collaborating with the team to build a stable product and optimize performance.
I’m a good fit because I have hands-on experience building complete Unity projects like Helix Smash and Hole Master.</t>
  </si>
  <si>
    <t>Công nghệ thông tin (CLC)</t>
  </si>
  <si>
    <t>I’ve developed two complete Unity games, Helix Smash and Hole Master, where I worked as a solo developer. My responsibilities included developing gameplay mechanics, implementing core systems like UI, audio, and data management, and optimizing performance. Both projects resulted in fully playable builds published on Itch.io.</t>
  </si>
  <si>
    <t>https://maithuong-portfolio.notion.site/Portfolio-c69142bc270a824d80388152f13e9017?pvs=143</t>
  </si>
  <si>
    <t>I’d like to share that I’m not just looking for an internship - I’m looking for a place where I can seriously level up as a Unity Developer.
What I’m really looking for at SUN.STUDIO is a challenging environment with high standards, where I can learn from experienced developers, contribute to real products, and grow quickly. I’m ready to take feedback, put in the work, and improve fast.</t>
  </si>
  <si>
    <t>b4vpcwkdz4eri4oo52sb4vpcwcav3jli</t>
  </si>
  <si>
    <t>Trần Tiến Lực</t>
  </si>
  <si>
    <t>luctr1509@gmail.com</t>
  </si>
  <si>
    <t>+84796853563</t>
  </si>
  <si>
    <t>Tôi muốn học hỏi nội dung và tích lũy kinh nghiệm làm việc của vị trí Data Analysis Intern</t>
  </si>
  <si>
    <t>Theo tôi, vị trí Game Data Analyst sẽ tập trung vào việc thu thập, xử lý và phân tích dữ liệu người chơi bao gồm theo dõi các chỉ số quan trọng như retention, DAU/MAU, ARPU, phân tích hành vi người chơi, đánh giá hiệu quả các sự kiện in-game. Tôi tin mình phù hợp với vị trí này vì tôi có tư duy logic tốt và kinh nghiệm xử lý dữ liệu với SQL, Python</t>
  </si>
  <si>
    <t>7.18</t>
  </si>
  <si>
    <t>Tôi chưa có kinh nghiệm làm trong Data Analysis nhưng có kinh nghiệm sử dụng SQL và Python</t>
  </si>
  <si>
    <t>www.github.com/luctr1509</t>
  </si>
  <si>
    <t>rnw1wf6ezcsxdjm1rnw1wfz7w4ujrpwb</t>
  </si>
  <si>
    <t>Thạch Nhựt Hào</t>
  </si>
  <si>
    <t>haonhut.thach@gmail.com</t>
  </si>
  <si>
    <t>+84369377060</t>
  </si>
  <si>
    <t>Em mong muốn tham gia SUN.RISER 2026 vì công ty hoạt động trong lĩnh vực game – lĩnh vực mà em đam mê sâu sắc; được làm việc tại một công ty game luôn là mục tiêu nghề nghiệp mà em hướng tới.</t>
  </si>
  <si>
    <t>Với vị trí AI Engineer trong lĩnh vực game, em cho rằng công việc sẽ tập trung vào việc xây dựng và tích hợp các giải pháp AI vào pipeline sản xuất—ví dụ như tự động hóa tạo nội dung, tối ưu quy trình test game, hỗ trợ thiết kế gameplay bằng dữ liệu, và cải thiện trải nghiệm người chơi thông qua các mô hình AI.</t>
  </si>
  <si>
    <t>Em đã có kinh nghiệm test game và viết review. Cụ thể, em thường xuyên chơi và phân tích gameplay, phát hiện lỗi (bug), đánh giá trải nghiệm người dùng (UX), cũng như đề xuất cải tiến về cơ chế chơi và cân bằng game.</t>
  </si>
  <si>
    <t>https://github.com/haothach</t>
  </si>
  <si>
    <t>Em là người tuân thủ kỷ luật, có tinh thần trách nhiệm và luôn nỗ lực trong công việc. Em mong muốn có cơ hội được đồng hành cùng SUN.STUDIO để học hỏi, phát triển và đóng góp giá trị lâu dài cho công ty.</t>
  </si>
  <si>
    <t>8ul3kn6j0bsdamxz6mip18ul3knl5dae</t>
  </si>
  <si>
    <t>Em muốn tiếp thu thêm kinh nghiệm thực tế về chuyên nghành,nâng cao kỹ năng làm việc nhóm,nâng cao tinh thần trách nhiệm</t>
  </si>
  <si>
    <t>Tôi có kinh nghiệm sử dụng và làm việc với Unity,git, đọc hiểu được code , đã có 1 dự án game 2d và 2 dự án 3d,có tinh thần học hỏi cao, trách nhiệm với công việc</t>
  </si>
  <si>
    <t>sinh viên đang trong kỳ thực tập</t>
  </si>
  <si>
    <t>lập trình game</t>
  </si>
  <si>
    <t>quản lý dự án ,code chính ,vẽ map .Dự án đạt 8.5/10 điểm</t>
  </si>
  <si>
    <t>https://github.com/Cow040606/EcoWorld   ||   https://drive.google.com/file/d/1h6oEsNJsrg9O8H85lxNttwiLZ-9dotrZ/view?usp=sharing</t>
  </si>
  <si>
    <t>Em là sinh viên mong muốn có cơ hội được học hỏi và làm việc tại studio ạ,Mong quý công ty cho em có cơ hội được học và làm việc tại studio xin chân thành cảm ơn quý công ty.</t>
  </si>
  <si>
    <t>srxmrh2flpcbg2bsrxmr6h4fry3sh711</t>
  </si>
  <si>
    <t>Võ Thị Tiên Phước</t>
  </si>
  <si>
    <t>vothitienphuoc2005@gmail.com</t>
  </si>
  <si>
    <t>+84825478182</t>
  </si>
  <si>
    <t>Em đam mê cả game lẫn dữ liệu, nên vị trí này là sự kết hợp lý tưởng. Em muốn tận dụng kỹ năng phân tích của mình để hiểu hành vi người chơi và đóng góp vào việc cải thiện trải nghiệm game thực tế.</t>
  </si>
  <si>
    <t>Em nghĩ vị trí này sẽ liên quan đến việc thu thập, xử lý và phân tích dữ liệu người chơi để hỗ trợ các quyết định về game. Em phù hợp vì có nền tảng về SQL, Power BI và Python, cùng tư duy phân tích được rèn qua các dự án học thuật cấp bạc đại học.</t>
  </si>
  <si>
    <t>2.85</t>
  </si>
  <si>
    <t>Em tự phát triển game Pikachu Onet Connect Animals bằng C#.Net, đảm nhận toàn bộ từ thiết kế logic gameplay, xử lý thuật toán tìm đường kết nối đến giao diện người dùng. Kết quả là hoàn thiện sản phẩm chạy ổn định và đúng yêu cầu.</t>
  </si>
  <si>
    <t>https://drive.google.com/drive/folders/1hDl49IFep6qwD60zlChXMOQNfrddOytQ?usp=sharing</t>
  </si>
  <si>
    <t>Em rất mong có cơ hội được học hỏi và đóng góp tại SUN.STUDIO. Hy vọng đây sẽ là nơi em có thể phát triển bản thân trong một môi trường sáng tạo và đầy cảm hứng.</t>
  </si>
  <si>
    <t>hn6wztnf2p432141oxd2hn6wzt4ocx4s</t>
  </si>
  <si>
    <t>Lê Thị Bích Trà</t>
  </si>
  <si>
    <t>medenn5240@gmail.com</t>
  </si>
  <si>
    <t>+84378462570</t>
  </si>
  <si>
    <t>Mình chọn vị trí này vì đây là cơ hội để nâng cao kỹ năng phân tích dữ liệu trong lĩnh vực có tốc độ phản hồi nhanh và trực quan như game. Dữ liệu game phản ánh hành vi người dùng gần như theo thời gian thực - từ DAU, Retention đến ARPU - tạo nên môi trường lý tưởng để mình rèn tư duy phân tích thực chiến.</t>
  </si>
  <si>
    <t>Ở vị trí này, mình sẽ truy vấn dữ liệu từ BigQuery, xây dựng pipeline bằng Dataform, phát triển dashboard Tableau và viết tài liệu định nghĩa metrics như DAU, ARPU, Retention.
Mình phù hợp vì có nền tảng SQL vững qua dự án Credit Risk — nơi mình tự xây ETL pipeline và xử lý dữ liệu phức tạp. Mình cũng có kinh nghiệm dashboard bằng Power BI</t>
  </si>
  <si>
    <t>Data Science in Business</t>
  </si>
  <si>
    <t>8.9/10</t>
  </si>
  <si>
    <t>Mình chưa có kinh nghiệm thực tế trong lĩnh vực game analytics, tuy nhiên mình đã tích lũy nền tảng phân tích dữ liệu qua các dự án học thuật liên quan đến hành vi người dùng và xây dựng dashboard — và mình tin đây là bước đệm tốt để nhanh chóng thích nghi với dữ liệu game</t>
  </si>
  <si>
    <t>https://github.com/Meden-121?tab=repositories</t>
  </si>
  <si>
    <t>220xb162yzr1ivjt220x6c4qzjqoa9qu</t>
  </si>
  <si>
    <t>Châu Gia Bảo</t>
  </si>
  <si>
    <t>chgiabao36925@gmail.com</t>
  </si>
  <si>
    <t>+84948017324</t>
  </si>
  <si>
    <t>tôi yêu Sun Riser</t>
  </si>
  <si>
    <t>tôi nghĩ Data Analyst ở công ty về Games như Sunriser thì tôi nghĩ sẽ có sự khác biệt rất lớn về các domain khác, và theo tôi công việc chính của DA ở đây sẽ là phân tích data người chơi -&gt; insight người chơi. Và vì sao phù hợp với vị trí này thì tôi chỉ có thể nói là tôi thấy mình phù hợp thôi</t>
  </si>
  <si>
    <t>Trà Vinh University</t>
  </si>
  <si>
    <t>7.44</t>
  </si>
  <si>
    <t>Tôi đang thực tập ở vị trí Data Processing Intern tại công ty Infocus Mekong Research, vài trò của tôi là viết testcase, testlink, xử lý dữ liệu survey từ SPSS</t>
  </si>
  <si>
    <t>https://chgiabaoportfolio.netlify.app/</t>
  </si>
  <si>
    <t>tôi yêu SUN RISER</t>
  </si>
  <si>
    <t>2wqtuwm15nfisuusrjy2wqtuuycvbykw</t>
  </si>
  <si>
    <t>Phùng Trung Bắc</t>
  </si>
  <si>
    <t>phungtrungbac.cv@gmail.com</t>
  </si>
  <si>
    <t>+84356936568</t>
  </si>
  <si>
    <t>Tôi đam mê Game và mong muốn phát triển lâu dài trong ngành. Với tư duy logic, sự tỉ mỉ và khả năng học hỏi nhanh, tôi hướng đến việc phân tích dữ liệu để cải thiện trải nghiệm người chơi. Tôi cũng chủ động trong việc phát hiện vấn đề và đề xuất giải pháp, và tin rằng SUN.RISER là môi trường phù hợp để tôi phát triển theo định hướng Data Analyst.</t>
  </si>
  <si>
    <t>Vị trí này theo tôi là phân tích dữ liệu người chơi để đưa ra insight cải thiện trải nghiệm và hỗ trợ quyết định cho sản phẩm game.
Dù là sinh viên mới, tôi có tư duy logic, sự tỉ mỉ và khả năng học nhanh. Quan trọng hơn, tôi thực sự đam mê game và mong muốn phát triển lâu dài trong ngành, nên tôi nghiêm túc đầu tư để trở thành một Data Analyst.</t>
  </si>
  <si>
    <t>8,25</t>
  </si>
  <si>
    <t>Hiện tại tôi chưa có dự án thực tế liên quan trực tiếp, tuy nhiên tôi đã chủ động học và luyện tập các kỹ năng như SQL, Excel và phân tích dữ liệu cơ bản thông qua bài tập cá nhân. Tôi cũng thường xuyên tìm hiểu cách áp dụng dữ liệu vào việc phân tích hành vi người chơi trong game. Tôi đang trong quá trình xây dựng nền tảng vững chắc và sẵn sàng học nhanh để đáp ứng yêu cầu công việc.</t>
  </si>
  <si>
    <t>Tôi chưa có dự án thực tế nào.</t>
  </si>
  <si>
    <t>Tôi mong muốn có cơ hội đồng hành cùng SUN.STUDIO để phát triển sự nghiệp trong ngành game. Tôi nghiêm túc với định hướng Data Analyst và sẵn sàng học hỏi, thích nghi nhanh để từng bước đóng góp giá trị thực tế cho sản phẩm và đội ngũ.</t>
  </si>
  <si>
    <t>n2b2q5z7n5iqiw299xn2biit519y4xu9</t>
  </si>
  <si>
    <t>Nguyễn Thị Ngọc Minh</t>
  </si>
  <si>
    <t>nguyenthingocminh0710@gmail.com</t>
  </si>
  <si>
    <t>+84961788948</t>
  </si>
  <si>
    <t>Em chọn vị trí Data Analyst Intern tại SUN.RISER vì em muốn có cơ hội áp dụng những kiến thức về data mà em đã học vào thực tế. Ngoài ra, em cũng khá hứng thú với ngành game vì đây là lĩnh vực có nhiều dữ liệu về hành vi người dùng, nên em nghĩ sẽ học hỏi được nhiều. Em mong muốn được trải nghiệm môi trường làm việc thực tế và cải thiện kỹ năng.</t>
  </si>
  <si>
    <t>Theo em, đây sẽ là vị trí tập trung vào phân tích dữ liệu người chơi để tìm ra insight hỗ trợ cho việc cải thiện sản phẩm và tăng trải nghiệm người dùng.
Em phù hợp vì có nền tảng SQL, Python, Power BI và đã làm một số project nhỏ về data. Tuy chưa có nhiều kinh nghiệm thực tế nhưng em sẵn sàng học hỏi thêm trong quá trình làm việc.</t>
  </si>
  <si>
    <t>Tài chính – Ngân hàng (định hướng: Công nghệ tài chính)</t>
  </si>
  <si>
    <t>Em đã có kinh nghiệm thông qua các dự án học tập ở trường và khóa đào tạo tại Cybersoft về Data Analysis. Trong đó, em phụ trách làm sạch dữ liệu, xử lý bằng SQL hoặc Python (Pandas), sau đó hỗ trợ xây dựng dashboard trên Power BI hoặc Python (matplotlib, seaborn) để trực quan hóa kết quả. Kết quả là dữ liệu được chuẩn hóa và có thể rút ra một số insight phục vụ báo cáo.</t>
  </si>
  <si>
    <t>https://github.com/ngocminh0123</t>
  </si>
  <si>
    <t>Em rất mong có cơ hội được thực tập tại SUN.STUDIO để tìm hiểu và học hỏi thêm về cách làm việc với dữ liệu trong lĩnh vực game. Đồng thời, em hy vọng có thể đóng góp một phần khả năng của mình để hỗ trợ team và tích lũy thêm kinh nghiệm trong quá trình làm việc.</t>
  </si>
  <si>
    <t>fw4bxtb3fbo52ihcpfw4bfain0idmfbo</t>
  </si>
  <si>
    <t>Phan Thảo Vy</t>
  </si>
  <si>
    <t>phanthaovy31082004@gmail.com</t>
  </si>
  <si>
    <t>+84944449487</t>
  </si>
  <si>
    <t>I have a strong passion for working with data. I am especially drawn to SUN Group’s focus on large-scale projects and data-driven decision-making, which closely aligns with my background in data analysis and business problem-solving.</t>
  </si>
  <si>
    <t>I’m a good fit because I have a strong background in data analysis and experience solving real business problems with data. I’m also quick to learn and comfortable working with both technical and non-technical teams.</t>
  </si>
  <si>
    <t>7.61</t>
  </si>
  <si>
    <t>As a Data Science Intern at TMA Solutions, I developed a recommendation system for an e-commerce platform using a 2.7M+ interactions dataset. I applied data processing and the LightGCN model to improve personalization, achieving a 2.7× increase in ranking relevance (HR@20).</t>
  </si>
  <si>
    <t>https://canva.link/pojghvb0lev36jz</t>
  </si>
  <si>
    <t>I am eager to learn, grow, and contribute in a dynamic environment like SUN.STUDIO</t>
  </si>
  <si>
    <t>wt7cxhju1gqeuawt7clwzpww01dmi9vq</t>
  </si>
  <si>
    <t>AN NGUYỄN QUỐC</t>
  </si>
  <si>
    <t>an0981806943@gmail.com</t>
  </si>
  <si>
    <t>+84359933524</t>
  </si>
  <si>
    <t>Mong muốn tìm được nơi thực tập với các cơ hội thăng tiến cao hơn trong lĩnh vực data</t>
  </si>
  <si>
    <t>Tôi nghĩ kỹ năng và kiến thức của mình hiện tại phù hợp với vị trí data tại công ty.</t>
  </si>
  <si>
    <t>Network</t>
  </si>
  <si>
    <t>8.12</t>
  </si>
  <si>
    <t>việc làm liên quan đến hỗ trợ người dùng và xử lý dữ liệu nội bộ công ty</t>
  </si>
  <si>
    <t>55zux0napyug09flm55zux0e4qqp0vha</t>
  </si>
  <si>
    <t>Tô Võ Yến Thơ</t>
  </si>
  <si>
    <t>tovoyentho@gmail.com</t>
  </si>
  <si>
    <t>+84941584575</t>
  </si>
  <si>
    <t>My ultimate goal is to become an exceptional marketer by deeply understanding consumer behavior, how strategies can shape purchasing intentions and reveal unmet needs. I aim to cultivate a creative mindset, expand my marketing knowledge, and develop impactful campaigns that build meaningful connections between brands and people</t>
  </si>
  <si>
    <t>This role focuses on analyzing the game market, executing and optimizing user acquisition campaigns, testing creatives, and turning performance data into actionable insights.I believe I’m a good fit because I bring strong communication and coordination skills from my agency experience, which help ensure smoother workflows.</t>
  </si>
  <si>
    <t>Kinh doanh quốc tế</t>
  </si>
  <si>
    <t>8.82</t>
  </si>
  <si>
    <t>https://www.canva.com/design/DAGg92Kqsc4/nojKXr66BQZ0MDLA3_11vA/view</t>
  </si>
  <si>
    <t>bhkn6ja0vbkclsok2ahdbbhkn6j73nx0</t>
  </si>
  <si>
    <t>Nguyễn Nam Huy</t>
  </si>
  <si>
    <t>work.nguyennamhuy@gmail.com</t>
  </si>
  <si>
    <t>+84898406809</t>
  </si>
  <si>
    <t>I'm applying for both roles, prioritizing AI Engineering Intern as I believe my background fits this position well. Through my projects, I enjoy not just building models but making the whole system work seamlessly. I also have a foundation in SQL, Power BI, and Pandas for the Data Analysis role. SUN.RISER feels like the good place to learn and grow</t>
  </si>
  <si>
    <t>AI Engineering Intern involves designing prompts and building agent workflows. Game Data Analysis involves querying data and turning numbers into insights. My project experience in pipelines, data analysis, and passion for gaming make me a good fit for both.</t>
  </si>
  <si>
    <t>https://github.com/HuyChill2406</t>
  </si>
  <si>
    <t>i6saa1bbxcsxb0lww7i6scnncivkh06j</t>
  </si>
  <si>
    <t>Bui Thien Phuc</t>
  </si>
  <si>
    <t>thienphuc13022005@gmial.com</t>
  </si>
  <si>
    <t>+84375734990</t>
  </si>
  <si>
    <t>As a passionate gamer who has grown up immersed in game worlds, I see joining SUN.RISER data analysis as the perfect opportunity to me to build real-world data analysis skills within a technology-driven team and an open, collaborative community.</t>
  </si>
  <si>
    <t>I believe this role is about turning game data into insights that improve player experience. I think my curiosity, logical thinking, and customer focus mindset make me a solid fit for this role.</t>
  </si>
  <si>
    <t>VinUniversity</t>
  </si>
  <si>
    <t>x9j5bddaptxrgjyngohxx9j5bhlckers</t>
  </si>
  <si>
    <t>Đặng Quỳnh Châu</t>
  </si>
  <si>
    <t>chaudq71@gmail.com</t>
  </si>
  <si>
    <t>+84356539038</t>
  </si>
  <si>
    <t>I am motivated to apply for this position at SUN.RISER because I am transitioning into data analytics and want to gain hands-on experience, especially in the game industry.
I believe SUN.RISER is a great environment for me to learn from experienced team members, work with real game data, and develop a stronger foundation in data analytics.</t>
  </si>
  <si>
    <t>I believe this role involves analyzing game data and tracking metrics like DAU, retention, and monetization.
I am transitioning into data analytics with experience in SQL, Power BI, and Python, and I’m eager to learn and grow in game analytics.</t>
  </si>
  <si>
    <t>Đại học Thương Mại (TMU)</t>
  </si>
  <si>
    <t>Graduated</t>
  </si>
  <si>
    <t>7.98</t>
  </si>
  <si>
    <t>I worked on a mobile game analytics project where I analyzed player behavior, retention, and monetization.
I identified a Day-1 retention rate of 13.69% and detected early-stage drop-offs through funnel analysis. I also evaluated monetization metrics such as Buyer Rate and ARPU, and proposed improvements to early gameplay and in-app purchase triggers.</t>
  </si>
  <si>
    <t>https://bit.ly/4mdXIfn</t>
  </si>
  <si>
    <t>Although I am transitioning into data analytics at a later stage, I believe my previous work experience has helped me develop strong discipline, responsibility, and a structured way of working.
I am fully committed to this path and willing to invest the time and effort needed to learn quickly and contribute effectively. I would really value the opportunity to grow in a game data environment like SUN.STUDIO.</t>
  </si>
  <si>
    <t>tnpbgplbv1r04rv1ktnpbgd7nrbs3i88</t>
  </si>
  <si>
    <t>Nguyễn Hoàng Long</t>
  </si>
  <si>
    <t>longnguyenhoang1101.work@gmail.com</t>
  </si>
  <si>
    <t>+84908561071</t>
  </si>
  <si>
    <t>Em chọn vị trí AI Engineer và Data Analysis tại SUN.RISER vì đây là cơ hội tuyệt vời để em kết hợp niềm đam mê chơi game cùng kỹ năng xử lý dữ liệu của mình.  Vì thế em rất mong muốn được trực tiếp nghiên cứu ứng dụng AI vào các sản phẩm thực tế của công ty.</t>
  </si>
  <si>
    <t>Em nghĩ vị trí này sẽ tập trung vào việc khai thác dữ liệu người chơi để xây dựng các mô hình AI giúp tối ưu hóa cân bằng game và cá nhân hóa trải nghiệm người dùng. Em phù hợp với vai trò này nhờ sự kết hợp giữa tư duy của một người thích chơi game và năng lực kỹ thuật trong việc phát triển các mô hình ML/AI cùng kỹ năng xử lý dữ liệu.</t>
  </si>
  <si>
    <t>Mạng máy tính và Truyền thông dữ liệu</t>
  </si>
  <si>
    <t>8.45</t>
  </si>
  <si>
    <t>Dự án: AnVie Spa Intelligent Chatbot System (Multi-Agent Architecture)
Vai trò:
- Phát triển hệ thống Backend bằng FastAPI và triển khai cơ chế "message debouncing" để tối ưu hóa lưu lượng truy cập API.
- Thiết kế pipeline dạng module (modular pipeline) giúp tối ưu quy trình xử lý lỗi (debugging), đảm bảo khả năng mở rộng và nâng cấp hệ thống linh hoạt.
Công nghệ sử dụng: LangGraph, LangChain, LangSmith, FastAPI, OpenAI API, Supabase, PostgreSQL, Redis, Google Cloud.
Kết quả:
- Hoàn thiện bản demo chatbot đa tác nhân (multi-agent) tích hợp trực tiếp vào website công ty, cho phép tương tác thời gian thực mượt mà với người dùng.
- Thiết kế thành công cấu trúc pipeline rõ ràng, hỗ trợ hiệu quả cho việc kiểm thử, mở rộng quy mô và nâng cấp hệ thống trong tương lai.</t>
  </si>
  <si>
    <t>https://github.com/LongNguyen1101/spa_bot</t>
  </si>
  <si>
    <t>ek9wxiv6m9d38j13z0sek9wxiv213abp</t>
  </si>
  <si>
    <t>Nguyễn Khoa Quang Duy</t>
  </si>
  <si>
    <t>duy.nguyenkhoaquang@gmail.com</t>
  </si>
  <si>
    <t>+84355749461</t>
  </si>
  <si>
    <t>Bản thân muốn tìm cơ hội bắt đầu vào ngành</t>
  </si>
  <si>
    <t>Về công việc, Data Analysis tập trung vào các công việc liên quan đến dữ liệu như Thu thập, Xử lý, Trực quan hoá, Đưa ra các đề xuất cho công việc.
Bản thân mong muốn vị trí này vì những kĩ năng đã học được trong những năm học đại học và cũng như kinh nghiệm thực tiễn. Ngoài ra là một người yêu thích về game và tự tin đem lại giá trị thực tiễn</t>
  </si>
  <si>
    <t>Đại học Kinh tế, Đại học Huế</t>
  </si>
  <si>
    <t>Công nghệ Tài chính (Fintech)</t>
  </si>
  <si>
    <t>3.76</t>
  </si>
  <si>
    <t>1. Customer Behavior Analysis (Personal project): Project about customer behavior using Python, SQLserver and PowerBI. Created data visualization and conducted customer segmentation to provide actionable insights for personalized customer care and engagement scenarios.
2. Stocks Price Prediction Using RNN: Developed a deep learning system using SimpleRNN, LSTM, and ARIMA models to predict closing prices. Evaluated model performance and visualization, achieving high precision.</t>
  </si>
  <si>
    <t>1. https://github.com/Back-number212/customer_behavior_analysis</t>
  </si>
  <si>
    <t>I can commit fulltime.</t>
  </si>
  <si>
    <t>Ybox, Mạng xã hội, SUN.STUDIO LinkedIn</t>
  </si>
  <si>
    <t>Thank you for your chances. I hope we can have opportunity to work in the future.</t>
  </si>
  <si>
    <t>4srrh51bby8kbzqdh1d4srrhncgzlzpf</t>
  </si>
  <si>
    <t>Trần Tiến Đạt</t>
  </si>
  <si>
    <t>11a2trantiendat@gmail.com</t>
  </si>
  <si>
    <t>+84365405525</t>
  </si>
  <si>
    <t>Là một sinh viên năm 3 ngành Khoa Học Máy Tính tại UIT, với một nền tảng vững chắc về AI và ML, một sở thích về việc chơi game và hướng đến trải nghiệm người dùng. Từ lâu công việc tại SUN.RISER đã là một điểm đến lí tưởng với mọi sinh viên có khát khao và đam mê cống hiến cho công nghệ và thị trường game tại Việt Nam.</t>
  </si>
  <si>
    <t>Ở vị trí này, em sẽ phải ứng dụng các kiến thức đã học, đứa các mô hình AI vào việc thiết kế trò chơi, cũng như giúp trò chơi hoạt động tốt hơn, đáp ứng được nhu cầu về trải nghiệm trò chơi, thị hiếu của người dùng.</t>
  </si>
  <si>
    <t>Computer Science - Khoa học máy tính</t>
  </si>
  <si>
    <t>Chưa có nên em muốn thử sức</t>
  </si>
  <si>
    <t>SUN.STUDIO LinkedIn, Ứng tuyển qua Chương trình Thực tập hè của Nhà trường (như HCMUS, HCMUT), Trường đại học, Mạng xã hội, UIT Forum</t>
  </si>
  <si>
    <t>Những yêu cầu và đòi hỏi của công ty dành cho vị trí thực tập sinh là gì?</t>
  </si>
  <si>
    <t>j6amurhg76s8ykw878v3cj6amurh8cd5</t>
  </si>
  <si>
    <t>Nguyễn Thành Danh</t>
  </si>
  <si>
    <t>dnpdanhqn25@gmail.com</t>
  </si>
  <si>
    <t>+84583973996</t>
  </si>
  <si>
    <t>Em lựa chọn vị trí AI Engineering Intern tại SUN.RISER vì vị trí này phù hợp với nền tảng backend mà em đã học, đồng thời cho phép em mở rộng sang các ứng dụng liên quan đến dữ liệu và AI.</t>
  </si>
  <si>
    <t>Theo em, vị trí AI Engineering Intern tại SUN.RISER sẽ tập trung vào việc ứng dụng AI để hỗ trợ quy trình phát triển game, chẳng hạn như tự động hóa một số công việc, xử lý dữ liệu, hoặc cải thiện hiệu suất và chất lượng sản phẩm. Ngoài ra, vị trí này cũng có thể yêu cầu làm việc với dữ liệu và phối hợp với các team khác để triển khai các giải pháp</t>
  </si>
  <si>
    <t>Web Development</t>
  </si>
  <si>
    <t>https://github.com/danhkuqn09/ecommerce-backend-laravel</t>
  </si>
  <si>
    <t>Em mong muốn có cơ hội được học hỏi trong môi trường thực tế tại SUN.STUDIO, nơi em có thể phát triển tư duy kỹ thuật và hiểu rõ hơn cách sản phẩm được xây dựng và tối ưu dựa trên dữ liệu.
Dù chưa có nhiều kinh nghiệm với AI, em sẵn sàng học hỏi nhanh và chủ động để theo kịp yêu cầu công việc, đồng thời đóng góp tốt nhất từ nền tảng backend mà em đang có.</t>
  </si>
  <si>
    <t>w1gkq75qjztm152oyts32aw1gkvzyw7k</t>
  </si>
  <si>
    <t>Bùi Tuấn Hùng</t>
  </si>
  <si>
    <t>buituanhung1234@gmail.com</t>
  </si>
  <si>
    <t>+84333434629</t>
  </si>
  <si>
    <t>Xin chào, em tên là Bùi Tuấn Hùng. Sinh viên mới ra trường có mong muốn được thực tập theo đúng đam mê của mình. Em muốn được học hỏi thêm bên công ty để trau dồi bản thân và cùng công ty phát triển.</t>
  </si>
  <si>
    <t>Em nghĩ vị trí này là liên quan đến phát thảo các bản thiết kế cả 2D và 3D. Kinh nghiệm vẽ 3D của em chưa phát huy như 2D nhưng phát thảo 3D sang 2D của em cũng có thể phù hợp với mong muốn khi làm việc với công ty.</t>
  </si>
  <si>
    <t>Điện - Điện tử.</t>
  </si>
  <si>
    <t>6.4</t>
  </si>
  <si>
    <t>Viết truyện tranh, thiết kế nhân vật dựa theo cốt truyện, chạy commission</t>
  </si>
  <si>
    <t>https://www.deviantart.com/yunnir</t>
  </si>
  <si>
    <t>Mong cùng được hợp tác với công ty</t>
  </si>
  <si>
    <t>9rwjhdcyjmbfam0uai9rwjhdtdt2gi37</t>
  </si>
  <si>
    <t>Lê Quân Đạt</t>
  </si>
  <si>
    <t>dongquanpro2014@gmail.com</t>
  </si>
  <si>
    <t>+84914092549</t>
  </si>
  <si>
    <t>I choose this position at SUN.RISE because it offers a valuable opportunity to learn and I am very passionate about AI</t>
  </si>
  <si>
    <t>I think an AI Engineer is someone who researches and applies new AI tools to build autonomous systems and optimize business processes through both code and no-code. I think you're suitable for this position because you're a final-year Data Science student with a strong desire to learn and excellent teamwork skills</t>
  </si>
  <si>
    <t>UTH - Trường Đại học Giao thông vận tải Thành phố Hồ Chí Minh</t>
  </si>
  <si>
    <t>I developed a puzzle game where players merge tiles with the same even number such as 2 and 2 to create 4 and earn points. After each move, a new random even-number tile appears. The game ends when the board is full and no more moves are possible. My role included designing the game logic, building the scoring system and testing gameplay</t>
  </si>
  <si>
    <t>https://www.linkedin.com/in/quandat-ai-engineer/</t>
  </si>
  <si>
    <t>7dxddroxqcyky1cvma7dxdda4wcnrq1c</t>
  </si>
  <si>
    <t>Lê Hoàng Việt</t>
  </si>
  <si>
    <t>viet2004kb@gmail.com</t>
  </si>
  <si>
    <t>+84325553400</t>
  </si>
  <si>
    <t>Có 2 lý do khiến tôi chọn vị trí này:
- Lý do đầu tiên là chuyên môn của tôi là AI. Tôi đã được học về các kiến thức machine learning ở trường,nên tôi cảm thấy mình phù hợp với vị trí AI Engineering.
- Lý do thứ 2 là tôi là một người rất thích game. Tôi có mong muốn tìm hiểu về công việc làm game. Do đó tôi thấy SUN STUDIO phù hợp với tôi.</t>
  </si>
  <si>
    <t>Đối với vị trí AI Engineering đó là ứng dụng AI vào quy trình làm việc, giúp tăng tốc độ sản xuất và cải thiện chất lượng game. AI có thể giúp con người làm việc nhanh hơn không chỉ riêng việc code các phần xử lý mà còn có thể trong cả việc tạo assets. Tôi thấy công việc này thật sự thú vị và do đó tôi nghĩ mình phù hợp với vị trí này.</t>
  </si>
  <si>
    <t>Information technology</t>
  </si>
  <si>
    <t>Dự án này do tôi tự làm nhằm mục đích tự học về pygame. Tôi chưa từng có kinh nghiệm về làm game từ trước. Tôi đã làm một game chiến thuật theo lượt dạng bàn cờ. Tôi đã thực hiện code các logic xử lý, vẽ hình ảnh theo từng frame dựa trên sprite sheets. Việc khó khăn nhất trong đồ án này là xử lý animation vì đây là lần đầu tôi thử tạo một game. Kết quả tôi đã tạo ra một trò chơi có 2 chế độ chơi với máy và chơi với người (2 người chơi). Qua đồ án này tôi đã học được một phần về cấu trúc game và sự kiên trì khi lập trình game.</t>
  </si>
  <si>
    <t>https://github.com/rivaille1704/The-Knight-Has-Arrived</t>
  </si>
  <si>
    <t>Nếu tôi được đồng hành cùng SUN.STUDIO thì tôi sẽ rất vui vì được góp phần vào sự phát triển của ngành game Việt Nam</t>
  </si>
  <si>
    <t>zbj61szfgsefdp2b7zbj61s70al1le6n</t>
  </si>
  <si>
    <t>Lê Võ Xuân Hưng</t>
  </si>
  <si>
    <t>hunglecrkh2k5@gmail.com</t>
  </si>
  <si>
    <t>+84817995925</t>
  </si>
  <si>
    <t>Em chọn SUN.RISER vì được trực tiếp tham gia làm sản phẩm thật. Em ấn tượng với môi trường đề cao kỹ năng thực tế, và với định hướng AI, em tin đây là nơi phù hợp để em phát triển lâu dài.</t>
  </si>
  <si>
    <t>Em nghĩ vị trí này liên quan đến việc tham gia phát triển sản phẩm và giải quyết các bài toán thực tế. Em phù hợp vì có nền tảng AI, khả năng học nhanh và tư duy giải quyết vấn đề tốt.</t>
  </si>
  <si>
    <t>Có. Em đã thực hiện một dự án game Wumpus trong quá trình học. Vai trò của em là xây dựng logic game và thiết kế chiến lược ra quyết định cho agent dựa trên suy luận luật. Kết quả, hệ thống có thể hoạt động ổn định và agent có thể hoàn thành mục tiêu trong môi trường game.</t>
  </si>
  <si>
    <t>https://github.com/hungle123-dev/lumina-rag</t>
  </si>
  <si>
    <t>cbmzmevkhhqmmr8740cbmzmzu9wvhhpx</t>
  </si>
  <si>
    <t>Võ Đức Cao Thượng</t>
  </si>
  <si>
    <t>thuong.voduccao2313@hcmut.edu.vn</t>
  </si>
  <si>
    <t>+84395470613</t>
  </si>
  <si>
    <t>Điều khiến tôi chọn vị trí Game Design Intern tại SUN.RISER bởi vì đây là cơ hội rất phù hợp để tôi phát triển cả tư duy sáng tạo lẫn khả năng phân tích dữ liệu trong môi trường làm game chuyên nghiệp. Bên cạnh đó, tôi mong muốn được làm việc cùng đội ngũ mentor giàu kinh nghiệm tại SUN.RISER để học hỏi quy trình làm game thực tế.</t>
  </si>
  <si>
    <t>Em nghĩ khi được ở vị trí này em sẽ được tham gia thiết kế gameplay, level chơi, phân tích thị trường và tối ưu trải nghiệm người chơi. Ngoài ra cá nhân em nghĩ rằng bản thân mình có khả năng thích nghi nhanh, sẵn sàng tiếp cận các công nghệ mới và có thể đóng góp tích cực trong quá trình thực tập.</t>
  </si>
  <si>
    <t>Em đã có kinh nghiệm thông qua các dự án học tập tại trường liên quan đến lập trình, phân tích hệ thống và thiết kế sản phẩm số. Em từng tham gia xây dựng ứng dụng theo nhóm, đảm nhận vai trò phân tích yêu cầu, thiết kế luồng chức năng và hỗ trợ phát triển tính năng.</t>
  </si>
  <si>
    <t>https://github.com/nguyen2966/HCMUT-ROOMS-BOOKING-APP</t>
  </si>
  <si>
    <t>Em mong có cơ hội được đồng hành cùng SUN.STUDIO để học hỏi quy trình phát triển game chuyên nghiệp và đóng góp sức trẻ, tinh thần cầu tiến của mình cho đội ngũ. Em tin môi trường sáng tạo và năng động của công ty sẽ giúp em phát triển tốt hơn về chuyên môn lẫn tư duy sản phẩm. Nếu được trao cơ hội, em sẽ luôn chủ động học hỏi, nghiêm túc trong công việc và cố gắng mang lại giá trị tốt nhất. Cảm ơn SUN.STUDIO đã dành thời gian xem xét hồ sơ của em.</t>
  </si>
  <si>
    <t>8a9a4zw3i3pgybo00ld8a9a0620xinwe</t>
  </si>
  <si>
    <t>Lê Văn Tài</t>
  </si>
  <si>
    <t>letai1854@gmail.com</t>
  </si>
  <si>
    <t>+84928567592</t>
  </si>
  <si>
    <t>Em chọn SUN.RISER vì rất ấn tượng và thích thú với những sản phẩm game mà studio phát triển, và mong muốn code tạo ra các game như vậy trong môi trường của công ty.</t>
  </si>
  <si>
    <t>Theo em, vị trí này sẽ tham gia trực tiếp vào quy trình sản xuất game mobile casual, từ việc phối hợp với Team Designer/Artist để hiện thực hóa ý tưởng thành gameplay cho đến khâu build, tối ưu hóa hiệu suất và đưa sản phẩm lên các kho ứng dụng Store.</t>
  </si>
  <si>
    <t>Em đảm nhiệm vai trò Reskin, build và publish game lên Google Play tại OZINY. Trong dự án PuzzleStepper và Farmy Days, em giữ vai trò Developer, phối hợp cùng team hoàn thiện game và nộp bài cho trường. Với dự án Sort Animal Puzzle, em đóng vai trò Developer và Designer, hoàn thành sản phẩm và đã đưa cho bạn bè chơi thử nghiệm.</t>
  </si>
  <si>
    <t>1. Dự án nhóm: PuzzleStepper (3D Logic Puzzle)  Github: https://github.com/letai1854/PuzzleStepper  Demo: https://youtu.be/_TSHY_yE0CU  2. Dự án cá nhân: Sort Animal Puzzle (Casual)  Github: https://github.com/letai1854/Sort-Animal  Demo: https://youtube.com/shorts/_JD5KUUdjwg  3. Dự án nhóm: Farmy Days (Farming Game)  Github: https://github.com/letai1854/Farmy-Days</t>
  </si>
  <si>
    <t>ypoxd6wqatqloo1x1dnqwlsypoxd6wxn</t>
  </si>
  <si>
    <t>Nguyễn Thanh Tùng</t>
  </si>
  <si>
    <t>thanhtungnguyennnn@gmail.com</t>
  </si>
  <si>
    <t>+84389832755</t>
  </si>
  <si>
    <t>Em chọn vị trí Unity Developer và AI Engineer Intern trong chương trình SUN.RISER vì em đam mê phát triển game và tin rằng hai lĩnh vực này sẽ bổ trợ rất tốt cho nhau trong môi trường game dev thực tế.</t>
  </si>
  <si>
    <t>Em nghĩ vị trí Unity Developer Intern sẽ tập trung vào việc code C# trong Unity để xây dựng và tối ưu hóa gameplay cho các tựa game casual/puzzle của studio. Còn AI Engineer Intern sẽ áp dụng trí tuệ nhân tạo để hỗ trợ quy trình sản xuất. Em phù hợp với hai vị trí này vì em đã có nền tảng C# và khả năng ứng dụng AI vào công việc, từng làm dự ánnhóm</t>
  </si>
  <si>
    <t>Đóng góp vào quy trình phát triển core gameplay, tạo hệ thống cho game (Raycast, Contact, Phase Boss Attack), thiết kế hiệu ứng nhân vật (head bobing và break cho game kinh dị), sử dụng post-processing để tạo hiệu ứng hậu kì cho game. Đã hoàn thành 3 dự án hoàn chỉnh (dự án nhóm), game chạy mượt mà trên nền tảng windows, trong số đó có 1 dự án chạy mượt mà trên Android.</t>
  </si>
  <si>
    <t>Link Portfolio (có thể xem trong CV): https://www.figma.com/proto/sPCodpBG9D529Asx6XtLFD/Portfolio-ThanhTungNguyen?node-id=228-65&amp;t=wqNJFzucyY3p8XM7-1&amp;scaling=scale-down-width&amp;content-scaling=fixed&amp;hide-ui=1</t>
  </si>
  <si>
    <t>Em xin chân thành cảm ơn SUN.STUDIO vì đã tạo ra chương trình SUN.RISER – một cơ hội thực chiến tuyệt vời dành cho các bạn sinh viên như em. Em rất mong được ‘rise’ cùng team và học hỏi nhiều hơn từ anh chị!</t>
  </si>
  <si>
    <t>8vpzr83er6atgbjasebsl8vpzr83xler</t>
  </si>
  <si>
    <t>Phạm Minh Phát</t>
  </si>
  <si>
    <t>phathideptrai2k5@gmail.com</t>
  </si>
  <si>
    <t>+84355785209</t>
  </si>
  <si>
    <t>Mình chọn SUN.RISER vì mình muốn làm việc trong một môi trường thực chiến. Mình thấy SUN mạnh về dòng Casual, đúng hướng mình đang theo đuổi nên mình muốn vào đây để va chạm thực tế, xem quy trình vận hành một con game lớn nó chạy như thế nào và góp sức mình vào đó.</t>
  </si>
  <si>
    <t>Theo mình, vị trí này sẽ thiết kế hệ thống và xây dựng gameplay cho trò chơi. Trong tương lai, AI sẽ thay thế nhiều khâu thủ công, nên mình chọn Game Design để nắm rõ quy trình sản xuất tổng thể. Với tư duy hệ thống sẵn có, mình tin bản thân sẽ làm chủ được cách vận hành một trò chơi hoàn chỉnh thay vì chỉ làm các công việc đơn lẻ khác.</t>
  </si>
  <si>
    <t>Đại học Ngoại ngữ - Tin học Thành phố Hồ Chí Minh (HUFLIT)</t>
  </si>
  <si>
    <t>Công nghệ Phần mềm</t>
  </si>
  <si>
    <t>Lập trình viên chính cho hai dự án cá nhân:
- WacWac: Game đua vịt casual, ứng dụng kiến trúc tất định và nội suy Cubic để tối ưu hóa chuyển động mượt mà - kết quả đạt 10 điểm môn học Quản lý dự án phần mềm
- NumStrata: Game puzzle giải đố số học hiện đang trong giai đoạn Alpha với bản thử nghiệm chơi được (Playable Prototype).
Kết quả: chưa có</t>
  </si>
  <si>
    <t>https://phatpham.id.vn/</t>
  </si>
  <si>
    <t>TopCV</t>
  </si>
  <si>
    <t>Mình mong chúng ta sẽ hợp tác lâu dài và bềnh vững
Cùng nhau xây dựng nhiều dự án chất lượng</t>
  </si>
  <si>
    <t>0lupr3em8gvqcn0lupf1gui0yrfjp236</t>
  </si>
  <si>
    <t>Phạm Anh Văn</t>
  </si>
  <si>
    <t>vanphamanh2303@gmail.com</t>
  </si>
  <si>
    <t>+84872721473</t>
  </si>
  <si>
    <t>I am motivated to choose the AI Engineering Intern position because I want to challenge myself in applying AI to real game production, where technology can improve workflows, quality, and player experience. SUN.RISER gives me the chance to learn from experts and create practical value through real projects.</t>
  </si>
  <si>
    <t>I think this role involves applying AI to support game production, such as building tools, automating workflows, improving quality, and collaborating with developers, designers, and QA. I believe I am a good fit because I have a strong interest in AI, logical thinking, fast learning ability, and a practical problem-solving mindset.</t>
  </si>
  <si>
    <t>No, I did not</t>
  </si>
  <si>
    <t>https://www.linkedin.com/in/vanphamanh/</t>
  </si>
  <si>
    <t>Ứng tuyển qua Chương trình Thực tập hè của Nhà trường (như HCMUS, HCMUT), SUN.STUDIO LinkedIn</t>
  </si>
  <si>
    <t>wu2bgj5b8x675u0jke1gwo4mtwu2bgjw</t>
  </si>
  <si>
    <t>Trần Phan Đăng Khôi</t>
  </si>
  <si>
    <t>khoi.tranphandang@hcmut.edu.vn</t>
  </si>
  <si>
    <t>+84812002998</t>
  </si>
  <si>
    <t>What motivates me to join SUN.RISER is the desire to step out of the classroom and challenge myself in a real-world environment. While university has given me a strong logical foundation for working with data, my goal now is to bridge the gap between textbook knowledge and practical application.</t>
  </si>
  <si>
    <t>I believe this role involves analyzing data to support practical AI solutions. I am a good fit because I have a strong logical mindset and am highly proactive.</t>
  </si>
  <si>
    <t>Computer Sciences</t>
  </si>
  <si>
    <t>In my university coursework, I developed several game projects, including a Mario-style game. As the main developer, I built the core mechanics using Pygame and Unity. I also successfully implemented AI algorithms like Minimax for the game logic. The outcome was fully playable, smoothly running games that received high academic evaluations.</t>
  </si>
  <si>
    <t>https://github.com/dangkhoi-dev/Game-Programming</t>
  </si>
  <si>
    <t>Em rất hy vọng có cơ hội được làm việc tại SUN.STUDIO để thử sức mình trong một môi trường chuyên nghiệp. Em luôn sẵn sàng lăn xả, làm hết sức và học hỏi hết mình để đóng góp cho team.</t>
  </si>
  <si>
    <t>g0318uyn6du92r6ouvg0318uyu0lg6ob</t>
  </si>
  <si>
    <t>Đặng Quốc Viêt</t>
  </si>
  <si>
    <t>dqviet2994.as@gmail.com</t>
  </si>
  <si>
    <t>+84344026945</t>
  </si>
  <si>
    <t>Có môi trường để phát triển và cơ hội có việc làm ổn định.</t>
  </si>
  <si>
    <t>dữ liệu thô, ban đầu thường rất lớn, phức tạp và không dễ sử dụng ngay, nên cần được truy vấn, làm sạch, chuẩn hóa và trực quan hóa thành những thông tin rõ ràng để hỗ trợ ra quyết định chính xác. Và chuyên ngành của mình toán thông kê giúp mình có nền tảng để xử lý vấn đề trên.</t>
  </si>
  <si>
    <t>Actuarial Science</t>
  </si>
  <si>
    <t>7.87/10</t>
  </si>
  <si>
    <t>từ mô tả GDD thiết kế cơ chế game, căn chỉnh cảm giác chơi.</t>
  </si>
  <si>
    <t>Hiện tại tôi chưa có portfolio để chia sẻ.</t>
  </si>
  <si>
    <t>Tôi mong có cơ hội được đồng hành cùng SUN.STUDIO để học hỏi, phát triển</t>
  </si>
  <si>
    <t>trlo3cwjhrnps36dgda7tgtrlo34fl5p</t>
  </si>
  <si>
    <t>Phạm Thanh Tùng</t>
  </si>
  <si>
    <t>tungfphamj2108@gmail.com</t>
  </si>
  <si>
    <t>+84395953421</t>
  </si>
  <si>
    <t>Firstly, as a gamer and Sudoku addicted myself, I am surprised that Viet Nam have a game studio and especially in puzzle genre. Secondly, I always want to be a game designer since I were in high school and now finding out a Viet Nam based puzzle game studio having an internship in the AI field is a must for me.</t>
  </si>
  <si>
    <t>I assume that this role involves in working with prompts and AI to create a tool/AI agent/RAG in order to help accelerate the speed developing a game or something like that. If I were right, with my experience in prompt engineering and working with AI as an end user and even at enterprise level, I think I am quite suitable for this role.</t>
  </si>
  <si>
    <t>Prompt engineered, generated and directed ai videos for Facebook and KitKat's official commercial campaign</t>
  </si>
  <si>
    <t>https://www.tiktok.com/@kitkat_vietnam/video/7558119989279083783 and https://www.facebook.com/reel/2378591482639008</t>
  </si>
  <si>
    <t>ctshu5rgm12fnqh3o4xctshuaxpgd4c2</t>
  </si>
  <si>
    <t>Đoàn Nguyễn Đan Quỳnh</t>
  </si>
  <si>
    <t>quynhdoannguyendan0110@gmail.com</t>
  </si>
  <si>
    <t>+84909940436</t>
  </si>
  <si>
    <t>I am interested in SUN.RISER because I want to develop my skills in game analysis and design, especially in Puzzle/Casual games. I am eager to learn how to create better player experiences and contribute to real products.</t>
  </si>
  <si>
    <t>I believe this role involves analyzing Puzzle/Casual games, researching competitors, and supporting game design tasks such as core loop design, level balancing, and improving player experience. I am suitable for this position because I am really interested in Puzzle games.</t>
  </si>
  <si>
    <t>HUFLIT - Trường đại học Ngoại Ngữ - Tin Học TPHCM</t>
  </si>
  <si>
    <t>Developed a simple Minesweeper (dò mìn) game on PC using Java. The project includes basic features such as grid generation, mine placement, cell revealing, and simple win/lose conditions. This project helped me improve my logical thinking and understanding of basic game development concepts, although it is still at a fundamental level with limited UI and features.</t>
  </si>
  <si>
    <t>https://drive.google.com/file/d/1cLVDCQqCiNt66VJBAzBx8r9fFlZyLqC_/view?usp=sharing</t>
  </si>
  <si>
    <t>Em biết mình chưa có nhiều kinh nghiệm thực tế và kỹ năng còn ở mức cơ bản, điểm số lại không cao. Tuy nhiên, em thật sự yêu thích dòng game Puzzle/Casual và có mong muốn được học hỏi, phát triển trong môi trường làm game chuyên nghiệp.
Em đã tự tìm hiểu và thực hành một số kiến thức về phân tích gameplay, core loop và trải nghiệm người chơi thông qua việc chơi và phân tích các tựa game phổ biến. Em cũng đã làm một số dự án nhỏ như game Minesweeper bằng Java để hiểu thêm về logic và cách một trò chơi được xây dựng.
Em hiểu rằng mình còn nhiều thiếu sót, nhưng em luôn có tinh thần chủ động học hỏi, sẵn sàng tiếp thu và cố gắng hết sức trong công việc. Nếu có cơ hội được trở thành một phần của SUN.STUDIO, xin hãy chọn em, em sẽ nỗ lực để không chỉ học hỏi mà còn đóng góp tốt nhất trong khả năng của mình.
Em cảm ơn anh/chị đã dành thời gian xem hồ sơ của em.</t>
  </si>
  <si>
    <t>i5yctgdtor2kdtijd1i5yctgdtuvatgo</t>
  </si>
  <si>
    <t>Võ Thị Ngọc Chi</t>
  </si>
  <si>
    <t>chi.vtn.lly@gmail.com</t>
  </si>
  <si>
    <t>+84359387036</t>
  </si>
  <si>
    <t>I am interested in this position because I enjoy working with data to understand user behavior, especially in the gaming domain. I want to apply my analytical skills to explore player engagement and gain real experience in using data to support product decisions.</t>
  </si>
  <si>
    <t>I believe this role involves analyzing game data and building dashboards to generate insights. I am a good fit because I have experience with SQL (BigQuery), data analysis, and a strong interest in user behavior.</t>
  </si>
  <si>
    <t>Management Information Systems – MIS</t>
  </si>
  <si>
    <t>During my internship at Seedcom Food, I worked with HR data using SQL (BigQuery) to support reporting and analysis. I built dashboards to track workforce and operational metrics, and analyzed cost data to support financial monitoring. My work helped improve data accuracy and supported better decision-making.</t>
  </si>
  <si>
    <t>https://chivtn.github.io/chi-portfolio/</t>
  </si>
  <si>
    <t>I am eager to learn and grow in a data-driven environment like SUN.STUDIO. I hope to gain hands-on experience with real game data, contribute to meaningful insights, and continuously improve my analytical skills while supporting the team.</t>
  </si>
  <si>
    <t>b6p4q5ntn2334dso4b6pryuz77mp8efs</t>
  </si>
  <si>
    <t>CAO HUYỀN MY</t>
  </si>
  <si>
    <t>huyenmyqtqb@gmail.com</t>
  </si>
  <si>
    <t>+84867853867</t>
  </si>
  <si>
    <t>I’m motivated to join SUN.RISER because the role focuses on applying LLMs to real workflows and building practical AI automation systems. This aligns with my experience in RAG and API-based pipelines, and I’m excited to contribute while learning in a cross-functional environment.</t>
  </si>
  <si>
    <t>This role involves analyzing workflows, designing prompt-based pipelines, and building AI automation systems using LLMs and APIs. I’m a good fit because I have experience with RAG systems, API integration, and structured outputs, and I’m comfortable thinking in terms of workflows and practical AI applications.</t>
  </si>
  <si>
    <t>9.27</t>
  </si>
  <si>
    <t>https://github.com/22520896/LawChatBot</t>
  </si>
  <si>
    <t>I’m eager to learn, take ownership, and contribute to building practical AI systems that create real impact. I would really value the opportunity to work with the team and grow through hands-on experience.</t>
  </si>
  <si>
    <t>oftlfitpr6oft9559ipuhs9yuzv9ycqw</t>
  </si>
  <si>
    <t>Trịnh Tấn Hào</t>
  </si>
  <si>
    <t>trinhtanhao@gmail.com</t>
  </si>
  <si>
    <t>+84812297178</t>
  </si>
  <si>
    <t>Vị trí này phù hợp với nguyện vọng và trình độ hiện tại của tôi</t>
  </si>
  <si>
    <t>tôi nghĩ sẽ làm về thiên về dữ liệu game và tôi cũng muốn trải nghiệm và tìm kiếm cơ hội mới lạ</t>
  </si>
  <si>
    <t>Công nghệ thông tin - Trí tuệ nhân tạo</t>
  </si>
  <si>
    <t>Mình đã từng có kinh nghiệm làm việc phần AI intern về xử lý giọng nói và hình ảnh</t>
  </si>
  <si>
    <t>Đó là dự án private không có link</t>
  </si>
  <si>
    <t>Em mong được nhận phản hồi sớm từ anh chị</t>
  </si>
  <si>
    <t>gbvd8ns0nq0s2ei78t2oegbvd8jq3doq</t>
  </si>
  <si>
    <t>Dụng Lan Anh</t>
  </si>
  <si>
    <t>lananh310305@gmail.com</t>
  </si>
  <si>
    <t>+84775470336</t>
  </si>
  <si>
    <t>This position allows me to work with real game data and apply data analysis to understand user behavior and retention, similar to some previous projects I have done. I also have experience analyzing game data and building dashboards through my projects, and I want further to develop these skills in a real product environment.</t>
  </si>
  <si>
    <t>I believe this role involves knowing business requirements and needs, collecting data, transforming and analyzing data, and building dashboards to support decision-making. I am a good fit because I have strong SQL and Power BI skills, along with hands-on experience in A/B testing and retention analysis.</t>
  </si>
  <si>
    <t>Logistics and Supply Chain Management</t>
  </si>
  <si>
    <t>I have worked on an A/B testing project (Cookie Cats), where I analyzed player behavior and retention using SQL and Power BI. I performed statistical testing (Z-test) and built dashboards to visualize insights. The project showed that early gameplay experience drives churn, and improving onboarding can significantly increase retention.</t>
  </si>
  <si>
    <t>https://www.datascienceportfol.io/lananh310305 (The first project)</t>
  </si>
  <si>
    <t>I have actually played some of SUN.STUDIO’s games like Wood Block Puzzle and Block Puzzle Ocean, which makes this opportunity even more meaningful to me. Being able to work with data behind games I grew up enjoying is something I’m really excited about. I hope to contribute by turning data into insights that help improve player experience.</t>
  </si>
  <si>
    <t>zobp2hic7v1vwn14zobpd46oxqd1tmnr</t>
  </si>
  <si>
    <t>Nguyễn Văn Lam</t>
  </si>
  <si>
    <t>nguyenlam261005@gmail.com</t>
  </si>
  <si>
    <t>+84869293053</t>
  </si>
  <si>
    <t>As a game lover, I want to learn how data influences player behavior. This role at Sun.Studio lets me combine my hobby with data skills to help the company's games grow.</t>
  </si>
  <si>
    <t>This role is about turning player behavior data into insights that help game teams make better decisions. I think I'm a good fit because I have solid hands-on experience with SQL, Python, and Power BI, and I'm genuinely excited to apply that in a game analytics environment like Sun.Studio.</t>
  </si>
  <si>
    <t>This is a personal project where I built an end-to-end pipeline analyzing 24 years of World Bank data across 10 Southeast Asian economies — from ETL with Python and SQL Server, to advanced analytics with T-SQL window functions, to a final Power BI dashboard. The goal was to practice the full data workflow and sharpen my ability to turn raw data into decision-ready insights.</t>
  </si>
  <si>
    <t>https://github.com/LAMXO</t>
  </si>
  <si>
    <t>Em hy vọng mình sẽ có cơ hội được tham gia và làm việc cùng mọi người tại công ty, học hỏi trải nghiệm và mong đây sẽ là nền móng tuyệt vời khi bước vào thị trường lao động.</t>
  </si>
  <si>
    <t>g9detnkqzkcuv9tzoay8mjg9detwhzoq</t>
  </si>
  <si>
    <t>Nguyễn Tất Kiên</t>
  </si>
  <si>
    <t>kien.nguyen06082005@hcmut.edu.vn</t>
  </si>
  <si>
    <t>+84386658478</t>
  </si>
  <si>
    <t>Đầu tiên, em muốn các kiến thức ứng dụng của AI trong game. Với nền tảng các môn học và các dự án về AI, em mong sẽ được đóng góp kiến thức vào dự án.</t>
  </si>
  <si>
    <t>Với vị trí AI Engineer, có hai hướng cho các công việc đó là: thứ nhất, thiết kế một pipeline cho LLM hoặc Agent để tích hợp giúp trả lời các câu hỏi của nhân viên; hướng thứ hai sẽ sử dụng thị giác máy tính để theo dõi, phân tích (ví dụ như phân tích replay trong game FPS)</t>
  </si>
  <si>
    <t>3.4</t>
  </si>
  <si>
    <t>Em có làm hai dự án nhỏ về game: Ứng dụng searching và heuristics để tìm đường ngắn nhất cho game đưa đón hành khách; Tối ưu thuật toán alpha-beta và ứng dụng Reinforcement Learning cho bài toán đánh cờ gánh trong thời gian ngắn (sau khi tối ưu thuật toán alpha-beta trở nên nhanh hơn và đi sâu hơn, từ đó có thể nhìn các nước ở xa hơn trong khoảng thời gian quy định).</t>
  </si>
  <si>
    <t>https://github.com/tatkien/intro_to_AI_project; https://github.com/tatkien/BTL2_AI_2526</t>
  </si>
  <si>
    <t>SUN.STUDIO LinkedIn, Ứng tuyển qua Chương trình Thực tập hè của Nhà trường (như HCMUS, HCMUT)</t>
  </si>
  <si>
    <t>Em mong sẽ có cơ hội phỏng vấn với các anh/chị bên công ty.</t>
  </si>
  <si>
    <t>rrhq8m5y7r6foh3morrhq0n7v7tfn6wk</t>
  </si>
  <si>
    <t>Bùi Nam Việt</t>
  </si>
  <si>
    <t>bnviet05@gmail.com</t>
  </si>
  <si>
    <t>+84909978708</t>
  </si>
  <si>
    <t>I’m motivated to choose the AI Engineering Intern position at SUN.RISER because it allows me to apply AI in a real-world game development environment. I’m especially interested in how AI can improve player experience and production efficiency. SUN.STUDIO’s collaborative and hands-on environment is a great opportunity for me to grow and contribute.</t>
  </si>
  <si>
    <t>I believe the AI Engineering Intern role involves applying AI to support game development, such as improving player experience, optimizing workflows, analyzing player data, and possibly building tools or models to assist designers and developers.</t>
  </si>
  <si>
    <t>I have experience with both game development and AI-related projects:
Rush Hour Solver Game (Python, Pygame): Implemented and visualized multiple search algorithms (BFS, DFS, UCS, A*) to solve puzzles. I handled algorithm design, performance evaluation (time, memory, explored states), and built a UI for interactive visualization.
Wumpus World Agent (Python): Built an intelligent agent using logical reasoning and heuristics for decision-making in a grid environment.
Other games (C++): Developed Tower Defense and Pikachu Matching Game using OOP and game logic design.</t>
  </si>
  <si>
    <t>Wumpus World Agent: https://github.com/namviet157/Wumpus-World-Agent.git</t>
  </si>
  <si>
    <t>I’m very excited about the opportunity to join SUN.STUDIO and learn in a real game development environment. I’m eager to apply my AI and problem-solving skills to contribute to meaningful projects, while also learning from experienced team members.</t>
  </si>
  <si>
    <t>bu30opsz3iz4hvmox41bu30oq0cvhics</t>
  </si>
  <si>
    <t>Trần Khánh Linh</t>
  </si>
  <si>
    <t>trankhanhlinh.devgame.contact@gmail.com</t>
  </si>
  <si>
    <t>+84843866788</t>
  </si>
  <si>
    <t>Em chọn Game Design vì em thích nghĩ về cách game giữ người chơi, kiểu như progression hay reward. Dạo này em đang tự làm một game RPG nhỏ trên Roblox để test mấy cái đó luôn. Nên em muốn vào SUN.RISER để xem thực tế là làm như nào và học hỏi thêm.</t>
  </si>
  <si>
    <t>Em nghĩ vị trí này sẽ liên quan đến việc phân tích và cải thiện gameplay. Em phù hợp vì em cũng hay làm mấy cái đó, em có framework review game và đang tự làm game nhỏ để test system nên em nghĩ em bắt nhịp được khi được nhận vào công ty.</t>
  </si>
  <si>
    <t>Game Developer</t>
  </si>
  <si>
    <t>Em có làm project ở trường và hiện tại đang tự phát triển một game RPG nhỏ trên Roblox. Em tập trung thiết kế gameplay loop như progression và reward system, đồng thời sử dụng framework riêng để phân tích và cải thiện gameplay. Qua đó em hiểu rõ hơn cách một gameplay loop ảnh hưởng tới trải nghiệm người chơi và giữ chân người chơi.</t>
  </si>
  <si>
    <t>https://drive.google.com/file/d/1y7h18WjMHieEgKvAZ9PTgCiJHyyeoJ2Y/view?usp=sharing</t>
  </si>
  <si>
    <t>Em hy vọng nếu có cơ hội vào SUN.STUDIO, em có thể học được cách team thiết kế và vận hành game thực tế và từ đó cải thiện những gì em đang tự làm ở hiện tại.</t>
  </si>
  <si>
    <t>0l1v7njemxpnn2mjni0l1v7gop403bcd</t>
  </si>
  <si>
    <t>Phùng Ngọc Tuấn</t>
  </si>
  <si>
    <t>pntuan23@clc.fitus.edu.vn</t>
  </si>
  <si>
    <t>+84931332285</t>
  </si>
  <si>
    <t>Em thấy mình là một người hay chú ý tiểu tiết, vì vậy, QA là một vị trí khá phù hợp với em, em muốn các sản phẩm được đưa tới khách hàng được chỉn chu nhất có thể. Ngoài ra, em còn có hứng thú với việc vận hành game, mà QA cũng là một mắt xích trong đó.</t>
  </si>
  <si>
    <t>Theo em, vị trí này sẽ thực hiện viết test case, thực hiện test và báo cáo bug cho dev team để sửa lỗi, sau đó test lại sau khi sửa lỗi/thêm chức năng mới để đảm bảo game hoạt động mượt mà. Em nghĩ mình phù hợp với vị trí này vì em hay chú ý tiểu tiết, có thể suy nghĩ ra các edge case và em luôn muốn sản phẩm đưa ra là tốt nhất.</t>
  </si>
  <si>
    <t>Ở năm nhất, em đã thực hiện lập trình 1 game cho đồ án môn học, đó là game platformer mà em thực hiện lập trình phần logic của các power-up và quản lí, chỉnh sửa sprite cho game. Em cũng đã thực hiện kiểm thử cho trò chơi để đảm bảo không có lỗi đáng kể ảnh hưởng đến gameplay. Buổi demo rất tốt đẹp, game được các bạn trong lớp và giảng viên đánh giá cao.</t>
  </si>
  <si>
    <t>l7sq5fqh3sztz275l7sq7bnsnsz3vjcj</t>
  </si>
  <si>
    <t>Nguyễn Việt Hùng</t>
  </si>
  <si>
    <t>viethungng2205@gmail.com</t>
  </si>
  <si>
    <t>+84329782205</t>
  </si>
  <si>
    <t>_ Tìm kiếm cơ hội được làm việc với các dự án AI thực tế.
_ Muốn được tìm hiểu về ứng dụng AI trong game, mong muốn được đóng góp cho thị trường game Việt Nam.</t>
  </si>
  <si>
    <t>_ Theo mình ở vị trí này sẽ xây dựng các pipeline AI phục vụ cho Game: tích hợp hệ thống recommendation, hoặc ứng dụng các mô hình VLM/LLM để đánh giá các gameplay, behavior của user phối hợp với các team.
_ Bản thân là 1 người đã trải nghiệm trích xuất thông tin với LLM, nghiên cứu và làm việc với VLM, vì vậy phù hợp với các use case trên.</t>
  </si>
  <si>
    <t>Khoa học máy tính.</t>
  </si>
  <si>
    <t>8.11</t>
  </si>
  <si>
    <t>_ Sử dụng LLM để trích xuất thông tin từ bài báo, xuất ra JSON để phục vụ cho pipeline xây dựng data flow. Đánh giá kết quả đầu ra của LLM và đảm bảo JSON sinh ra đủ chính xác, nhất quán cho các bước xử lý phía sau.</t>
  </si>
  <si>
    <t>Dự án của công ty. Not available.</t>
  </si>
  <si>
    <t>Mình rất hào hứng với cơ hội được tham gia SUN.STUDIO. Là một người đam mê AI và muốn xây dựng các hệ thống ứng dụng, đồng thời là một người hay chơi game, mình rất muốn được trải nghiệm việc ứng dụng AI vào game.</t>
  </si>
  <si>
    <t>40jehrk41ecrwjrw1fnb40jeq6qgc223</t>
  </si>
  <si>
    <t>Dat Do Van</t>
  </si>
  <si>
    <t>dovandat2614@gmail.com</t>
  </si>
  <si>
    <t>+84356708642</t>
  </si>
  <si>
    <t>I chose this AI Engineer Intern position to apply my knowledge to real-world problems and continue learning in a professional environment. I believe this role is a great fit to develop my skills and contribute to the team.</t>
  </si>
  <si>
    <t>I think this role involves designing and building AI pipelines, developing and improving models, handling data, and evaluating performance for real-world applications. I’m a good fit because I have a solid foundation, learn quickly, and can apply my knowledge effectively.</t>
  </si>
  <si>
    <t>I have worked on personal projects such as GraphRAG, NER with PhoBERT, and CNN models, where I designed pipelines, developed models, and handled data processing for practical AI tasks.</t>
  </si>
  <si>
    <t>GitHub: https://github.com/vandat2614</t>
  </si>
  <si>
    <t>I’m eager to learn, contribute, and grow in this role, and I would really appreciate the opportunity to be part of your team.</t>
  </si>
  <si>
    <t>048j9wlesgv99il9u04bss9scwkjf456</t>
  </si>
  <si>
    <t>Lê Cường Thịnh</t>
  </si>
  <si>
    <t>cthinhh890@gmail.com</t>
  </si>
  <si>
    <t>+84901162143</t>
  </si>
  <si>
    <t>Em đã từng thực hiện các dự án về chatbot RAG và CV, nên em muốn tiếp tục phát triển theo hướng AI Engineering trong môi trường sản phẩm thực tế. Em tin rằng ngành game là nơi AI có thể tạo ra nhiều giá trị như tối ưu vận hành, phân tích dữ liệu người chơi và cải thiện trải nghiệm game. Vì vậy em rất mong muốn được thử sức tại SUN.RISER</t>
  </si>
  <si>
    <t>Em nghĩ vị trí này sẽ ứng dụng AI để tối ưu quy trình làm việc, hỗ trợ phân tích dữ liệu và nâng cao chất lượng sản phẩm game. Ngoài ra còn cần phối hợp với các team khác để triển khai giải pháp AI vào thực tế.
Em nghĩ mình phù hợp vì bên cạnh các kiến thức lý thuyết về DL và ML, thì em đã hoàn thành khóa FSDS hướng đến production, LLMOps, AgentOps</t>
  </si>
  <si>
    <t>Đã hoàn thành chương trình học và đang chờ nhận bằng tốt nghiệp</t>
  </si>
  <si>
    <t>7.86</t>
  </si>
  <si>
    <t>Vietnamese Traffic Law Chatbot
Python, Hugging Face, Sentences Transformer, RAG, Qdrant, API, Selenium, Beautifulsoup
June 2025 Github
• Description: Develop a Vietnamese traffic law question-answering system using advanced Retrieval-Augmented Generation (RAG).
• My Role: Collect and process data from official sources, and built advanced modules to enhance the performance and reliability of the RAG-based pipeline, intergrating LLMs model, design chatbot layers, backendAPI.
Evaluation of the effectiveness of the RAFT technique
Python, RAG, LoRA, QLoRA, DSF, Huggingface, Transformer
May 2025 Github
• Description: Fine-tune large language models within a RAG system using Retrieval-Augmented Fine-Tuning (RAFT), as described in the
corresponding scientific paper, with custom, on-demand datasets.
• My Role: Prepare and preprocess data, convert it into suitable formats, and evaluate fine-tuned models within the integrated RAG system.
American Sign Language Detection
Python, SSDLite320 MobileNetV3 Large, OpenCV
Dec 2024 Github
• Description: Develop a system to detect American hand sign language from images and videos, supporting real-time recognition.
• My Role: Train and fine-tune the SSDLite320 MobileNetV3 Large model, perform dataset preprocessing, and optimize hyperparameters to improve detection performance on the ASL hand sign dataset.
Consolation Prize — XAI Challenge 2025 (IJCNN 2025)
International competition on Explainable AI for Educational Question-Answering. Organized by HCMUT and the TRNS-AI Workshop, part of IJCNN 2025.
• Description: Built an Explainable AI system combining NLP and neuro-symbolic reasoning.
• My Role: Prepare and preprocess data, convert it into suitable formats. Improve the quality of datasets.</t>
  </si>
  <si>
    <t>https://github.com/CuongThinh-Le</t>
  </si>
  <si>
    <t>Em mong muốn được bước ra khỏi phạm vi các dự án cá nhân để tham gia vào môi trường sản phẩm thực tế, nơi AI có thể tạo ra giá trị rõ ràng cho người dùng. Em tin SUN.STUDIO sẽ là nơi phù hợp để em học hỏi từ đội ngũ giàu kinh nghiệm và phát triển bản thân lâu dài. Nếu được chọn, em sẽ nỗ lực hết mình để xứng đáng với cơ hội đó.</t>
  </si>
  <si>
    <t>p8aeus1a1oqju403rp8aeus3xjsp9mep</t>
  </si>
  <si>
    <t>Nguyễn Thúy Thương</t>
  </si>
  <si>
    <t>nguyenthuythuong179@gmail.com</t>
  </si>
  <si>
    <t>+84854870179</t>
  </si>
  <si>
    <t>Mình ứng tuyển vào vị trí này vì niềm yêu thích với game, cùng với nền tảng của mình là thiết kế minh họa, kể chuyện bằng hình ảnh, UI,.. mình mong muốn được tiếp xúc nhiều hơn nữa về game, kết hợp những gì mình đã có và học hỏi, trau dồi, từ đó tạo nên những game thật hay, thật thú vị, thật ấn tượng.</t>
  </si>
  <si>
    <t>Mình nghĩ vị trí này sẽ tham gia xây dựng ý tưởng gameplay, thiết kế cơ chế, hỗ trợ thiết kế cấp độ, map, phối hợp cùng team hoàn thiện trải nghiệm người chơi. Mình nghĩ mình phù hợp với vị trí này vì mình yêu thích game, cũng từng tham gia tạo một boardgame đồ án môn học (mình có trình bày ở portfolio)</t>
  </si>
  <si>
    <t>Công nghệ đa phương tiện</t>
  </si>
  <si>
    <t>8.03</t>
  </si>
  <si>
    <t>Dự án Boardgame "Truy Vết" - game về phòng chống bạo lực, vai trò: tham gia xây dựng gameplay, cơ chế và thiết kế, minh họa phe Gây rối; Kết quả: đồ án đạt điểm tốt (8.0 môn Thiết kế game)</t>
  </si>
  <si>
    <t>https://www.behance.net/gallery/248092077/Portfolio</t>
  </si>
  <si>
    <t>Mình rất thích game, cũng rất ngưỡng mộ và yêu thích SUN.STUDIO, chúc SUN.STUDIO ngày càng phát triển và tạo ra những trò chơi thật hay, thú vị được mọi người biết đến rộng rãi.</t>
  </si>
  <si>
    <t>hlzqzjdd14jfxs0wshlzqzibx74v4x3g</t>
  </si>
  <si>
    <t>Nguyễn Đồng Thanh</t>
  </si>
  <si>
    <t>ndthanh308@gmail.com</t>
  </si>
  <si>
    <t>+84978702454</t>
  </si>
  <si>
    <t>Với chuyên ngành là Data Science , em đã được học bài bản từ Data đến AI , do đó em ứng tuyển vào 2 vị trí thực tập:
1/ AI Engineer
2/ Data Analyst
Đặc biệt hơn, một môi trường chuyên nghiệp, năng động và có liên quan đến game như SUN.RISER thực sự khiến em cảm thấy phù hợp với năng lượng trẻ trung, khao khát thể hiện bản thân của mình</t>
  </si>
  <si>
    <t>AI Engineer: Xây pipeline AI, xây dựng và tối ưu hệ thống AI chatbot, hoặc NPC trong game. Xây RAG
Data Analyst: Đánh giá và phân tích dữ liệu người dùng, tìm cách rút ra những insight từ đó đưa ra lời khuyên hành động để phát triển trải nghiệm người dùng cũng như doanh thu</t>
  </si>
  <si>
    <t>8.99</t>
  </si>
  <si>
    <t>Em chưa có kinh nghiệm liên quan đến Game, nhưng chơi game và phân tích game để chơi tốt hơn thì em có</t>
  </si>
  <si>
    <t>Em chưa có</t>
  </si>
  <si>
    <t>Như nhiều người trẻ khác, game luôn là một sở thích lớn của em, và bây giờ được làm công việc chuyên môn mà còn có liên quan đến sở thích của mình thì thật sự tuyệt vời. Hi vọng em sẽ có cơ hội được trải nghiệm môi trường làm việc trẻ trung năng động chuyên nghiệp ở SUN.STUDIO</t>
  </si>
  <si>
    <t>ngwhg1d55g6ingbud8y034n3cew725fb</t>
  </si>
  <si>
    <t>Vũ Hoàng Long</t>
  </si>
  <si>
    <t>Vhlong2013@gmail.com</t>
  </si>
  <si>
    <t>+84363553536</t>
  </si>
  <si>
    <t>Em đặc biệt hứng thú với hướng phát triển casual,hyper-casual game của công ty, nơi gameplay đơn giản nhưng yêu cầu tối ưu trải nghiệm người chơi và dữ liệu rất cao. Bản thân em cũng đam mê làm những thể loại này vì trông nó tuy đơn giản nhưng mang lại cảm giác chơi rất thỏa mãn và phù hợp với đa số người dùng</t>
  </si>
  <si>
    <t>Theo em nghĩ thì vị trí này tham gia vào quá trình phát triển game bằng Unity, bao gồm Gameplay, UI, Input, Animation, Fix bug, tối ưu hiệu năng cũng như phối hợp với các thành viên khác để hoàn thiện sản phẩm.
Em thấy bản thân mình phù hợp với vị trí này vì đã có nền tảng lập trình C# và Unity, xây dựng Tools hỗ trợ và sẵn sàng học hỏi thêm.</t>
  </si>
  <si>
    <t>Green Academy</t>
  </si>
  <si>
    <t>Unity Game Developer</t>
  </si>
  <si>
    <t>Em từng tham gia cuộc thi SEE tại trung tâm Green Academy về thiết kế game và đạt giải nhất với tựa game Knight And Dragon.</t>
  </si>
  <si>
    <t>https://github.com/vulong2832k/Design-game-Platform-2D.git</t>
  </si>
  <si>
    <t>Em mong muốn có cơ hội được học hỏi và phát triển trong môi trường chuyên nghiệp tại SUN.STUDIO, đồng thời cống hiến sức trẻ của bản thân cho công ty.
Em hiểu rằng bản thân vẫn còn nhiều điều cần cải thiện, nhưng em sẵn sàng học hỏi, tiếp nhận feedback và nỗ lực để hoàn thiện kỹ năng lập trình cũng như tư duy làm game.
Nếu có cơ hội trở thành một phần của team, em hy vọng có thể đóng góp vào quá trình phát triển sản phẩm, đồng thời tích lũy kinh nghiệm thực tế để phát triển lâu dài.</t>
  </si>
  <si>
    <t>f4v9kkcoeq35vo2rlh76of4v9kkc170d</t>
  </si>
  <si>
    <t>Nguyễn</t>
  </si>
  <si>
    <t>duyhuan10a15@gmail.com</t>
  </si>
  <si>
    <t>+84946827825</t>
  </si>
  <si>
    <t>Em chọn vị trí AI Engineer tại SUN.RISER vì mong muốn được tiếp cận môi trường thực tế, nơi em có thể áp dụng kiến thức thay vì chỉ học lý thuyết. Đồng thời, em cũng muốn tìm hiểu hơn về cách ứng dụng AI trong lĩnh vực game.</t>
  </si>
  <si>
    <t>Em nghĩ vị trí AI Engineer sẽ tập trung vào xây dựng và triển khai mô hình AI, xử lý dữ liệu và tích hợp vào sản phẩm thực tế (game), đồng thời lựa chọn mô hình phù hợp với bài toán.
Em nghĩ mình phù hợp vì có nền tảng Python, xử lý dữ liệu và kiến thức machine learning, cùng khả năng tự học tốt và mong muốn phát triển lâu dài trong lĩnh vực AI</t>
  </si>
  <si>
    <t>Hiện tại em chưa có kinh nghiệm trực tiếp trong lĩnh vực game hoặc vị trí AI Engineer. Tuy nhiên, em đã có nền tảng về Python và machine learning thông qua các bài tập và dự án cá nhân.Em tham gia một số dự án cá nhân về AI/ML.  
Trong dự án DistillPhoBERT, em áp dụng knowledge distillation để giảm kích thước mô hình nhưng vẫn giữ ~95% độ chính xác. Ngoài ra, em xây dựng hệ thống phát hiện gian lận thẻ tín dụng bằng XGBoost, cải thiện khả năng phát hiện trên dữ liệu mất cân bằng, và một hệ thống RAG chatbot có thể trả lời câu hỏi về tài liệu y tế.</t>
  </si>
  <si>
    <t>https://rag-diabetes.onrender.com/</t>
  </si>
  <si>
    <t>Em rất mong có cơ hội được học hỏi và đóng góp tại SUN.STUDIO. Dù kinh nghiệm thực tế còn hạn chế, em sẵn sàng học nhanh, chủ động trong công việc và nghiêm túc phát triển lâu dài.</t>
  </si>
  <si>
    <t>j8x80er70zs9951ij8x805oxlfy6xw0g</t>
  </si>
  <si>
    <t>Lê Thái Khánh Ngân</t>
  </si>
  <si>
    <t>khanhnganle12.2@gmail.com</t>
  </si>
  <si>
    <t>+84358522978</t>
  </si>
  <si>
    <t>Em chọn vị trí Game QA Intern tại SUN.RISER vì em có hứng thú với lĩnh vực game và muốn tham gia vào quá trình đảm bảo chất lượng sản phẩm. Trong quá trình học, em đã có tiếp xúc với testing và nhận ra QA đòi hỏi sự tỉ mỉ và tư duy logic. Em mong muốn được học hỏi thêm và phát triển kỹ năng trong môi trường thực tế như SUN.RISER</t>
  </si>
  <si>
    <t>Em nghĩ vị trí Game QA Intern sẽ chịu trách nhiệm viết test case, tìm và báo lỗi và đảm bảo trải nghiệm người chơi được tốt nhất.
Em phù hợp vì em có tính cẩn thận và đã có trải nghiệm cơ bản về testing trong quá trình học.</t>
  </si>
  <si>
    <t>Trong đồ án, em đảm nhận vai trò kiểm thử, cụ thể là viết test case và thực hiện test để phát hiện lỗi. Em cũng viết bug report để mô tả chi tiết các lỗi cho team phát triển. Kết quả là giúp cải thiện nhiều lỗi chức năng, góp phần nâng cao trải nghiệm của sản phẩm. Đồ án đạt điểm Giỏi.</t>
  </si>
  <si>
    <t>https://docs.google.com/spreadsheets/d/1hRiW8673ikAm-seB4fOK8F9siTnhFjFD/edit?gid=384532806#gid=384532806</t>
  </si>
  <si>
    <t>Em mong muốn có cơ hội được học hỏi và đóng góp tại SUN.STUDIO, không chỉ với vai trò một intern mà còn là người luôn chủ động, trách nhiệm trong công việc. Em hy vọng có thể cùng team tạo ra những sản phẩm chất lượng và mang lại trải nghiệm tốt cho người chơi.</t>
  </si>
  <si>
    <t>alyrzwbd2x7fmyd680p4alyrzq503h1p</t>
  </si>
  <si>
    <t>Nguyễn Mạnh Hùng</t>
  </si>
  <si>
    <t>hnm142758@gmail.com</t>
  </si>
  <si>
    <t>+84946855825</t>
  </si>
  <si>
    <t>I have been making games for 2 years and still love making games. Your company uses Unity as one of your main tech stacks for developing mobile games, which aligns perfectly with my preferences.</t>
  </si>
  <si>
    <t>This role involves working with the PO, Game Designers, Artists, and other developers to turn game ideas into actual playable features. My daily tasks would include discussing ideas, contributing suggestions, and implementing gameplay mechanics, systems, and features.
Which, again, perfectly aligns with my experience at Vgames</t>
  </si>
  <si>
    <t>I completed a 3-month internship at VGames Studio, where I worked as a developer in a cross-functional team with Game Designers, UI artists, 3D artists, and other programmers to build a 3D casual smashing game for mobile. My role involved implementing gameplay features and collaborating closely with the team. Our project got a 9 from both our mentor and teacher.
Link: https://drive.google.com/drive/folders/1xsdxp6hN_pLSFANEmjNvQ0g0GTm7KroU?usp=sharing</t>
  </si>
  <si>
    <t>https://nmhung-gamedev.vercel.app/</t>
  </si>
  <si>
    <t>You may see me as a strong candidate for 3D games and may wonder about my ability to make mobile games. I want to assure you that I have been focusing on mobile game development since my internship. I’m confident that my combination of solid 3D experience and recent focused mobile game development makes me well-prepared for this role at SUN.RISER.</t>
  </si>
  <si>
    <t>zwjwk8j8r05bqjwcxyezwjwarye74v8z</t>
  </si>
  <si>
    <t>Nguyễn Trần Phước Lộc</t>
  </si>
  <si>
    <t>phuocloc742@gmail.com</t>
  </si>
  <si>
    <t>+84944090450</t>
  </si>
  <si>
    <t>Em đang tìm kiếm một môi trường mà em có thể học hỏi lâu dài và đóng góp ý nghĩa, chứ không chỉ là một công việc đơn thuần. Em tin rằng vị trí này sẽ giúp em phát triển theo đúng hướng sự nghiệp em hướng tới</t>
  </si>
  <si>
    <t>Em hiểu vị trí Unity Development Intern sẽ tập trung vào việc viết C# để triển khai tính năng, tích hợp assets, debug và tối ưu game theo GGD
Em phù hợp vì đã làm Unity hơn 10 tháng, hoàn thành vài dự án cá nhân bằng Unity với đa dạng thể loại game, em rất quen với scripting và Git. Em học nhanh, đam mê game dev và sẵn sàng đóng góp cho team</t>
  </si>
  <si>
    <t>HIU – Trường Đại học Quốc tế Hồng Bàng</t>
  </si>
  <si>
    <t>7,95</t>
  </si>
  <si>
    <t>Tự thiết kế GGD theo đúng chủ đề của cuộc thi Game Jams trên Itch.io. Sau đó tự build trong khoảng thời gian quy định, thường là 3-5 ngày tùy cuộc thi. Kết thúc thời gian sẽ phải public game để ban giám khảo và người dùng khác chấm điểm, có nhiều hạng mục nên giải thưởng cũng rất đa dạng</t>
  </si>
  <si>
    <t>www.linkedin.com/in/phuocloc742</t>
  </si>
  <si>
    <t>SUN.STUDIO LinkedIn, Mạng xã hội, TopCV, Ứng tuyển qua Chương trình Thực tập hè của Nhà trường (như HCMUS, HCMUT)</t>
  </si>
  <si>
    <t>Em rất mong được góp phần vào đội ngũ Unity của công ty bằng sự nhiệt tình và khả năng học hỏi nhanh. Em cam kết sẽ cố gắng hết mình, chủ động và nhận feedback để phát triển. Em cũng hy vọng công ty sẽ tạo điều kiện để em học hỏi từ anh chị đi trước nhiều nhất có thể. Em rất mong được làm việc và đóng góp cho team ạ</t>
  </si>
  <si>
    <t>fau6y6mn3tbdxaw5wdw8bsfau6y6cfp4</t>
  </si>
  <si>
    <t>Trần Trung Tuấn Hưng</t>
  </si>
  <si>
    <t>animetmn@gmail.com</t>
  </si>
  <si>
    <t>+84922117580</t>
  </si>
  <si>
    <t>- Em có các kỹ năng cần thiết trong lúc học tập tại trường và đồng thời có kinh nghiệm làm việc game mobile cho doanh nghiệp đối tác của trường
- Về khả năng logic vì em cũng chơi nhiều các tựa game dựa dạng puzzle game nên em hiểu cách vận hành và cách làm ra game như thế</t>
  </si>
  <si>
    <t>- Vị trí này sẽ tập trung làm những việc như:
+ Lập trình cho hệ thống user như account, điểm số, puzzle, scene flow
+ Thiết kế UI - UX: sử dụng các package như DOTween để UI - UX hoạt động tốt và đẹp hơn
+ Tối ưu dung lượng và hiệu suất của game: dùng sprite atlat để tối ưu dung lượng cho Sprite 2D và mesh composer sẽ tối ưu model 3D</t>
  </si>
  <si>
    <t>GPA: 8.9/10</t>
  </si>
  <si>
    <t>- Vai trò: Leader team 4 người cho dự án freelance
+ Quản lí nhóm và phân chia công việc
+ Lập trình spawn khách hàng, order của khách hàng, tương tác trên điện thoại, bảng xếp hạng
+ Thiết kế UI - UX: DOTween cho hiệu ứng chuyển cảnh
+ Âm thanh
+ Debug và tối ưu game
- Kết quả là được phía doanh nghiệp đánh giá cao về dự án và đang được chỉnh sửa lại để lên app store</t>
  </si>
  <si>
    <t>https://drive.google.com/drive/folders/19DmeeSJ_VbAhcyB4A00Y-HrEydPKiSNy?hl=vi</t>
  </si>
  <si>
    <t>Mong công ty cho em cơ hội để được làm việc cùng công ty và chúc công ty sẽ đạt được nhiều dự án thành công trên thị trường</t>
  </si>
  <si>
    <t>sv1jov7vozjw936ap19q4sv1jovafkvx</t>
  </si>
  <si>
    <t>Nguyễn Minh Trung</t>
  </si>
  <si>
    <t>nguyenminhtrung2120@gmail.com</t>
  </si>
  <si>
    <t>+84356787352</t>
  </si>
  <si>
    <t>I am motivated by SUN.RISER’s dynamic environment, which fosters rapid learning and professional growth. As a final-year Data Science student, I want to bridge the gap between academic research and industry application. Your focus on high-impact AI projects is exactly where I want to challenge myself and contribute as an AI Engineer Intern.</t>
  </si>
  <si>
    <t>I believe this role involves developing AI models, refining data pipelines, and implementing architectures like RAG. I think I am a good fit because I have hands-on experience building end-to-end systems using PyTorch and LangChain. My background and professional discipline allow me to contribute effectively to SUN.RISER’s technical goals.</t>
  </si>
  <si>
    <t>I engineered a dual-stream Multimodal Emotion Recognition System using PyTorch, where I integrated a 2D-CNN for facial expression analysis and an LSTM for speech processing. By architecting a fusion model to process these diverse data types, I successfully achieved a high-performance system capable of accurately identifying emotional states across multiple input modalities.</t>
  </si>
  <si>
    <t>https://github.com/trunnguyen/Personal-Project/tree/main/Multimodal_emotion_recognition</t>
  </si>
  <si>
    <t>I am genuinely excited about the possibility of joining SUN.STUDIO and am highly motivated to secure this opportunity. As a final-year student, I am at a stage where I am fully prepared to dedicate my focus and energy to a professional role. I am looking for a challenging environment where I can prove my capabilities, and I am ready to hit the ground running with a strong work ethic and a deep commitment to the team's success. I would welcome the chance to demonstrate how my technical background and drive can contribute to your upcoming projects.</t>
  </si>
  <si>
    <t>9dbs9gxrhaq5xmr6fw161o9dbs9gi45y</t>
  </si>
  <si>
    <t>Nguyễn Phú Thịnh</t>
  </si>
  <si>
    <t>nguyenphuthinh.dev@gmail.com</t>
  </si>
  <si>
    <t>+84917199533</t>
  </si>
  <si>
    <t>I want to be a member of SUN.STUDIO, and i am interested in AI agent and Data Analysis</t>
  </si>
  <si>
    <t>Learn about how we build and train an agent, analysis data, i have knowledge about them. I used to develop projects that's intergrated agent to support and analysis data</t>
  </si>
  <si>
    <t>CTU - trường Đại học Cần Thơ</t>
  </si>
  <si>
    <t>Information Technology - High Quality</t>
  </si>
  <si>
    <t>I intergrated Gemini AI to process and read the data that's gotten from the text in the diary, the text was parsed before it's sent to Gemeni AI</t>
  </si>
  <si>
    <t>Please read my CV</t>
  </si>
  <si>
    <t>auou70ggbptanpz6rauou70h241n9rov</t>
  </si>
  <si>
    <t>Nguyễn Trần Mạnh Thắng</t>
  </si>
  <si>
    <t>thangmanhnguyen.w@gmail.com</t>
  </si>
  <si>
    <t>+84941655089</t>
  </si>
  <si>
    <t>Mong muốn được thử sức trong môi trường doanh nghiệp và mảng game cũng như nâng cao, học hỏi thêm kiến thức chuyên môn thông qua chương trình</t>
  </si>
  <si>
    <t>sử dụng AI, làm việc với các model AI để ứng dụng vào quy trình cũng như chức năng của trò chơi</t>
  </si>
  <si>
    <t>trong quá trình làm đồ án: vai trò là hỗ trợ tìm kiếm chuẩn bị và lọc data cùng với đánh giá kết quả của mô hình trong việc phân loại bệnh. Kết quả dự án khá tốt khi có thể phân loại nếu ảnh không quá mờ vì chưa có các phương pháp làm rõ ảnh</t>
  </si>
  <si>
    <t>https://github.com/Pdz28/FA25AI64_GFA14_AIP491</t>
  </si>
  <si>
    <t>5zgtixhzygfzxr8uz95zgti541gqxso2</t>
  </si>
  <si>
    <t>Nguyễn Thanh Quân</t>
  </si>
  <si>
    <t>quannguyen.14042005@gmail.com</t>
  </si>
  <si>
    <t>+84703435034</t>
  </si>
  <si>
    <t>Enhance my personal skills and first time to adapt to professional working space</t>
  </si>
  <si>
    <t>In recent years, data and AI have become key drivers of business success. This strongly motivates me to pursue a career in this field. What interests me most is how companies can leverage data to understand their customers and improve decision-making. I often find myself thinking about how data can be transformed into meaningful insights.</t>
  </si>
  <si>
    <t>8.62 or 3.7 (4.0 scale)</t>
  </si>
  <si>
    <t>As a lead contributor under Dr. Nguyen Van Hoi, I orchestrated an anomaly detection project by leveraging NFST techniques and the ADBench dataset to optimize model performance. Through proactive coordination and systematic experimentation, I archieved high-ROC and MCC results that could beat LUNAR as well as currently being prepared for a June conference publication</t>
  </si>
  <si>
    <t>https://github.com/Thanhquan1404/Spectral-Fisher-Framework-for-Anomaly-Detection.git</t>
  </si>
  <si>
    <t>SUN.STUDIO LinkedIn, Mạng xã hội, TopCV</t>
  </si>
  <si>
    <t>jcq7j62qvvm8ztmqd29jcq7meb5dv3bz</t>
  </si>
  <si>
    <t>Tran Dinh Phu</t>
  </si>
  <si>
    <t>phutd0212@gmail.com</t>
  </si>
  <si>
    <t>+84385470580</t>
  </si>
  <si>
    <t>Cơ hội được thực chiến trên môi trường công sở</t>
  </si>
  <si>
    <t>Chịu trách nhiệm chuyển hóa ý tưởng thành tính năng qua code C# và tối ưu hóa vận hành trên Unity; vì có nền tảng kỹ thuật vững, tư duy logic tốt và khả năng tự học nhanh thông qua các dự án cá nhân đã thực hiện</t>
  </si>
  <si>
    <t>8.325</t>
  </si>
  <si>
    <t>Em tự thực hiện 100% dự án từ khâu lên ý tưởng đến đóng gói sản phẩm, giúp em nắm vững mọi công đoạn trong Unity và xây dựng được một sản phẩm demo</t>
  </si>
  <si>
    <t>https://drive.google.com/drive/folders/1cu7wbRoPH1rhlVy4wfP7a3bCS4e_Y4vW?usp=drive_link</t>
  </si>
  <si>
    <t>SUN.STUDIO LinkedIn, TopCV, Mạng xã hội</t>
  </si>
  <si>
    <t>Em hy vọng được bắt đầu hành trình chuyên nghiệp tại SUN.STUDIO, nơi em có thể chuyển hóa kiến thức Unity của mình thành những giá trị thực tế và cùng studio chinh phục những thử thách công nghệ mới</t>
  </si>
  <si>
    <t>5popas54z9wbb4c5popi0iz301fqfoo8</t>
  </si>
  <si>
    <t>Nguyễn Trọng Khôi</t>
  </si>
  <si>
    <t>trongkhoi2432005@gmail.com</t>
  </si>
  <si>
    <t>+84989836733</t>
  </si>
  <si>
    <t>Điều mà em mong muốn khi chọn vị trí thực tập sinh Data Analysis xuất phát từ khát khao tham gia cống hiến và va chạm với các dự án thực tế. Bên cạnh đó, em có niềm đam mê với lĩnh vực data analysis và data engineering với tinh thần học hỏi và trách nhiệm cao.</t>
  </si>
  <si>
    <t>Em tin mình phù hợp với Sun.Studio nhờ nền tảng kỹ thuật thực chiến trong việc xử lý hệ thống dữ liệu lớn. Em có tư duy giải quyết vấn đề, sử dụng các công cụ hiện đại như SQL, Python và dbt để tối ưu hóa pipeline. Với tinh thần học hỏi và khả năng thích nghi nhanh, em cam kết mang lại những insight đưa ra các quyết định dựa trên dữ liệu hiệu quả</t>
  </si>
  <si>
    <t>https://github.com/NTKhoii</t>
  </si>
  <si>
    <t>Em hi vọng là có cơ hội thử sức và được phỏng vấn tại sun.studio.</t>
  </si>
  <si>
    <t>27c3l7unmzqlb2uakvd6ze3tm3u3stua</t>
  </si>
  <si>
    <t>Trần Anh Huy</t>
  </si>
  <si>
    <t>anhhuyrubic@gmail.com</t>
  </si>
  <si>
    <t>+84337686257</t>
  </si>
  <si>
    <t>I am motivated to join SUN.RISER because I want to apply DA and AI Engineering to solve high-impact, real-world problems. I see SUN.RISER as an environment where I can refine my MLOps skills and contribute to building smarter, data-driven applications that provide clear value to users</t>
  </si>
  <si>
    <t>I see this role as a bridge between data science and software engineering. It involves not only performing DA to find patterns and trends but also the AI Engineering required to turn those insights into scalable features</t>
  </si>
  <si>
    <t>https://trananhhuy-portfolio.vercel.app/</t>
  </si>
  <si>
    <t>SUN.STUDIO LinkedIn, Ứng tuyển qua Chương trình Thực tập hè của Nhà trường (như HCMUS, HCMUT), Trường đại học, Mạng xã hội</t>
  </si>
  <si>
    <t>Nothing</t>
  </si>
  <si>
    <t>fwtfvhtnir1u19kuleazefwtfvhtdt8y</t>
  </si>
  <si>
    <t>Nguyễn Đức Thắng</t>
  </si>
  <si>
    <t>ngduc.thang031@gmail.com</t>
  </si>
  <si>
    <t>+84327644031</t>
  </si>
  <si>
    <t>Tôi chọn vị trí Data Analyst Intern tại SUN.RISER vì đây là cơ hội phù hợp để tôi áp dụng kiến thức đã học vào môi trường làm việc chuyên nghiệp.
Tôi mong muốn được làm việc trong một môi trường có thể học hỏi từ những người có kinh nghiệm, nâng cao kỹ năng chuyên môn và phát triển bản thân.</t>
  </si>
  <si>
    <t>Theo tôi, vị trí Data Analyst Intern sẽ tập trung vào việc thu thập, xử lý, phân tích dữ liệu và xây dựng báo cáo nhằm cung cấp những thông tin cần thiết cho người lãnh đạo đưa ra quyết định.
Tôi phù hợp với vị trí này vì tôi có nền tảng về Data Science, cùng với tư duy logic và sự cẩn thận trong quá trình làm việc với dữ liệu.</t>
  </si>
  <si>
    <t>8.3/10</t>
  </si>
  <si>
    <t>Vai trò của tôi là thu thập, xử lý và phân tích dữ liệu, đồng thời xây dựng các hệ thống quản lý và dashboard hỗ trợ vận hành. Tôi trực tiếp phát triển các công cụ như HR Management System, Leave Management System và Data Scanning Tool bằng Google Apps Script, Python, SQL và Looker Studio.</t>
  </si>
  <si>
    <t>Do vấn đề bảo mật thông tin từ công ty trước, hiện tại tôi chưa thể đính kèm Portfolio hoặc chia sẻ trực tiếp các dự án đã thực hiện.</t>
  </si>
  <si>
    <t>Tôi mong muốn có cơ hội được đồng hành cùng SUN.STUDIO để học hỏi, phát triển bản thân và đóng góp giá trị bằng những kiến thức, kỹ năng của mình.
Tôi tin rằng môi trường chuyên nghiệp và sáng tạo tại đây sẽ giúp tôi hoàn thiện hơn trên con đường trở thành một Data Analyst chuyên nghiệp trong tương lai.
Dù kết quả thế nào, tôi vẫn rất cảm ơn vì đã có cơ hội được tìm hiểu và ứng tuyển vào SUN.STUDIO.</t>
  </si>
  <si>
    <t>9h0956g1jp8p3ddti8d9h09wtfkw8jzm</t>
  </si>
  <si>
    <t>Nguyễn Nhân Quỳnh Như</t>
  </si>
  <si>
    <t>nnqnhu12@gmail.com</t>
  </si>
  <si>
    <t>+84388637259</t>
  </si>
  <si>
    <t>Em có một niềm đam mê với game và mong muốn tham gia vào công việc phát triển game. Em nhận thấy công ty có điều kiện và môi trường phù hợp với em.</t>
  </si>
  <si>
    <t>Với Game Design, em hiểu công việc là thiết kế gameplay và tối ưu trải nghiệm người chơi. Với Unity Developer, em hiểu vai trò là phát triển game logic và các tính năng trong game.</t>
  </si>
  <si>
    <t>7,2</t>
  </si>
  <si>
    <t>Vai trò: Illustrator &amp; Developer.
Đạt 7,5 điểm môn đồ án chuyên ngành.</t>
  </si>
  <si>
    <t>https://github.com/QNhu21DTH/endlessrun</t>
  </si>
  <si>
    <t>9f2hg0qpwkkkzla849f2hg0q1dghkutu</t>
  </si>
  <si>
    <t>Triệu Đoan Kỳ</t>
  </si>
  <si>
    <t>kid14190@gmail.com</t>
  </si>
  <si>
    <t>+84767265062</t>
  </si>
  <si>
    <t>Được biết công ty mình là một công ty mạnh về ngành game, cá nhân em cũng là một người đam mê và chơi nhiều thể loại game nên em cảm thấy công việc này rất hấp dẫn. Em cũng quan tâm tới dữ liệu và những con số thống kê, em cũng thường xuyên xem các phân tích thống kê người chơi nên em nghĩ Data Analyst rất phù hợp với mình.</t>
  </si>
  <si>
    <t>Phân tích hành vi người chơi, phân nhóm khách hàng, phân tích dữ liệu qua từng phiên bản trò chơi. Sự tư duy phân tích và đam mê về game là lý do em cảm thấy phù hợp</t>
  </si>
  <si>
    <t>Hệ thống thông tin ứng dụng</t>
  </si>
  <si>
    <t>Hiện tại chưa có dự án nào</t>
  </si>
  <si>
    <t>https://github.com/KivicDu/child-safety-simulator</t>
  </si>
  <si>
    <t>Em mong muốn được cọ sát hơn với công việc thực tế ở môi trường làm việc chuyên nghiệp nên em sẽ cố gắng hết sức để ứng tuyển vào vị trí này, nếu có cơ hội em muốn được gắn bó với công việc này 200% sức mình.</t>
  </si>
  <si>
    <t>8dktggq2tramzpciqr1iq8dktggriqg2</t>
  </si>
  <si>
    <t>Nguyễn Văn Quốc</t>
  </si>
  <si>
    <t>vanquoc11082004@gmail.com</t>
  </si>
  <si>
    <t>+84799494849</t>
  </si>
  <si>
    <t>I choose this position because it combines two things I'm interested in: data analysis and game. I really enjoy working with data to solve the bussiness problem, turn numbers into useful insights. At the same time, I have interested with games so I regularlly follow gaming trends and player experiences.</t>
  </si>
  <si>
    <t>I think this role involves working with game data to support better decision-making across different teams. This includes query and exploring data from BigQuery to understand game performance and key operational metrics, transforming raw data through cleaning, modeling, building dashboards in Tableau so teams can easily monitor important trends</t>
  </si>
  <si>
    <t>Swinburne University</t>
  </si>
  <si>
    <t>I developed SteamWeb/Bot, this is my personal project. A game discovery platform that helps players find suitable games faster by combining Steam catalog data, trend signals, and user preferences. I design the backend system, building data ingestion pipelines, managing the database, and creating automation workflows.</t>
  </si>
  <si>
    <t>https://github.com/blacki0214</t>
  </si>
  <si>
    <t>linkedIn</t>
  </si>
  <si>
    <t>sqmxzynckhursqmxr7m8o9wlhcr7mjco</t>
  </si>
  <si>
    <t>wuannhoang153@gmail.com</t>
  </si>
  <si>
    <t>+84981893696</t>
  </si>
  <si>
    <t>Mình có đam mê về cả việc làm game và nghiên cứu về AI. Trước khi làm các dự án về AI như TrOCR, RAG, ... thì mình đã tự làm thử vài con game nhỏ. Do đó mình thấy rất hứng thú với việc có thể áp dụng AI vài game</t>
  </si>
  <si>
    <t>Theo mình thì vai trò của một AI Engineer tại Sun Studio sẽ xoay quanh việc ứng dụng AI để trực tiếp nâng cao trải nghiệm người chơi hoặc tối ưu hóa quy trình sản xuất của team. Công việc có thể là phát triển Gameplay AI hoặc sử dụng LLM và GenAI để tạo ra các NPC thông minh tương tác tự nhiên với người chơi</t>
  </si>
  <si>
    <t>8.08</t>
  </si>
  <si>
    <t>Đó là một solo project và không nằm trong môn học. Tôi tạo ra một con game nhỏ dùng Unity và tôi chỉ code với thiết kế màn chơi thôi còn assets thì tôi lấy ở unity store. Sau đó tôi build và deploy nó lên itch.io</t>
  </si>
  <si>
    <t>https://huggingface.co/spaces/wuann/TrOCR_VN_Handwritting https://wuannlab.id.vn/ https://wuann15325.itch.io/journeytospace</t>
  </si>
  <si>
    <t>t4ik83u2o35cyy3unmujt4ik8wpc2ukl</t>
  </si>
  <si>
    <t>Lê Phước Thái</t>
  </si>
  <si>
    <t>lephuocthai860@gmail.com</t>
  </si>
  <si>
    <t>+84354724412</t>
  </si>
  <si>
    <t>Mong muốn được học hỏi thêm kiến thức chuyên môn, phát triển trong môi trường chuyên nghiệp, trao dồi kinh nghiệm thực tế.</t>
  </si>
  <si>
    <t>Tìm hiểu, nghiên cứu, tối ưu các mô hình trí tuệ nhân tạo, AI agent, các công cụ tự động hóa,... Tôi có nền tảng kiến thức chuyên môn, kinh nghiệm làm việc &amp; sử dụng, sẵn sàng học hỏi và cập nhật kiến thức.</t>
  </si>
  <si>
    <t>Tôi có thực hiện một vài dự án liên quan tới Machine Learning/Deep Learning và Computer Vision như là: Hệ thống tự động giám sát giao thông thông minh, Hệ thống tự động đếm số người trong 1 khung hình,....</t>
  </si>
  <si>
    <t>https://github.com/LePhuocThai2502</t>
  </si>
  <si>
    <t>kkvpksdjyl7fledkkvy75c7ifuc9z0mr</t>
  </si>
  <si>
    <t>Lê Phan Xuân Dũng</t>
  </si>
  <si>
    <t>lephanxuandung1012@gmail.com</t>
  </si>
  <si>
    <t>+84384340684</t>
  </si>
  <si>
    <t>I’m interested in the Data Analyst position at SUN.RISER because it lets me combine my analytical skills with my interest in the game industry. I’m motivated by the opportunity to turn player data into insights that can improve gameplay and user experience. I also value working in a creative, collaborative environment where data directly impacts pr</t>
  </si>
  <si>
    <t>I think this role involves analyzing player data, tracking key metrics, and providing insights to improve gameplay and business decisions.
I’m a good fit because I have strong analytical skills, experience working with data, and I can turn data into clear, actionable insights. I also enjoy working with teams and have an interest in the game</t>
  </si>
  <si>
    <t>https://drive.google.com/file/d/1hgX1mMZqW__3oxsYK5XkaU4KQHCizqUp/view</t>
  </si>
  <si>
    <t>sjp68w2z5pfp4zija16sjp68jr8q07pg</t>
  </si>
  <si>
    <t>Biện Hữu Khang</t>
  </si>
  <si>
    <t>bhkhang0401@gmail.com</t>
  </si>
  <si>
    <t>+84977568817</t>
  </si>
  <si>
    <t>Điều khiến tôi chọn vị trí này là vì tôi mong muốn được học hỏi, phát triển kỹ năng và trải nghiệm môi trường làm việc thực tế. Tôi tin đây là cơ hội phù hợp để nâng cao bản thân và tiến gần hơn đến định hướng nghề nghiệp của mình.</t>
  </si>
  <si>
    <t>Tôi nghĩ vị trí này sẽ thu thập, xử lý và phân tích dữ liệu để hỗ trợ công ty ra quyết định hiệu quả hơn. Tôi phù hợp vì có tư duy logic, cẩn thận, ham học hỏi và yêu thích làm việc với dữ liệu.</t>
  </si>
  <si>
    <t>SGU - Đại học Sài Gòn</t>
  </si>
  <si>
    <t>Tôi từng thực hiện dự án phân tích dữ liệu Bitcoin và Ethereum, với vai trò thiết kế và triển khai pipeline bán tự động từ CSV → HDFS → Hive → PostgreSQL → Power BI. Tôi phụ trách xử lý, làm sạch dữ liệu và xây dựng dashboard trực quan để phân tích hiệu suất, thanh khoản và rủi ro thị trường. Kết quả là hoàn thành quy trình đầu cuối giúp tự động hóa việc cập nhật và phân tích dữ liệu.</t>
  </si>
  <si>
    <t>https://github.com/bhuukhang/BTC_ETH</t>
  </si>
  <si>
    <t>SUN.STUDIO LinkedIn, joboko</t>
  </si>
  <si>
    <t>Tôi rất mong muốn có cơ hội được học hỏi và phát triển trong môi trường năng động tại SUN.STUDIO. Tôi hy vọng có thể đóng góp tinh thần chủ động, trách nhiệm và khả năng làm việc với dữ liệu của mình vào các dự án thực tế của công ty. Đồng thời, tôi cũng mong được học hỏi thêm kinh nghiệm từ anh/chị trong đội ngũ để hoàn thiện kỹ năng chuyên môn của bản thân.</t>
  </si>
  <si>
    <t>hm8qatylh3mon1xqq0hm8qawbulhrfyx</t>
  </si>
  <si>
    <t>Ngô Nguyên Thảo</t>
  </si>
  <si>
    <t>nnthao02@gmail.com</t>
  </si>
  <si>
    <t>+84981883419</t>
  </si>
  <si>
    <t>Additionally, I am highly motivated to gain deeper experience in a Data Analysis role. Since I have an honest interest in gaming, I believe that working at SUN.RISER will allow me to apply my analytical skills to a field I am truly passionate about.</t>
  </si>
  <si>
    <t>I see this role as managing the data flow—from querying in BigQuery and transforming it with Dataform to visualizing it on Tableau.
I’m a good fit because I’m strong in SQL and deeply familiar with gaming metrics. This allows me to provide clear insights that help the Game Design and Marketing teams make better decisions.</t>
  </si>
  <si>
    <t>Mechatronics</t>
  </si>
  <si>
    <t>7,5</t>
  </si>
  <si>
    <t>During my six-month research internship at a lab in Taiwan, I worked on a Rice Yield Prediction project. I focused heavily on Exploratory Data Analysis (EDA) to understand the correlation between climate variables and crop growth. I performed advanced preprocessing on large-scale datasets, including outlier detection using IQR and feature engineering for water balance. By visualizing these environmental impacts in Python, I provided actionable insights that significantly improved the accuracy of our prediction models</t>
  </si>
  <si>
    <t>https://drive.google.com/drive/folders/1A3gxxSaSYOyGPykkOeokEl1Qxo_WUDdx?usp=sharing</t>
  </si>
  <si>
    <t>As a recent graduate, I am eager to contribute my technical knowledge to SUN.STUDIO while gaining hands-on experience in a professional environment. My 6-month internship in Taiwan has trained me to adapt quickly and learn efficiently, so I’m confident that I can hit the ground running and grow alongside the team.</t>
  </si>
  <si>
    <t>lgj3fmfd3rl0aidfrmj4nvlgj3fm2zts</t>
  </si>
  <si>
    <t>Tiêu Trí Bằng</t>
  </si>
  <si>
    <t>Daryntribang@gmail.com</t>
  </si>
  <si>
    <t>+84899771436</t>
  </si>
  <si>
    <t>As someone who is very interested in AI Development as well as being a gamer myself, having the opportunity to indulge myself in the best of both worlds to leverage my skills to improve gaming experience at Sunriser is a fantastic opportunity for myself.</t>
  </si>
  <si>
    <t>I believe this role would involve the application and usage of AI, either onto the video games themselves or just using AI to enhance user experience in general. As someone passionate about both of these 2 things as well as having a background that focuses on AI in HCMUT, I believe I can be a great addition to the team.</t>
  </si>
  <si>
    <t>I briefly tried to build a 2D platformer game using the Pygame library back with my friends. However, I had a lot of issues with finding free assets legally at the time, so the project had been temporarily suspended since.</t>
  </si>
  <si>
    <t>https://github.com/DarynBang</t>
  </si>
  <si>
    <t>Thank you for reading all my responses thus far.</t>
  </si>
  <si>
    <t>s549l2lxibfu9bhzrs549xb4q4afzmx9</t>
  </si>
  <si>
    <t>Võ Nguyễn Bảo Ngọc</t>
  </si>
  <si>
    <t>vonguyenbaongoc0504@gmail.com</t>
  </si>
  <si>
    <t>+84918199338</t>
  </si>
  <si>
    <t>I'm motivated by the intersection of data and player experience. Most internships track metrics, but SUN.RISER offers the chance to see how my analysis directly improves games that millions play. I'm passionate about understanding player behavior why company engage, why company churn and translating that into actionable insights for designers.</t>
  </si>
  <si>
    <t>I'm a good fit because I combine technical skills with genuine curiosity about how people interact with products. My projects prove I can detect patterns and translate data into actionable insights.  I'm genuinely interested in gaming because it's where psychology and design intersect.</t>
  </si>
  <si>
    <t>No experiences</t>
  </si>
  <si>
    <t>https://github.com/Audrey175</t>
  </si>
  <si>
    <t>idj13bmzc2lrdwhfswy6eptidj13bmzs</t>
  </si>
  <si>
    <t>Trần Anh Thái</t>
  </si>
  <si>
    <t>trananhthai01092004@gmail.com</t>
  </si>
  <si>
    <t>+84775122980</t>
  </si>
  <si>
    <t>E muốn ứng dụng những kiến thức mà em đã học được và thực hành để tích lũy kinh nghiệm ạ</t>
  </si>
  <si>
    <t>Em nghĩ là sẽ làm việc với các mô hình ngôn ngữ lớn và thiết kế pipeline giải quyết các yêu cầu của công ty ạ</t>
  </si>
  <si>
    <t>Trường Đại học Giao thông vận tải TP. HCM</t>
  </si>
  <si>
    <t>Trong môn Python, em đảm nhận vai trò lập trình và thiết kế trò chơi. Em đã xây dựng một game đua xe với đường đua dạng khung hình chữ nhật, người chơi điều khiển xe theo bốn hướng để tránh va chạm. Trò chơi có các tính năng như tăng tốc độ theo thời gian, tạm dừng, lưu trạng thái và âm thanh. Kết quả là em hoàn thiện được một sản phẩm game có tính tương tác và trải nghiệm thực tế cho người chơi.</t>
  </si>
  <si>
    <t>Github: https://github.com/AnhThai19</t>
  </si>
  <si>
    <t>Em rất mong có cơ hội được học hỏi và trải nghiệm thực tế tại SUN.STUDIO. Em tin rằng môi trường năng động và sáng tạo của công ty sẽ giúp em phát triển kỹ năng chuyên môn cũng như tư duy sáng tạo. Đồng thời, em cũng hy vọng có thể đóng góp một phần nhỏ vào các dự án của SUN.STUDIO và cùng đội ngũ tạo ra những sản phẩm giá trị.</t>
  </si>
  <si>
    <t>j5cwi7wzlo36ebcdq476j5cwi7w5s51v</t>
  </si>
  <si>
    <t>tqdat.it@gmail.com</t>
  </si>
  <si>
    <t>+84707721611</t>
  </si>
  <si>
    <t>I am motivated to choose the Unity Developer Intern position at SUN.RISER because I am passionate about creating games and want to turn that passion into a professional career. I am eager to gain real experience, improve my skills, and contribute to building engaging player experiences.</t>
  </si>
  <si>
    <t>I believe this role involves building and optimizing gameplay features while collaborating with designers and QA. I am a good fit because I have a solid Unity foundation, enjoy problem-solving, and am eager to learn, improve, and contribute to creating engaging player experiences.</t>
  </si>
  <si>
    <t>7.65</t>
  </si>
  <si>
    <t>I have worked on simple hyper-casual games such as Flappy Bird-style projects using Unity. My role involved implementing core gameplay mechanics, handling player input, and basic UI. The projects were completed successfully and helped me strengthen my understanding of game loops, physics, and player experience.</t>
  </si>
  <si>
    <t>https://github.com/TranQuocDat0405/Unity_Flappy_Bird</t>
  </si>
  <si>
    <t>I would like to share that I recently transitioned from an AI Engineering path to game development. While I may not have many game projects yet, I have gained practical experience working in real-world environments. I am confident in my ability to learn quickly, adapt, and apply my technical skills to contribute effectively to your team.</t>
  </si>
  <si>
    <t>folplnt3idv2pabibg5gafolplnt6c3g</t>
  </si>
  <si>
    <t>Nguyễn Hạnh Bảo Ân</t>
  </si>
  <si>
    <t>nguyenan542003@gmail.com</t>
  </si>
  <si>
    <t>+84379683151</t>
  </si>
  <si>
    <t>Muốn học thêm những kiến thức mới về công việc và kĩ năng làm việc,  trải nghiệm môi trường làm việc năng động</t>
  </si>
  <si>
    <t>em nghĩ vị trí này sẽ tạo asset game (ảnh, texture, icon, background), generate animation. Em thấy em phù hợp bởi vì em có nền tảng về AI và đã làm các bài toán xử lý ảnh như CNN và captioning, nên có thể nhanh chóng áp dụng vào việc tự động hóa và tối ưu pipeline sản xuất game.</t>
  </si>
  <si>
    <t>8.00</t>
  </si>
  <si>
    <t>Game racing 3D bằng unity :
Phối hợp làm việc trong nhóm để phát triển các hệ thống gameplay cốt lõi cho game đua xe, bao gồm thiết kế đường đua, cơ chế checkpoint và reset xe, đếm vòng đua, theo dõi tiến trình cuộc đua, triển khai mini-map tương tác, quản lý trạng thái game và hệ thống kết thúc thắng/thua.</t>
  </si>
  <si>
    <t>https://www.youtube.com/watch?v=FQ_yJkyQVKg&amp;t=39s</t>
  </si>
  <si>
    <t>9zmig6zdn661abfa4z7s9zmigqngl7vq</t>
  </si>
  <si>
    <t>Đoàn Minh Đức</t>
  </si>
  <si>
    <t>dduc1171@gmail.com</t>
  </si>
  <si>
    <t>+84836099465</t>
  </si>
  <si>
    <t>Em là Đoàn Minh Đức, sinh viên năm 4 ngành Công nghệ Thông tin tại Đại học Sài Gòn.
Em chọn apply vị trí này ở SUN.RISER vì em muốn trở thành một Unity Developer chuyên sâu, đồng thời phát triển thêm kỹ năng Game Design.
Em đã tự phát triển 4 dự án game hoàn chỉnh bằng Unity xin hãy xem qua Portfolio:  https://senseiikuiku.github.io/</t>
  </si>
  <si>
    <t>Em hiểu vị trí Unity Developer sẽ bao gồm lập trình gameplay mechanics, xây dựng hệ thống game, triển khai tính năng và tối ưu.
Em tin mình phù hợp vì đã tự phát triển 4 dự án game hoàn chỉnh bằng Unity (2D, 3D). Em có kinh nghiệm về thể loại puzzle, flatform, roguelike, shooter. Em ham học hỏi, tự giác và sẵn sàng đóng góp vào công ty.</t>
  </si>
  <si>
    <t>SGU - Trường Đại học Sài Gòn</t>
  </si>
  <si>
    <t>Ngành công nghệ thông tin, chuyên nghành kĩ thuật phần mềm</t>
  </si>
  <si>
    <t>6.96/10</t>
  </si>
  <si>
    <t>Em có kinh nghiệm qua dự án đồ án chuyên ngành và các dự án cá nhân:
Chaos Dungeon (Roguelike 2D): Dự án đồ án chuyên ngành, em tự làm tất cả các phần từ gameplay mechanics, core loop, procedural generation, adaptive difficulty, skill system đến balancing.
HeroQuest (2D Platformer), MindForge (3D puzzle) và Rift &amp; Ruin (3D Shooter): Các dự án cá nhân tự phát triển.</t>
  </si>
  <si>
    <t>Portfolio: https://senseiikuiku.github.io/, Itch.io: https://senseiikuiku.itch.io/</t>
  </si>
  <si>
    <t>Em rất mong muốn được tham gia vào SUN.RISER để phát triển kỹ năng Unity Developer.
Với 4 dự án game cá nhân hoàn chỉnh bằng Unity (trong đó Chaos Dungeon là đồ án chuyên ngành), em đã tích lũy kinh nghiệm thực tế về lập trình gameplay, hệ thống và balancing. Em là người cầu tiến, có khả năng tự học nhanh và sẵn sàng đóng góp hết mình cho team.
Cảm ơn SUN.STUDIO đã tạo cơ hội này. Em rất mong được làm việc và học hỏi tại studio!</t>
  </si>
  <si>
    <t>6rigc2eykm8fdioybg4p6rigcxhn8d39</t>
  </si>
  <si>
    <t>Xuan Hoang Ha</t>
  </si>
  <si>
    <t>hoangdh2392005@gmail.com</t>
  </si>
  <si>
    <t>+84838065505</t>
  </si>
  <si>
    <t>I am motivated to apply for this position at SUN.RISER because it aligns well with my academic background and career goals in the data field. I hold a Bachelor’s degree in Data Science from UIT, where I built a strong foundation in data engineer, data analysis, machine learning, and programming.</t>
  </si>
  <si>
    <t>I believe this role involves collecting, cleaning, and analyzing data to support business decisions. It likely includes working with tools such as SQL, Python, and data visualization platforms to extract insights, identify trends, and present findings in a clear and actionable way.</t>
  </si>
  <si>
    <t>Yes. I have experience through personal data projects. I built a football player market value prediction project where I collected data using Selenium, processed it with Python and pandas, and applied machine learning models like XGBoost. I also used Power BI for visualization.</t>
  </si>
  <si>
    <t>https://github.com/Arashikage-XuanHoang/PREDICTION-OF-FOOTBALL-TRANSFER-VALUES-FOR-THE-2025-26-SEASON</t>
  </si>
  <si>
    <t>I would like to express my strong interest in joining SUN.STUDIO and contributing to your team. As someone who is passionate about data and eager to learn, I am excited about the opportunity to work in a dynamic environment like yours.
I am always willing to learn new technologies, take on challenges, and continuously improve my skills. I hope to not only gain valuable experience but also contribute meaningfully to your projects.
Thank you for considering my application, and I look forward to the opportunity to work with SUN.STUDIO.</t>
  </si>
  <si>
    <t>f6bwtwgy1r6q5pq2f656b0gus8aiiytm</t>
  </si>
  <si>
    <t>Trần Doãn Thanh Quý</t>
  </si>
  <si>
    <t>tdtq1606@gmail.com</t>
  </si>
  <si>
    <t>+84839160604</t>
  </si>
  <si>
    <t>I have been passionate about games since I was young, and I want to pursue a QA role to ensure product quality and enhance user experience. I believe SUN.RISER offers a suitable environment where I can learn and grow professionally.</t>
  </si>
  <si>
    <t>I believe this role involves testing games, finding and reporting bugs, and improving user experience. I am a good fit because I am detail-oriented, patient, and passionate about games, with a strong willingness to learn.</t>
  </si>
  <si>
    <t>Computer Science - Cyber Security</t>
  </si>
  <si>
    <t>7.38</t>
  </si>
  <si>
    <t>Yes. I have been a QA as part of my coursework. In this project, I was responsible for testing key features such as searching, ordering, and user management,...
I designed test cases, executed manual testing, and reported bugs to improve system functionality and usability. In addition, I implemented basic automation testing using Katalon Studio to validate basic flows. The project was completed successfully with stable core features and improved user experience after testing.</t>
  </si>
  <si>
    <t>https://github.com/tientaiuu/Readify-BookWeb</t>
  </si>
  <si>
    <t>SUN.STUDIO LinkedIn, Mạng xã hội, I have seen games from Playstore that are from SUN.STUDIO</t>
  </si>
  <si>
    <t>I am highly motivated to learn and grow in the game industry, and I am eager to contribute my attention to detail and passion for quality. I would greatly appreciate the opportunity to gain hands-on experience at SUN.STUDIO and develop my skills further while contributing to the team. I am also proficient in English, which helps me communicate effectively and work well in a professional environment.</t>
  </si>
  <si>
    <t>atxct2idcxq3dh58jx4atxct2iciibuq</t>
  </si>
  <si>
    <t>Nguyễn Trần Xuân Nhi</t>
  </si>
  <si>
    <t>xuannhi.work298@gmail.com</t>
  </si>
  <si>
    <t>+84785567806</t>
  </si>
  <si>
    <t>Trong quá trình tham gia vào giai đoạn UAT của hệ thống, tôi cảm thấy hứng thú với việc tối ưu hóa trải nghiệm người dùng. Tôi chọn vị trí Game Quality Assurance Intern tại SUN.RISER vì đây là môi trường lý tưởng để tôi chuyển hóa tư duy phân tích hệ thống và phát triển lộ trình nghề nghiệp trong tương lai.</t>
  </si>
  <si>
    <t>Tôi có kinh nghiệm BA cum Tester ở dự án ATS tại CT Group, có thể đọc hiểu tài liệu nghiệp vụ, cũng như tạo test case cho dự án.</t>
  </si>
  <si>
    <t>Management Information System</t>
  </si>
  <si>
    <t>3.47/4.0 ~ (8.7/10)</t>
  </si>
  <si>
    <t>- System Testing &amp; Logic Validation: Designed test cases and conducted rigorous functional testing for complex data synchronization between the ATS and HRM systems. I specifically tested edge cases to ensure data integrity, such as verifying that system updates only occurred when HRM records were strictly in "Draft" status.
- Workflow &amp; Integration Testing: Tested automated workflow constraints, including a 24-hour SLA approval loop for salary proposals, verifying that the system correctly triggered automated reminders based on specific authorization levels.
- Defect Tracking &amp; UAT Coordination: Identified and logged critical system logic errors. For instance, I discovered and helped resolve a data-overwriting bug during candidate re-employment by validating that the system correctly created and hyperlinked new records instead of erasing historical data. I also managed the entire User Acceptance Testing (UAT) phase.
Project Outcomes:
Successfully ensured the system's stability and logic accuracy before launch. Minimized critical data-handling bugs upon deployment and successfully conducted training sessions for the recruitment staff.</t>
  </si>
  <si>
    <t>https://github.com/xuannhi2908/LapTrinhCSharp/tree/main</t>
  </si>
  <si>
    <t>Em mong có cơ hội được tỏa sáng nghề nghiệp tại đây.</t>
  </si>
  <si>
    <t>dtgovds3gn70iswafdtgozt6xnh1tlfs</t>
  </si>
  <si>
    <t>Phạm Đỗ Quang Long</t>
  </si>
  <si>
    <t>phamquanglong085@gmail.com</t>
  </si>
  <si>
    <t>+84896647885</t>
  </si>
  <si>
    <t>Ngoài việc trở thành một nhà phát triển game độc lập, bản thân em mong muốn có thể tìm hiểu thêm cách vận hành, duy trì và tiếp tục phát triển trong một dự án lớn.
Đồng thời bản thân em cũng đang mong muốn tìm một nơi làm việc ổn định sau khi tốt nghiệp.</t>
  </si>
  <si>
    <t>Tham gia thảo luận với các tiền bối trong team. Phát triển các chức năng từ đơn giản đến phức tạp. Kết hợp với các team khác (artist, designer) để cùng chỉnh sửa và hoàn thiện dự án.
Em nghĩ bản thân phù hợp với vị trí Unity Developement Intern này là vì bản thân đã tìm hiểu rõ về Unity và đã có các game demo nên hiểu rõ nghiệp vụ mà công ty cần</t>
  </si>
  <si>
    <t>7.0/10</t>
  </si>
  <si>
    <t>Em đã lập nhóm cùng với một thành viên khác trong môn Lập trình di động và đã cùng nhau làm một tựa game Match 3. Em đảm nhận làm phần cốt lõi của trò chơi: Swap Tile, Generate Board, Score, Obstacle,... Còn thành viên sẽ tạo thêm các bomb đặc biệt cho trò chơi. Sau khi hoàn thành và báo cáo cho môn học đó em đã hiểu cách tạo ra một trò chơi Match 3 đơn giản, nắm được logic các chức năng Swap, Generate board, check no swap when start.</t>
  </si>
  <si>
    <t>https://github.com/StevensJamara/Match3_CandyGame</t>
  </si>
  <si>
    <t>Em mong HR và công ty có thể cho em một cơ hội để thử sức với vị trí Unity Development Intern.
Với mọi khả năng có thể, em sẽ cống hiến hết mình với công ty và đem lại kết quả tốt</t>
  </si>
  <si>
    <t>fz5zjr1lhqlehxhzrfz5zjr4hqiibz04</t>
  </si>
  <si>
    <t>Nguyễn Duy</t>
  </si>
  <si>
    <t>nddevgame@gmail.com</t>
  </si>
  <si>
    <t>+84969984144</t>
  </si>
  <si>
    <t>Mình muốn tìm hiểu thêm về văn hóa và cách làm việc của công ty. Được làm việc cho một công ty làm game là ước mơ của mình.</t>
  </si>
  <si>
    <t>Về Unity Developer và Game Designer,  đó sẽ là phát triển hệ thống game bằng Unity và thiết kế trải nghiệm gameplay.
Mình thấy mình phù hợp với vị trí vì mình không chỉ quan tâm tới việc code đã chạy chưa mà mình còn xét về cách nó tác động tới trải nghiệm của người chơi.
Mình muốn chia sẻ nhiều hơn nhưng mà đã quá giới hạn của text mất rồi :&lt;&lt;&lt;</t>
  </si>
  <si>
    <t>Computer Engineering</t>
  </si>
  <si>
    <t>Mình đóng vai trò là "đầu têu" trong các dự án. Mình sẽ tham gia vào không đóng góp idea, dựng gameplay cơ bản và xem xét vì sao nó sẽ thu hút người chơi. Sau đó mình sẽ quay về phần code các phần base và phụ trách phát triển tool giúp các thành viên thao tác nhanh hơn trong quá trình phát triển dự án.</t>
  </si>
  <si>
    <t>https://znews.vn/tua-game-mang-y-nghia-tich-cuc-cua-nam-sinh-lop-12-post1262084.html</t>
  </si>
  <si>
    <t>Hy vọng studio có thể xem xét profile một cách trực quan và rõ ràng nhất. Vì mình không thể chia sẻ hết trên đây do yếu tố kĩ thuật. 
Mình chúc studio may mắn tìm được ứng viên phù hợp ạ.
Mình cảm ơn.</t>
  </si>
  <si>
    <t>0qljwmjut7mrpd2r0qljwq17y49hwaqv</t>
  </si>
  <si>
    <t>Lê Hà Bảo Khanh</t>
  </si>
  <si>
    <t>lehabaokhanh972004@gmail.com</t>
  </si>
  <si>
    <t>+84944144560</t>
  </si>
  <si>
    <t>Lý do em chọn SUN.RISER vì đây là một trong những studio có môi trường làm việc năng động và sáng tạo nhất hiện nay. Em mong muốn được học hỏi từ đội ngũ chuyên gia tại đây để hoàn thiện kỹ năng chuyên môn.</t>
  </si>
  <si>
    <t>Game Design là người lên ý tưởng, xây dựng quy luật và cơ chế trong game để tạo ra trải nghiệm thú vị cho người chơi. Em là người có tư duy logic tốt và niềm đam mê lớn với việc phân tích các dòng game. Em thường xuyên tìm hiểu tại sao một trò chơi lại cuốn hút và tin rằng khả năng sáng tạo cùng sự tỉ mỉ của mình sẽ giúp ích cho việc xây dựng game.</t>
  </si>
  <si>
    <t>Em rất ấn tượng với những gì SUN.STUDIO đang xây dựng và hy vọng có cơ hội được trở thành một mảnh ghép của team. Chúc studio ngày càng phát triển và có thêm nhiều dự án bùng nổ trong tương lai. Em rất mong nhận được phản hồi sớm từ phía SUN.STUDIO.</t>
  </si>
  <si>
    <t>c099031dkjr1ofmix6h9c09903vtnmsu</t>
  </si>
  <si>
    <t>I chose this position at SUN.RISER because it matches my skills and career goals. I also want to learn, gain practical experience and contribute to the team in a professional environment.</t>
  </si>
  <si>
    <t>I believe this role involves developing AI solutions, working with data, improving models and supporting business needs. I am a good fit because I am passionate about AI, eager to learn, adaptable, quick to learn and work well in a team.</t>
  </si>
  <si>
    <t>I developed a puzzle game project where players match tiles with the same even number, for example 2 times 2 equals 4, to earn points. After each successful match, a new, randomly generated even-numbered tile appears on the board. The game ends when the board is full and there are no more valid moves. My role included designing the game logic, implementing the tile generation and scoring system and testing gameplay mechanics to improve the user experience.</t>
  </si>
  <si>
    <t>lhil03u23x9x8b915lhil03rzfvzgz0c</t>
  </si>
  <si>
    <t>Hung Nguyen</t>
  </si>
  <si>
    <t>nguyenhung.9a5.nbk@gmail.com</t>
  </si>
  <si>
    <t>+84985659398</t>
  </si>
  <si>
    <t>I chose to pursue a career in game development driven by my passion for creating interactive experiences. I have hands-on experience in this field and I am highly motivated to keep learning, improving my skills, and contributing to exciting game projects.</t>
  </si>
  <si>
    <t>I implement core game logic and integrate systems to deliver a complete gameplay experience. I fix bugs, develop new features, and collaborate with Game Designers to improve the product from both technical and player perspectives. With hands-on experience at Gameloft, I am eager to continue learning and growing as a game developer</t>
  </si>
  <si>
    <t>I studied in a talented bachelor program with a broad and flexible curriculum. I focused on Software Engineering and am now pursuing my career in game development.</t>
  </si>
  <si>
    <t>I am currently working as a Game Developer Intern at Gameloft. My responsibilities include implementing new features based on sprint planning and Game Designer updates, writing technical design documents (TDD), and fixing bugs. I collaborate with the team using GitLab and SVN, and have experience working with a proprietary game engine. I contributed to the development of Asphalt 8.</t>
  </si>
  <si>
    <t>https://www.linkedin.com/in/nguyen-hung-7258b3334/</t>
  </si>
  <si>
    <t>Is the internship allowance based on performance?
What criteria are used to evaluate interns during the internship?</t>
  </si>
  <si>
    <t>53dnrvvifih5uy1jmq53dn5f1omy4x4g</t>
  </si>
  <si>
    <t>Nguyễn Ngọc Phương</t>
  </si>
  <si>
    <t>nguyenngocphuong0147@gmail.com</t>
  </si>
  <si>
    <t>+84819860373</t>
  </si>
  <si>
    <t>Em mong muốn được ứng tuyển vào vị trí này vì ngày từ năm nhất đại học em đã có sở thích và niềm đam mê trong việc xử lý các nghiệp vụ liên quan đến dữ liệu. Bên cạnh đó với việc cạnh tranh trong thị trường lao động ngày càng gay gắt nên em muốn được sớm bước vào môi trường làm việc thực tế để tích luỹ kinh nghiệm và các kiến thức cho bản thân.</t>
  </si>
  <si>
    <t>Theo em, về vị trí DA đối với doanh nghiệp về Game thì sẽ làm công việc như: Thu thập ý kiến, trải nghiệm, đánh giá,... của khách hàng, người chơi từ đó đưa ra những quyết định như cải tiến hoặc lược bỏ các chức năng. Em chưa dám khẳng định là mình phù hợp với vị trí này, tuy nhiên em chắc chắn sẽ cố gắng hết sức hoàn thành các nhiệm vụ được giao.</t>
  </si>
  <si>
    <t>8.81</t>
  </si>
  <si>
    <t>Hiện tại em đang là Mentor tại Mindx Technology School, công việc của em là giảng dạy kiến thức về Scratch, Gamemaker, Python và hướng dẫn các bạn học viên thực hiện các dự án về game.</t>
  </si>
  <si>
    <t>https://drive.google.com/drive/u/0/folders/1Kng1rcX_BXb2LOIeuIr6kxwLGx0hyPv-</t>
  </si>
  <si>
    <t>Mặc dù em chưa có nhiều kinh nghiệm trong lĩnh vực Data Analysts nhưng em xin hứa sẽ cố gắng hết sức để hoàn thành nhiệm vụ của mình và em hy vọng sẽ được đồng hành cùng SUN.STUDIO trong thời gian tới. Em xin chân thành cảm ơn!</t>
  </si>
  <si>
    <t>p8r50f0i9ktobh66p8r50ao79ojltc92</t>
  </si>
  <si>
    <t>Nguyễn Toàn Phúc</t>
  </si>
  <si>
    <t>toanphuc02@gmail.com</t>
  </si>
  <si>
    <t>+84943352368</t>
  </si>
  <si>
    <t>I design mechanics around one question: what makes a player want one more try. That’s the same question behind every game in SUN.STUDIO’s portfolio, and I want to bring that thinking to a team operating at that scale.​​​​​​​​​​​​​​​​</t>
  </si>
  <si>
    <t>Game Design at SUN.STUDIO means making casual mechanics that feel simple on the surface but keep players coming back — balancing accessibility with enough depth to hold attention. I’ve done exactly that: designed original mechanics, documented them in full GDDs, and built the logic from the ground up — including bot AI that adapts to different play</t>
  </si>
  <si>
    <t>Network Engineering</t>
  </si>
  <si>
    <t>Advanced Battleship: Redesigned the classic game with three projectile types and a dual-mode bot AI, delivering a more strategic experience while preserving the core fun.
Modified Tic Tac Toe: Eliminated the draw condition entirely with a single rule change — the oldest move disappears after 7 turns — creating a game that never stalls and always demands a new strategy.​​​​​​​​​​​​​​​​</t>
  </si>
  <si>
    <t>https://www.linkedin.com/in/toan-phuc-nguyen-24044a244?utm_source=share&amp;utm_campaign=share_via&amp;utm_content=profile&amp;utm_medium=ios_app</t>
  </si>
  <si>
    <t>I’m not looking for a summer internship — I’m looking for where I start my career in game design. SUN.STUDIO is where I want to build that foundation.​​​​​​​​​​​​​​​​</t>
  </si>
  <si>
    <t>5lvpq01vhy3td6u7x0tqi5lv4wrnjebt</t>
  </si>
  <si>
    <t>Huỳnh Duy Khanh</t>
  </si>
  <si>
    <t>duykhanh280220039a9@gmail.com</t>
  </si>
  <si>
    <t>+84947733481</t>
  </si>
  <si>
    <t>Em muốn trau dồi nhiều kinh nghiệm hơn về mảng phân tích, dữ liệu trong môi trường thực tế ạ.</t>
  </si>
  <si>
    <t>Em nghĩ về Data analyst sẽ bao gồm các công việc về Data cleaning, xây dựng pipeline, hỗ trợ dashboard, từ đó rút ra insight.</t>
  </si>
  <si>
    <t>Dạ em từng có các dự án sử dụng PowerBi, Microsoftsql, và Python để phân tích doanh thu bán hàng ạ.</t>
  </si>
  <si>
    <t>https://drive.google.com/drive/folders/1llbA16htVLjGDQ5HMBUJwuK6XbGAamoD</t>
  </si>
  <si>
    <t>Em còn ít kinh nghiệm, em hy vọng sẽ có thể học hỏi và đóng góp cho công ty ạ.</t>
  </si>
  <si>
    <t>tw3pj0ik5uz3wtrlmz3tw3pj04rsg2hb</t>
  </si>
  <si>
    <t>Nguyễn Thanh Trúc</t>
  </si>
  <si>
    <t>thanhtrucn35@gmail.com</t>
  </si>
  <si>
    <t>+84564520610</t>
  </si>
  <si>
    <t>dạ vì khi chơi game mà gặp lỗi, điều đó cũng mang lại cảm giác khó chịu cho người chơi, em chơi game hay để ý mấy lỗi game, em nghĩ em phù hợp với vị trí này. Với sự kĩ tính, hay để ý lỗi và hiểu được cảm giác người dùng, em có thể tham gia quá trình kiểm thử, góp phần đảm bảo chất lượng game</t>
  </si>
  <si>
    <t>Em nghĩ là kiểm tra, phát hiện lỗi, đảm bảo cho sản phẩm hoạt động đúng yêu cầu, không bị lỗi trước khi ra mắt, mang lại trải nghiệm tốt cho người dùng
Em nghĩ là với sự kĩ tính, hay để ý đến chi tiết và hiểu được cảm giác người dùng, nên em phù hợp với vị trí này</t>
  </si>
  <si>
    <t>Đại học Trà Vinh</t>
  </si>
  <si>
    <t>Công nghệ thông tin</t>
  </si>
  <si>
    <t>Em đã tham gia khóa học Manual Test của VTI Academy và có làm một số bài tập về test web</t>
  </si>
  <si>
    <t>https://1drv.ms/x/c/185b75a9cc69d9ad/IQDBthYNweFZRrpk0BGymkOnAdAxuo5kN-n_CzyPbBNzthE?e=uWnge4</t>
  </si>
  <si>
    <t>Dạ em rất mong được tham gia vào chương trình đào tạo bên mình. Em cảm ơn anh/chị đã dành thời gian xem xét.</t>
  </si>
  <si>
    <t>29zc80bg2rh7n3uwbsrad29zc8pf31w7</t>
  </si>
  <si>
    <t>Bùi Bình Nguyên</t>
  </si>
  <si>
    <t>anhnguyen.732004@gmail.com</t>
  </si>
  <si>
    <t>+84344898294</t>
  </si>
  <si>
    <t>Em muốn tìm một vị trí ổn định thực tập trước khi tốt nghiệp và tiếp tục cống hiến cho studio sau khi hoàn thành khoá thực tập nếu may mắn được studio chấp thuận. Đồng thời, đây cũng là cơ hội để em được làm việc với môi trường game studio để nâng cao kỹ năng để cống hiến cho studio và cho các dự án cá nhân của bản thân mình.</t>
  </si>
  <si>
    <t>Em cho rằng vị trí này trước hết sẽ được tham gia hỗ trợ thiết kế/lập trình các hệ thống game nhỏ/mới hoặc tham gia kiểm thử cho các chức năng sắp và đang hoàn thiện.
Lý do em cho rằng mình phù hợp vì em đang phát triển một dự án game 2D ARPG, đặc biệt là thiết kế, phát triển và kiểm thử liên tục các chức năng của ARPG với khối lượng công việc lớn.</t>
  </si>
  <si>
    <t>Công nghệ thông tin - Công nghệ phần mềm</t>
  </si>
  <si>
    <t>7.3/10</t>
  </si>
  <si>
    <t>- Em đã và đang phát triển một game 2D ARPG có tên Chronicles of Knight and Mage, và phát triển máy chủ Restful API để quản lý dữ liệu người dùng trên server, và .
 - Vai trò của em tại các đồ án này là fullstack từ khâu thiết kế, lên kế hoạch làm các chức năng, viết cốt truyện, kiểm thử các chức năng, tối ưu hoá tài nguyên RAM/CPU...
 - Các chức năng cụ thể: Hệ thống GUI (Player Stats, Inventory, Equipment, Quests, Potentials, Game Setting, Game Over, Time System Ingame,...), hệ thống chiến đấu (AI enemy, normal/elite/boss enemy,...), thế giới mở (Chunk Management, NPC, Animals, NPCDialogue, Monologue,...), hệ thống farming (trồng cây và phát triển theo thời gian thực, game tính toán Plot dựa vào dữ liệu server gửi về...)...
 - Vì game thuộc thể loại ARPG thế giới mở nên hành trình để hoàn thành một tựa game hoàn chỉnh là rất dài nên chưa có demo hoàn chỉnh.
 - Đồ án game thành công đạt điểm A tại 2 đồ án lớn cấp khoa (Đồ án Cơ sở và Đồ án Chuyên ngành) và máy chủ Restful API đạt điểm A tại đồ án cấp môn học.
 - Và tất cả đồ án trên đều do em một mình thiết kế và phát triển.</t>
  </si>
  <si>
    <t>https://github.com/SuKem0703/BNG_Group.git</t>
  </si>
  <si>
    <t>Em hy vọng được đồng hành cùng Studio trong quá trình thực tập và sau thực tập.</t>
  </si>
  <si>
    <t>o3agdsk4aiesznbfd1zw2o3agdsn8682</t>
  </si>
  <si>
    <t>Hồng Chung Lâm</t>
  </si>
  <si>
    <t>hongchunglam.work@gmail.com</t>
  </si>
  <si>
    <t>+84345378032</t>
  </si>
  <si>
    <t>I’m motivated to join SUN.RISER because I want to develop my Unity skills in a real team environment, building on my experience working on projects with classmates. I’m looking for a place where I can learn from real workflows, contribute to actual products, and grow faster through feedback and collaboration.</t>
  </si>
  <si>
    <t>This role likely involves building gameplay features in Unity, fixing bugs, and collaborating with a team.
I’m a good fit because I’ve worked on Unity projects with classmates, have experience with C# and teamwork, and can quickly adapt and improve from feedback.</t>
  </si>
  <si>
    <t>I have worked on several small game projects, and this is one of my main ones. I developed a 2D MMORPG in Unity, where my role focused on gameplay design and implementation. I handled map design, character animation, and built core systems such as character appearance loading, skill system, and item system. I also experimented with NFT integration for in-game items and blockchain-based trading. This project gave me hands-on experience in designing and developing gameplay systems in Unity from end to end.</t>
  </si>
  <si>
    <t>Crimson Knight: https://github.com/HongLam-dev/Crimson-Knight-Blockchain, Hollow Knight: https://github.com/HongLam-dev/HollowKnight_Code, Battleground: https://github.com/Vminhkiet/BattleGround</t>
  </si>
  <si>
    <t>Thank you for considering my application. I look forward to the opportunity to contribute to SUN.RISER.</t>
  </si>
  <si>
    <t>6ns7ld62zob0z7z6ns7mha4x4s30jcuh</t>
  </si>
  <si>
    <t>Cù Thanh Tường</t>
  </si>
  <si>
    <t>cuthanhtuong0903@gmail.com</t>
  </si>
  <si>
    <t>+84379522232</t>
  </si>
  <si>
    <t>I am particularly interested in this role because it allows me to apply my current skills while also developing new ones through real practical experience.</t>
  </si>
  <si>
    <t>From my understanding, this role involves supporting AI projects, working with data, and helping improve AI tools for practical use.
I believe I am a good fit because I have interest in AI and I am always willing to learn and adapt to new challenges.</t>
  </si>
  <si>
    <t>7.31</t>
  </si>
  <si>
    <t>Yes, I previously worked as an AI Engineer Intern, where I supported the development of an AI chatbot workflow project using GitHub Copilot in Visual Studio Code.
My role involved assisting with prompt design, workflow testing, and improving the chatbot’s response logic for better user interaction.</t>
  </si>
  <si>
    <t>https://github.com/TuongCuThanh/AI_Agent</t>
  </si>
  <si>
    <t>I would like to share that I am genuinely interested in AI and always willing to learn. I hope to gain hands-on experience at SUN.STUDIO while contributing positively to the team and improving my skills through real projects.</t>
  </si>
  <si>
    <t>ac9gvl57xprzsrcwv0qtac9g8ezt3gvy</t>
  </si>
  <si>
    <t>Nguyễn Thị Khánh Đoan</t>
  </si>
  <si>
    <t>doanam10@gmail.com</t>
  </si>
  <si>
    <t>+84984283445</t>
  </si>
  <si>
    <t>I'm motivated by the chance to apply data skills in a real gaming environment. Sun Studio's scale—with millions of active users—means insights I contribute can drive actual product decisions. This internship is the perfect opportunity to grow from self-study projects into real-world impact.</t>
  </si>
  <si>
    <t>I believe this role involves collecting, analyzing game data and turning it into actionable insights to support team decisions. With hands-on experience in Python, SQL, and Power BI through personal projects in forecasting and segmentation, I'm confident in my ability to contribute meaningfully from day one.</t>
  </si>
  <si>
    <t>Fintech (Công nghệ Tài chính)</t>
  </si>
  <si>
    <t>9/10</t>
  </si>
  <si>
    <t>As team leader, I was responsible for conducting market research, identifying gaps in Vietnam's Fintech landscape, delegating tasks, and proposing the core product idea—FinQuest. The project resulted in a comprehensive research paper covering customer segmentation, gamification strategy, go-to-market planning, and early-stage financial forecasting, deepening my understanding of user behavior analysis and data-driven decision-making in a real business context.</t>
  </si>
  <si>
    <t>https://drive.google.com/drive/folders/1r6X72oLorJrUQuwZAW3xTS9FpYD9QSEh?usp=sharing</t>
  </si>
  <si>
    <t>I'm genuinely excited about the opportunity to be part of SUN.RISER 2026. What draws me most to Sun Studio is the chance to work with real, live products—where data has direct impact on player experience and business decisions. I'm a fast learner, highly motivated, and ready to contribute from day one. I look forward to growing alongside the team and bringing my analytical mindset to the gaming world.</t>
  </si>
  <si>
    <t>dt2209pzjf3nskayhdt2209xmm7e2x00</t>
  </si>
  <si>
    <t>Lê Minh Kha</t>
  </si>
  <si>
    <t>leminhkha1412@gmail.com</t>
  </si>
  <si>
    <t>+84938210020</t>
  </si>
  <si>
    <t>Building my Agents showed me firsthand how agentic workflows can eliminate hours of repetitive work - and SUN.RISER is where I want to take that from a side project to real product impact. The role's focus on prompt engineering, tool-use design, and cross-team collaboration is exactly the environment I'm looking for</t>
  </si>
  <si>
    <t>This role is about analyzing team workflows, identifying bottlenecks, then designing prompts, pipelines, and agent tools to automate those gaps. My experience building Agent, end-to-end AI project - combined with a research background that trained me to think in systems and document clearly  makes me confident I'm a strong fit</t>
  </si>
  <si>
    <t>I don't have direct game industry experience, but my project and research work closely mirrors what this role demands. I built GymFlow Agent - a multi-tool agentic pipeline with intent routing, RAG, and JSON-structured outputs - and conducted research on prompt engineering strategies for SLM reasoning. On the Agent project, I designed the agent's flows, implemented RAG for policy Q&amp;A, and built the system end-to-end with LangChain and LangGraph. On the SLM project, I designed and evaluated blueprint-style, CoT, few-shot for multi-step reasoning, achieving 76% MCQA accuracy on LogicBench - outperforming several 7B baselines with a 1.7B model</t>
  </si>
  <si>
    <t>https://github.com/DazKha/</t>
  </si>
  <si>
    <t>Thank you for building a program that treats interns as real contributors</t>
  </si>
  <si>
    <t>zio31b30zj0f1enpzio31zto50mqiniw</t>
  </si>
  <si>
    <t>Vũ Quang Huy</t>
  </si>
  <si>
    <t>vuquanghuy0916@gmail.com</t>
  </si>
  <si>
    <t>+84916811897</t>
  </si>
  <si>
    <t>Cực, áp lực</t>
  </si>
  <si>
    <t>Test game và api</t>
  </si>
  <si>
    <t>6.82</t>
  </si>
  <si>
    <t>I love  SUN.STUDIO</t>
  </si>
  <si>
    <t>7u3rn70i6fw2q7j4o5o7u3rk1tcue5w0</t>
  </si>
  <si>
    <t>Phan Thế Hoàng</t>
  </si>
  <si>
    <t>hoangphancbl2005@gmail.com</t>
  </si>
  <si>
    <t>+84948795154</t>
  </si>
  <si>
    <t>I'm motivated by the chance to apply AI in real game production. SunStudio stands out to me because it builds mobile games at large scale: over 10M monthly users. This position matches both my technical background and career direction.</t>
  </si>
  <si>
    <t>I think this role involves turning AI into practical tools for game production such as automating workflows, suporting content or data tasks and integrating AI services with internal tools to help teams work faster and more effective. I am a good fit because I have hands-on experience in multimodal retrieval, VLM finetuning, developed a Godot game.</t>
  </si>
  <si>
    <t>Khoa học máy tính (hướng Trí tuệ nhân tạo)</t>
  </si>
  <si>
    <t>I worked on Folk Games Collection, a Godot coursework project: a browser-playable 2.5D festival hub containing 4 Vietnamese minigames: Nối Từ, Cờ Gánh, Ô Ăn Quan and Trốn Tìm.  I was responsible for the Nối Từ game, API-backend gameplay integration, API deployment, and game release on itch.io. We were the only group to build 4 minigames inside one larger game, and the project received 10/10.</t>
  </si>
  <si>
    <t>https://github.com/itshoang2024</t>
  </si>
  <si>
    <t>I am really excited about the opportunity to learn how AI is applied inside a real game studio, beyond academic projects. I have experience with applied AI systems, backend deployment, and a Godot game project, but I know there is still a lot to learn from real production teams. I am available full-time from 06/2026 and would be grateful for the chance to contribute, learn, and grow with SUN.STUDIO.</t>
  </si>
  <si>
    <t>f8f82cupr67kjw83klf8f8irsugfzbiv</t>
  </si>
  <si>
    <t>Trần Đại Hải</t>
  </si>
  <si>
    <t>tdaihai.work@gmail.com</t>
  </si>
  <si>
    <t>+84906517865</t>
  </si>
  <si>
    <t>Tôi cảm giác đây là một môi trường phù hợp để bản thân có thể phát triển kỹ năng cũng như tư duy</t>
  </si>
  <si>
    <t>Với Data Analysis, mục tiêu quan trọng nhất là tạo ra được insight cũng như giải quyết được vấn đề từ việc nhìn nhận Data. Ở đây, bản thân tôi có đủ kĩ năng và tư duy để làm điều đó</t>
  </si>
  <si>
    <t>Các dự án của tôi liên quan đến phân tích dữ liệu, và business Intelligence, tôi lựa chọn case study và đưa ra được insight để giải quyết các vấn đề đó</t>
  </si>
  <si>
    <t>https://github.com/TranDaiHai2107/DRM_key_demand_forecasting</t>
  </si>
  <si>
    <t>Tôi mong muốn được có cơ hội gặp gỡ và phỏng vấn ở công ty. Bản thân tôi muốn được thể hiện năng lực của mình và tinh thần làm việc cho nhà tuyển dụng thấy được. Mong được có cơ hội phỏng vấn ạ</t>
  </si>
  <si>
    <t>ci8cw88tpa72iarecjci8c1fbmh0q299</t>
  </si>
  <si>
    <t>Nguyễn Thị Quỳnh Tâm</t>
  </si>
  <si>
    <t>quynhtam0302@gmail.com</t>
  </si>
  <si>
    <t>+84941521447</t>
  </si>
  <si>
    <t>Em chọn hướng Data Analyst vì em thích làm việc với dữ liệu và muốn sử dụng dữ liệu để hiểu các vấn đề và thông qua nó để ra các quyết định. Em muốn bắt đầu từ một môi trường có quy trình rõ ràng để học đúng cách ngay từ đầu, thay vì tự học rời rạc. Và SUN.RISER là một chương trình có mentoring rõ ràng, phù hợp với người đang xây nền tảng như em.</t>
  </si>
  <si>
    <t>Theo em, vị trí này sẽ hỗ trợ xử lí, làm sạch và chuẩn hoá dữ liệu để có thể sự dụng cho việc phân tích, sau đó trình bày kết quả để hỗ trợ ra quyết định. 
Em nghĩ mình phù hợp với vị trí này vì em có nền tảng lập trình với Python và đang học thêm về SQL cũng như các kỹ năng xử lí dữ liệu khác và định hướng rõ ràng theo hướng Data Analyst.</t>
  </si>
  <si>
    <t>2.7</t>
  </si>
  <si>
    <t>Em có tham gia một bài tập lớn là phân tích dữ liệu về GPU với dataset khoảng hơn 3000 mẫu. Trong project này em phụ trách phần tổng quan dữ liệu, gồm việc tìm hiểu cấu trúc dataset, ý nghĩa các biến và phân loại các kiểu dữ liệu khác nhau. Thông qua đó em hiểu được cách một bộ dữ liệu thực tế được tổ chức, cũng như cách chuẩn bị dữ liệu trước khi đi vào căc bước xử lí và phân tích sâu hơn. Nhờ đó nhóm có nền tảng rõ ràng để thực hiện các bước phân tích tiếp theo một cách hiệu quả và bài làm đạt 9/10.</t>
  </si>
  <si>
    <t>https://drive.google.com/file/d/1FERVRKxr1cMJ TXSEs7t1Njdx8xnqy3ha/view?usp=drivesdk</t>
  </si>
  <si>
    <t>Không ạ.</t>
  </si>
  <si>
    <t>qxwkjlgmsauznww8tcgqxwkjln2zvpq9</t>
  </si>
  <si>
    <t>Trần Tiến Dũng</t>
  </si>
  <si>
    <t>tiendungtns81@gmail.com</t>
  </si>
  <si>
    <t>+84384205428</t>
  </si>
  <si>
    <t>Dạ em thích làm việc với dữ liệu và tìm insight từ số liệu, điều này em đã được thực hành qua các project SQL, Power BI và kỳ intern ở Miquant. Vị trí ở SUN.RISER hấp dẫn em vì được làm việc với dữ liệu thực tế từ sản phẩm game và xây dựng dashboard giúp team ra quyết định nhanh hơn, đúng với hướng em muốn phát triển chuyên sâu về data ạ.</t>
  </si>
  <si>
    <t>Em hiểu vị trí này sẽ xoay quanh việc truy vấn và xử lý dữ liệu từ các sản phẩm game, xây dựng pipeline và dashboard để các team có thể theo dõi hiệu suất và ra quyết định. Em nghĩ mình phù hợp vì đã có nền tảng SQL, Python và kinh nghiệm xây dựng dashboard với Power BI, cộng thêm kỳ intern ở Miquant giúp em quen với việc đọc số liệu ạ.</t>
  </si>
  <si>
    <t>Accounting - Auditing</t>
  </si>
  <si>
    <t>Em có kinh nghiệm xử lý và phân tích dữ liệu qua nhiều bối cảnh khác nhau. Tại Miquant, em trực tiếp theo dõi hiệu suất các kênh marketing qua dashboard và rút ra insight để tối ưu chiến dịch. Trong cuộc thi Dazone 2024, em xử lý dataset thực tế với Python và phân tích hành vi khách hàng, lọt top 20+. Em cũng từng dẫn dắt một project môn học về phân tích dữ liệu bán hàng quy mô lớn bằng SQL kết hợp Power BI, được đánh giá 9.0/10 ạ</t>
  </si>
  <si>
    <t>https://drive.google.com/drive/folders/1SCLsGdteeS5lAf8QArtyULOZQUsYfJ_Q?usp=sharing</t>
  </si>
  <si>
    <t>Dạ không ạ</t>
  </si>
  <si>
    <t>78gaxbw7fxkc1wambec6p478gaxbw7as</t>
  </si>
  <si>
    <t>Lê Nguyễn Kiều Oanh</t>
  </si>
  <si>
    <t>lnkoanh2003@gmail.com</t>
  </si>
  <si>
    <t>+84985824457</t>
  </si>
  <si>
    <t>I’m motivated to join SUN.RISER because I enjoy turning AI into practical tools. With my background in Python and small AI projects, I focus on building structured workflows to solve real problems. I’m especially impressed by SUN.RISER’s focus on automation and agent design, which strongly aligns with how I want to grow.</t>
  </si>
  <si>
    <t>I believe this role involves analyzing workflows, identifying inefficiencies, and applying AI through prompts, pipelines, and agents to automate processes. I’m a good fit due to my experience with Python and AI projects, and my strong interest in building structured, practical solutions for real-world problems.</t>
  </si>
  <si>
    <t>Yes, I worked on a simple Snake game project in C++ for an Object-Oriented Programming course. My role included implementing basic features such as color changes and testing the game. Although the project was simple, it helped me understand core programming concepts and teamwork in game development.</t>
  </si>
  <si>
    <t>https://github.com/kolee1902/Crossing-Road-Game</t>
  </si>
  <si>
    <t>I’m eager to learn and contribute in a practical environment like SUN.STUDIO. I may not have extensive experience yet, but I’m highly motivated, quick to learn, and enjoy solving real problems with AI. I hope to grow here and contribute to building impactful, efficient solutions for the team.</t>
  </si>
  <si>
    <t>0mb8qc30rm6urvwja533x0mb8qc3irsr</t>
  </si>
  <si>
    <t>Nguyen Hong Yen</t>
  </si>
  <si>
    <t>yennguyen140205@gmail.com</t>
  </si>
  <si>
    <t>+84387018309</t>
  </si>
  <si>
    <t>Interested in streamlining professional workflows via AI , I am motivated to join SUN.RISER to apply my experience in building AI Agents and designing prompt pipelines. I am eager to help identify and resolve operational bottlenecks through intelligent automation.</t>
  </si>
  <si>
    <t>I believe this role involves analyzing workflows to identify bottlenecks and designing AI Agents or pipelines to automate manual tasks. Having experience in building RAG systems and agentic architectures, I am interested in applying these skills to improve operational efficiency and creating clear SOPs for internal teams.</t>
  </si>
  <si>
    <t>8.44/10 (3.63/4)</t>
  </si>
  <si>
    <t>I have experience in prompt engineering and RAG infrastructure from my AI Engineer Internship , which resulted in optimized document processing and stable AI Agents. In my projects and the 2025 Datathon (1st Place), I focused on designing end-to-end pipelines using tool-calling and computer vision. Outcomes included a 40-70% reduction in inference costs and real-time biometric analysis.</t>
  </si>
  <si>
    <t>https://github.com/hyeiu142</t>
  </si>
  <si>
    <t>fzxrqg2m398eu9ple96tfzxrqg2b4914</t>
  </si>
  <si>
    <t>Phạm Tuấn Đăng Khoa</t>
  </si>
  <si>
    <t>ititiu22087@student.hcmiu.edu.vn</t>
  </si>
  <si>
    <t>+84768191431</t>
  </si>
  <si>
    <t>My goal is to join a professional development process where I can contribute my skills. I believe that facing real technical challenges is the fastest way for me to grow into leadership roles in the future.</t>
  </si>
  <si>
    <t>I am a good fit because I have a backend foundation and experience with real-world projects. I understand development workflows and know how to combine AI tools to optimize work. I am a fast learner, ready to grow and contribute.</t>
  </si>
  <si>
    <t>I was the Leader for a 2D Top-down game project in my OOP course. I created the game ideas, character concepts, and maps. I used Java to code the game logic with OOP concepts like classes and objects. The project was a success, and it helped me understand how to build a game system from scratch.</t>
  </si>
  <si>
    <t>https://github.com/Khoataphat</t>
  </si>
  <si>
    <t>I am very excited to apply for this position at SUN.STUDIO. I want to learn from a professional team and grow my skills. I am ready to work hard and contribute to the company’s development.</t>
  </si>
  <si>
    <t>2az8dz2y5w1owl8yd2az8d3mu1zqekxt</t>
  </si>
  <si>
    <t>Nguyễn Trung Tín</t>
  </si>
  <si>
    <t>tin.nguyen210205@hcmut.edu.vn</t>
  </si>
  <si>
    <t>+84354304881</t>
  </si>
  <si>
    <t>What motivates me is the opportunity to transition my personal hobby from a simple past-time or academic necessity into an actual profession. This would allow me to not only develop the aptitude for game developing, but also to familiarize with a structured a professional environment, all the while contributing to a company I am much interested in.</t>
  </si>
  <si>
    <t>I believe the roles I have picked involve translating design concepts into real, functional systems while ensuring technical polish. I am confident that I am a great fit as I possess a strong foundation in Unity as well as a background in quality assurance. My achievements also further proves my technical prowess as well as leadership capabilities.</t>
  </si>
  <si>
    <t>I have had numerous game-related experiences before, specifically working with the Unity Engine as well throughout multiple projects and games. In a personal game mod project, I have reverse engineered a rather complex Unity game as well as created and utilized many efficient object management methods; I have also made over 30 different VFX's throughout the process. The project resulted in over 3600 downloads in total and counting, over 10 post-release updates have been released, while many new features are in development.
This has not only provided me with the experience of using Unity, but the creativity and direction to lead a project on my own, which makes me all the more excited to work with others on a common project.</t>
  </si>
  <si>
    <t>github.com/Ultimanemone/MTMT-VFX-Core</t>
  </si>
  <si>
    <t>Ứng tuyển qua Chương trình Thực tập hè của Nhà trường (như HCMUS, HCMUT), Trường đại học, Mạng xã hội, SUN.STUDIO LinkedIn</t>
  </si>
  <si>
    <t>It would be amazing for me to be able to dedicate my skills and expertise to the desired positions, and to have an important learning experience alongside your company in return.
I would welcome the opportunity to speak to you in more details. Thank you for your time and consideration.</t>
  </si>
  <si>
    <t>o5hfhjw0jxrb6ozk2o5hfhjwccca8p2f</t>
  </si>
  <si>
    <t>Trương Vạn Niên</t>
  </si>
  <si>
    <t>vannientruong2505@gmail.com</t>
  </si>
  <si>
    <t>+84946490224</t>
  </si>
  <si>
    <t>Tôi ứng tuyển vị trí Data Analysis Intern vì phù hợp với định hướng phát triển của tôi trong lĩnh vực phân tích dữ liệu. Tôi mong muốn được học hỏi thêm kinh nghiệm thực tế, nâng cao kỹ năng và phát triển tư duy phân tích trong môi trường chuyên nghiệp. Tôi tin rằng đây là cơ hội tốt để tôi vừa học hỏi vừa đóng góp giá trị cho công ty.</t>
  </si>
  <si>
    <t>Vị trí Data Analysis Intern sẽ hỗ trợ thu thập, xử lý và phân tích dữ liệu, tạo báo cáo và trực quan hóa dữ liệu để giúp đội ngũ đưa ra quyết định chính xác hơn. Tôi phù hợp với vị trí này vì có kiến thức cơ bản về Excel, SQL và tư duy logic tốt. Tôi cẩn thận, thích làm việc với số liệu và có khả năng học hỏi nhanh.</t>
  </si>
  <si>
    <t>Toán Tài Chính</t>
  </si>
  <si>
    <t>b4186nadtrkp552ffb4186nx8rh7akiu</t>
  </si>
  <si>
    <t>Đỗ Tuấn Trực</t>
  </si>
  <si>
    <t>trucdt.gl@gmail.com</t>
  </si>
  <si>
    <t>+84935866252</t>
  </si>
  <si>
    <t>Tìm kiếm cơ hội việc làm</t>
  </si>
  <si>
    <t>Tôi nghĩ với vị trí AI engineer sẽ không chỉ huấn luyện các mô hình AI mà đặt trọng tâm vào việc xây dựng và vận hành các hệ thống AI hoàn chỉnh. Tôi tin rằng mình phù hợp với vị trí này là vì đã có cơ hội được học tập và xây dựng các kỹ năng liên quan đến dữ liệu và xây dựng các hệ thống mô hình AI hiện đại.</t>
  </si>
  <si>
    <t>Tôi mong rằng chúng ta sẽ có cơ hội làm việc với nhau.</t>
  </si>
  <si>
    <t>qz896k7l0dnzovasqz89bz8wl3u8exw3</t>
  </si>
  <si>
    <t>Nguyễn Hoàng Phúc</t>
  </si>
  <si>
    <t>phucnguyen2716@gmail.com</t>
  </si>
  <si>
    <t>+84938537347</t>
  </si>
  <si>
    <t>Em  lựa chọn vị trí này tại SUN.RISER vì nhận thấy sự phù hợp giữa yêu cầu công việc và định hướng phát triển của bản thân. Vị trí này cho phép em áp dụng kiến thức và kỹ năng đã học vào các dự án thực tế, đồng thời học hỏi thêm nhiều công nghệ và kinh nghiệm mới.</t>
  </si>
  <si>
    <t>Em nghĩ vị trí này sẽ tham gia phát triển sản phẩm, xây dựng tính năng và sửa lỗi, đồng thời học hỏi công nghệ mới và làm việc nhóm.
Em phù hợp vì có nền tảng lập trình tốt, từng làm dự án thực tế và học nhanh. Em cũng có tinh thần trách nhiệm và luôn chủ động trong công việc.</t>
  </si>
  <si>
    <t>UEF – Trường Đại học Kinh tế – Tài chính TP.HCM</t>
  </si>
  <si>
    <t>Trong các dự án đã thực hiện, em đảm nhận vai trò lập trình chính, tập trung vào xây dựng gameplay, hệ thống điều khiển nhân vật và logic game. Em sử dụng Unity và C# để phát triển các tính năng như di chuyển, chiến đấu và AI cơ bản.
Kết quả là em đã hoàn thành một prototype game 3D có thể chơi được, thể hiện được cơ chế gameplay rõ ràng và ổn định. Dự án giúp em hiểu rõ hơn về quy trình phát triển game và nâng cao kỹ năng lập trình thực tế.</t>
  </si>
  <si>
    <t>https://drive.google.com/drive/folders/1m50e3m8Ui29Y63GmU0elPWuKE8w57OFH?usp=sharing</t>
  </si>
  <si>
    <t>Hiện tại em bị dính môn thực tập ( qua tuần sau chốt danh sách rồi nên tối thiểu  em có thể tham gia tầm 1-2 ngày còn lại thì em có thể sắp xếp meeting online cũng được</t>
  </si>
  <si>
    <t>Em mong muốn có cơ hội được học hỏi thêm về cách game vận hành, đặc biệt là cơ chế AI như quái vật hồi sinh và tấn công người chơi. Hiện tại em đang bị vướng môn thực tập, tuy nhiên em có thể sắp xếp thời gian để tham gia trong 6 tháng. Trong trường hợp chưa đạt tiêu chuẩn của SUN Studio, em vẫn sẵn sàng học hỏi và cải thiện để đáp ứng yêu cầu.</t>
  </si>
  <si>
    <t>qspdmz3jdb1y6kimfqspqoh6ah0zd02q</t>
  </si>
  <si>
    <t>Đinh Bảo Thy</t>
  </si>
  <si>
    <t>dbthy.cathy@gmail.com</t>
  </si>
  <si>
    <t>+84763238572</t>
  </si>
  <si>
    <t>As a third-year student studying Data Science, I am eager to apply the knowledge and skills I have gained throughout my studies to real-world projects. Being a Data Analyst Intern at SUN.RISER is the best opportunity to do so. Also, SUN.RISER is a well-known company in game development, and I am excited to work in an industry I am passionate about.</t>
  </si>
  <si>
    <t>I believe a DA Intern is responsible for working with user data, organizing it and applying analytics tools to generate valuable insights that can support business decision-making. With my academic background and hands-on projects, I have developed the necessary skills for this role. If given a chance, I would put in my best effort to contribute.</t>
  </si>
  <si>
    <t>1. Airline Pricing Analysis and Recommendation System: Built a system to predict flight prices from records crawled from Traveloka. Cleaned data, trained models, and created a tool to suggest when to buy tickets (R2 &gt; 0.7).
2. Aspect-Based Sentiment Analysis in Restaurant Reviews: Built a model to find aspects and sentiments from reviews. Collected data, labeled it, and improved model accuracy (&gt;80% for recall and precision).
3. Coreference Resolution in Vietnamese Narrative Text: Built a system to link related entities in Vietnamese text. Tested different models and improved performance with lower cost.
4. Superstore Sales Performance Analysis: Built a data warehouse and dashboard for sales data. Cleaned and transformed data, created dashboards to track business performance.</t>
  </si>
  <si>
    <t>Projects can be found at: https://github.com/dbthyy. Easier access through separate links in CV.</t>
  </si>
  <si>
    <t>o0v1z4g3evqmq5lxro0v1zqkva7wxdbt</t>
  </si>
  <si>
    <t>Dương Thị Bảo Trân</t>
  </si>
  <si>
    <t>baotrand636@gmail.com</t>
  </si>
  <si>
    <t>+84399396164</t>
  </si>
  <si>
    <t>Tôi mong muốn nâng cao kỹ năng phát triển game với Unity một cách bài bản. Qua các dự án, tôi nhận ra mình cần hiểu rõ hơn về toàn bộ quy trình phát triển game, không chỉ dừng ở việc hoàn thành tính năng. Tôi kỳ vọng được học hỏi trong môi trường thực tế tại SUN.RISER để nâng cao chất lượng code và xây dựng nền tảng cho sự nghiệp game developer.</t>
  </si>
  <si>
    <t>Tôi nghĩ vị trí này bao gồm việc phát triển các tính năng game bằng Unity, lập trình gameplay với C#, đồng thời kiểm tra và phát hiện lỗi để cải thiện chất lượng sản phẩm. Tôi phù hợp vì có nền tảng lập trình, đã thực hiện các dự án Unity cơ bản tại trường, và luôn chủ động học hỏi, cải thiện kỹ năng của mình.</t>
  </si>
  <si>
    <t>7.55</t>
  </si>
  <si>
    <t>Soul in Forge (Game 2D mô phỏng thợ rèn - Đã hoàn thành): Tôi đảm nhận vai trò lập trình viên, chịu trách nhiệm phát triển hệ thống chế tạo bao gồm ba trạm chính: lò nung, đe rèn, và bàn chế tạo. Tôi thiết kế và vẽ các vật phẩm trong game như kiếm, cung và các công cụ khác. Dự án hoàn thành đúng hạn và game hoạt động mượt mà.
Geological Analysis Serious Game (Game 3D giáo dục - Đang phát triển): Chúng tôi đang phát triển game mô phỏng quy trình phân tích mẫu địa chất trong phòng thí nghiệm. Dự án được giảng viên đánh giá tốt về mặt ý tưởng và đang trong quá trình phát triển và tập trung vào việc tạo trải nghiệm học tập tương tác thông qua gameplay.</t>
  </si>
  <si>
    <t>https://drive.google.com/drive/u/0/folders/11mT4--_bI_iW3vqqDm44LXM3eQYAiPbB</t>
  </si>
  <si>
    <t>Có thể làm full-time từ tháng 6 đến giữa tháng 8. Sau đó do lịch học (thứ 2–thứ 6), thời gian sẽ cần trao đổi linh hoạt.</t>
  </si>
  <si>
    <t>Mong muốn tiếp tục làm việc, nhưng ưu tiên full-time sau khi tốt nghiệp. Trước đó có thể trao đổi các hình thức phù hợp.</t>
  </si>
  <si>
    <t>Tôi rất mong muốn có được cơ hội học hỏi tại SUN.STUDIO. Với tinh thần nhiệt huyết và sẵn sàng học hỏi, tôi tin rằng mình sẽ đóng góp tích cực cho team và phát triển bản thân trong thời gian thực tập. Cảm ơn SUN.STUDIO đã xem xét hồ sơ của tôi!</t>
  </si>
  <si>
    <t>cjg8zhoh2otywcjg8u8njsrcbsko24qv</t>
  </si>
  <si>
    <t>trantiendat8124@gmail.com</t>
  </si>
  <si>
    <t>+84385328124</t>
  </si>
  <si>
    <t>Em muốn thử sức và phát triển bản thân dù là thực tập thì em sẽ vẫn luôn trong tâm thế đi làm dốc hết sức hoàn thành công việc dù là những công việc khó hay dễ dù không biết thì em vẫn sẽ tìm hiểu và hoàn thành xuất sắc. Em mong Cty có thể cho em 1 cơ hội để em thể hiện hết mình.em xin cảm ơn và chúc anh/chị 1 ngày tốt lành</t>
  </si>
  <si>
    <t>Em nghĩ vị trí này sẽ làm:lập trình gameplay, làm logic game,làm việc với artist &amp; designer, fix bug &amp; tối ưu, Build &amp; release game.
Em phù hợp với vị trí Game Developer vì em có nền tảng về Unity và lập trình C#, đồng thời đã thực hành qua một số project game nhỏ nên hiểu cách xây dựng gameplay, xử lý logic và UI cơ bản.</t>
  </si>
  <si>
    <t>Em đã có kinh nghiệm thông qua các dự án cá nhân trong quá trình học Unity. Cụ thể, em đã phát triển một số game nhỏ như game puzzle và game kinh dị đơn giản.
Trong các dự án này, em đảm nhận vai trò lập trình chính, chịu trách nhiệm xây dựng gameplay (di chuyển nhân vật, xử lý va chạm, logic thắng/thua), thiết kế UI cơ bản và tối ưu hoạt động của game. Ngoài ra, em cũng đã tìm hiểu và thử nghiệm tích hợp multiplayer bằng Photon cho một số tính năng đơn giản.
Kết quả là các project đều chạy ổn định, hoàn thành đúng mục tiêu đề ra và giúp em hiểu rõ hơn về quy trình phát triển game thực tế cũng như cải thiện kỹ năng lập trình và xử lý vấn đề.</t>
  </si>
  <si>
    <t>https://github.com/kunai2312/BraindotClone-Demo-</t>
  </si>
  <si>
    <t>Em rất mong có cơ hội được học hỏi và phát triển tại SUN.STUDIO. Em sẵn sàng lắng nghe, tiếp thu góp ý và nỗ lực hoàn thành tốt các nhiệm vụ được giao.
Nếu được trao cơ hội, em hy vọng có thể đóng góp vào các sản phẩm của công ty, đồng thời không ngừng cải thiện kỹ năng để trở thành một Game Developer tốt hơn trong tương lai.</t>
  </si>
  <si>
    <t>tig3u1uexz0aikszitig3bdms10epvwf</t>
  </si>
  <si>
    <t>Huy Nguyễn Quốc</t>
  </si>
  <si>
    <t>nguyenquochuy291204@gmail.com</t>
  </si>
  <si>
    <t>+84852299711</t>
  </si>
  <si>
    <t>Kinh nghiệm + môi trường làm việc tích cực và gắn bó lâu dài</t>
  </si>
  <si>
    <t>Vị trí này chủ yếu liên quan đến việc thu thập, xử lý và phân tích dữ liệu để đưa ra insight hỗ trợ quyết định kinh doanh. Em có thể  phù hợp vì có nền tảng về data analysis (và đã có kinh nghiệm làm việc với dữ liệu thực tế trong các project.</t>
  </si>
  <si>
    <t>https://github.com/Plitzee</t>
  </si>
  <si>
    <t>z7900ikk3jocvl5xz790klx0vir0zjcj</t>
  </si>
  <si>
    <t>Nguyễn Thanh Phong</t>
  </si>
  <si>
    <t>phonggnguyen9@gmail.com</t>
  </si>
  <si>
    <t>+84902941212</t>
  </si>
  <si>
    <t>I’m motivated to apply for this position at SUN.RISER because I’m looking for an environment where I can grow both technically and professionally through real-world projects.</t>
  </si>
  <si>
    <t>I believe I’m a good fit because I already have hands-on experience with AI projects. For example, I worked on a deep learning project for video frame interpolation using PyTorch, and I also implemented algorithm-based AI like Minimax with Alpha-Beta pruning.</t>
  </si>
  <si>
    <t>https://github.com/PhongThanhNguyen099</t>
  </si>
  <si>
    <t>Maybe yes because it depend on the schedule in my university</t>
  </si>
  <si>
    <t>I would like to say that I’m highly motivated to learn and contribute.
I’m eager to work on real-world AI problems, improve my skills, and grow with the team.
If given the opportunity, I will do my best to learn quickly and add value to SUN.STUDIO.</t>
  </si>
  <si>
    <t>scmokz9b74kjzscmky3125yvcz5vmbqj</t>
  </si>
  <si>
    <t>Vũ Đỗ Bình An</t>
  </si>
  <si>
    <t>vudobinhan1207@gmail.com</t>
  </si>
  <si>
    <t>+84397938536</t>
  </si>
  <si>
    <t>Mình quan tâm đến SUN.RISER vì muốn được học hỏi và trải nghiệm trong môi trường đề cao sáng tạo và trải nghiệm người dùng. Với định hướng phát triển trong lĩnh vực tuyển dụng, mình rất mong được hiểu cách một công ty như SUN thu hút và phát triển nhân sự. Mình tin đây là cơ hội phù hợp để mình vừa học hỏi, vừa phát triển bản thân.</t>
  </si>
  <si>
    <t>Mình nghĩ vị trí HR sẽ bao gồm các công việc như hỗ trợ tuyển dụng, kết nối ứng viên và tham gia xây dựng môi trường làm việc tích cực.
Mình đã từng tham gia vào quá trình tuyển thành viên, phối hợp tổ chức hoạt động và làm việc với nhiều người. Mình có khả năng giao tiếp tốt, cẩn thận và luôn chủ động học hỏi để hoàn thành công việc hiệu quả.</t>
  </si>
  <si>
    <t>Quản trị khởi nghiệp</t>
  </si>
  <si>
    <t>Dự án giả lập game "TẾT - TÔI - TA"
Vai trò: Lên ý tưởng và phát triển một mô hình mô phỏng gamification để thể hiện mức độ tương tác của người dùng trong chiến dịch marketing. Thiết kế hành trình người dùng và cơ chế trò chơi nhằm phản ánh cách khách hàng tương tác với các điểm chạm marketing.
Kết quả: Nhận được đánh giá cao về tính sáng tạo và khả năng áp dụng gamification vào marketing trong bối cảnh thực tế. Ngoài ra dự án này còn giúp mình phát triển tư duy hệ thống và kỹ năng chuyển hóa ý tưởng thành chiến dịch cụ thể.</t>
  </si>
  <si>
    <t>https://dangduongtamnhu.my.canva.site/vudobinhanportfolio</t>
  </si>
  <si>
    <t>Cảm ơn SUN.STUDIO vì cơ hội tuyệt vời này. Mình hy vọng sẽ có cơ hội được học hỏi và phát triển cùng team trong thời gian tới.</t>
  </si>
  <si>
    <t>tqqp2i1vfkhja3e9utqqp2iz7zs5grhu</t>
  </si>
  <si>
    <t>Phan Tấn Lộc</t>
  </si>
  <si>
    <t>locphantan26@gmail.com</t>
  </si>
  <si>
    <t>+84981228657</t>
  </si>
  <si>
    <t>Là 1 sinh viên có tính cách hơi hướng nội, em rất yêu thích game, từ việc trải nghiệm đến quá trình tạo ra 1 game hoàn chỉnh. Việc ứng tuyển vào vị trí AI Engineer Intern tại SUN.RISER là cơ hội để em hiện thực hóa định hướng của mình, được tiếp cận thực tế với các công nghệ AI, đồng đồng thời học hỏi quy trình phát triển sản phẩm chuyên nghiệp</t>
  </si>
  <si>
    <t>Vị trí AI Engineer Intern giúp tối ưu hóa làm game từ khâu tạo prototype nhanh, tự động phát hiện lỗi đến phân tích dữ liệu người dùng để cải thiện nội dung.Em tự tin mình phù hợp vì có nền tảng về Machine Learning/LLM, khả năng lập trình và tư duy ứng dụng AI vào thực tế để nâng cao trải nghiệm người chơi.</t>
  </si>
  <si>
    <t>7.75</t>
  </si>
  <si>
    <t>Em đang tham gia nhóm nghiên cứu khoa học DAIS ở trường Đại Học Bách Khoa TP.HCM.Nhóm nghiên cứu về cấu trúc RAG và ASR(audio,near realtime,livemeeting),em thuộc nhóm bên ASR.Hiện tại phần xử lí audio đã khá hoàn chỉnh nhưng phần near realtime và livemeeting cho tiếng việt trong giai đoạn cải thiện thêm.</t>
  </si>
  <si>
    <t>https://locphanportfolio.framer.website/ (một số dự án không công khai mã nguồn vì lí do đang nghiên cứu)</t>
  </si>
  <si>
    <t>Em mong muốn được học hỏi và phát triển trong môi trường chuyên nghiệp như SUN.STUDIO, đồng thời áp dụng kiến thức AI vào thực tế. Em sẵn sàng cố gắng hết sức để đóng góp vào các dự án của công ty.</t>
  </si>
  <si>
    <t>0mbjz6f4sv632dkcij00mbjz6biyi6of</t>
  </si>
  <si>
    <t>Lê Tấn</t>
  </si>
  <si>
    <t>letan261201@gmail.com</t>
  </si>
  <si>
    <t>+84938730581</t>
  </si>
  <si>
    <t>muốn học hỏi thêm về dev game và làm điều mình thích</t>
  </si>
  <si>
    <t>Unity Dev sẽ là nơi để thỏa sức sáng tạo các tựa game phù hợp với thị trường, và tôi có khả năng học hỏi nhanh và chịu học, chịu được áp lực tốt và đã làm quen trước về dev game thông qua các dự án mini từ RPG Maker</t>
  </si>
  <si>
    <t>6.23</t>
  </si>
  <si>
    <t>tôi chưa có kinh nghiệm nhiều</t>
  </si>
  <si>
    <t>tôi chưa có</t>
  </si>
  <si>
    <t>Trường đại học, TopCV, SUN.STUDIO LinkedIn, Mạng xã hội</t>
  </si>
  <si>
    <t>Rất mong được tham gia cùng SUN.STUDIO, cảm ơn vì đã cho cơ hội</t>
  </si>
  <si>
    <t>4xxxdsdystmh4blw154xxxdazrtiyr6e</t>
  </si>
  <si>
    <t>Lê Tuấn Khôi</t>
  </si>
  <si>
    <t>letuankhoi96@gmail.com</t>
  </si>
  <si>
    <t>+84945645996</t>
  </si>
  <si>
    <t>I choose the Data Analysis Intern position at SUN.RISER because it matches my background in Python, SQL, Power BI, data cleaning, and reporting, while also giving me a chance to apply data analysis in the game industry. I want to learn how data supports user behavior analysis, product improvement, and business decisions in real game projects.</t>
  </si>
  <si>
    <t>I think this role involves cleaning, analyzing, and reporting game data to support product decisions.
I am a good fit because I have experience with Python, SQL, Power BI, and EDA. I am detail-oriented, willing to learn, and interested in using data to improve game products.</t>
  </si>
  <si>
    <t>An toàn thông tin - Information assurance</t>
  </si>
  <si>
    <t>https://github.com/Koikoffee</t>
  </si>
  <si>
    <t>I would like to thank SUN.STUDIO for this opportunity. I am eager to learn, improve my skills, and contribute to real game projects. I hope to have a chance to grow with the team and become a valuable member of SUN.RISER.</t>
  </si>
  <si>
    <t>ri4i6xy3vy5dr6j1wv7pri4i6svu2p59</t>
  </si>
  <si>
    <t>Lâm The Rin</t>
  </si>
  <si>
    <t>lamtherin25072004@gmail.com</t>
  </si>
  <si>
    <t>+84566853255</t>
  </si>
  <si>
    <t>i choose this position because it's matches my interest in Software Testing and my goal to grow in QA. i am excited about SUN.RISER’s mentoring environment, the opportunity to learn real QA processes in game products, and contribute with my knowledge in testing, bug reporting, and quality assurance while developing my skills further</t>
  </si>
  <si>
    <t>Em nghĩ vị trí này sẽ tập trung vào kiểm thử, tìm và báo lỗi, hỗ trợ đảm bảo chất lượng game trước khi phát hành. Em phù hợp vì có nền tảng về manual testing, viết test case, bug reporting, cùng tư duy logic, cẩn thận và tinh thần học hỏi tốt</t>
  </si>
  <si>
    <t>Trường Đại học Ngoại ngữ- Tin học TpHCM</t>
  </si>
  <si>
    <t>7.15</t>
  </si>
  <si>
    <t>Dù em chưa có kinh nghiệm trực tiếp về Game QA, em đã có kinh nghiệm liên quan thông qua dự án học tập và thực tập về kiểm thử phần mềm, gồm viết test case, bug reporting và regression testing</t>
  </si>
  <si>
    <t>Các dự án và kinh nghiệm liên quan đã được đính kèm trong CV. Em sẵn sàng cung cấp thêm portfolio hoặc tài liệu dự án khi được yêu cầu</t>
  </si>
  <si>
    <t>Em mong có cơ hội được học hỏi, đóng góp và phát triển tại SUN.STUDIO. Em rất hứng thú với môi trường làm game năng động và tin đây sẽ là nơi tốt để em rèn luyện tư duy QA, nâng cao kỹ năng và tạo ra giá trị cho sản phẩm</t>
  </si>
  <si>
    <t>tasltguk6gplv2d5metasltgoq15zx7h</t>
  </si>
  <si>
    <t>Tran Truong Lan Anh</t>
  </si>
  <si>
    <t>anhtran240903@gmail.com</t>
  </si>
  <si>
    <t>+84362572875</t>
  </si>
  <si>
    <t>I’m passionate about QA and want to gain real experience in game testing while growing my skills at SUN.RISER.</t>
  </si>
  <si>
    <t>I believe this role involves testing games, finding bugs, reporting issues, and ensuring a smooth user experience. I’m a good fit because I’m detail-oriented, enjoy playing and analyzing games, and I’m willing to learn and improve my QA skills.</t>
  </si>
  <si>
    <t>Software Technology</t>
  </si>
  <si>
    <t>7,7</t>
  </si>
  <si>
    <t>Yes, I worked on a Caro game project. I focused on testing gameplay, identifying bugs, and ensuring a smooth user experience. The project was completed with stable functionality and minimal issues.</t>
  </si>
  <si>
    <t>https://github.com/trantruonglananh931</t>
  </si>
  <si>
    <t>j8u73vo7sdoe5vz4rkj8u734cf2okonb</t>
  </si>
  <si>
    <t>Nguyễn Hoàng Tùng Linh</t>
  </si>
  <si>
    <t>linhnht23413b@st.uel.edu.vn</t>
  </si>
  <si>
    <t>+84961361214</t>
  </si>
  <si>
    <t>I am passionate about Data Analysis and have a strong foundation in logical thinking and data . I want to apply my technical skills to real-world projects at SUN.RISER. Although I am new to the gaming industry, I am eager to learn and improve my expertise. I aim to contribute real value to organizations through hands-on internship opportunities.</t>
  </si>
  <si>
    <t>I believe this role involves using tools like Python, SQL, and Excel to analyze player behavior and create visualizations. I am a good fit because of my strong academic background in data . Through my previous internship and some competitions, I have gained experience in transforming complex data into meaningful insights.</t>
  </si>
  <si>
    <t>Applied Mathematics in Economics, Management and Finance</t>
  </si>
  <si>
    <t>As a Data Analyst Intern at AA Global Group, I collected and cleaned datasets using Excel and Python. Under the supervision of my team lead, I practiced data querying and visualization to support reporting needs. This experience allowed me to deliver clear insights while effectively managing my time between work and academics.</t>
  </si>
  <si>
    <t>Regarding my internship at AA Global Group, I am unable to provide a project link due to data confidentiality policies. My primary responsibilities involved collecting and cleaning internal datasets, and the results were used strictly for internal team reporting. However, I can discuss the tools and data processing techniques I applied during this period.</t>
  </si>
  <si>
    <t>I am excited about the professional environment at SUN.STUDIO. Although I do not have professional experience in the gaming industry, I am eager to learn. I am ready to study and improve my knowledge to contribute effectively to SUN.STUDIO. I am committed to working hard and delivering meaningful insights to support the studio's projects.</t>
  </si>
  <si>
    <t>i3nnggsepe094qoo67li3nnggz7d2ypr</t>
  </si>
  <si>
    <t>Huỳnh Thái Bảo</t>
  </si>
  <si>
    <t>23520105@gm.uit.edu.vn</t>
  </si>
  <si>
    <t>+84983631443</t>
  </si>
  <si>
    <t>AI Engineering: Với dự án ICAT, tôi có thể xây dựng AI Agent tự động hóa quy trình, tăng tốc sản xuất và gỡ lỗi hệ thống. Tư duy XAI giúp đảm bảo tính minh bạch cho các tính năng AI.
Data Analysis: Kinh nghiệm từ dự án FRED giúp tôi trích xuất insight từ dữ liệu người chơi đa phương thức và dùng thuật toán tối ưu hóa hỗ trợ ra quyết định sản phẩm.</t>
  </si>
  <si>
    <t>Vị trí này yêu cầu tối ưu hóa sản xuất và phân tích hành vi người chơi để tăng trưởng sản phẩm. Em phù hợp nhờ kinh nghiệm xây dựng Agent tự trị qua dự án ICAT, kỹ năng trích xuất insight từ dữ liệu lớn qua dự án FRED, và tư duy minh bạch từ giải Quán quân xAI Hackathon 2025. Là sinh viên AI tại UIT, em khao khát được đóng góp kỹ thuật cho SUN.RISE</t>
  </si>
  <si>
    <t>Chưa từng ạ</t>
  </si>
  <si>
    <t>tbaro19.github.io</t>
  </si>
  <si>
    <t>vdcp1dioy2lgw4kx1vdcp1lyxrgqgh5q</t>
  </si>
  <si>
    <t>nguyenthanhdanh2001230095@gmail.com</t>
  </si>
  <si>
    <t>+84979712043</t>
  </si>
  <si>
    <t>Tôi chọn SUN.RISER vì mong muốn chuyển hóa dữ liệu thành các chiến lược kinh doanh thực tế. Với kinh nghiệm quản lý KPI qua CRM ở VUS và xây dựng dashboard phân tích lợi nhuận, rủi ro qua các dự án cá nhân tôi tự tin có thể cung cấp những insight giá trị để tối ưu hóa hiệu quả vận hành và thúc đẩy sự tăng trưởng cho doanh nghiệp.</t>
  </si>
  <si>
    <t>Vị trí này tập trung vào xử lý dữ liệu và xây dựng dashboard để cung cấp insight kinh doanh. Tôi là ứng viên phù hợp nhờ nền tảng SQL, Power BI, Python cùng kinh nghiệm thực tế phân tích hơn 20.000 bản ghi tài chính. Sự am hiểu hệ thống CRM tại VUS và khả năng ứng dụng AI giúp tôi tối ưu hóa KPI cũng như hoàn thành báo cáo nhanh chóng, hiệu quả.</t>
  </si>
  <si>
    <t>HUIT - Trường Đại học Công Thương TP.HCM</t>
  </si>
  <si>
    <t>8.61</t>
  </si>
  <si>
    <t>Link dự án liên quan tới Data Analysis:  [1]: https://drive.google.com/drive/folders/1oXj9u8_gBfV8rUF-_NdDk1JQUT1OcHU3 [2]: https://drive.google.com/drive/folders/1KGdbQAfQ4tNrsNRzeG-ptoxpMq7CLv1m Các link dự án khác:  https://drive.google.com/drive/folders/1jz6R3YupgCphVh7_iOK4tOehc8KifvG_</t>
  </si>
  <si>
    <t>Tôi chân thành cảm ơn quý công ty đã dành thời gian xem xét hồ sơ của mình. Tôi rất ấn tượng với môi trường chuyên nghiệp của SUN.STUDIO và đã chuẩn bị sẵn sàng để bắt đầu hành trình thực tập. Tôi rất mong đợi có cơ hội được phỏng vấn để chia sẻ chi tiết hơn về cách tôi có thể hỗ trợ đội ngũ trong việc tối ưu hóa dữ liệu và báo cáo. Xin cảm ơn và hy vọng sớm nhận được phản hồi từ quý công ty.</t>
  </si>
  <si>
    <t>pcbok5hhwy42apcbokovszvvcqdduk4n</t>
  </si>
  <si>
    <t>Thái Thị Mỹ Quyên</t>
  </si>
  <si>
    <t>quyenthai.060603@gmail.com</t>
  </si>
  <si>
    <t>+84386036132</t>
  </si>
  <si>
    <t>Em mong muốn được làm việc với data trong môi trường thực tế để nâng cao kỹ năng phân tích và hiểu rõ cách dữ liệu hỗ trợ ra quyết định. Em cũng rất ấn tượng với định hướng sản phẩm và văn hoá năng động tại SUN STUDIO. Vì vậy, em mong muốn được trở thành một phần của SUN STUDIO để vừa học hỏi, phát triển, vừa có thể đóng góp giá trị cho công ty</t>
  </si>
  <si>
    <t>Em nghĩ vị trí này sẽ tập trung vào việc xử lý, làm sạch, chuẩn hóa, trực quan hóa dữ liệu, cũng như phân tích để đưa ra insight.
Em phù hợp với vị trí vì em có định hướng theo Data Analyst và đã chuẩn bị kiến thức nền tảng: SQL, Tableau, Power BI, Python. Ngoài ra, em có khả năng tự học tốt, cẩn thận khi làm việc với dữ liệu</t>
  </si>
  <si>
    <t>UTH - Trường Đại học Giao thông vận tải TPHCM</t>
  </si>
  <si>
    <t>Mạng máy tính và truyền thông dữ liệu</t>
  </si>
  <si>
    <t>Trong dự án, em đảm nhận việc làm sạch và chuẩn hoá dữ liệu, xây dựng dashboard phân tích doanh thu bằng Power BI và sử dụng DAX để tính toán các chỉ số. Em cũng phân tích hành vi khách hàng theo độ tuổi và mức độ trung thành.
Từ đó, em đưa ra một số insight như: xác định nhóm khách hàng tiềm năng theo độ tuổi để tối ưu nhập hàng, đồng thời đề xuất tập trung duy trì nhóm khách hàng trung thành nhằm ổn định doanh thu.</t>
  </si>
  <si>
    <t>https://github.com/quyen6/powerbi-sales-dashboard</t>
  </si>
  <si>
    <t>f2ql2c970nlee311itx0t7v7f2ql2c85</t>
  </si>
  <si>
    <t>Võ Phạm Gia Long</t>
  </si>
  <si>
    <t>gialong13092005@gmail.com</t>
  </si>
  <si>
    <t>+84919399209</t>
  </si>
  <si>
    <t>Sau khi tìm hiểu về văn hoá làm việc, sứ mệnh và con số 1 tỷ lượt chơi của SUN.STUDIO, em cảm thấy ấn tượng và mong muốn mang năng lực nhân sự và phân tích hành vi được kiểm chứng thông qua hai bài nghiên cứu khoa học và 2 năm gia sư vào mảng thu hút nhân tài và duy trì văn hoá doanh nghiệp tại vị trí HR Intern ạ.</t>
  </si>
  <si>
    <t>Dựa trên những thông tin JD của vị trí này, em thấy vị trí này không đơn thuần làm những việc hành chính mà giống như một đối tác chiến lược của công ty. Là một sinh viên Quản trị kinh doanh cùng với tư duy hệ thống, 2 năm kinh nghiệm gia sư và kinh nghiệm làm sale em tự tin mình là một mảnh ghép SUN.RISER. Ngoài ra em sẵn sàng làm việc fulltime.</t>
  </si>
  <si>
    <t>Quản trị Kinh doanh</t>
  </si>
  <si>
    <t>8,07</t>
  </si>
  <si>
    <t>Em từng tham gia Gameverse 2025 và đã đăng ký Gameverse 2026. Ngoài ra tại đại học em cũng là người khởi xướng, kết nối mọi người vào những giờ nghỉ trưa dài bằng việc tạo nhóm chơi game. Em cũng là một người chơi game lâu năm và có hiểu biết cơ bản về ngành Game, Esport nói chung và Game casual nói riêng.</t>
  </si>
  <si>
    <t>Dạ em không có ạ</t>
  </si>
  <si>
    <t>Mạng xã hội, Được bạn trong ngành IT giới thiệu</t>
  </si>
  <si>
    <t>1. Em hy vọng thông qua quá trình thể hiện của bản thân cùng quá trình tuyển mộ và tuyển chọn của công ty, công ty sẽ có được những nhân tài phù hợp mà công ty đang tìm kiếm, hy vọng trong đó có em.
2. Cùng với hồ sơ này, em xin gửi gắm sự nghiêm túc dành cho chương trình cùng hy vọng được trở thành một mảnh ghép SUN.RISER để toả sáng cùng SUN.STUDIO. Thật may mắn khi lịch trình cá nhân của em sẽ hoàn thành kịp lúc và sẵn sàng đồng hành toàn thời gian cùng công ty vào 01/06/2026 ạ.
3. Chúc công ty nói chung và phòng Nhân sự của công ty nói riêng luôn đạt được những mục tiêu đề ra và sẽ thực hiện tốt những sứ mệnh của mình. Chúc thành công sẽ đến với chiến dịch tuyển dụng của phòng nhân sự.</t>
  </si>
  <si>
    <t>qfz0k01g1xobww1ifck44qfz0kcktnht</t>
  </si>
  <si>
    <t>HỒ NGỌC NHUNG</t>
  </si>
  <si>
    <t>ngocnhung151104@gmail.com</t>
  </si>
  <si>
    <t>+84834904537</t>
  </si>
  <si>
    <t>Tôi lựa chọn vị trí HR Intern vì tôi cảm thấy đây không chỉ là một vị trí thực tập thông thường mà là cơ hội để được học hỏi và tham gia thực tế vào nhiều mảng quan trọng của Nhân sự như tuyển dụng, onboarding, employer branding và phát triển con người. Đây đều là những lĩnh vực tôi đang rất quan tâm và muốn theo đuổi lâu dài trong nghề HR.</t>
  </si>
  <si>
    <t>Tôi nghĩ vị trí này sẽ hỗ trợ các công việc tuyển dụng, onboarding, đào tạo nội bộ và các hoạt động gắn kết nhân viên. Đây là 1 trong những công việc quan trọng giúp team Nhân sự vận hành hiệu quả và mang lại trải nghiệm tốt cho ứng viên cũng như nhân viên đồng thời sẽ ảnh hưởng trực tiếp đến hiệu quả của công ty.</t>
  </si>
  <si>
    <t>Tôi đã có thời gian thực tập tại Kim Tín, tôi hỗ trợ đăng tin tuyển dụng trên các nền tảng như Facebook, Threads và trao đổi với ứng viên về mô tả công việc, giải đáp thắc mắc.
Ngoài ra, tôi hỗ trợ nhập liệu và cập nhật thông tin nhân viên trên Excel, soạn thảo hợp đồng lao động cùng các biểu mẫu nhân sự khác. Tôi cũng phối hợp với các bộ phận liên quan để đảm bảo tiến độ công việc.
Tôi rèn luyện được kỹ năng giao tiếp, xử lý dữ liệu và khả năng thích nghi trong môi trường thực tế.</t>
  </si>
  <si>
    <t>www.linkedin.com/in/hồ ngọc-nhung-134191259</t>
  </si>
  <si>
    <t>Tôi rất mong có cơ hội được trở thành một phần của SUN.STUDIO để học hỏi và phát triển trong môi trường năng động, sáng tạo. Tôi tin rằng SUN.STUDIO không chỉ tạo ra những sản phẩm thú vị mà còn xây dựng một môi trường làm việc tích cực cho nhân viên.
Nếu có cơ hội đồng hành, tôi sẽ cố gắng hết mình với tinh thần chủ động, trách nhiệm và luôn sẵn sàng học hỏi để đóng góp giá trị cho team Nhân sự cũng như công ty.</t>
  </si>
  <si>
    <t>s0o6604ezwxlqas0o66s16wvkadad6ii</t>
  </si>
  <si>
    <t>22520818@gm.uit.edu.vn</t>
  </si>
  <si>
    <t>+84388493610</t>
  </si>
  <si>
    <t>I am motivated to join SUN.RISER because it offers the opportunity to work with real game data and turn it into actionable insights that directly impact product decisions. The end-to-end exposure—from data querying and transformation to dashboarding—strongly aligns with my skills and interests in data analytics.</t>
  </si>
  <si>
    <t>I believe this role involves querying, transforming, and visualizing game data to generate insights for decision-making. I’m a good fit because I have strong SQL and Python skills, hands-on experience with data processing, and enjoy turning data into clear, actionable insights.</t>
  </si>
  <si>
    <t>8.53</t>
  </si>
  <si>
    <t>Yes, I have job-related experience through my bachelor thesis, ViMUNCH – a Vietnamese Metaphor Understanding Benchmark for LLMs. In this project, I worked on data collection, manual annotation, and evaluation of multiple large language models across different settings (zero-shot, few-shot, and fine-tuning with LoRA).
My role involved building and validating the dataset, designing evaluation frameworks, and analyzing model performance. The project achieved strong results, showing that fine-tuning significantly improved accuracy, consistency, and interpretation quality, and it was graded 9.4/10.</t>
  </si>
  <si>
    <t>https://drive.google.com/drive/folders/1tcnPgIF_UMP6dT62XyeWqyd4vnIlij-n?usp=sharing</t>
  </si>
  <si>
    <t>I’m genuinely excited about the opportunity to apply data analytics in the gaming industry, especially in a product-driven environment like SUN.STUDIO. I’m eager to learn quickly, contribute with a strong sense of ownership, and turn data into meaningful insights that support better game decisions.</t>
  </si>
  <si>
    <t>jmjs41aghsa8x1a3nsjjmjs4fx7gtqwp</t>
  </si>
  <si>
    <t>Vĩnh Bảo Phúc</t>
  </si>
  <si>
    <t>kevinphuc.work@gmail.com</t>
  </si>
  <si>
    <t>+84707182711</t>
  </si>
  <si>
    <t>I love working at a young and energy enviroment</t>
  </si>
  <si>
    <t>I think that I love to work with data and that is the reason I believe myself to be a good fit for these positions</t>
  </si>
  <si>
    <t>6.58</t>
  </si>
  <si>
    <t>These are my school projects that for apply the data structure and algorithms</t>
  </si>
  <si>
    <t>https://github.com/QuocBinh2708/DSA-Proj</t>
  </si>
  <si>
    <t>2fslj790s0iig0x2fslj76upda6pzy6t</t>
  </si>
  <si>
    <t>Nguyễn Thảo Ly</t>
  </si>
  <si>
    <t>nguyenthaoly.bl2@gmail.com</t>
  </si>
  <si>
    <t>+84366074770</t>
  </si>
  <si>
    <t>Mình chọn vị trí Data Analysis Intern tại SUN.RISER vì đây là cơ hội hiếm có để mình áp dụng kỹ năng phân tích vào một lĩnh vực vừa có tính cạnh tranh cao, vừa cực kỳ giàu dữ liệu như ngành Game. Và vì chương trình này cho phép mình chạm tay vào sản phẩm thật đang vận hành — không phải dataset giả lập</t>
  </si>
  <si>
    <t>Mình hiểu vị trí này sẽ phân tích hành vi người chơi, theo dõi KPI sản phẩm và hỗ trợ các team ra quyết định dựa trên dữ liệu. Mình phù hợp vì đã thực chiến đúng quy trình đó từ xử lý dữ liệu thô, phân tích bằng SQL/Python, đến visualize trên Power BI qua 2 dự án thực tế về HR và E-commerce. Dù chưa có kinh nghiệm ngành Game</t>
  </si>
  <si>
    <t>Information Techonology</t>
  </si>
  <si>
    <t>7.88/10</t>
  </si>
  <si>
    <t>Mình tự thực hiện dự án HR Data Analysis từ đầu đến cuối xây pipeline xử lý 4.410 bản ghi nhân viên bằng Python và BigQuery, phân tích attrition bằng SQL và phát hiện nhóm rủi ro cao nhất là nhân viên 25–34 tuổi có thâm niên dưới 2 năm. Kết quả được trình bày qua dashboard Power BI tương tác, kèm đề xuất cải thiện onboarding và chính sách lương. Ngoài ra mình còn có dự án E-commerce với dashboard 6 trang, phát hiện 627 sản phẩm mới đóng góp 80% doanh thu.</t>
  </si>
  <si>
    <t>https://app.powerbi.com/view?r=eyJrIjoiZmQ1NDMzODYtODFhZi00Zjg2LWE3YjctMDRjM2NlYjJmNjQyIiwidCI6IjVlOGIzMjY5LTc2Y2EtNDU3Yy04NDdmLTQ0NGUzZGI5ODZhNyIsImMiOjl9</t>
  </si>
  <si>
    <t>Mình biết mình chưa có kinh nghiệm ngành Game. Nhưng mình tin rằng môi trường thực chiến sẽ giúp mình phát triển nhanh hơn bất kỳ khóa học nào. Mình không đến để học cho có, mình đến để đóng góp thật sự và mình sẵn sàng chứng minh điều đó.</t>
  </si>
  <si>
    <t>tto0ojf6rx28h563xvgtto0ok79rrefd</t>
  </si>
  <si>
    <t>I'm motivated by SUN.RISER's creative direction. With my background in Unity and experience developing pixel/low-poly projects, I want to bring my technical skills and fresh perspective to help the team build high-quality, engaging games.</t>
  </si>
  <si>
    <t>I believe this role involves balancing creative mechanics with technical stability to ensure the best player experience. I’m a great fit because I’m proficient in Unity and C#, which allows me to understand the game’s logic deeply. My experience building pixel and low-poly projects has trained me to be detail-oriented—helping me spot design flaws o</t>
  </si>
  <si>
    <t>During my internship as a Unity Developer, I worked on a music-themed game. My primary responsibilities included core development and refining the UI/UX.
​Outcomes: I successfully implemented smooth gameplay mechanics and optimized the user interface, resulting in a more responsive and engaging rhythmic experience for players."</t>
  </si>
  <si>
    <t>I am truly impressed by SUN.STUDIO's creative portfolio. With my solid Unity background and hands-on experience in UI/UX and game logic, I am ready to bring my dedication and fresh perspective to the team. I look forward to the possibility of contributing to your upcoming innovative projects.</t>
  </si>
  <si>
    <t>0lsdq47nez4yyl1owwcbeigh0lsdq47n</t>
  </si>
  <si>
    <t>Nguyễn Quốc Duy</t>
  </si>
  <si>
    <t>duynguyenquoc276@gmail.com</t>
  </si>
  <si>
    <t>+84326735507</t>
  </si>
  <si>
    <t>Mình được biết Sun có một môi trường làm việc rất tốt, cùng với những anh chị chuyên môn cao, năng động. Vì thế nên mình muốn vào đây để học hỏi, để phát triển bản thân cũng như nghề nghiệp sau này</t>
  </si>
  <si>
    <t>Theo mình được biết vị trí này sẽ làm về mảng AI, làm các tool tự động hoá cho các quy trình dựa vào AI. Bên cạnh đó là RAG để tạo AI chuyên biệt cho công ty. Mình nghĩ mình sẽ phù hợp vì đã có tiếp xúc qua dự án RAG cũng như tìm hiểu về các projects AI trước đó. Mình sẽ cố gắng học tập để trở nên phù hợp nhất với yêu cầu của công ty.</t>
  </si>
  <si>
    <t>Mình từng tham gia dự án làm RAG cho công ty DIGINET, mình nhận việc tạo các file pdf và xây dựng RAG pipeline cho mô hình gemma3:12b:qat:it, kết quả là mô hình cơ bản nắm được các nội dung tài liệu kiến thức của công ty và trả lời các câu hỏi đã cung cấp tài liệu nhưng việc để lên production cho khách hàng dùng cần thêm thời gian</t>
  </si>
  <si>
    <t>https://github.com/nqduy276/diginet-ai</t>
  </si>
  <si>
    <t>Mạng xã hội, Trường đại học, Giáo viên chủ nhiệm</t>
  </si>
  <si>
    <t>Mình rất mong được trở thành một thành viên trong mái nhà chung SUN.STUDIO</t>
  </si>
  <si>
    <t>8geio03kqz5h7z8vkhn9v58geio03vei</t>
  </si>
  <si>
    <t>Hồ Tài Liên Vy Kha</t>
  </si>
  <si>
    <t>cybersecvykha@gmail.com</t>
  </si>
  <si>
    <t>+84386783066</t>
  </si>
  <si>
    <t>Tôi muốn làm việc và thử sức mình trong công ty, vì tôi cũng có 1 ít kinh nghiệm về QA Tester nên tôi chọn vị trí này.</t>
  </si>
  <si>
    <t>Đối với tôi QA Tester sẽ là bộ phận quan trọng để tìm ra bug, kiểm thử các tính năng để đảm bảo sản phẩm sẽ đạt được chất lượng tốt nhất. Tôi có sự tỉ mỉ và kinh nghiệm với QA nên tôi nghĩ tôi phù hợp với vị trí này</t>
  </si>
  <si>
    <t>7.2/10</t>
  </si>
  <si>
    <t>Tôi đã từng tham gia vai trò Tester cho game Net 24h: Vietnamese Internet Cafe Simulator: tôi test đi test lại các chức năng của game, report bug cho Dev và góp ý phát triển game; và tham gia đóng góp ý kiến cho game Đồng cỏ lau của Việt Nam.</t>
  </si>
  <si>
    <t>https://store.steampowered.com/app/2253980/Net_24h_Vietnamese_Internet_Cafe_Simulator/</t>
  </si>
  <si>
    <t>Cảm ơn quý công ty</t>
  </si>
  <si>
    <t>vcc9xn2bxeedlwvcc90jnbstl1iulgrn</t>
  </si>
  <si>
    <t>Phạm Nguyễn Khánh Minh</t>
  </si>
  <si>
    <t>minhjohn4@gmail.com</t>
  </si>
  <si>
    <t>+84909212394</t>
  </si>
  <si>
    <t>I want to apply AI to real-world products, especially in the game industry. SUN.RISER attracts me because it offers hands-on experience with real projects and a strong environment to grow as an AI engineer.</t>
  </si>
  <si>
    <t>I’m a good fit because I have hands-on experience building real-world AI systems, including LLM-based applications, recommendation systems, and end-to-end ML pipelines. I’ve worked with scalable backends, deployed models, and optimized performance, which aligns well with practical AI development in a production environment.</t>
  </si>
  <si>
    <t>Artificial Intelligience</t>
  </si>
  <si>
    <t>I worked as a Fullstack AI Intern, where I built and deployed a real-time voice AI system with low latency.
I have also developed several end-to-end AI projects, including LLM-based and recommender systems, covering model training, backend development, and scalable deployment.
Additionally, I first authored a research paper on a text-to-geometry system (under review), and won 1st place in a hackathon as a Backend/AI Developer.</t>
  </si>
  <si>
    <t>www.linkedin.com/in/minh-phạm-1b8b28287 | https://github.com/johnpham4?tab=repositories</t>
  </si>
  <si>
    <t>noepaw7et8sfacu31noepaxzcq5o0y5b</t>
  </si>
  <si>
    <t>Bùi Tuấn Cường</t>
  </si>
  <si>
    <t>cuong.bui789tuan@hcmut.edu.vn</t>
  </si>
  <si>
    <t>+84918303751</t>
  </si>
  <si>
    <t>Em chọn vị trí này vì niềm đam mê sâu sắc với việc xây dựng các thế giới trong game thông qua Unity. Sau khi tự phát triển các dự án game, em muốn thử thách bản thân trong một môi trường studio thực tế. Em tin rằng với nền tảng tư duy lập trình hệ thống của mình sẽ giúp em tiếp cận nhanh chóng với quy trình phát triển sản phẩm tại đây.</t>
  </si>
  <si>
    <t>Em hình dung vị trí này bao gồm việc hiện thực hóa các ý tưởng thiết kế thành mã nguồn C# trên Unity, xây dựng logic gameplay, giao diện người dùng và phối hợp cùng team để tối ưu sản phẩm. Em tin mình phù hợp nhờ nền tảng tư duy thuật toán vững chắc của một sinh viên năm 3, cùng kinh nghiệm thực tế từ việc tự phát triển các dự án game trước đây.</t>
  </si>
  <si>
    <t>7.73</t>
  </si>
  <si>
    <t>Trong các dự án game trước đây, em đóng vai trò là nhà phát triển chính, chịu trách nhiệm xây dựng logic gameplay. Em là người chịu trách nhiệm đưa ra ý tưởng gameplay, xây dựng giao diện người dùng (UI/Menu), việc kiểm thử chất lượng (QA) và khắc phục các lỗi kỹ thuật để tối ưu hóa trải nghiệm. Kết quả là dự án đã hoàn thành với một bản prototype ổn định, vận hành trơn tru và đáp ứng đầy đủ các mục tiêu thiết kế đề ra, có được điểm số cao trong môn Lập trình Game tại trường.</t>
  </si>
  <si>
    <t>https://github.com/SonTrinh235/GameDev_3</t>
  </si>
  <si>
    <t>Ứng tuyển qua Chương trình Thực tập hè của Nhà trường (như HCMUS, HCMUT), Trường đại học, Mạng xã hội</t>
  </si>
  <si>
    <t>Em muốn chia sẻ rằng mình rất coi trọng cơ hội thực tập tại SUN.STUDIO. Em cam kết sẽ nỗ lực hết mình để học hỏi, thể hiện tinh thần trách nhiệm cao và sẵn sàng tham gia thực tập toàn thời gian từ tháng 06/2026 để có thể đóng góp tốt nhất cho đội ngũ phát triển. Rất hy vọng có cơ hội được đóng góp một phần nhỏ cho công ty để tạo nên những sản phẩm game chất lượng tiếp theo.</t>
  </si>
  <si>
    <t>36525tjq5kyb35hqpb7gc36525y1sqsf</t>
  </si>
  <si>
    <t>Đặng Thị Thúy Vi</t>
  </si>
  <si>
    <t>dangthithuyvi120505@gmail.com</t>
  </si>
  <si>
    <t>+84382567569</t>
  </si>
  <si>
    <t>I’m motivated to choose this position at SUN.RISER because it allows me to work on real game products while strengthening my technical skills and problem-solving mindset. I’m especially interested in how SUN.STUDIO builds and optimizes casual games, and I want to learn directly from experienced mentors while contributing to impactful projects.</t>
  </si>
  <si>
    <t>I’m a good fit because I have a solid technical foundation, hands-on project experience, and I’m proactive, adaptable, and eager to learn.</t>
  </si>
  <si>
    <t>8.10/10</t>
  </si>
  <si>
    <t>I built Slither Game as a personal project and handled the full front-end implementation using HTML5 Canvas and JavaScript, including game logic, controls, collision detection, scoring, animation, and responsive UI. The result is a playable web game with smooth movement, mobile support, and polished visual effects. I am currently also working on an IntroAI game-playing project, where I am implementing an automated player for Cờ Gánh using game-playing algorithms such as Minimax/MCTS.</t>
  </si>
  <si>
    <t>https://github.com/thzii</t>
  </si>
  <si>
    <t>I’m really excited about the opportunity to join SUN.STUDIO and grow in the game industry. I’m eager to learn, take on challenges, and contribute my best to the team while continuously improving myself.</t>
  </si>
  <si>
    <t>vqg10od46d5sfb0n6w3vqg10wwa8zevw</t>
  </si>
  <si>
    <t>VŨ BÍCH VI</t>
  </si>
  <si>
    <t>vubi8266@gmail.com</t>
  </si>
  <si>
    <t>+84398606281</t>
  </si>
  <si>
    <t>I am eager to challenge myself in a new field.</t>
  </si>
  <si>
    <t>"I am eager to challenge myself in a new field and I have knowledge in this field</t>
  </si>
  <si>
    <t>Information System - IS</t>
  </si>
  <si>
    <t>NO</t>
  </si>
  <si>
    <t>https://github.com/Bichvi/SkinSyntaxVN---Decoding-Your-Skin-Language</t>
  </si>
  <si>
    <t>I have been following SUN.STUDIO’s innovative projects for some time and am deeply impressed by your creative tech environment. Currently, I am a final-year student specializing in RAG and LangChain architectures. I am eager to challenge myself in a new field through an AI internship at SUN.STUDIO. I believe my hands-on experience in building smart recommendation engines and my 'can-do' attitude will allow me to contribute meaningfully to your team while growing into a professional AI Engineer.</t>
  </si>
  <si>
    <t>1kp91fyiol8ubi7me1kp91p33aqu749u</t>
  </si>
  <si>
    <t>I have been following SUN.STUDIO’s innovative projects for some time and am deeply impressed by your creative tech environment. Currently, I am a final-year student specializing in RAG and LangChain architectures. I am eager to challenge myself in a new field through an AI internship at SUN.STUDIO. I believe my hands-on experience in building smart</t>
  </si>
  <si>
    <t>I believe this role involves more than just building models; it’s about creating an end-to-end AI workflow, from developing automated data pipelines to integrating RAG architectures into functional applications.</t>
  </si>
  <si>
    <t>nbznlzk79e7mrlj6qbje93nbznl0w4vk</t>
  </si>
  <si>
    <t>Nguyễn Võ Vân Anh</t>
  </si>
  <si>
    <t>nvvananh11@gmail.com</t>
  </si>
  <si>
    <t>+84949452527</t>
  </si>
  <si>
    <t>I am driven by the belief that a company’s success is built on its culture. Sun Studio’s vibrant and dynamic workplace is exactly where I see myself thriving. I chose this role because I want to learn how to foster a creative community and maintain high employee morale in a fast-paced industry. I am excited to bring my proactive energy to team.</t>
  </si>
  <si>
    <t>I believe I am a good fit because of my entrepreneurial mindset. Running my own business alongside my studies has taught me to take full ownership of my work and stay adaptable in fast-paced environments. I bring a blend of creative problem-solving and a strong sense of responsibility to Sun Studio’s HR team.</t>
  </si>
  <si>
    <t>Industrial Management</t>
  </si>
  <si>
    <t>My professional background is built on a balance of technical recruitment and internal development. During my time at FPT Software, I gained hands-on experience in Talent Acquisition, where I mastered candidate sourcing and end-to-end recruitment workflows in a high-pressure tech environment.</t>
  </si>
  <si>
    <t>https://drive.google.com/file/d/1vKd8mx4OaFhtJwQXrQuTi4d5J8k1b3_2/view?usp=drivesdk</t>
  </si>
  <si>
    <t>nt67w1ga42w29aeig8lfnt67w12bsrc6</t>
  </si>
  <si>
    <t>Lê Trương Thiên Bảo</t>
  </si>
  <si>
    <t>lebaott514@gmail.com</t>
  </si>
  <si>
    <t>+84906862986</t>
  </si>
  <si>
    <t>Mình là một người rất thích chơi các tựa game casual và có tính cách tỉ mỉ tại vì hay soi những lỗi nhỏ khi chơi game. 
Mình chọn vị trí QA tại SUN.STUDIO vì mong muốn được học hỏi quy trình kiểm thử chuyên nghiệp và góp phần làm ra những con game mượt mà nhất cho người chơi</t>
  </si>
  <si>
    <t>Mình nghĩ vị trí Game QA sẽ chịu trách nhiệm chơi thử và kiểm tra toàn diện game để tìm ra lỗi trước khi phát hành. 
Mình thấy mình phù hợp vì mình có tính cách tỉ mỉ và hay để ý chi tiết và có n ệ thông tin.</t>
  </si>
  <si>
    <t>FPTU - Trường Đại học FPT</t>
  </si>
  <si>
    <t>Mình từng đảm nhận vai trò Manual QA Tester hỗ trợ nhóm sinh viên FPT University phát triển dự án game trên nền tảng Unity. Vai trò chính là viết kịch bản kiểm thử (test cases) chi tiết và thực hiện test thủ công các cơ chế cốt lõi của game và chịu trách nhiệm xác minh dữ liệu số, đánh giá trải nghiệm UI/UX trên nền tảng mobile, đồng thời sử dụng Jira để log và theo dõi các bug  kèm theo các bước tái tạo chi tiết.</t>
  </si>
  <si>
    <t>https://lebaott.vercel.app/</t>
  </si>
  <si>
    <t>Mình thích uốn cà phê, nếu công ty có chỗ pha cà phê thì mình rất willing OT ạ</t>
  </si>
  <si>
    <t>foi0vrzdl28gj9ejaozfoi0v5ak4cyml</t>
  </si>
  <si>
    <t>Vũ Kim Khanh</t>
  </si>
  <si>
    <t>kvu5066@gmail.com</t>
  </si>
  <si>
    <t>+84797784766</t>
  </si>
  <si>
    <t>I am motivated to apply for the SUN.RISER Game QA Intern position because I want to work on real game products and learn a professional QA process. I am interested in mobile and casual games, especially analyzing player experience and game logic. This role aligns with my background in manual testing, and I am eager to improve my skills.</t>
  </si>
  <si>
    <t>I believe this role involves testing game features, identifying and reporting bugs, and ensuring stable performance and good player experience. I am a good fit because I have hands-on practice in manual testing, test case design, and validating business logic through academic projects. I am detail-oriented, logical, and eager to learn in a team.</t>
  </si>
  <si>
    <t>Management Information Systems</t>
  </si>
  <si>
    <t>Yes. I worked on academic projects such as a Hotel Management System and a Cinema Management System, where I was involved in both development and manual testing. My role included building core features, designing test cases, and validating business logic to detect issues like invalid inputs and duplicate bookings. The systems were completed and functioned correctly, achieving high academic results.</t>
  </si>
  <si>
    <t>Hotel Management System (C#, WinForms, SQL Server) Role: Development &amp; Manual Testing (test case design, business logic validation) GitHub: https://github.com/vkkhanh/QLyKhachSanRomanceHotel;  Cinema Management System (C#, WinForms, SQL Server) Role: Development &amp; Manual Testing, GitHub: https://github.com/vkkhanh/QLyRapPhimMegaGS</t>
  </si>
  <si>
    <t>I am eager to learn and grow in a professional QA environment, and I am willing to take on feedback to improve quickly. I hope to have the opportunity to contribute to SUN.STUDIO’s game products and gain hands-on experience working with a real team.</t>
  </si>
  <si>
    <t>0bg4eodcc8o72bni44t0bg4eog0m3tvi</t>
  </si>
  <si>
    <t>Trần Hữu Kim Quý</t>
  </si>
  <si>
    <t>tranhuukimquy05092005@gmail.com</t>
  </si>
  <si>
    <t>+84948843864</t>
  </si>
  <si>
    <t>I choose the Human Resources Intern position because I am interested in people, communication, and building a positive working environment. I want to learn how HR supports recruitment, employee engagement, and company culture, especially in a young and creative game studio like SUN.STUDIO.</t>
  </si>
  <si>
    <t>I think this role involves supporting recruitment, communicating with candidates, preparing HR documents, and assisting internal activities. I believe I am a good fit because I am responsible, detail-oriented, and willing to learn. My background in Marketing also helps me communicate well and understand employer branding.</t>
  </si>
  <si>
    <t>One project I worked on was Sac Xe Viet, a student project focused on redesigning street-vendor carts to improve their visual identity and help vendors stand out. As a Co-founder and Digital Communications member, I worked in a team of five, planned and produced content, and managed the project’s Facebook fanpage. Our team published 18 posts, including 8 short videos and 10 designed visuals, and achieved 83 followers and 471 total views within two months. This project helped me strengthen my teamwork, communication, and project coordination skills.</t>
  </si>
  <si>
    <t>https://www.facebook.com/profile.php?id=61575026425470</t>
  </si>
  <si>
    <t>Yes. I would like to share that I am very excited about the opportunity to learn and grow at SUN.STUDIO. Although I am still early in my career, I am responsible, willing to learn and ready to contribute with my communication, teamwork and coordination skills. I hope to have the chance to become part of SUN.RISER and develop myself in a young, creative and fast-paced working environment.</t>
  </si>
  <si>
    <t>sbxy5cjby2xx8ph23hp3gsbxy5cjub5y</t>
  </si>
  <si>
    <t>Hoàng Nguyên Hương</t>
  </si>
  <si>
    <t>hnhuong1507@gmail.com</t>
  </si>
  <si>
    <t>+84762590023</t>
  </si>
  <si>
    <t>I’m applying for this role because my interest in games has grown from simply playing to wanting to contribute to the player journey, supported by my background in marketing and communications. The SUN.RISER opportunity aligns with my curiosity about combining creativity and data to drive user acquisition!</t>
  </si>
  <si>
    <t>This role consists of supporting and optimizing user acquisition campaigns, collaborating with creative teams, and analyzing performance. With a background in marketing communications and experience in content and campaign execution, I have a solid foundation. And, I’m eager to learn, work with data, and grow in user acquisition for mobile games.</t>
  </si>
  <si>
    <t>Multimedia Communications - Truyền thông Đa phương tiện</t>
  </si>
  <si>
    <t>I have not earned any game-related or job-related experience before, but I'm very eager to embark my journey to the game industry with Sun Studio through SUN.RISER Internship Program 2026.</t>
  </si>
  <si>
    <t>https://realusioncore.my.canva.site/hnhuong-portfolio</t>
  </si>
  <si>
    <t>To whoever is reading this, what is your favorite game?</t>
  </si>
  <si>
    <t>3b5phkf85udu6enqjl3b5phkemxdbfi8</t>
  </si>
  <si>
    <t>Nguyễn Văn Trí</t>
  </si>
  <si>
    <t>trivannguyen94@gmail.com</t>
  </si>
  <si>
    <t>+84911777488</t>
  </si>
  <si>
    <t>Là một cử nhân mới tốt nghiệp về chuyên ngành Trí tuệ Nhân tạo, trên hết trong tâm là một người trẻ có niềm đam mê và hứng thú với game cũng như nguyện vọng có thể được là 1 phần phát triển các tựa game được nhiều người đón nhận như cách bản thân đã từng. Vì vậy, em mong có thể góp những kiến thức, kinh nghiệm cũng như học hỏi thêm từ công ty.</t>
  </si>
  <si>
    <t>Vị trí này sẽ sử dụng cũng như xây dựng AI như một Agent có thể đảm nhiệm các nhiệm vụ khác nhau một cách tự động, cũng như thiết kế và nghiên cứu các phương thức prompt khác nhau cho AI. Với kinh nghiệm đã từng làm về AI và RAG trước đó, cũng như kiến thức học từ trường, em nghĩ em phù hợp với vị trí AI Intern này.</t>
  </si>
  <si>
    <t>Từng có kinh nghiệm trong việc xây dựng chatbot về lĩnh vực Y tế sử dụng LLM và RAG để tạo ra một trợ lý ảo hỗ trợ giải đáp các câu hỏi về kiến thức Healthcare cũng như đặt lịch cho phòng khám dựa trên triệu chứng khi hỏi.</t>
  </si>
  <si>
    <t>Dự án nội bộ khi Intern nên không đính kèm được.</t>
  </si>
  <si>
    <t>bwhbqk3y1mso605ehkbwhbqkg5uxvw8j</t>
  </si>
  <si>
    <t>Nguyễn Văn Đăng</t>
  </si>
  <si>
    <t>nguyendangdh1@gmail.com</t>
  </si>
  <si>
    <t>+84342488229</t>
  </si>
  <si>
    <t>Tôi có niềm đam mê và kinh nghiệm với AI</t>
  </si>
  <si>
    <t>Với vị trí AI Engineering tại SUN.RISER, tôi nghĩ vị trí này sẽ phối hợp với các team liên quan và triển khai các giải pháp AI – Automation. Ứng dụng AI vào quy trình phát triển game</t>
  </si>
  <si>
    <t>Hệ thống nhúng và IoT</t>
  </si>
  <si>
    <t>Tôi có hơn 1 năm nghiên cứu về AI trong phòng LAB của trường, và cũng là co-author của một bài báo nghiên cứu khoa học Q1 được chấp nhận tại tạp chí IEEE-Access 2026, đồng thời là fisrt author của một nghiên cứu khoa học sẽ được nộp sắp tới tại hội nghị GTSD 2026</t>
  </si>
  <si>
    <t>https://ieeexplore.ieee.org/document/11474809</t>
  </si>
  <si>
    <t>Nếu được trao cơ hội tôi tự tin có thể làm hoàn thành và làm tốt các nhiệm vụ được giao</t>
  </si>
  <si>
    <t>m38mijnsslgabqnn4um38mijnls79atu</t>
  </si>
  <si>
    <t>Trần Thị Cát Tường</t>
  </si>
  <si>
    <t>cattuongtran9@gmail.com</t>
  </si>
  <si>
    <t>+84906648217</t>
  </si>
  <si>
    <t>I choose SUN.RISER because I am impressed by its young, energetic, and growth-driven environment. As someone who is interested in games and curious about Game User Acquisition, I believe SUN.RISER is the right place for me to learn, challenge myself, and grow in the Mobile Game/App industry.</t>
  </si>
  <si>
    <t>I believe I am a good fit because I have a Marketing background, good English communication, basic knowledge of Google Ads, and experience in planning, content creation, and teamwork through my internship and projects.</t>
  </si>
  <si>
    <t>I have not worked on a digital game project before. However, I once took part in creating a board game for a contest. I was actively involved in developing the game concept, rules, card design, and player experience. 
Although it was not a digital game, the project helped me understand how game mechanics, user engagement, and player experience can influence whether people enjoy and continue playing a game.</t>
  </si>
  <si>
    <t>My portfolio: https://cattuongtran9-create.github.io/ My boardgame project: https://sites.google.com/view/duanboardgaemnguvan/</t>
  </si>
  <si>
    <t>I am looking forward to your response.</t>
  </si>
  <si>
    <t>c49wkvqovo7gur2dc49k60hcx4fvxssp</t>
  </si>
  <si>
    <t>Nguyễn Tiểu Anh</t>
  </si>
  <si>
    <t>anh.nguyen.ta22@gmail.com</t>
  </si>
  <si>
    <t>+84911296046</t>
  </si>
  <si>
    <t>I am especially interested in Casual and Puzzle games, and I often play and analyze puzzle games to better understand level design, core loops, player retention, and user experience. I enjoy observing how successful games balance difficulty, optimize engagement, and keep players motivated through well-designed systems and mechanics.</t>
  </si>
  <si>
    <t>I think this role involves researching and improving game systems to create better player experiences. I believe I’m a good fit because I enjoy casual/puzzle games, have strong logical thinking skills, and am eager to learn and grow in game design.</t>
  </si>
  <si>
    <t>7.70</t>
  </si>
  <si>
    <t>https://github.com/hematology-analyzer-system</t>
  </si>
  <si>
    <t>ny79grtsn2kgkkbkwny79g61yt051oks</t>
  </si>
  <si>
    <t>Phạm Hồng Nhân</t>
  </si>
  <si>
    <t>nhanphamhong2k5@gmail.com</t>
  </si>
  <si>
    <t>+84329181856</t>
  </si>
  <si>
    <t>Sau khi tìm hiểu chương trình thực tập em nhận thấy môi trường ở Sun Riser rất phù hợp để em có thể phát triển</t>
  </si>
  <si>
    <t>Vị trí của em sẽ ứng dụng AI vào lập trình game cũng như tối ưu quá trình làm game bằng AI, em tin rằng mình có thể hoàn thành tốt với khả năng học hỏi nhanh chóng</t>
  </si>
  <si>
    <t>3.5</t>
  </si>
  <si>
    <t>Em chưa từng có kinh nghiệm</t>
  </si>
  <si>
    <t>https://github.com/HongNhan27</t>
  </si>
  <si>
    <t>Trường đại học, Ứng tuyển qua Chương trình Thực tập hè của Nhà trường (như HCMUS, HCMUT)</t>
  </si>
  <si>
    <t>t0toaz34tyk74g1st0toaz3w54km77hc</t>
  </si>
  <si>
    <t>Trương Dương Thùy Trang</t>
  </si>
  <si>
    <t>tdttrang1401@gmail.com</t>
  </si>
  <si>
    <t>+84868204505</t>
  </si>
  <si>
    <t>Em chọn vị trí này tại SUN.RISER vì đây là cơ hội để em có thể thử sức, phát triển trong ngành game. Em mong muốn học hỏi quy trình sản xuất thực tế từ các anh chị giàu kinh nghiệm, đồng thời rèn luyện tư duy lập trình, kỹ năng viết code để cùng chung tay xây dựng nên những tựa game chất lượng đến người dùng.</t>
  </si>
  <si>
    <t>Theo em, vị trí này sẽ hỗ trợ lập trình và tích hợp giao diện UI/UX vào Unity, fix bug và tối ưu.
Dù chưa có kinh nghiệm trong lập trình game, em có tinh thần trách nhiệm cao và luôn sẵn sàng học hỏi để hoàn thành tốt các nhiệm vụ được giao, giúp mang lại sản phẩm chỉn chu nhất có thể.</t>
  </si>
  <si>
    <t>6.83</t>
  </si>
  <si>
    <t>https://www.behance.net/gallery/234786921/Event-App-Cinema-System</t>
  </si>
  <si>
    <t>Em rất trân trọng cơ hội ứng tuyển tại SUN.RISER. Dù kỹ năng kỹ thuật còn mới, nhưng với thái độ cầu tiến và nền tảng, kinh nghiệm hiện có, em chắc chắn sẽ nỗ lực học hỏi và trau dồi để sớm đóng góp giá trị cho những sản phẩm game chất lượng của công ty, cũng như tạo nên những game thú vị cho người dùng.</t>
  </si>
  <si>
    <t>zsxjy6f8sfxcjzsxjqek3ozd0f8eaajf</t>
  </si>
  <si>
    <t>Trần Duy Phát</t>
  </si>
  <si>
    <t>duyphatS2.digital@gmail.com</t>
  </si>
  <si>
    <t>+84383638934</t>
  </si>
  <si>
    <t>Vị trí UA Intern tại SUN.RISER là một cơ hội quý báu giữa một thị trường việc làm đầy biến động để bản thân tôi có được cơ hội để học tập và cống hiến với định hướng nghề nghiệp Growth Marketing của tôi</t>
  </si>
  <si>
    <t>Theo hình dung của tôi về vị trí này tập trung vào tăng trưởng user cho game thông qua performance marketing và data
Tôi phù hợp vì có nền tảng digital marketing + tư duy data-driven. Đồng thời tôi đang chuyển hướng sang performance/growth, nên có mindset tập trung vào ROI và tăng trưởng thực tế</t>
  </si>
  <si>
    <t>Trong quá trình thực tập trước đó tại agency, tôi đã tích lũy được kinh nghiệm thực tế với các công việc:
Tối ưu SEO và nghiên cứu từ khóa.
Viết và biên tập content chuẩn SEO.
Hỗ trợ theo dõi và báo cáo hiệu suất quảng cáo.</t>
  </si>
  <si>
    <t>https://hellocuccung.my.canva.site/tran-duy-phat-portfolio</t>
  </si>
  <si>
    <t>Mặc dù em chưa có cơ hội được tiếp cận và vận hành quảng cáo kỹ thuật số một cách thực tế và chuyên nghiệp, nhưng em nghĩ khả năng tự học và chủ động của bản thân sẽ giúp em ngày càng hoàn thiện để phù hợp với vị trí này nếu được trao cơ hội</t>
  </si>
  <si>
    <t>r3zrxqazhtax5mp2ozr3zrxfhyqjvt03</t>
  </si>
  <si>
    <t>Quách Thảo Vy</t>
  </si>
  <si>
    <t>vyquachfor.work@gmail.com</t>
  </si>
  <si>
    <t>+84325608801</t>
  </si>
  <si>
    <t>I’m motivated to join SUN.RISER because of my interest in games as products shaped by user behavior and data. I’m drawn to SUN.STUDIO’s focus on accessible, global games. With my background in campaign analysis and optimization, plus my fast learning and logical thinking, I can contribute while growing in a real game development environment.</t>
  </si>
  <si>
    <t>This role involves market research, running and optimizing UA campaigns, testing creatives, and analyzing performance. I’m a good fit because I have experience in research and data-driven optimization, enjoy testing and improving results, and bring a fast-learning, logical, and detail-oriented mindset focused on user experience.</t>
  </si>
  <si>
    <t>International Business Management</t>
  </si>
  <si>
    <t>Yes. In a coursework IMC project on the MoMo x ePass cashless toll product, I led a team to build a full campaign plan from research to execution strategy. I was responsible for market research, social listening, and analyzing user behavior to identify key barriers such as misunderstanding of the product, concerns about hidden fees, and low perceived need.
Through multiple feedback rounds, we refined our approach by clarifying the product mechanism, segmenting users (service drivers vs. personal users), and repositioning the key message around fee transparency and convenience. We also explored growth opportunities by benchmarking competitors and identifying MoMo’s ecosystem advantage.
From this project, I learned how to approach a problem from user insight to strategy, validate assumptions with data, and continuously iterate based on feedback. It strengthened my ability to think logically, work with data, and optimize solutions.</t>
  </si>
  <si>
    <t>https://vyquachforwork.wixsite.com/vyport</t>
  </si>
  <si>
    <t>A funny thing about me is that I can’t really “just play” games normally. When I play casual or puzzle games, I start noticing things like level difficulty, ad timing, or what makes me want to keep playing, or quit. Sometimes I even predict when an ad will show up or why a level is designed a certain way. It makes gaming a bit less relaxing, but also more interesting. I enjoy figuring out what keeps players engaged and what doesn’t. So if I join SUN.STUDIO, I’ll probably be that person who plays your games and secretly analyzes everything behind the scenes.</t>
  </si>
  <si>
    <t>w6js0bnj7kuxvhfrw6js0k81isgh9dgv</t>
  </si>
  <si>
    <t>Nguyen Phuong Nhi</t>
  </si>
  <si>
    <t>mosynhi@gmail.com</t>
  </si>
  <si>
    <t>+84389459715</t>
  </si>
  <si>
    <t>I’m motivated to join SUN.RISER because this role combines three things I enjoy most: creativity, data, and optimization. In my previous projects, I used analytics to improve content performance, and I found that I really enjoy the process of testing ideas, measuring results, and continuously optimizing.</t>
  </si>
  <si>
    <t>I may still be early in my career, but I bring curiosity, analytical thinking, and a strong willingness to learn and I believe that mindset makes me a strong fit for this role</t>
  </si>
  <si>
    <t>8.71</t>
  </si>
  <si>
    <t>I didn't have one</t>
  </si>
  <si>
    <t>https://www.canva.com/design/DAHET3kGnug/GEhjO7Hf6N_OJ-UVrcEolQ/view?utm_content=DAHET3kGnug&amp;utm_campaign=designshare&amp;utm_medium=link2&amp;utm_source=uniquelinks&amp;utlId=h2cc3f717cb</t>
  </si>
  <si>
    <t>m91gbb2uzigws03tsqmm91gbr0ukgv72</t>
  </si>
  <si>
    <t>Ngô Chí Cường</t>
  </si>
  <si>
    <t>cuongngochi12@gmail.com</t>
  </si>
  <si>
    <t>+84764884258</t>
  </si>
  <si>
    <t>Dạ vì em thích game</t>
  </si>
  <si>
    <t>Vì em có niềm đam mê với game ạ</t>
  </si>
  <si>
    <t>Không có ạ</t>
  </si>
  <si>
    <t>https://github.com/OhJiKang</t>
  </si>
  <si>
    <t>Không ạ</t>
  </si>
  <si>
    <t>rc3fhnb83azt62opp6brc3fhnb8h8j03</t>
  </si>
  <si>
    <t>Lê Nhật Hào</t>
  </si>
  <si>
    <t>lenhathao010181@gmail.con</t>
  </si>
  <si>
    <t>+84888553944</t>
  </si>
  <si>
    <t>Em rất thích và đam mê với game</t>
  </si>
  <si>
    <t>Em nghỉ mình có thể triển khai nhưng ý tưởng về một trò chơi mình yêu thích và học hỏi thêm được nhiều kinh nghiệm</t>
  </si>
  <si>
    <t>7.62</t>
  </si>
  <si>
    <t>Em từng tham gia một bài tập làm Game ở trường qua môi trường Socket và cũng chỉ là nhưng Game đơn giản để hiểu cơ chế hoạt động của server và client nên giao diện có phần hạn chế</t>
  </si>
  <si>
    <t>Hiện tại chưa có</t>
  </si>
  <si>
    <t>Dạ em mong đây sẽ có cơ hội được đến học hỏi và phát triển cùng SUN.STUDIO</t>
  </si>
  <si>
    <t>jf93lo3cyu8fqq0npq345jm2jf93lo3r</t>
  </si>
  <si>
    <t>Nguyễn Phúc Loan</t>
  </si>
  <si>
    <t>nguyenphucloan29102003@gmail.com</t>
  </si>
  <si>
    <t>+84833052952</t>
  </si>
  <si>
    <t>I’m really excited about this role because I get to work with real game data every day — turning raw numbers into clear insights that actually help the team build better games. That’s what truly motivates me. I want to be part of a team that creates fun, accessible games while growing my data skills in the gaming industry.</t>
  </si>
  <si>
    <t>This role involves working with real game data, building dashboards on Tableau, and turning raw data into useful insights to help the team build better games.
I believe I’m a good fit because I truly enjoy data analysis and problem-solving with numbers. I have a strong foundation in SQL, good logical thinking, and I’m a fast learner.</t>
  </si>
  <si>
    <t>Perform EDA on real datasets, use models to analyze &amp; predict, visualize data</t>
  </si>
  <si>
    <t>https://github.com/NguyenPhucLoan</t>
  </si>
  <si>
    <t>I'm Nguyễn Phúc Loan, a fresh graduate in Data Science, and I'm genuinely excited about the opportunity to join SUN.RISER. I thrive in a dynamic, energetic environment where people ask questions, move fast, and learn together — and I'm ready to contribute from day one, even if it starts with the smallest tasks.</t>
  </si>
  <si>
    <t>sbakwnxhx990461jcjr8q5sbakw7x89s</t>
  </si>
  <si>
    <t>Cao Thiên Quang</t>
  </si>
  <si>
    <t>caothienquang248@gmail.com</t>
  </si>
  <si>
    <t>+84707969308</t>
  </si>
  <si>
    <t>Em muốn chọn vị trí này để có thể tìm hiểu về công việc chuyên ngành của em, phát triển các kĩ năng cốt lõi cần có. Bên cạnh đó cũng muốn học hỏi thêm các anh chị đi trước kinh nghiệm làm việc và tác phong công việc ạ.</t>
  </si>
  <si>
    <t>Em nghĩ vị trí này sẽ chủ yếu xử lý, làm sạch, trực quan hoá dữ liệu. Từ đó, chúng ta có thể tìm ra được insight khách hàng và đưa ra những đề xuất hợp lý cho những tệp khách hàng khác nhau</t>
  </si>
  <si>
    <t>Phân tích dữ liệu</t>
  </si>
  <si>
    <t>8,03</t>
  </si>
  <si>
    <t>https://github.com/quangctk24419-dev</t>
  </si>
  <si>
    <t>k3743ismg25nbf6fkk3743isnznci6jy</t>
  </si>
  <si>
    <t>Lâm Minh Tùng Quân</t>
  </si>
  <si>
    <t>tungquanforwork0207@gmail.com</t>
  </si>
  <si>
    <t>+84854936613</t>
  </si>
  <si>
    <t>I am driven by the challenge of finding edge cases and ensuring that the final product is seamless for the end-user. I enjoy the analytical process of breaking down a system to find its vulnerabilities before a user ever encounters them.</t>
  </si>
  <si>
    <t>This role involves ensuring software reliability through comprehensive testing, and I am a great fit because my background in full-stack development and rigorous testing methodologies allows me to identify complex edge cases and collaborate seamlessly with engineers.</t>
  </si>
  <si>
    <t>7.97</t>
  </si>
  <si>
    <t>In my coursework and personal projects, I have extensive experience in software development and quality assurance. As the Lead Developer for a real-time Chat Ecosystem and a Trip-Planning app, I managed full-stack development (PERN stack) and ensured system stability. Additionally, through my software testing coursework, I practically applied McCabe's cyclomatic complexity and MCDC methodologies to design comprehensive automated test cases, resulting in highly reliable and optimized applications</t>
  </si>
  <si>
    <t>https://tung-quan.github.io/</t>
  </si>
  <si>
    <t>jv9qptvvcjhqhwwyikx7m5jv9qp66m5t</t>
  </si>
  <si>
    <t>Nguyễn Phương Tùng</t>
  </si>
  <si>
    <t>nguyenphuongtung222@gmail.com</t>
  </si>
  <si>
    <t>+84783771091</t>
  </si>
  <si>
    <t>I am impressed by Sun*'s unique model, which lies at the intersection of Technology, Business, and Education. I am seeking a position that allows me to develop deep technical expertise, understand business mindset, and have the opportunity to learn from talented colleagues.</t>
  </si>
  <si>
    <t>I think this role involves cleaning, analyzing data, and building reports or dashboards to support business decisions.
I’m a good fit because I have experience with Python, SQL, and visualization tools like Power BI and Tableau, along with hands-on practice from my projects. I’m also eager to learn and enjoy working with data to find useful insight</t>
  </si>
  <si>
    <t>8.38</t>
  </si>
  <si>
    <t>In a Bike Sales analysis project, I was responsible for data cleaning, exploratory analysis, and building a dashboard. I used Excel and Python to preprocess the data, create pivot tables, and visualize key factors affecting purchase decisions such as age, income, and region.
As a result, the dashboard clearly showed customer segments with the highest purchase likelihood, helping to provide actionable insights for targeted marketing strategies.</t>
  </si>
  <si>
    <t>https://github.com/NgPhTung?tab=repositories</t>
  </si>
  <si>
    <t>a4odfg3402m2tka4odlxor3awjd0nmr1</t>
  </si>
  <si>
    <t>Nguyen Thi Hong Nhung</t>
  </si>
  <si>
    <t>nhung13042005@gmail.com</t>
  </si>
  <si>
    <t>+84918923200</t>
  </si>
  <si>
    <t>Vì là vị trí công việc mà em luôn hướng đến. Tham gia dự án NCKH và được làm việc với dữ liệu, em đã yêu thích với việc phân tích insight từ dữ liệu để đưa ra kết luận và hướng đi phù hợp giúp tăng doanh thu. SUN.RISER là môi trường lý tưởng để em kết hợp ước mơ đó và những kiến thức của bản thân đã tích lũy để vừa học vừa trải nghiệm dự án thật.</t>
  </si>
  <si>
    <t>Thu thập, xử lý, phân tích dữ liệu 
Thiết kế và lựa chọn các chỉ số phù hợp với mục tiêu nghiên cứu, sử dụng data để hỗ trợ
Tham gia phân tích dữ liệu để hiểu hành vi người dùng, nâng cao chất lượng sản phẩm và xác định cơ hội tăng trưởng</t>
  </si>
  <si>
    <t>https://canva.link/m3s4zf74wz9zlyp</t>
  </si>
  <si>
    <t>Em rất mong được tham gia vào chương trình thực tập tại SUN.STUDIO. Mong những kiến thức, kinh nghiệm và thái độ ham học hỏi của em sẽ được SUN.STUDIO xem xét cho em có cơ hội tham gia thực tập, để em vừa học hỏi vừa tạo giá trị cho quý công ty ạ!!!</t>
  </si>
  <si>
    <t>ei0zvet1a4tq1bg5ycyei0zfgd4wrxhm</t>
  </si>
  <si>
    <t>Nguyễn Đình Việt Hoàng</t>
  </si>
  <si>
    <t>viethoang251004@gmail.com</t>
  </si>
  <si>
    <t>+84764251004</t>
  </si>
  <si>
    <t>I chose SUN.RISER because it's the ideal environment for a recent graduate like myself to leverage my strengths in AI and data analytics. With experience building RAG systems with approximately 85% accuracy and interning in Prompt Engineering at Vinova, I believe I have the skills to solve real-world problems using Python and Transformers.</t>
  </si>
  <si>
    <t>At Sun Studio, the AI ​​Engineering Intern will apply AI to optimize game products, while the Data Analysis Intern will focus on analyzing player data to support development decisions. With my background in AI development, and practical experience, I am confident that I can learn quickly, adapt well, and contribute effectively to the SUN.RISER 2026</t>
  </si>
  <si>
    <t>7.26</t>
  </si>
  <si>
    <t>I only have experience writing prompts and responses for AI models, I do not have experience in game development.</t>
  </si>
  <si>
    <t>github.com/viethoang251004</t>
  </si>
  <si>
    <t>gbi1k06rgqmsnusqf5lgbi1kay27sdn2</t>
  </si>
  <si>
    <t>Nguyễn Ngọc Thắng</t>
  </si>
  <si>
    <t>thangnguyen13112004@gmail.com</t>
  </si>
  <si>
    <t>+84985384224</t>
  </si>
  <si>
    <t>Tôi chọn vị trí này vì SUN.RISER nổi tiếng với môi trường làm việc năng động và chú trọng đào tạo thế hệ trẻ. Tôi tin rằng với cấu trúc tổ chức tại đây, kỹ năng của mình sẽ được phát huy tối đa, đồng thời tôi có cơ hội học hỏi từ những chuyên gia hàng đầu trong ngành để đóng góp vào sự phát triển chung của công ty.</t>
  </si>
  <si>
    <t>Theo em, vị trí AI Engineer Intern tại SUN.RISER Nghiên cứu và ứng dụng các giải pháp AI (như Generative AI, Computer Vision) để tối ưu hóa quy trình sản xuất Game/Phần mềm và nâng cao trải nghiệm người dùng tại Sun. Em sẵn sàng cống hiến sự nhiệt huyết của một Gen Z để cùng đội ngũ tạo ra sản phẩm đột phá.</t>
  </si>
  <si>
    <t>3.29</t>
  </si>
  <si>
    <t>Em là Người đề xuất và Phát triển chính dự án 'Vietnamese Sentiment Analysis'. Em đã xây dựng framework Hybrid Stacking kết hợp TF-IDF và Transformer-based embeddings để tối ưu hóa việc phân loại cảm xúc tiếng Việt. Dự án đạt độ chính xác cao (91.81% trên tập UIT-VSFC) và xuất sắc giành Giải Ba nghiên cứu khoa học cấp Khoa.</t>
  </si>
  <si>
    <t>https://github.com/thangnguyen13112004/Vietnamese-Sentiment-Analysis</t>
  </si>
  <si>
    <t>Em tin rằng sự kết hợp giữa tư duy nghiên cứu và kỹ năng lập trình của mình sẽ đóng góp tích cực cho đội ngũ AI Engineer tại Sun*. Cảm ơn SUN.STUDIO đã trao cơ hội để em được thử sức và phát triển trong một môi trường chuyên nghiệp như SUN.RISER 2026.</t>
  </si>
  <si>
    <t>s0cvgfif67a5zcqa7is0cvg2o35gs85h</t>
  </si>
  <si>
    <t>Nguyễn Phú Toàn</t>
  </si>
  <si>
    <t>leggotoan@gmail.com</t>
  </si>
  <si>
    <t>+84345138026</t>
  </si>
  <si>
    <t>As an IT student, I love working with data, analyzing it, and making data-driven decisions. Additionally, I am passionate about the gaming industry and eager to work in this environment.</t>
  </si>
  <si>
    <t>I understand that this role involves working directly with raw game data to uncover valuable insights to support business decision-making. I believe I am a good fit because I have a solid foundation and practical experience in data processing and analytics. Furthermore, this position perfectly aligns with my long-term career goals.</t>
  </si>
  <si>
    <t>8.18</t>
  </si>
  <si>
    <t>In my practical projects, I have primarily taken on Data Engineer and Analyst roles. Most notably, I engineered an end-to-end Data Warehouse, building robust ETL pipelines with SSIS and interactive KPI dashboards using Power BI. Additionally, I have successfully applied Machine Learning models to analyze and forecast metrics. The outcomes of these projects were clear, actionable dashboards that significantly streamlined reporting and empowered data-driven decision-making.</t>
  </si>
  <si>
    <t>The most related project: https://drive.google.com/drive/folders/1bEJHEcM2mKFsrfdipmnUJch6HaWV9FJu?usp=sharing (More related projects in my CV).</t>
  </si>
  <si>
    <t>izjurxhbo2y1jkwqrizjuhopp2avkb1a</t>
  </si>
  <si>
    <t>Nguyễn Thị Yến Linh</t>
  </si>
  <si>
    <t>yenlinhnguyen1267@gmail.com</t>
  </si>
  <si>
    <t>+84969443263</t>
  </si>
  <si>
    <t>I am highly motivated to join SUN.STUDIO as an AI Engineering Intern because my background in Mathematics and Computer Science, along with my hands-on experience in LLM application development, aligns closely with your mission of automating internal workflows.</t>
  </si>
  <si>
    <t>I think this role focuses on understanding how different teams operate, identifying manual or inefficient steps, and redesigning those workflows using AI and automation. It involves not only prompt engineering, but also building end-to-end AI pipelines including agent design, tool integration.</t>
  </si>
  <si>
    <t>Mathematics and Computer Science</t>
  </si>
  <si>
    <t>I have had experience with AI-related projects and internships, mainly focused on building practical LLM applications and workflow automation systems.
During my internship at FIRIS Consulting and Investment, I worked as an AI Engineer where I developed Python pipelines to process complex financial documents and conducted R&amp;D on LLMs and RAG systems. One of the key outcomes was building an AI assistant capable of analyzing financial reports and extracting structured insights, helping reduce manual processing effort.
In addition, I built a personal project involving a production-style LLM chat assistant using LangGraph. My role included designing agent workflows such as multi-step query understanding, context management, and ambiguity detection. I also implemented structured output validation using Pydantic, achieving consistent JSON outputs across multiple API calls. The system included long-term memory handling and a Streamlit dashboard for monitoring and debugging.
While I have not directly worked on game development, these experiences are highly transferable to the SUN.RISER role, particularly in designing AI workflows, building internal tools, and automating processes that can support game development and operations.</t>
  </si>
  <si>
    <t>https://github.com/liuliu409/ChatAssistantwithSessionMemory/tree/main</t>
  </si>
  <si>
    <t>Thank you for taking the time to review my application. I truly appreciate the opportunity to apply for the SUN.RISER program.</t>
  </si>
  <si>
    <t>jiyleheuuerwksskowjdgjiyleheuob2</t>
  </si>
  <si>
    <t>Phạm Hồng Phát</t>
  </si>
  <si>
    <t>phat.phamhong@hcmut.edu.vn</t>
  </si>
  <si>
    <t>+84918234000</t>
  </si>
  <si>
    <t>I choose this position because it focuses on applying AI to real workflows through LLM-based systems and agent design. I am interested in building AI pipelines and integrating models into practical systems rather than only training models. The opportunity to work across teams like Game Development and Marketing is also especially valuable to me.</t>
  </si>
  <si>
    <t>This role involves analyzing workflows, identifying inefficiencies, and building AI agents to automate and improve them. It also requires designing prompts, integrating tools via APIs, and iterating based on user feedback. I’m a good fit because I have a strong foundation in ML/NLP and experience with pipelines and APIs.</t>
  </si>
  <si>
    <t>I have worked on AI-related projects involving NLP and system design. For example, I built a transformer-based system for detecting hallucinations in LLM outputs, focusing on evaluation, reliability, and handling long-context inputs. I also worked on a multi-agent simulation project, where I redesigned the system to support team-based interactions, which strengthened my understanding of system logic and agent behavior.</t>
  </si>
  <si>
    <t>https://github.com/phatpinkkk?tab=repositories</t>
  </si>
  <si>
    <t>5uk5pqavmckk6vd1knb5uk5itrjimcfd</t>
  </si>
  <si>
    <t>Nguyễn Đức Toàn</t>
  </si>
  <si>
    <t>nductoan1815@gmail.com</t>
  </si>
  <si>
    <t>+84942901405</t>
  </si>
  <si>
    <t>I chose Data Analysis at SUN.RISER to leverage my predictive modeling skills (specifically churn analysis) within the gaming industry. My background in Unity allows me to bridge the gap between complex data insights and technical implementation, ensuring actionable results for the studio.</t>
  </si>
  <si>
    <t>This role bridges player behavior and game optimization. My Unity background helps me understand data logic at the source, while my churn prediction skills provide actionable insights. This ensures my analysis is always technically sound and deeply aligned with the game's mechanics.</t>
  </si>
  <si>
    <t>I have a strong foundation in both data analysis and game systems through major university and independent projects:
Home Credit Default Risk Analysis (Team Leader &amp; EDA Lead): Led a team of five to build a credit risk pipeline for a dataset of 307,511 records. I spearheaded the Exploratory Data Analysis (EDA) across multiple tables, handled complex data issues (e.g., sentinel values), and contributed to a LightGBM/XGBoost model that achieved a 0.7838 ROC-AUC.  
2D Unity Chess Game: Independently developed a 2D chess game featuring both offline and online multiplayer modes. This project allowed me to understand game mechanics, player flow, and how data is structured within a game engine.  
Customer Churn Analytics: Built an end-to-end independent pipeline using SQL and Python, achieving a 0.848 ROC-AUC. I also deployed a simple Streamlit dashboard to provide real-time, data-driven explainability for business decisions.</t>
  </si>
  <si>
    <t>Home Credit Default Risk: https://github.com/toann1405/home-credit-default-risk.git, Customer Churn Prediction: https://github.com/toann1405/customer-churn-ml-system.git, 2D Unity Chess Game: https://github.com/toann1405/Chess.git</t>
  </si>
  <si>
    <t>What I would like to share most is my excitement about a role that allows me to combine data analysis with a deep understanding of game logic and systems. I believe that my firsthand experience in game structures will enable me to deliver more practical and insightful reports for the studio's projects.</t>
  </si>
  <si>
    <t>61lwakni2ij4ln0961lwak150xp6p7hm</t>
  </si>
  <si>
    <t>Nguyễn Nguyên Bảo Phú</t>
  </si>
  <si>
    <t>phunguyen_vn2003@yahoo.com</t>
  </si>
  <si>
    <t>+84931822658</t>
  </si>
  <si>
    <t>I am motivated to apply in SunStudio because of your creating engaging player experience. I am drawn to games where mechanics and user experience are closely linked. From what I have seen, SunStudio has a good balance between both aspects. In the long term, I want to develop into a designer who can create experiences that players remember.</t>
  </si>
  <si>
    <t>The game designer role needs to have clear mind for mechanic, balance and a lot of concepts to engaging player. As for AI engineer role, we need to have a strong foundation of Algorithms and coding skill with AI-specific knowledge to create different AI behavior. As a student have studied Computer science, I believe I qualify for both roles.</t>
  </si>
  <si>
    <t>6.6</t>
  </si>
  <si>
    <t>In the thesis project, I handle all the job by myself in Unreal Engine 5, including optimize the game.</t>
  </si>
  <si>
    <t>Youtube portfolio thesis demo link: https://www.youtube.com/watch?v=RD684U095lE&amp;t=116s</t>
  </si>
  <si>
    <t>I will try my best if I am in the position.</t>
  </si>
  <si>
    <t>vojodpu85pgfece5wdvojods0hfom2yz</t>
  </si>
  <si>
    <t>Nguyễn Thị Hồng Nhung</t>
  </si>
  <si>
    <t>ngthihongnhung3010@gmail.com</t>
  </si>
  <si>
    <t>+84932850236</t>
  </si>
  <si>
    <t>I’m genuinely interested in marketing and game entertainment. As SUN.STUDIO works in the gaming and digital entertainment industry, it is exciting for me to gain experience in understanding audiences, trends, and creating content that people truly engage with.</t>
  </si>
  <si>
    <t>I believe this role involves preparing content or campaign materials, tracking progress, and reviewing campaign performance. I believe I’m a good fit as I have a strong interest in marketing, I have developed skills in research, teamwork, communication, and managing deadlines. I’m also proactive, detail-oriented, and willing to learn quickly.</t>
  </si>
  <si>
    <t>Professional Communication</t>
  </si>
  <si>
    <t>https://nthongnhung1996.wixsite.com/hongnhungnguyenportf</t>
  </si>
  <si>
    <t>nci0knjzcveqqozib3q0rgi1nci0knl0</t>
  </si>
  <si>
    <t>Nguyễn Lâm Thao</t>
  </si>
  <si>
    <t>lamthao17062006@gmail.com</t>
  </si>
  <si>
    <t>+84988214583</t>
  </si>
  <si>
    <t>Em muốn có thêm kinh nghiệm về môi trường làm việc chuyên nghiệp để phát triển bản thân và nâng cao cơ hội việc làm</t>
  </si>
  <si>
    <t>Em thấy bản thân có đủ các kiến thức và yếu tố kỹ năng về vị trí mình chọn và tự tin có thể cống hiến cho công việc một cách tốt nhất</t>
  </si>
  <si>
    <t>Phát triển gameplay, xây dựng hệ thống ( quest, UI, cốt truyện,…) xây map (2D/3D)
Làm animation cho Player/ Enemy
Tạo các VFX hiệu ứng cơ bản như skill ( lửa , sấm chớp, lốc xoáy ,…)</t>
  </si>
  <si>
    <t>https://github.com/Rudeus1706</t>
  </si>
  <si>
    <t>Cảm ơn công ty đã dành thời gian để xem hồ sơ của em ạ</t>
  </si>
  <si>
    <t>315dkqbe2uimpjih07ghlt315dkqnur3</t>
  </si>
  <si>
    <t>Vòng Nguyên Hy</t>
  </si>
  <si>
    <t>vnghy14@gmail.com</t>
  </si>
  <si>
    <t>+84818183667</t>
  </si>
  <si>
    <t>Điều khiến mình lựa chọn vị trí Human Resources Intern tại SUN.RISER là cơ hội được làm việc trực tiếp với đội ngũ nhân sự trong ngành Game - một lĩnh vực mang tính sáng tạo cao và đa dạng về cá tính. Mình tin rằng việc đồng hành cùng những con người giàu ý tưởng, khác biệt trong tư duy sẽ giúp mình hiểu sâu hơn về cách xây dựng, kết nối và phát tr</t>
  </si>
  <si>
    <t>Mình hiểu vị trí này sẽ tham gia trực tiếp vào quy trình tuyển dụng, từ tìm kiếm, sàng lọc ứng viên đến hỗ trợ phỏng vấn và onboarding, đồng thời đồng hành trong các hoạt động về EB và L&amp;D.
Mình phù hợp với vị trí này nhờ khả năng sáng tạo và thiết kế cơ bản, có thể hỗ trợ tốt cho EB. Ngoài ra, mình cũng có kỹ năng sàng lọc thông tin tốt,...</t>
  </si>
  <si>
    <t>Luật Dân sự</t>
  </si>
  <si>
    <t>Mình chưa có</t>
  </si>
  <si>
    <t>Mình rất mong có cơ hội trở thành một phần của SUN.STUDIO để vừa học hỏi, vừa đóng góp vào việc xây dựng đội ngũ nhân sự phù hợp với môi trường sáng tạo của công ty. Dù là một Intern, mình luôn sẵn sàng chủ động nhận việc, làm chỉn chu từng phần nhỏ và không ngại thử thách. Hy vọng có thể đồng hành cùng SUN.STUDIO.</t>
  </si>
  <si>
    <t>3v36utkuajr0fb9assdvp3v36evzebdm</t>
  </si>
  <si>
    <t>Lục Minh Phú</t>
  </si>
  <si>
    <t>lucminhphu2705@gmail.com</t>
  </si>
  <si>
    <t>+84868232031</t>
  </si>
  <si>
    <t>With my choice, my career orientation is being a Data analyst, especially in Game Development, and this position is very suitable for me about my skills, knowledge as well as my career path. Besides, Sun Studio is the professional environment for working and improve my competency to become an expert.</t>
  </si>
  <si>
    <t>I think that scope of work in Data Analysis Intern position is building dashboard, analyze some KPI, metrics for Game app and gain insights, do some tasks about database management, data processing and data pipeline. Because of my academic background and working experiences, skills and projects I did I am totally for this position.</t>
  </si>
  <si>
    <t>Business Analytics and Artificial Intelligence</t>
  </si>
  <si>
    <t>About my internship, my scope of work is building Power BI dashboards (Sales, Customers, Marketing Strategies), writing and optimizing Oracle SQL queries to extract, transform, and validate enterprise data for business analysis and system reporting. Moreover, some projects analyzing RFM, Churn Rate, Retention Rate in Power BI, Tableau are shown in my CV.</t>
  </si>
  <si>
    <t>https://github.com/MinhPhu2705-uel</t>
  </si>
  <si>
    <t>zusgxqq0ql7mgmi2poutqzusgxqqh59h</t>
  </si>
  <si>
    <t>Triệu Hoàng Duy</t>
  </si>
  <si>
    <t>trieuhoangduy1309@gmail.com</t>
  </si>
  <si>
    <t>+84938129556</t>
  </si>
  <si>
    <t>Trong lúc đợi xe bus, em rất hay chơi các dòng game casual puzzle. 
Điều khiến em chọn vị trí này là vì em rất hứng thú với định hướng phát triển game casual của công ty. 
Bản thân em cũng đang phát triển các dự án game bằng Unity, nên em rất muốn được tham gia vào môi trường chuyên về casual game để học hỏi thêm và đóng góp kỹ năng của mình.</t>
  </si>
  <si>
    <t>Theo em hiểu thì vị trí Game Design Intern sẽ tham gia vào quá trình thiết kế gameplay, từ việc việc lên ý tưởng cho tới mechanic, xây dựng gameplay loop, cân bằng game, và phối hợp với team dev/art để triển khai vào sản phẩm thực tế. Trong các dự án cá nhân, em đã có cơ hội trải nghiệm tất cả, giờ đây em muốn thử thách bản thân hơn. (Professional)</t>
  </si>
  <si>
    <t>Ngoài những game em đã làm tại trường, em còn có tự làm qua 1 game casual cho bài phỏng vấn của công ty khác. Trong vòng 1 tuần em đã tự vẽ sprite, design level, bố trí UI (PC/Android), tự code từ a tới z, tích hợp vfx, kiểm thử và export lên itch.io cho con game đó. Hiện tại em vẫn chưa nhận được hồi âm từ công ty sau khi nộp con game này.</t>
  </si>
  <si>
    <t>https://azuretrieu.carrd.co/</t>
  </si>
  <si>
    <t>Em hi vọng sẽ có khả năng làm việc cùng với công ty ngay từ hôm nay</t>
  </si>
  <si>
    <t>Nếu có cơ hội được trở thành một phần của công ty, em mong muốn không chỉ học hỏi về quy trình làm game thực tế mà còn có thể đóng góp giá trị của mình, dù là từ những task nhỏ nhất.
Em hiểu rằng ở vị trí intern thì mình còn nhiều điều cần cải thiện, nên em luôn sẵn sàng tiếp thu feedback và chủ động học thêm để tiến bộ nhanh nhất có thể.
Ngoài ra, em cũng hy vọng có thể đồng hành lâu dài và phát triển cùng công ty, đặc biệt khi nó liên quan tới game có pixel art.</t>
  </si>
  <si>
    <t>3faytr5lp29w0nmbg3ygh3faytr5ldd3</t>
  </si>
  <si>
    <t>Vũ Trần Khánh Như</t>
  </si>
  <si>
    <t>vtkhanhnhu@gmail.com</t>
  </si>
  <si>
    <t>+84395506568</t>
  </si>
  <si>
    <t>Em chọn vị trí này vì sự giao thoa giữa ngành nhân sự và môi trường game đầy thử thách. Dù không chơi game, em có niềm yêu thích với việc quản trị con người trong các lĩnh vực sáng tạo. Em muốn tận dụng tư duy phân tích tâm lý để hỗ trợ đội ngũ, đồng thời chứng minh khả năng thích nghi nhanh chóng của mình trong một ngành công nghiệp năng động.</t>
  </si>
  <si>
    <t>Là người hỗ trợ kết nối tài năng và tổ chức các hoạt động gắn kết để duy trì cảm hứng sáng tạo cho đội ngũ. Em tin mình phù hợp vì nền tảng kiến thức Tâm lý học giúp em dễ dàng thấu hiểu và tương tác hiệu quả với các cá nhân có cá tính khác biệt. Bên cạnh đó, sự tỉ mỉ và trách nhiệm giúp em hoàn thành tốt các nhiệm vụ vận hành nhân sự.</t>
  </si>
  <si>
    <t>Tâm lý học</t>
  </si>
  <si>
    <t>Trong vai trò Thực tập sinh Quan hệ Doanh nghiệp tại Trường đại học Văn Lang, em đã trực tiếp hỗ trợ kết nối nguồn nhân lực trẻ với các doanh nghiệp thông qua việc sàng lọc, tư vấn chỉnh sửa CV và rà soát chuẩn hóa các bản mô tả công việc (JD). Nhờ sự chủ động trong quản lý hồ sơ và điều phối thông tin, tôi đã đề xuất thành công danh sách ứng viên phù hợp cho đối tác, kết nối và duy trì mối quan hệ với các doanh nghiệp, đảm bảo tiến độ tuyển dụng và góp phần vận hành thành công sự kiện VLU Job Fair quy mô lớn.</t>
  </si>
  <si>
    <t>Em rất trân trọng cơ hội được ứng tuyển vào chương trình SUN.RISER. Dù là một người ngoại đạo với game, em lại có niềm đam mê lớn trong việc thấu hiểu và kết nối con người. Em hy vọng sẽ được mang tư duy của một sinh viên Tâm lý học để góp phần xây dựng một môi trường làm việc năng động và sáng tạo tại SUN.STUDIO. Cảm ơn anh/chị đã dành thời gian xem xét hồ sơ của em.</t>
  </si>
  <si>
    <t>qpwqfw3h5o1cvpq2h6uz1sk5qpwqfw8q</t>
  </si>
  <si>
    <t>Ngô Trương Thiên</t>
  </si>
  <si>
    <t>tngo2505@gmail.com</t>
  </si>
  <si>
    <t>+84963870759</t>
  </si>
  <si>
    <t>Vì định hướng phát triển lâu dài của bản thân trong lĩnh vực QA/QC và đồng thời là sự thích thú với ngành game(một môi trường thú vị cũng như nhiều thách thức).</t>
  </si>
  <si>
    <t>- Vị trí này sẽ làm việc dưới sự dẫn dắt của mentor để thực hiện đảm bảo chất lượng cho dự án Game trước khi phát hành (Kiểm thử theo Checklist, Hỗ trợ các hạng mục IAP,ads,...)
- Với kiến thức được trang bị tại trường và qua quá trình thực tập, đồng thời sự tỉ mỉ, cẩn thận cũng như định hướng nghiêm túc với nghề QC thì em sẽ phù hợp cho vị trí.</t>
  </si>
  <si>
    <t>Em chỉ có kinh nghiệm qua các dự án như Kiểm thử cho web bán vé máy bay và máy POS, với Game thì đây là bước đi đầu tiên của em</t>
  </si>
  <si>
    <t>Cảm ơn SUN.STUDIO vì đã tạo ra chương trình SUN.RISER, đây là cơ hội tuyệt vời cho những sinh viên sắp tốt nghiệp như em có thể học hỏi, mở mang kiến thức khi bước chân vào ngành Game.</t>
  </si>
  <si>
    <t>jlp4ls5zpuhvduo02jlp4ll5mq6790zm</t>
  </si>
  <si>
    <t>Lê Anh Khôi</t>
  </si>
  <si>
    <t>leanhkhoibk@gmail.com</t>
  </si>
  <si>
    <t>+84399347360</t>
  </si>
  <si>
    <t>I want to bring my Computer Science background in automated testing to ensure technically flawless gameplay experiences.</t>
  </si>
  <si>
    <t>I am a strong fit for this role because I approach quality assurance with a computer science and engineering mindset. Through my recent projects, I have developed a deep understanding of software structural quality, specifically utilizing automated testing frameworks like Jest, Playwright, and Cucumber to verify complex logic.</t>
  </si>
  <si>
    <t>Friend</t>
  </si>
  <si>
    <t>eruntu7he60oabkd3eruntv9490vkerb</t>
  </si>
  <si>
    <t>Duong Khanh Trang</t>
  </si>
  <si>
    <t>trang.dk2823@gmail.com</t>
  </si>
  <si>
    <t>+84815006825</t>
  </si>
  <si>
    <t>I'm drawn to the Data Analyst Intern role at SUN.RISER because it aligns with my hands-on experience in building end-to-end data pipelines and machine learning models. Having worked on projects involving anomaly detection, time series analysis, and feature engineering, I'm eager to apply these skills in a real business context</t>
  </si>
  <si>
    <t>I believe this role involves collecting and processing data, building dashboards or reports to support business decisions, and identifying trends or anomalies through exploratory analysis. My background in both machine learning and analytical thinking allows me to go beyond surface-level reporting and deliver deeper insights</t>
  </si>
  <si>
    <t>8.46</t>
  </si>
  <si>
    <t>I completed a Data Analyst Internship at The Saigon Times, where I analyzed over 50,000 daily user sessions using Google Analytics and Python to uncover traffic patterns and user behavior. I built automated reporting dashboards with Pandas and Matplotlib, cutting manual reporting time by 60%. I also designed KPI visualizations to guide content strategy and collaborated with editorial and marketing teams to turn data findings into clear business recommendations.</t>
  </si>
  <si>
    <t>My Saigon Times internship projects are private and not publicly shareable. However, you can view my Predictive Modeling for Employee Recruitment Outcomes project here: https://github.com/BigDataTechnology-Project/Predictive-Maintenance-System-using-Apache-Spark</t>
  </si>
  <si>
    <t>I'm genuinely excited about the opportunity to contribute to SUN.STUDIO as a Data Analyst Intern. I bring not just technical skills in Python, SQL, and machine learning, but also a mindset of turning data into real business value. I hope to have the chance to prove my value and learn from the talented people here.</t>
  </si>
  <si>
    <t>9t5j6z5nydgkhhr1amcmr39t5j6z5nrj</t>
  </si>
  <si>
    <t>NGUYỄN PHẠM UYÊN UYÊN</t>
  </si>
  <si>
    <t>uyenuyennguyen81@gmail.com</t>
  </si>
  <si>
    <t>+84932199527</t>
  </si>
  <si>
    <t>I’m motivated to apply for the Game User Acquisition Intern position at SUN.RISER because it combines data-driven thinking with creativity - exactly the direction I want to pursue. I’m especially interested in how UA uses testing, user insights, and performance optimization to scale games effectively.</t>
  </si>
  <si>
    <t>I believe this role combines data-driven optimization with creative execution in user acquisition. With a marketing foundation, proven creativity and coordination experience, and an analytical mindset from my economics background, with a genuine interest in the game industry, I’m confident I can adapt quickly and contribute effectively.</t>
  </si>
  <si>
    <t>Yes. In a midterm Business English project, my team developed and hosted an interactive “bidding &amp; guessing” game for the class. I contributed across the full process - from ideation, to designing the game using software, and directly hosting it. By structuring the gameplay to be simple yet competitive, we were able to create a highly engaging atmosphere, driving strong participation and lively interaction throughout the session.</t>
  </si>
  <si>
    <t>https://canva.link/azl5mu6c1sf3kkq</t>
  </si>
  <si>
    <t>I’m genuinely interested in growing within the game industry, especially in user acquisition where performance and creativity go hand in hand. I approach this opportunity with a serious mindset and a willingness to learn fast, take ownership, and continuously improve based on data and feedback. I hope to contribute not just as an intern, but as someone who adds real value to the team.</t>
  </si>
  <si>
    <t>l517aeddtu31dnqwl51dhtbiur2g2d1r</t>
  </si>
  <si>
    <t>NGUYEN LE YEN NHI</t>
  </si>
  <si>
    <t>nhinguyenw05@gmail.com</t>
  </si>
  <si>
    <t>+84335441261</t>
  </si>
  <si>
    <t>Simply because I have an interest in data and enjoy using it to solve problems.</t>
  </si>
  <si>
    <t>I see this role as a bridge between data analysis and business strategy. I am confident in my fit because I have a passion for using data-driven insights to optimize business outcomes.</t>
  </si>
  <si>
    <t>MIS - Management Information System</t>
  </si>
  <si>
    <t>https://github.com/Nhi005/music-web</t>
  </si>
  <si>
    <t>Ybox, Mạng xã hội</t>
  </si>
  <si>
    <t>I love data, and I love games. Combining these two passions to solve real problems at SUN.STUDIO is my absolute ideal opportunity.</t>
  </si>
  <si>
    <t>bb9kowdx1rh7xnp1snn9fsbb9kow9oc9</t>
  </si>
  <si>
    <t>Lê Bình Nguyên</t>
  </si>
  <si>
    <t>lebinhnguyen2004@gmail.com</t>
  </si>
  <si>
    <t>+84971911342</t>
  </si>
  <si>
    <t>Em nghĩ là những kinh nghiệm và kiến thức bản thân mình rất match với lại Job Description, đây cũng là định hướng mà em muốn phát triển bản thân trong tương lai. Ngoài ra thì AI Engineer Intern là một cơ hội để em có được những bước đầu tiên trong công việc của mình.</t>
  </si>
  <si>
    <t>Công việc sẽ làm: Phân tích workflow và xây dựng AI pipeline (prompt, agent/function calling, RAG), tích hợp API và phát triển AI tools nội bộ.
Lý do phù hợp: Có kinh nghiệm với function calling (kể cả LLM chưa hỗ trợ API) và tối ưu prompt; đang phát triển backend và MLOps để triển khai RAG.</t>
  </si>
  <si>
    <t>Một job-related project: Cải thiện độ ổn định và nâng cao độ chính xác của các hệ thống hỏi đáp đa phương thức bằng một quy trình (pipeline) nhiều giai đoạn: (1) Sử dụng các loại prompting để kích hoạt khả năng reasoning của mô hình hỏi-đáp đa phương thức. (2) Sau đó, sử dụng cơ chế reflection và function calling để đánh giá chuỗi suy luận, tạo tham chiếu giúp phát hiện lỗi, tạo phản hồi -&gt; (3) sửa lỗi và đưa ra câu trả lời đã được cải thiện. 
Kết quả: 
- Đạt được sự cải thiện về độ chính xác và ổn định cho các hệ thống hỏi-đáp đa phương thức (Qwen-2.5-Omni và Gemini-2.5-pro) khi đánh giá trên 3 bộ dữ liệu (Omni-bench, AIR-Bench, MM-Bench). 
- Học được kiến thức về prompting, function calling, cách kiểm soát format output của mô hình và cách xây dựng một AI pipeline bằng LangGraph và LangChain.
Game-related Course-work project: 
- Tìm hiểu thuật toán PPO và MA-POCA (các thuật toán Reinforcement learning) và áp dụng chúng để huấn luyện các agent trong môi trường game (một game custom yêu cầu tính đối kháng và collab giữa các agent). 
- So sánh được sự hiệu quả và rút ra một số nhận xét liên quan tới hai thuật toán là PPO và POCA.</t>
  </si>
  <si>
    <t>Bản thân em chưa có nhiều kinh nghiệm triển khai AI cho các dự án thực tế. Phần lớn kiến thức và kinh nghiệm của em đến từ việc nghiên cứu hoặc tham gia các cuộc thi. Em vẫn đang cố gắng học tập và trau dồi thêm những kiến thức mà bản thân còn thiếu. Tuy nhiên, kinh nghiệm thực tế là thứ mà khó có thể tự mình có được. Em hi vọng SUN.STUDIO có thể cho em một cơ hội để thử sức mình. Em rất sẵn lòng để nhận thêm góp ý và học thêm các kiến thức mới nếu công việc yêu cầu (có thể là liên quan tới game).</t>
  </si>
  <si>
    <t>5ew5087s85j0bwpth35ew5087nxtfhfh</t>
  </si>
  <si>
    <t>Phan Huỳnh Châu Thịnh</t>
  </si>
  <si>
    <t>chauthinh59@gmail.com</t>
  </si>
  <si>
    <t>+84944734659</t>
  </si>
  <si>
    <t>I choose the AI Engineer position because I want to apply my AI knowledge to real projects and practical challenges. SUN.RISER is a great opportunity for me to learn, contribute, and grow in a dynamic environment.</t>
  </si>
  <si>
    <t>I believe this role involves applying AI to improve workflows, automate tasks, and support game development processes. I think I am a good fit because I have experience with AI projects using Python, machine learning, and RAG systems. I am also eager to learn, adapt quickly, and work well in a team.</t>
  </si>
  <si>
    <t>I have experience through academic projects related to AI and software development. I worked in a team to build a Vietnamese AI Tutor using RAG, where I contributed to document retrieval and model integration. I also developed ML projects such as spam email classification, prediction models, and OCR fine-tuning for Vietnamese handwritten text recognition. These projects helped me gain experience in Python, teamwork, problem-solving, and applying AI to real use cases.</t>
  </si>
  <si>
    <t>https://github.com/Thinh59</t>
  </si>
  <si>
    <t>Thank you for considering my application. I am eager to learn, contribute, and grow through SUN.RISER. I hope to have the opportunity to join SUN.STUDIO and create meaningful products with the team.</t>
  </si>
  <si>
    <t>zag464kz5k8yionfx18zag464wk67504</t>
  </si>
  <si>
    <t>I chose this position to directly apply my AI and Data skills to real-world problems. More importantly, I am drawn to SUN.RISER's strong mentorship culture. I am not looking for a short-term stint; I want a professional environment where I can continuously learn, contribute, and commit long-term even after graduation.</t>
  </si>
  <si>
    <t>- It revolves around the data lifecycle: from collecting, cleaning, and analyzing data to uncover insights, to training and optimizing deep learning models to solve real-world problems.
- I am confident in my ability thanks to my hands-on experience processing complex datasets and building AI models (CNNs), my grit in continuously optimizing models</t>
  </si>
  <si>
    <t>Developed fully playable 2D games using Pygame (Python). I independently handled all game logic and UI, applying my competitive gaming background to optimize mechanics and ensure smooth gameplay
GitHub repository: https://github.com/dangkhoi-dev/Game-Programming</t>
  </si>
  <si>
    <t>Link DA (finding key insight in dataset): https://dangkhoi-dev.github.io/P4AI-DS/ ; Link AI (credit Fraud detection): https://dangkhoi-dev.github.io/Demo-Website/ ; Link AI (YoloFarm - AI applied in Farm): https://dangkhoi-dev.github.io/DADN/</t>
  </si>
  <si>
    <t>As a passionate player of competitive games, I deeply understand what keeps users engaged. I am eager to combine this gamer's intuition with my technical skills in Data and AI to help build and optimize great products at SUN.STUDIO. I am ready to bring my resilience, high energy, and willingness to learn to the team. Thank you for considering my application!</t>
  </si>
  <si>
    <t>qn016ypz8xmft9qbsqn016rjbq1w2uoo</t>
  </si>
  <si>
    <t>Trần Duy Anh Dũng</t>
  </si>
  <si>
    <t>tdadung23@apcs.fitus.edu.vn</t>
  </si>
  <si>
    <t>+84903500049</t>
  </si>
  <si>
    <t>I really love casual games and puzzles game like candy crush, Plants vs. Zombies, Subway surfers, having played them a lot since I was a kid. It's exciting to participate in designing these games and it was part of my dream too.</t>
  </si>
  <si>
    <t>This role will involve in puzzle solving skills, teamwork skills and idea summarization skills. I am a good fit because my problem solving and puzzle solving skills are enough to identify a gameplay weakness and balancing the game's difficulty. Additionally, I prioritize listening to teammate's idea to help build the best solution for the project.</t>
  </si>
  <si>
    <t>I have done some small game like Flappy bird, Tetris, Chess or Snake in C# using Monogame when i was in high school. For a bigger personal project, I was re-making Minecraft from scratch using GLFW/Glad</t>
  </si>
  <si>
    <t>https://github.com/Bobonbush/Minecraft</t>
  </si>
  <si>
    <t>Will be considered till that time</t>
  </si>
  <si>
    <t>Trường đại học, Mạng xã hội, Ứng tuyển qua Chương trình Thực tập hè của Nhà trường (như HCMUS, HCMUT), Một người bạn</t>
  </si>
  <si>
    <t>If any how i will be accepted, I will spend most of my time do the best of my work for the company and cherish any chances of leveling up my game design skills.</t>
  </si>
  <si>
    <t>6wv5e0vy9w5n66wv5e12jltvu6k190v6</t>
  </si>
  <si>
    <t>Lương Nguyễn Anh Quân</t>
  </si>
  <si>
    <t>luongnguyenanhquan@gmail.com</t>
  </si>
  <si>
    <t>+84348860520</t>
  </si>
  <si>
    <t>vì mong muốn được cọ xát và trau dồi Data Analytics trong một môi trường kinh doanh thực tế, đòi hỏi khắt khe. Đồng thời, với nền tảng sẵn có về lập trình và mô hình hóa, mình kỳ vọng đây sẽ là nơi tôi có cơ hội được tham gia vào các bài toán khó hơn để phát triển song song năng lực AI Engineering</t>
  </si>
  <si>
    <t>Xử lý dữ liệu: Thu thập, làm sạch và chuẩn hóa dữ liệu từ nhiều nguồn khác nhau.
Trực quan hóa: Xây dựng Dashboard theo thời gian thực để giám sát sức khỏe doanh nghiệp.
Giải quyết vấn đề: Từ số liệu, tìm ra các điểm kém hiệu quả trong quy trình và đề xuất giải pháp dựa trên dữ liệu</t>
  </si>
  <si>
    <t>Kỹ thuật và Quản lí công nghiệp</t>
  </si>
  <si>
    <t>Phân tích &amp; Tối ưu hóa Dữ liệu tại ScanCom International A/S: Cost Improvement Assistant. Tôi sử dụng SQL và Python để phân tích dữ liệu vận hành, tìm ra các điểm nghẽn gây lãng phí. Giảm hao hụt nguyên liệu lên đến 40%.
Phát triển Hệ thống AI (Computer Vision) Tự động hóa: Nghiên cứu và xây dựng toàn bộ luồng dữ liệu cho mô hình Deep Learning sử dụng kiến trúc YOLO (YOLOv11, YOLOv26) để nhận diện đa nhãn</t>
  </si>
  <si>
    <t>github.com/quanxuli</t>
  </si>
  <si>
    <t>Cảm ơn SUN.STUDIO đã mang đến một cơ hội tuyệt vời để những người trẻ được dấn thân. Gửi gắm lớn nhất của mình là: Dù xuất phát điểm là một Kỹ sư Hệ thống, nhưng năng lực cốt lõi của mình là 'Tối ưu hóa' bằng Dữ liệu và AI. Mình đã sẵn sàng để học hỏi nhanh, mang lại những tác động thực tế cho sự phát triển của công ty. Hẹn gặp các anh chị ở vòng phỏng vấn!</t>
  </si>
  <si>
    <t>qer4xhxt6yuy09qer4onaj92k7dwq6o0</t>
  </si>
  <si>
    <t>Lê Thế Vinh</t>
  </si>
  <si>
    <t>lethevinh123457@gmail.com</t>
  </si>
  <si>
    <t>+84966013783</t>
  </si>
  <si>
    <t>I am motivated to join SUN.RISER for two main reasons:
Technological Alignment: SUN.RISER’s commitment to innovation perfectly matches my career goal of becoming an AI Engineer.
Growth &amp; Contribution: I am highly impressed by the professional growth opportunities at SUN.RISER.</t>
  </si>
  <si>
    <t>I believe this role involves participating in the full project development lifecycle—from analyzing requirements and building efficient data/AI models to implementing functional features on web platforms.
I think I am a strong fit for this position because:
Solid technical foundation, problem-solving skills and versatility</t>
  </si>
  <si>
    <t>I am the Winner (First Prize) of the Bright Data Track at HackHarvard 2026 with the project Unibuddy. Serving as the AI engineer, I specialized in large-scale web scraping and data processing to build a real-time data analytics platform. This project outperformed numerous international teams to secure the top spot from Bright Data.
Additionally, I won Second Prize at the UIT Bootcamp Entrepreneurship 2024 and have developed various AI projects involving YOLOv8 and LangChain.</t>
  </si>
  <si>
    <t>https://cv-tau-navy.vercel.app/</t>
  </si>
  <si>
    <t>As a sophomore, I may be early in my academic journey, but my technical track record is already battle-tested. Having won the Bright Data Track at HackHarvard 2024 and Second Prize at UIT Bootcamp Entrepreneurship 2024, I have proven my ability to learn rapidly and deliver high-quality results under intense pressure. I am not just looking for a learning opportunity; I am ready to contribute directly to SUN.STUDIO’s projects with my expertise in AI and Data processing. I have optimized my academic schedule to ensure full commitment to this internship and am eager to bring my international competition experience to your dynamic team.
Thank you for readingg&lt;3</t>
  </si>
  <si>
    <t>fxxn69l10k2omcuk68fxxn6kd4anyw1t</t>
  </si>
  <si>
    <t>Trương Hoài Phong</t>
  </si>
  <si>
    <t>windy09042003@gmail.com</t>
  </si>
  <si>
    <t>+84764818891</t>
  </si>
  <si>
    <t>Tôi muốn phát triển bản thân ở một lĩnh vực khác, sau khi ra trường tôi chuyên về backend, nhưng thời điểm hiện tại tôi muốn theo về AI và về DA/DE</t>
  </si>
  <si>
    <t>Tôi chưa biết, vì về AI Engineer thì khá rộng, mỗi môi trường thì mạnh về một thế khác nhau, có chỗ thì chuyên về học máy/học sâu, chỗ thì tích hợp AI, chỗ thì phân tích nó, tôi nghĩ mình thích về việc phân tích dữ liệu, nên sẽ theo được với nó</t>
  </si>
  <si>
    <t>HCMUNRE – Trường Đại học Tài nguyên và Môi trường TP.HCM</t>
  </si>
  <si>
    <t>Không có dự án thực tế</t>
  </si>
  <si>
    <t>Em cám ơn vì đã đọc phần đơn ứng tuyển này của em, em rất mong có cơ hội được hợp tác và làm việc lâu dài cùng với công ty</t>
  </si>
  <si>
    <t>iwr2m7ir6lrypho8j0iwr20h0fcuxxqy</t>
  </si>
  <si>
    <t>Triệu Tấn Huy</t>
  </si>
  <si>
    <t>huytrieutan@gmail.com</t>
  </si>
  <si>
    <t>+84918925902</t>
  </si>
  <si>
    <t>I’m motivated to join SUN.RISER because the AI Engineer role aligns with my goal of building real-world AI systems. I’m especially interested in working with LLMs and scalable solutions, and I see this as a great opportunity to grow while contributing to impactful products.</t>
  </si>
  <si>
    <t>This role involves building and deploying AI solutions, working with data, and integrating models like LLMs into real applications.
I’m a good fit because I have a solid AI and software foundation, hands-on project experience, and I learn quickly to deliver practical solutions.</t>
  </si>
  <si>
    <t>I worked as an AI intern at ACB Securities, contributing to a stock market support chatbot by handling data processing and assisting in model development.
Additionally, I developed projects like a scene classification system and a health consultation chatbot. These projects achieved functional results with practical applications, demonstrating my ability to build and apply AI solutions in real-world scenarios.</t>
  </si>
  <si>
    <t>Currently updating my portfolio. Available upon request.</t>
  </si>
  <si>
    <t>I’m very interested in the opportunity to grow as an AI Engineer at SUN.STUDIO. I’m eager to learn, take on challenges, and contribute to real-world AI products. I would greatly appreciate the chance to be part of your team and develop my skills further.</t>
  </si>
  <si>
    <t>dzx6zgldgnr6gc7dn6dzx6b58jvy2cak</t>
  </si>
  <si>
    <t>Lê Minh Nhật</t>
  </si>
  <si>
    <t>nhatminhle.sd2019@gmail.com</t>
  </si>
  <si>
    <t>+84858098054</t>
  </si>
  <si>
    <t>have a strong passion for working with people and have gained hands-on experience in HR-related activities. Through my previous experiences, I’ve developed an interest in recruitment, employee engagement, and supporting team development. I can stand a chance of growing my skills while contributing to building a positive and effective workplace.</t>
  </si>
  <si>
    <t>I believe this role involves supporting recruitment, coordinating interviews, and contributing to employee engagement.
I’m a good fit because I have HR experience, strong communication skills, and a genuine interest in working with people. I’m also proactive and well-organized, which helps me handle tasks efficiently.</t>
  </si>
  <si>
    <t>International Economics (Kinh tế đối ngoại)</t>
  </si>
  <si>
    <t>7.83/10</t>
  </si>
  <si>
    <t>As a member of the HR Department at Young Economist Club, I supported recruitment activities including CV screening and interviewing over 100 candidates. I also handled logistics and coordinated materials for internal events, ensuring smooth operations. Additionally, in internal communication roles, I contributed to content planning and execution, helping increase engagement to 150+ weekly interactions and grow the fanpage to over 1,500 followers. These experiences strengthened my coordination, communication, and organizational skills in a fast-paced environment.</t>
  </si>
  <si>
    <t>https://www.facebook.com/share/p/18ZovS3qfW/</t>
  </si>
  <si>
    <t>I don’t have any further questions at the moment. Thank you for considering my application, and I’m looking forward to the opportunity to learn and contribute at SUN.STUDIO.</t>
  </si>
  <si>
    <t>mx67tj0u47i24gzggcwmx67tj0yihzos</t>
  </si>
  <si>
    <t>Ngô Thế Kiệt</t>
  </si>
  <si>
    <t>ngothekiet2003@gmail.com</t>
  </si>
  <si>
    <t>+84367664855</t>
  </si>
  <si>
    <t>Sự mới mẽ và sự phát triển</t>
  </si>
  <si>
    <t>Kiểm thử đảm bảo chất lượng và phân tích dữ liệu
Tôi thấy phù hợp là vì tôi luôn muốn những việc mình làm nó là phiên bản tốt nhất trước khi đưa cho ai đó</t>
  </si>
  <si>
    <t>Information security</t>
  </si>
  <si>
    <t>pjouca0oo6gbmteypjoucryzok0hrp5z</t>
  </si>
  <si>
    <t>Nguyễn Thi Anh Thành</t>
  </si>
  <si>
    <t>anhthanhnguyenthi202@gmail.com</t>
  </si>
  <si>
    <t>+84911535377</t>
  </si>
  <si>
    <t>Mình mong muốn được thử sức trong lĩnh vực game và muốn áp dụng các kiến thức phân tích mình đã học vào thực tế</t>
  </si>
  <si>
    <t>Theo mình thì vị trí Data Analyst Intern sẽ phân tích hành vi người dùng,  theo dõi các chỉ số vận hành như Số người chơi hoạt động mỗi ngày, Tỉ lệ giữ chân người chơi, Doanh thu trung bình mỗi user; Tham gia chuẩn bị dữ liệu để so sánh hiệu quả giữa các tính năng mới, sự kiện (Events) hoặc các mức độ khó khác nhau trong game; Trực quan hóa dữ liệu</t>
  </si>
  <si>
    <t>7/10</t>
  </si>
  <si>
    <t>Project Flood-It Game - Phân tích Chiến thuật &amp; Hành vi Người chơi
​Vai trò:
​Trong dự án này, tôi đóng vai trò là người thiết kế và vận hành hệ thống phân tích dữ liệu toàn diện. Cụ thể, tôi đã:
​Xây dựng Data Pipeline: Tự động hóa luồng dữ liệu từ Cloud Storage vào BigQuery, đảm bảo dữ liệu game log quy mô lớn được làm sạch và chuẩn hóa bằng Python.
​Phân tích Cân bằng Game (Game Balance): Sử dụng các thuật toán tìm kiếm để mô phỏng chiến thuật tối ưu, sau đó so sánh với dữ liệu thực tế của người chơi nhằm đánh giá độ khó và tính cân bằng của các màn chơi.
​Xây dựng Chỉ số Giữ chân: Định nghĩa và theo dõi "Khủng hoảng 24 giờ" để xác định thời điểm vàng cần can thiệp nhằm giữ chân người dùng.
​Kết quả &amp; Giá trị đạt được:
​Giảm tỷ lệ rời bỏ (Churn Rate): Phát hiện điểm nghẽn tại cấp độ 1-4 khi tỷ lệ vượt màn chỉ đạt 17.5%, từ đó đề xuất điều chỉnh độ khó để cải thiện trải nghiệm người chơi mới.
​Tối ưu hóa doanh thu: Xác định phân khúc "Big Pack" đóng góp 70% doanh thu ($7,000/$10,000). Dựa vào đó, tôi đã xây dựng chiến lược "Flash Sale" đêm khuya và gói "Starter Pack" dành riêng cho người chơi mới trong 24 giờ đầu để tối đa hóa tỷ lệ chuyển đổi.</t>
  </si>
  <si>
    <t>https://github.com/nguyenthanh222/Flood-It-Game-Analytics</t>
  </si>
  <si>
    <t>Mình thấy được SUN.STUDIO là một môi trường phù hợp để mình có thể phát  triển trong lĩnh vực phân tích và mình muốn áp dụng những kiến thức mình đã học và làm dự án sẽ giúp Studio đưa ra các quyết định nhanh chóng và tự tin hơn trong thị trường game đầy biến động hiện nay.</t>
  </si>
  <si>
    <t>1l5bq9l92nrs3p8ta1l5bzxqa0u17bpb</t>
  </si>
  <si>
    <t>Nguyễn Thị Tuyết Nữ</t>
  </si>
  <si>
    <t>tuyetnu25122003@gmail.com</t>
  </si>
  <si>
    <t>+84364568103</t>
  </si>
  <si>
    <t>With a strong interest in User Acquisition, especially in the gaming industry, I have been actively seeking opportunities to grow in this field. I see the SUN.RISER program as an ideal starting point to learn from experienced professionals and contribute to UA activities at SUN STUDIO.</t>
  </si>
  <si>
    <t>I see User Acquisition as a perfect combination of creativity, data, and technology, involving everything from targeting the right audiences to optimizing campaign performance. As a quick learner with experience in content creation and currently developing my data analysis skills, I believe I can be a helpful assistant to your team.</t>
  </si>
  <si>
    <t>9.2</t>
  </si>
  <si>
    <t>I do not have direct experience in the gaming industry yet. However, I have experience in content creation with strong SEO performance and have been actively learning about user acquisition, including basic campaign metrics. I’m eager to apply and develop these skills in a practical environment.</t>
  </si>
  <si>
    <t>I may not start as the strongest, but I’m a fast learner who adapts quickly and continuously improves. I’m eager to learn, proactive in taking on challenges, and ready to grow in User Acquisition while contributing positively to your team.</t>
  </si>
  <si>
    <t>s1i7l7a5b0g5yprxbs1iqe25wzo75yui</t>
  </si>
  <si>
    <t>Lê Đức Long</t>
  </si>
  <si>
    <t>long.leduc.work@gmail.com</t>
  </si>
  <si>
    <t>+84966343508</t>
  </si>
  <si>
    <t>Động lực của em khi ứng tuyển vào SUN.RISER là cơ hội được cọ xát với môi trường thực tế để nâng cao kinh nghiệm chuyên môn. Em tin rằng với nền tảng kỹ thuật và khả năng tự học nhanh, em sẽ sớm bắt nhịp với các công nghệ mới tại công ty và hoàn thành tốt những thử thách được giao.</t>
  </si>
  <si>
    <t>Theo em, vị trí này yêu cầu sự kết hợp giữa kiến thức nền tảng vững chắc và khả năng thích nghi với các công nghệ mới. Em có thế mạnh về nghiên cứu và thực thi các mô hình AI/ML, đồng thời luôn chủ động cập nhật kiến thức qua các cuộc thi như VPBank Hackathon.</t>
  </si>
  <si>
    <t>UMT - Trường ĐH Quản lý và Công nghệ TPHCM</t>
  </si>
  <si>
    <t>8.225</t>
  </si>
  <si>
    <t>Em có kinh nghiệm chuyên sâu về AI/ML qua đồ án tốt nghiệp ứng dụng XGBoost và Transformer để phát hiện tấn công mạng từ dữ liệu PCAP. Trong kỳ thực tập tại Motorola Solutions, em đã trực tiếp xây dựng pipeline xử lý dữ liệu quy mô lớn và huấn luyện các mô hình. Với tư duy nghiên cứu độc lập và khả năng tự học nhanh công nghệ mới (như Ansible, AWS Cloud), em tự tin có thể đóng góp các giải pháp kỹ thuật tối ưu cho dự án.</t>
  </si>
  <si>
    <t>https://drive.google.com/drive/folders/14n0TnM0HexazxxfEIcJcONASYST5K73p?usp=drive_link</t>
  </si>
  <si>
    <t>iihi0we3pbajowyyqdgwpiihi0mjmkda</t>
  </si>
  <si>
    <t>Huỳnh Thị Kim Ngọc</t>
  </si>
  <si>
    <t>huynhkimngoc1601@gmail.com</t>
  </si>
  <si>
    <t>+84849600023</t>
  </si>
  <si>
    <t>Em có hơn 13 năm trải nghiệm game và luôn muốn hiểu cách game được tạo ra, không chỉ chơi chúng. Vị trí Unity Development Intern tại SUN.RISER là cơ hội để em chuyển nền tảng C# và tư duy hệ thống từ các dự án AI/simulation thành kỹ năng game development thực tế trong một môi trường chuyên nghiệp.</t>
  </si>
  <si>
    <t>Em phù hợp vì đã có nền tảng C# và kinh nghiệm tự xây dựng game (*Eight Days of Fate) cũng như các hệ thống logic từ các dự án simulation và computer vision. Em có khả năng làm việc nhóm, chủ động tiếp cận công nghệ mới, và muốn phát triển kỹ năng game development thực tế trong một môi trường chuyên nghiệp.</t>
  </si>
  <si>
    <t>CTUT -Kỹ Thuật Công Nghệ Cần Thơ</t>
  </si>
  <si>
    <t>Đó là dự án cá nhân, trong đó em lên ideas cho game, viết cốt truyện, tạo các ending, tạo lựa chọn phù hợp, lên ideas cho tuyến phát triển cho các npc, viết code, và test thử. Dự án đó vẫn chưa hoàn thành và cũng không public, chỉ có trên git. Còn một bài cá nhân nữa làm bằng gama, em dựa vào agar.io, tạo nên phiên bản khác và mô phỏng lên gama. Em làm thiết kế cơ chế như săn mồi, chạy trốn, bảo vệ. Sau đó tính toán khoảng cách phù hợp, viết code, và test game.</t>
  </si>
  <si>
    <t>Dự án 1: https://github.com/AKN16/eight-days-of-fate . Dự án 2: https://github.com/AKN16/gama-agent-based-simulation .</t>
  </si>
  <si>
    <t>Bản thân em biết yếu điểm lớn nhất của mình hiện tại là không có project nào làm bằng unity. Nhưng hiện tại em đang và đã tự học và tự thực hành bằng unity. Em hy vọng được có một cơ hội để chứng minh bản thân.</t>
  </si>
  <si>
    <t>axrlmj4qps0ksi2ejaxrlv3mhzikw0o7</t>
  </si>
  <si>
    <t>HOÀNG HUY TỚI</t>
  </si>
  <si>
    <t>hoanghuytoi03@gmail.com</t>
  </si>
  <si>
    <t>+84985484725</t>
  </si>
  <si>
    <t>phù hợp</t>
  </si>
  <si>
    <t>thiết kế , ứng dụng ai vào công việc</t>
  </si>
  <si>
    <t>backend developer</t>
  </si>
  <si>
    <t>https://hoanghuytoi.github.io/toi-portfolio/</t>
  </si>
  <si>
    <t>6bz6le1gkhnccftaqs256bz6le6wjqme</t>
  </si>
  <si>
    <t>Đỗ Nguyễn Khoa Duy</t>
  </si>
  <si>
    <t>khoaduy.work@gmail.com</t>
  </si>
  <si>
    <t>+84357457257</t>
  </si>
  <si>
    <t>Em thật sự mong muốn tìm được một môi trường năng động, phù hợp, chuyên nghiệp và tạo mọi điều kiện cần thiết để một sinh viên như em có thể phát triển.</t>
  </si>
  <si>
    <t>Ở vị trí Data Analysis Intern, em nghĩ công việc chính sẽ bao gồm:
- Thu thập dữ liệu từ những nguồn được yêu cầu, thực hiện các bước làm sạch
- Xử lý dữ liệu (đưa vào lưu trữ, lựa chọn dữ liệu, sử dụng dữ liệu cho mục đích cụ thể)
- Rút ra insight, chia sẻ kết quả phân tích đến các bộ phận
Em cảm thấy phù hợp vì đây là định hướng 2 năm tới của em</t>
  </si>
  <si>
    <t>Công nghệ tài chính (FinTech)</t>
  </si>
  <si>
    <t>em không có</t>
  </si>
  <si>
    <t>Em rất mong muốn SUN.STUDIO sẽ là điểm khởi đầu cho một hành trình trưởng thành trên công việc của chính bản thân em. Nếu được trao cơ hội, em sẽ đóng góp đúng như những gì em chia sẻ và quý công ty mong muốn</t>
  </si>
  <si>
    <t>5d81f7izcn5unx3ey5id5d81fq0dlkrf</t>
  </si>
  <si>
    <t>Hồ Nhật Tiến</t>
  </si>
  <si>
    <t>honhattien4@gmail.com</t>
  </si>
  <si>
    <t>+84915751200</t>
  </si>
  <si>
    <t>First, there's a personal reason, I'm a game enthusiast and I enjoy making games. As a final-year Software Engineering student, I’m deeply into C# and have already built an Action RPG on Unity, handling everything from combat logic to Boss AI. My background in competitive Physics helps me tackle complex logic and motion challenges with ease.</t>
  </si>
  <si>
    <t>This role is about turning gameplay ideas into reality with C#. I'm a good fit because I've already handled Unity projects and built Boss AI logic from scratch. With a logical mindset from my Physics background and a smooth Git workflow, I'm ready to go all-in with the team starting this June.</t>
  </si>
  <si>
    <t>Software Enginerring</t>
  </si>
  <si>
    <t>Adventure RPG Project (Unity): Served as the Lead Developer for Map 2. Programmed the entire combat system and AI behaviors for mobs and the final Boss using C#.  Outcome: Delivered a fully functional 6-level action game while mastering the Unity workflow and Git version control.</t>
  </si>
  <si>
    <t>https://github.com/tiendatln/PRU_FinalProject</t>
  </si>
  <si>
    <t>Ứng tuyển qua Chương trình Thực tập hè của Nhà trường (như HCMUS, HCMUT), SUN.STUDIO LinkedIn, Mạng xã hội</t>
  </si>
  <si>
    <t>yqeh2bl59u82rz11pmfyqeh2bvlfqcli</t>
  </si>
  <si>
    <t>Châu Văn Minh Khoa</t>
  </si>
  <si>
    <t>23122035@student.hcmus.edu.vn</t>
  </si>
  <si>
    <t>+84916158557</t>
  </si>
  <si>
    <t>Mình lựa chọn intern AI engineer tại SUN.RISER vì mình là sinh viên ngành AI tại HCMUS và cũng thích chơi game trong thời gian rảnh, mình tò mò cách để 1 hệ thống AI hoạt động thực sự trong quy trình sản xuất game là như thế nào. Bên cạnh đó SUN.RISER có một mô hình đào tạo bài bản và điều đó thu hút mình.</t>
  </si>
  <si>
    <t>Mình nghĩ là có thể ứng dụng AI để xây dựng hành vi cho các nhân vật NPC, để chúng linh hoạt hơn. Hoặc kiểm tra phát hiện các bug trước khi đưa cho tester. Là người đã có kinh nghiệm huấn luyện, tinh chỉnh các mô hình DL, mặc dù chưa có kinh nghiệm làm game nhưng mình tin với khả năng tìm tòi và thích khám phá, mình sẽ làm việc tốt ở vị trí này.</t>
  </si>
  <si>
    <t>Trí Tuệ Nhân Tạo</t>
  </si>
  <si>
    <t>Là 1 bài tập xây dựng trò chơi tìm đường đi trong mê cung, có sử dụng các thuật toán tìm đường. Mình xây dựng thuật toán DFS và giao diện. Nhóm được điểm tốt trong bài tập đó.</t>
  </si>
  <si>
    <t>https://github.com/quanpro147/Tom-and-Gia-Huy và https://www.youtube.com/watch?v=QvK--n080sU</t>
  </si>
  <si>
    <t>Mình cảm ơn công ty đã trao cơ hội được phỏng vấn và hi vọng sẽ được đồng hành ạ.</t>
  </si>
  <si>
    <t>irp98r73db1gkonn358irp98nlnkp11g</t>
  </si>
  <si>
    <t>Trần Đắc Thịnh</t>
  </si>
  <si>
    <t>tdthinh0904@gmail.com</t>
  </si>
  <si>
    <t>+84949422609</t>
  </si>
  <si>
    <t>I'm motivated to join SUN.RISER as an AI Engineer Intern because it sits at the perfect intersection of two things I'm passionate about: artificial intelligence and game development.</t>
  </si>
  <si>
    <t>Built LLM‑driven data generation workflows (Gemini Flash 2.5, GPT‑4) using few‑shot and CoT prompting, with quality evaluation.
Implemented full RAG pipeline: FAISS in‑memory indexing → Qdrant hybrid search → reranking → generation.
Built RESTful APIs with JWT authentication &amp; authorization.</t>
  </si>
  <si>
    <t>Data Science / Khoa Học Dữ Liệu</t>
  </si>
  <si>
    <t>https://www.researchgate.net/publication/401772609_AutoViVQA_A_Large-Scale_Automatically_Constructed_Dataset_for_Vietnamese_Visual_Question_Answering</t>
  </si>
  <si>
    <t>Em muốn gửi đến SUN.STUDIO sự cam kết học hỏi và đóng góp nghiêm túc. Em không ngại thử nghiệm, không ngại sai để sửa, nhưng luôn đặt chất lượng sản phẩm và tinh thần đồng đội lên hàng đầu.</t>
  </si>
  <si>
    <t>rghnn3kzcffjhqtgzkmb2zt6rghnn8jr</t>
  </si>
  <si>
    <t>Nguyễn Trần Thị Phi Yến</t>
  </si>
  <si>
    <t>nguyentranthiphiyen96.1920@gmail.com</t>
  </si>
  <si>
    <t>+84395992792</t>
  </si>
  <si>
    <t>Tuy học ngành Điện tử - Viễn thông, kiến thức về vị trí này có thể không sâu như các bạn trong ngành, nhưng em có niềm đam mê và tự tin mình có thể phát triển trong lĩnh vực này. Em chọn SUN.RISER vì đây có thể là môi trường để em học hỏi và áp dụng tư duy toán học cùng kỹ năng đã có vào bài toán thực tế trong việc xử lý dữ liệu.</t>
  </si>
  <si>
    <t>Vị trí này sẽ khai thác dữ liệu từ BigQuery, xây dựng pipeline chuẩn hóa chỉ số và trực quan hóa để hỗ trợ các team ra quyết định chính xác. Với tư duy hệ thống mạnh trong việc xử lý dữ liệu chuỗi thời gian (RSSI) và làm sạch tín hiệu từ cảm biến. Cùng việc tự hỏi nhanh, em tự tin mình sẽ mang lại giá trị hiệu quả cho công ty.</t>
  </si>
  <si>
    <t>Điện tử - Viễn thông</t>
  </si>
  <si>
    <t>6.71</t>
  </si>
  <si>
    <t>Chưa có.</t>
  </si>
  <si>
    <t>Ứng tuyển qua Chương trình Thực tập hè của Nhà trường (như HCMUS, HCMUT), Mạng xã hội</t>
  </si>
  <si>
    <t>Dạ không ạ.</t>
  </si>
  <si>
    <t>6t4ji2q6suhd2two96t4jk2nmtvmhfoz</t>
  </si>
  <si>
    <t>Nguyễn Thế Luân</t>
  </si>
  <si>
    <t>23520899@gm.uit.edu.vn</t>
  </si>
  <si>
    <t>+84334521530</t>
  </si>
  <si>
    <t>I choose the AI Engineer Intern position at SUN.RISER to gain hands-on experience in building real AI applications, strengthen my problem-solving skills, and learn from a professional team while contributing to meaningful projects.</t>
  </si>
  <si>
    <t>I believe this role involves supporting the development and optimization of AI models, working with data, and contributing to real-world AI applications. I am a good fit because I have a strong foundation in AI, enjoy solving problems, and am eager to learn and adapt quickly in a practical working environment.</t>
  </si>
  <si>
    <t>9.1</t>
  </si>
  <si>
    <t>In the ArtemisSearch project at AIC 2024, I worked on developing an AI-based search system, focusing on data processing, embeddings, and improving retrieval performance. The project resulted in a functional prototype for intelligent multimedia search. Our team achieved a Consolation Prize and the work was accepted for publication at SOICT 2024.</t>
  </si>
  <si>
    <t>https://github.com/LoylP/AIC2024</t>
  </si>
  <si>
    <t>I am eager to learn, take on challenges, and contribute as much as I can. I hope to grow with SUN.STUDIO and gain valuable experience through real projects.</t>
  </si>
  <si>
    <t>edscoitihl3edskhrws161vnrhluvkhr</t>
  </si>
  <si>
    <t>Lê Ngọc Hiền</t>
  </si>
  <si>
    <t>lehien6601@gmail.com</t>
  </si>
  <si>
    <t>+84974796601</t>
  </si>
  <si>
    <t>Mong muốn phát triển game global chuyên nghiệp, trau dồi khả năng phát triển game, đóng góp giá trị cho thị trường game.</t>
  </si>
  <si>
    <t>Vị trí này sẽ cần phát triển gameplay cốt lõi, tích hợp các hiệu ứng, đồ họa, tài nguyên từ các vị trí khác, tạo các công cụ làm việc với các vị trí khác (game design), xây dựng giao diện của game, tích hợp các tính năng ngoài lề khác (quảng cáo, monetisation, đăng nhập,...)</t>
  </si>
  <si>
    <t>Khoa học máy tính - Trí tuệ nhân tạo ứng dụng</t>
  </si>
  <si>
    <t>Đã từng tham gia thực tập trong vòng 4 tháng với vai trò là unity developer intern. 
Tham gia phát triển dự án game mobile với team gồm 2 unity developer intern và các bộ phận khác trong công ty. Công việc chính: xây dựng hệ thống UI, phát triển hệ thống gameplay cốt lõi (cơ chế thẻ bài, dàn trận, gameloop chính, nâng cấp), tích hợp hệ thống save data, leaderboard dùng firebase, xây dựng tool config cho game designer tùy chỉnh thông số chung, thông số nhân vật.
Sản phẩm cuối đã được phát hành trên google play và apple store.</t>
  </si>
  <si>
    <t>https://lehien6601.github.io/</t>
  </si>
  <si>
    <t>Chương trình thực tập sẽ tập trung về phát triển instant game trên facebook và các nền tảng khác hay sẽ phát triển game mobile phát hành trên các cửa hàng apple store/google play vậy ạ?</t>
  </si>
  <si>
    <t>dxgl98j39vqbb9bnprddxgl98ppfd7e2</t>
  </si>
  <si>
    <t>Trần Đắc Phú</t>
  </si>
  <si>
    <t>trandacphu321@gmail.com</t>
  </si>
  <si>
    <t>+84982618700</t>
  </si>
  <si>
    <t>Em thích cảm giác trở thành 'chốt chặn' cuối cùng của một dự án. Em chọn làm QA vì muốn đóng vai trò bảo vệ chất lượng, đảm bảo rằng mọi phần mềm trước khi release đều là phiên bản hoàn thiện nhất, đáp ứng đúng nhu cầu nghiệp vụ và mang lại trải nghiệm trơn tru cho người dùng cuối.</t>
  </si>
  <si>
    <t>Vị trí QA đóng vai trò như người bảo vệ chất lượng của sản phẩm. Công việc chính là phân tích yêu cầu dự án, viết các kịch bản kiểm thử và trực tiếp thao tác để tìm ra lỗi (bug). Sau đó, ghi nhận lại và phối hợp với đội ngũ phát triển để khắc phục.Em tự tin mình phù hợp vì em có tính cách rất tỉ mỉ, cẩn thận và luôn chú ý đến từng chi tiết nhỏ</t>
  </si>
  <si>
    <t>computer science</t>
  </si>
  <si>
    <t>https://github.com/trandacphu321-ai</t>
  </si>
  <si>
    <t>Em mong công ty có thể xem xét hồ sơ của em và cho em một cơ hội để thực tập , mặc dù chưa có kinh nghiệm chuyên môn nhiều nhưng em có tinh thần cầu tiến và học hỏi để sẵn sàng gắn bó với công ty lâu dài</t>
  </si>
  <si>
    <t>t3cg1fjsierdns7lht3cgqcdqnoifukf</t>
  </si>
  <si>
    <t>Nguyễn Lưu Anh Huy</t>
  </si>
  <si>
    <t>nguyenluuanhhuy@gmail.com</t>
  </si>
  <si>
    <t>+84793515516</t>
  </si>
  <si>
    <t>I’m really interested in this AI Engineer Intern position at SUN.RISER because it fits both what I’ve been studying and what I enjoy doing. I’ve been learning machine learning and working on some small projects, so I want to get real experience and see how things actually work in a company</t>
  </si>
  <si>
    <t>I think this role involves building and testing AI models, or improving model performance that supports real projects. 
I’m really interested in AI applications, especially in areas like gaming, so I’m motivated to learn and contribute as much as I can.</t>
  </si>
  <si>
    <t>7.08</t>
  </si>
  <si>
    <t>I haven’t had formal experience in game-related or professional projects yet. However, I have worked on academic projects in machine learning, and I’m currently building my skills. I’m highly motivated to learn and gain practical experience through this opportunity.</t>
  </si>
  <si>
    <t>https://github.com/AlphaJCut</t>
  </si>
  <si>
    <t>TopCV, Mạng xã hội</t>
  </si>
  <si>
    <t>I’m really looking forward to the chance to join SUN.STUDIO. I’m still early in my journey, but I’m very motivated, enjoy learning new things, and I’m especially interested in AI applications like gaming. I hope I can contribute and grow with the team.</t>
  </si>
  <si>
    <t>pi79xyt8g6ou89opi5l79bkkz5zs896j</t>
  </si>
  <si>
    <t>Nguyễn Hà Viết Thống</t>
  </si>
  <si>
    <t>thong.nguyen1476@hcmut.edu.vn</t>
  </si>
  <si>
    <t>+84918748454</t>
  </si>
  <si>
    <t>Mình chọn vị trí này vì muốn được học hỏi, phát triển kỹ năng và đóng góp vào các hoạt động sáng tạo, năng động của SUN.RISER.</t>
  </si>
  <si>
    <t>Mình nghĩ vị trí Game Design Intern sẽ tham gia lên ý tưởng gameplay, xây dựng cơ chế game, viết mô tả tính năng và hỗ trợ cân bằng trải nghiệm người chơi.</t>
  </si>
  <si>
    <t>Mình đã có kinh nghiệm làm 2 dự án game bằng Python: Minesweeper sử dụng DFS và Chess AI có GUI, tích hợp Alpha-Beta Pruning và MCTS (làm chung với nhóm). Trong các dự án này, mình tham gia xây dựng logic gameplay, giao diện, xử lý luật chơi và chạy thử nghiệm. Kết quả là game chạy được ổn định, giúp mình hiểu hơn về thiết kế luật chơi, trải nghiệm người dùng và AI trong game.</t>
  </si>
  <si>
    <t>https://github.com/thongken/Minesweeper-HW1</t>
  </si>
  <si>
    <t>Trường đại học, Ứng tuyển qua Chương trình Thực tập hè của Nhà trường (như HCMUS, HCMUT), Thầy cô ở trường giới thiệu.</t>
  </si>
  <si>
    <t>Em mong có cơ hội được học hỏi, phát triển kỹ năng Game Design và đóng góp vào những sản phẩm game sáng tạo của SUN.STUDIO. Em sẽ luôn cố gắng, chủ động và nghiêm túc trong quá trình thực tập.</t>
  </si>
  <si>
    <t>pnk4n0nq4lve5cxgpnm9pnk4n0bjzkse</t>
  </si>
  <si>
    <t>Lê Hà Chức</t>
  </si>
  <si>
    <t>lechuc508@gmail.com</t>
  </si>
  <si>
    <t>+84969796314</t>
  </si>
  <si>
    <t>Vì SUN.RISER được biết là 1 đơn vị phát triển game nổi tiếng và mang đến lộ trình phát triển rõ ràng cho thực tập sinh từ tư duy locgic cho đến kỹ năng phân tích.</t>
  </si>
  <si>
    <t>Sẽ đảm nhận việc khai thác dữ liệu từ các dự án thực tế, xây dựng dashboard theo dõi chỉ số và tìm kiếm insight để hỗ trợ đội ngũ đưa ra quyết định kinh doanh chính xác. Em tự tin phù hợp vì sở hữu tư duy logic nhạy bén cùng khả năng làm chủ các công cụ SQL, Python và PowerBI, giúp chuyển hóa số liệu thô thành những giải pháp có giá trị cho team.</t>
  </si>
  <si>
    <t>HCMUTH - Trường Đại học Giao thông Vận tải TP.HCM</t>
  </si>
  <si>
    <t>8.05/10</t>
  </si>
  <si>
    <t>Vai trò: Independent Data Analyst
Chịu trách nhiệm toàn bộ vòng đời phân tích dữ liệu: từ khâu làm sạch, xử lý dữ liệu lớn (SQL/BigQuery &amp; Python) đến việc xây dựng mô hình dữ liệu (Data Modeling) và thiết kế Dashboard tương tác (Power BI).
Kết quả đạt được:
1. Xây dựng Data Pipeline thành công: Hợp nhất và chuẩn hóa luồng dữ liệu phân mảnh của hơn 73.000 active users, khắc phục hoàn toàn lỗi sai lệch ngày cài đặt (Install Date).
2. Bắt đúng "bệnh" của sản phẩm: Xác định chính xác nguyên nhân khiến Retention Rate thấp, chỉ ra 40% user bỏ game ngay tại Level 12 trong 10 phút đầu tiên.
3. Đề xuất chiến lược thực chiến: Ứng dụng mô hình RFM để phân khúc tập khách hàng IAP &amp; IAA, đưa ra giải pháp "Starter Pack $0.99" để giải quyết trực tiếp nút thắt Conversion Rate 0.1%.</t>
  </si>
  <si>
    <t>https://github.com/lehachuc/Hospital-Frenzy-Game-Analytics-Portfolio</t>
  </si>
  <si>
    <t>Là một người đam mê các trò chơi nhỏ, thú vị (Casual Games) và yêu thích việc tìm ra những câu chuyện ẩn sau các con số, em tin rằng vị trí DA Intern tại SUN.STUDIO là cơ hội tuyệt vời để em cống hiến sự tỉ mỉ, khả năng phân tích dữ liệu (SQL, Excel) của mình vào việc tối ưu hóa trải nghiệm người chơi, đồng thời phát triển thành một Data Analyst chuyên nghiệp trong ngành Game cùng đội ngũ SUN.RISER</t>
  </si>
  <si>
    <t>7kasfyrzi63ovryiu3hr7kasfynx2c5k</t>
  </si>
  <si>
    <t>Võ Đức Thiện</t>
  </si>
  <si>
    <t>ducthienvo2205@gmail.com</t>
  </si>
  <si>
    <t>+84379572270</t>
  </si>
  <si>
    <t>Em lựa chọn vị trí Game QA Intern tại SUN.STUDIO vì em nhận thấy đây là vai trò phù hợp nhất với định hướng phát triển của bản thân trong ngành game, đặc biệt là ở mảng đảm bảo chất lượng sản phẩm và trải nghiệm người chơi.
Em có sự hứng thú với việc phân tích hành vi người dùng và tìm ra các lỗi hoặc điểm chưa tối ưu trong sản phẩm. Với em, QA kh</t>
  </si>
  <si>
    <t>Theo em, vị trí Game QA Intern tại SUN.STUDIO sẽ tập trung vào việc đảm bảo chất lượng game thông qua các hoạt động kiểm thử có hệ thống. Cụ thể, QA sẽ tham gia test gameplay, phát hiện và ghi nhận lỗi, theo dõi quá trình fix bug, đồng thời đánh giá trải nghiệm người chơi để đảm bảo sản phẩm đạt chất lượng tốt nhất trước khi phát hành. Ngoài ra, QA</t>
  </si>
  <si>
    <t>6.98</t>
  </si>
  <si>
    <t>Em đã có kinh nghiệm kiểm thử phần mềm thông qua dự án Event Management System (JavaFX) với vai trò Tester. Em đã thiết kế và thực thi hơn 120 test case, phát hiện và báo cáo hơn 28 lỗi với mô tả chi tiết và các bước tái hiện lỗi. Ngoài ra, em thực hiện kiểm thử black-box cho các trường hợp validate input và viết unit test bằng JUnit, Mockito để kiểm tra logic hệ thống.
Qua dự án này, em hiểu rõ hơn quy trình QA, cải thiện kỹ năng phát hiện lỗi và xây dựng được tư duy kiểm thử.</t>
  </si>
  <si>
    <t>https://github.com/Duc-Thien-22</t>
  </si>
  <si>
    <t>Em mong muốn được trở thành một phần của SUN.STUDIO để học hỏi và phát triển trong môi trường làm game chuyên nghiệp. Em đặc biệt ấn tượng với định hướng đề cao chất lượng sản phẩm và trải nghiệm người chơi của công ty.
Nếu có cơ hội tham gia SUN.RISER, em sẽ luôn chủ động học hỏi, làm việc nghiêm túc và đóng góp hết khả năng của mình để cùng team tạo ra những sản phẩm game chất lượng. Đồng thời, em cũng mong muốn được gắn bó lâu dài và phát triển sự nghiệp QA trong ngành game tại SUN.STUDIO.</t>
  </si>
  <si>
    <t>8yuvh2spcc5aey7a29mn8yuvh24jsybx</t>
  </si>
  <si>
    <t>Trịnh Quang Hiên</t>
  </si>
  <si>
    <t>trinhquanghien.iuh@gmail.com</t>
  </si>
  <si>
    <t>+84375435837</t>
  </si>
  <si>
    <t>Điều khiến em lựa chọn vị trí này trong SUN.RISER là vì đây là cơ hội để em được phát triển trong môi trường thực tế, nơi em có thể áp dụng những kiến thức về dữ liệu và công nghệ mà mình đã học.
Em đặc biệt quan tâm đến lĩnh vực AI Engineering và mong muốn được tham gia vào các dự án có tính ứng dụng cao, giải quyết các bài toán thực tế.</t>
  </si>
  <si>
    <t>Theo em, vị trí AI Engineer sẽ tập trung vào việc xử lý dữ liệu, xây dựng mô hình và ứng dụng AI để giải quyết các bài toán thực tế.
Em phù hợp vì em có nền tảng về Python, machine learning và đã làm các project liên quan đến dữ liệu. Em cũng rất hứng thú với việc đưa AI vào ứng dụng thực tế và luôn chủ động học hỏi.</t>
  </si>
  <si>
    <t>Dạ, em đã có kinh nghiệm thông qua kỳ thực tập tại Novaha và các dự án cá nhân.
Trong quá trình thực tập, em đã xây dựng pipeline xử lý dữ liệu, giúp giảm 40% thời gian xử lý thủ công và làm việc với hơn 1,000+ dữ liệu hình ảnh. Bên cạnh đó, em thực hiện các project machine learning như dự đoán churn với AUC đạt 0.94 và xây dựng hệ thống detection real-time đạt ~20 FPS.</t>
  </si>
  <si>
    <t>https://hienpro0123.github.io/Data-Portfolio/</t>
  </si>
  <si>
    <t>Em rất mong muốn có cơ hội được tham gia và học hỏi tại SUN.STUDIO. Đây không chỉ là một vị trí thực tập mà còn là cơ hội để em được phát triển bản thân trong môi trường thực tế.
Em sẵn sàng dành thời gian, nỗ lực và nghiêm túc trong công việc để học hỏi nhanh nhất có thể và đóng góp vào team. Em hy vọng sẽ có cơ hội được đồng hành và phát triển cùng SUN.STUDIO.</t>
  </si>
  <si>
    <t>yy90sbouspd78jm16zlv4yy90srdzisf</t>
  </si>
  <si>
    <t>Lê Thành Đạt</t>
  </si>
  <si>
    <t>ltd.bqlda7112004@gmail.com</t>
  </si>
  <si>
    <t>+84329951538</t>
  </si>
  <si>
    <t>Đào tạo bài bản: Được hướng dẫn (mentoring) từ những người có kinh nghiệm trong ngành.
Tư duy dữ liệu: Rèn luyện khả năng phân tích chỉ số để tối ưu hóa chiến dịch Marketing.
Soft skills: Cải thiện kỹ năng làm việc nhóm, giải quyết vấn đề và quản lý dự án.</t>
  </si>
  <si>
    <t>Tôi không chỉ muốn nghiên cứu về AI trong phòng lab, mà tôi còn muốn đưa AI được ứng dụng vào đời sống thât tế.</t>
  </si>
  <si>
    <t>Northeastern University</t>
  </si>
  <si>
    <t>9.625</t>
  </si>
  <si>
    <t>As an AI Research Mentee at AIMA (mentored by a CMU PhD candidate), I built a robustness evaluation pipeline benchmarking Ferret-7B and NVIDIA DAM 3B under image corruption. I engineered a UniversalDataset abstraction unifying 5 benchmark formats and implemented an LLM-as-judge evaluation layer using CLAIR alongside BLEU/METEOR/ROUGE metrics — enabling systematic, multi-dimensional quality scoring within Kaggle's hardware constraints.Separately, I developed a Clinical Diagnosis RAG system by fine-tuning 4 LLMs (Gemma 2 9B, Llama 3.1 8B, Qwen 2.5/3) via LoRA, achieving 90% diagnosis accuracy and 73.1% keyword match on clinical QA benchmarks.</t>
  </si>
  <si>
    <t>https://github.com/lethanhdatphumy</t>
  </si>
  <si>
    <t>jbehwtgyw39w47oyjbehwtzhx1rrvh0b</t>
  </si>
  <si>
    <t>Lê Nguyễn Trung Vĩnh</t>
  </si>
  <si>
    <t>lntrungvinhds@gmail.com</t>
  </si>
  <si>
    <t>+84786885375</t>
  </si>
  <si>
    <t>Đam mê AI và mong muốn làm việc lâu dài trong lĩnh vực AI</t>
  </si>
  <si>
    <t>AI Engineer là người phát triển và triển khai các hệ thống trí tuệ nhân tạo (AI), như chatbot, nhận diện hình ảnh, xử lý ngôn ngữ tự nhiên hoặc mô hình dự đoán. Em có kiến thức chuyên môn về AI và khả năng tìm hiểu/sử dụng các công nghệ mới</t>
  </si>
  <si>
    <t>Mình chưa có kinh nghiệm về game</t>
  </si>
  <si>
    <t>https://github.com/TrungVinn</t>
  </si>
  <si>
    <t>Mình muốn có cơ hội làm việc và đồng hành cùng SUN.STUDIO</t>
  </si>
  <si>
    <t>pd741pn5armc1he9mpd741pgpvgszjeo</t>
  </si>
  <si>
    <t>Nguyễn Huỳnh Hạnh Nguyên</t>
  </si>
  <si>
    <t>nguyenhuynhhanhnguyen208@gmail.com</t>
  </si>
  <si>
    <t>+84983838961</t>
  </si>
  <si>
    <t>I really enjoy playing mobile games, and I once watched a video about the Game UA Marketing role, which focuses on helping users discover games through advertising. That’s why I’m very interested in this position and want to have more knowledge from this position.</t>
  </si>
  <si>
    <t>I think at this position I will research about audience trend, competitors, target segment,... Besides that, I also planning and set up the ads to reach to audience, and analysis the performance of ads.</t>
  </si>
  <si>
    <t>https://hanacvl.my.canva.site/hanhnguyenportfolio</t>
  </si>
  <si>
    <t>Threads</t>
  </si>
  <si>
    <t>080zlwldvd0evcggz0zg4080zlwl6qx7</t>
  </si>
  <si>
    <t>Nguyen Bui Duy Anh</t>
  </si>
  <si>
    <t>duyanhnguyenbui2004@gmail.com</t>
  </si>
  <si>
    <t>+84765635067</t>
  </si>
  <si>
    <t>Vì trong mắt tôi SUN.RISER là một nơi tốt để tôi có thể học hỏi kinh nghiệm từ những người giỏi hơn ở đó. Nơi mà tôi có thể phát triển theo đúng định hướng bản thân và sẵn sàng cống hiến 110% bản thân cho SUN.RISER để học hỏi và tạo nền tảng đứng cho bản thân.</t>
  </si>
  <si>
    <t>Vì tôi đã có kinh nghiệm thực tế trong việc làm sạch dữ liệu và xây dựng mô hình dự báo rủi ro tín dụng (Luận văn đạt 9.5/10). Có kinh nghiệm với Python, R, SQL và Power BI. Nên tôi có thể tự tin là bản thân không kéo chân người khác mà có thể hỗ trợ họ và thành một thành viên có giá trị trong đội trong khoảng thời gian tôi thực tập.</t>
  </si>
  <si>
    <t>Actuarial Science (Phân tích rủi ro và định phí bảo hiểm).</t>
  </si>
  <si>
    <t>Mặc dù tôi không có kinh nghiệm liên quan đến Game, nhưng tôi có kinh nghiệm làm việc phù hợp thông qua các dự án và cuộc thi học thuật. Ví dụ, tôi đã làm việc trên một hệ thống thử nghiệm cảnh báo rủi ro sớm dành riêng cho Sale tín dụng tại VPBank trong luận văn tốt nghiệp của bản thân. Đồng thời, tôi cũng tham gia vào Cuộc thi Nghiên cứu SOA, nơi tôi đã phân tích và mô phỏng rủi ro vỡ đập bằng R. Những kinh nghiệm này đã củng cố các kỹ năng của tôi trong phân tích dữ liệu, giải quyết vấn đề và áp dụng các mô hình vào việc ra quyết định thực tiễn.</t>
  </si>
  <si>
    <t>https://drive.google.com/file/d/12XKVHA7X5eJ83t4UC2VMM-l7gzDp4plp/view?usp=sharing</t>
  </si>
  <si>
    <t>tgywi7z1fwttbs9xa6wtgyw48vn904q6</t>
  </si>
  <si>
    <t>Tsằn Cá Thành</t>
  </si>
  <si>
    <t>cathanh1312@gmail.com</t>
  </si>
  <si>
    <t>+84931951036</t>
  </si>
  <si>
    <t>Marketing is one of the top three majors that I love during my learning courses (marketing, HR, and education). I also love playing games, not only playing but also having some interest in how to develop and giving some guides to play games more fun and easy.</t>
  </si>
  <si>
    <t>This role will require working as a marketing full stack based on tasks requested by the head of marketing and will focus on finding, introducing, and nurturing users during and after their gaming experience.
1. I love the gaming market and marketing.
2. I'm very comfortable working with data.
3. I adapt to new environments very quickly.</t>
  </si>
  <si>
    <t>HUFLIT - Trường Đại học Ngoại ngữ - Tin học Thành phố Hồ Chí Minh</t>
  </si>
  <si>
    <t>Vừa tốt nghiệp 1 năm</t>
  </si>
  <si>
    <t>Quản trị kinh doanh - Marketing</t>
  </si>
  <si>
    <t>https://www.facebook.com/MFEST2024</t>
  </si>
  <si>
    <t>I think the company should improve its branding because I haven't been able to research or learn much about it. Therefore, it will be difficult for customers (users or businesses) to reach out and expand the company's business.</t>
  </si>
  <si>
    <t>6kf8t0i84rpmx6a9rglbqzkvexak23bh</t>
  </si>
  <si>
    <t>Lâm Tấn Phát</t>
  </si>
  <si>
    <t>lamtanphat08@gmail.com</t>
  </si>
  <si>
    <t>+84774121743</t>
  </si>
  <si>
    <t>Em mong muốn học hỏi thêm về mảng AI  và em đã có kinh nghiệm thực tập từ trước đó nên em tin rằng mình có năng lực cũng như kiến thức về : GIT , Jira , Scrum , SOLID, Restful Api , 2FA , Redux , React Native , Firebase</t>
  </si>
  <si>
    <t>Em nghĩ vị trí AI Engineer sẽ tập trung vào việc xây dựng và tích hợp các giải pháp AI vào sản phẩm thực tế, thay vì chỉ làm mô hình thuần túy. Công việc bao gồm xử lý dữ liệu, xây dựng pipeline, triển khai các mô hình như NLP hoặc automation, và tối ưu để hệ thống chạy ổn định ở quy mô lớn  Em cũng đã tiếp cận việc ứng dụng AI trong dự án cá nhân</t>
  </si>
  <si>
    <t>Đại Học Văn Hiến</t>
  </si>
  <si>
    <t>Chưa tốt nghiệp</t>
  </si>
  <si>
    <t>Trong dự án nền tảng học trực tuyến, em đảm nhận vai trò fullstack developer, phụ trách cả frontend (React) và backend (NestJS). Em thiết kế API, xây dựng hệ thống quản lý khóa học, video và người dùng. Ngoài ra, em triển khai tính năng xử lý video và bước đầu ứng dụng AI bằng cách sử dụng Whisper để chuyển audio thành text và tạo nội dung tự động.</t>
  </si>
  <si>
    <t>https://learnnest-production.up.railway.app/login</t>
  </si>
  <si>
    <t>xkjo03wqq379343rgicxkjow3has8sqj</t>
  </si>
  <si>
    <t>Nguyễn Đăng Khoa</t>
  </si>
  <si>
    <t>ngdangkhoa.2023@gmail.com</t>
  </si>
  <si>
    <t>+84886782422</t>
  </si>
  <si>
    <t>Em chọn vị trí Human Resources trong SUN.RISER vì em quan tâm đến việc phát triển con người và xây dựng văn hoá doanh nghiệp. Thông qua trải nghiệm trong Ban Nhân sự của Bach Khoa Ambassador Club, em nhận thấy mình phù hợp với các công việc liên quan đến tổ chức, phối hợp và làm việc với con người. SUN.RISER sẽ là môi trường tốt để em đóng góp.</t>
  </si>
  <si>
    <t>Em thấy mình phù hợp với vị trí này vì em có nền tảng về tổ chức và làm việc với con người thông qua trải nghiệm ở Ban Nhân sự của Bach Khoa Ambassador Club, cùng với các công việc trước đây yêu cầu giao tiếp, phối hợp và xử lý tình huống. Ngoài ra, em là người chủ động, cẩn thận và có tinh thần học hỏi, nên em tin rằng mình có thể thích nghi nhanh</t>
  </si>
  <si>
    <t>Quản lý Công nghiệp</t>
  </si>
  <si>
    <t>Em từng tham gia Ban Nhân sự của Bach Khoa Ambassador Club, nơi em hỗ trợ đăng tin tuyển dụng, sàng lọc hồ sơ và điều phối phỏng vấn cho các vị trí trong câu lạc bộ. Em cũng tham gia trao đổi với ứng viên và hỗ trợ quá trình onboarding thành viên mới. Kết quả là CLB tuyển được các thành viên phù hợp, đảm bảo đủ nhân sự cho các hoạt động và sự kiện lớn.
Ngoài ra, khi giữ vai trò leader trong câu lạc bộ nhảy, em chịu trách nhiệm tuyển chọn thành viên, phân công vai trò và đào tạo đội nhóm. Em đã xây dựng được một team hoạt động hiệu quả, đạt giải cao trong một cuộc thi lớn và duy trì được tinh thần gắn kết trong nhóm.</t>
  </si>
  <si>
    <t>Do em apply vị trí Human Resource nên sẽ không có Portfolio ạ</t>
  </si>
  <si>
    <t>Em rất mong muốn có cơ hội được tham gia phỏng vấn để hiểu rõ hơn về SUN.STUDIO cũng như chia sẻ cụ thể hơn về bản thân. Em tin rằng với tinh thần học hỏi, sự chủ động và khả năng thích nghi, em có thể trở thành một mảnh ghép phù hợp và đóng góp giá trị tích cực cho đội ngũ.
Em xin cảm ơn !</t>
  </si>
  <si>
    <t>kyszu18y7759xlikyszplvag7yd4i6ck</t>
  </si>
  <si>
    <t>Trương Phúc Trường</t>
  </si>
  <si>
    <t>tpt044@gmail.com</t>
  </si>
  <si>
    <t>+84396154134</t>
  </si>
  <si>
    <t>Em muốn áp dụng kiến thức AI/ML vào bài toán thực tế trong game. Em có kinh nghiệm Python, PyTorch qua dự án ở trường và mong muốn phát triển theo hướng AI Engineer tại Sun Studio.</t>
  </si>
  <si>
    <t>Em nghĩ vị trí này sẽ tập trung vào việc nghiên cứu, xây dựng và thử nghiệm các ứng dụng AI (đặc biệt là GenAI) trong quy trình phát triển game.
Em phù hợp vì có nền tảng về Machine Learning/Deep Learning, kinh nghiệm với Python, PyTorch. Em có khả năng tự học tốt và mong muốn áp dụng AI vào sản phẩm thực tế.</t>
  </si>
  <si>
    <t>Em đã thực hiện nhiều dự án trong trường liên quan đến AI/ML, chủ yếu trong lĩnh vực Computer Vision và Deep Learning. Các dự án bao gồm phân loại ảnh, phát hiện đối tượng và nội suy khung hình video sử dụng Python và PyTorch. Trong các dự án này, em tham gia các công việc như tiền xử lý dữ liệu, huấn luyện mô hình, đánh giá kết quả và tối ưu hiệu năng, giúp em xây dựng nền tảng tốt trong việc phát triển các ứng dụng AI thực tế.</t>
  </si>
  <si>
    <t>https://github.com/Truong99zvc/BiM-RNet</t>
  </si>
  <si>
    <t>Em rất mong có cơ hội được tham gia SUN.RISER để học hỏi từ đội ngũ chuyên môn, đóng góp vào các sản phẩm thực tế và phát triển bản thân theo định hướng AI Engineer. Em sẵn sàng học hỏi, chủ động trong công việc và cam kết nỗ lực hết mình nếu có cơ hội đồng hành cùng SUN.STUDIO.</t>
  </si>
  <si>
    <t>fnhmg4pz4xexauxo0lafnhmg4p8tjnat</t>
  </si>
  <si>
    <t>Lê Minh Kiệt</t>
  </si>
  <si>
    <t>leminhkiet1102@gmail.com</t>
  </si>
  <si>
    <t>+84398363952</t>
  </si>
  <si>
    <t>Because it perfectly combines my passion for gaming with my interest in software testing. This role offers an excellent opportunity to apply my testing skills, learn from experienced professionals, and contribute to creating high-quality games. I am excited to grow my career in the gaming industry while delivering value to the company.</t>
  </si>
  <si>
    <t>I believe this role involves testing game features, identifying bugs, and ensuring a smooth player experience. With my manual testing experience, bug reporting skills, and strong passion for gaming, I am confident I can quickly identify issues and contribute effectively to QA team.</t>
  </si>
  <si>
    <t>Yes, I have hands-on testing experience as a freelance tester on Test IO. I performed exploratory testing for web and mobile applications, identified functional and visual issues, and reported over 30 valid bugs in English. This experience strengthened my bug-reporting, attention to detail, and ability to evaluate products from an end-user perspective.</t>
  </si>
  <si>
    <t>GitHub: https://https://github.com/MinhKiet1102/Software-testing  (Due to Test IO's confidentiality policy, I am unable to share client project details directly. The GitHub project above demonstrates my manual testing, test case design, and bug reporting skills relevant to this position.)</t>
  </si>
  <si>
    <t>I am excited about the opportunity to join SUN.STUDIO and contribute to creating high-quality gaming experiences. With my passion for games, strong attention to detail, and eagerness to learn, I am ready to grow, take on challenges, and contribute positively to your team. Thank you for considering my application.</t>
  </si>
  <si>
    <t>315dutt2oyxzaq27mi03315db2bvmoj1</t>
  </si>
  <si>
    <t>Nguyễn Quyết Giang Sơn</t>
  </si>
  <si>
    <t>giangson140403@gmail.com</t>
  </si>
  <si>
    <t>+84704140403</t>
  </si>
  <si>
    <t>Because I have always felt the need to explore and learn across many different areas, I have not yet had the chance to focus deeply on one specific field. Joining SUN.RISER gives me the opportunity to work in a structured environment, where I can concentrate on developing expertise in a single domain and build a solid foundation for my career.</t>
  </si>
  <si>
    <t>I think this role involves researching, building, and implementing AI solutions such as data processing, model training, and optimization.
I am a good fit because I have strong research skills, can leverage AI tools to solve complex problems, and consult mentors to ensure effective solutions.</t>
  </si>
  <si>
    <t>Yes. I worked as an AI Engineer Intern, where I contributed to a project developing a CV evaluation system to support HR in filtering applications. My role was to research and extract features for scoring CVs, and I also used n8n to automate retrieving CVs from TopCV. HR then reviewed the shortlisted CVs to validate the results.</t>
  </si>
  <si>
    <t>https://github.com/GiangSon-5</t>
  </si>
  <si>
    <t>SUN.STUDIO LinkedIn, Mạng xã hội, Ứng tuyển qua Chương trình Thực tập hè của Nhà trường (như HCMUS, HCMUT)</t>
  </si>
  <si>
    <t>I would like to ask how long it usually takes to receive feedback after applying and whether candidates who are not selected will also receive a response.</t>
  </si>
  <si>
    <t>0m05vuk8ttfwef90m05zw5dy3g194zzd</t>
  </si>
  <si>
    <t>Dương Quốc Thành</t>
  </si>
  <si>
    <t>thanh02062004@gmail.com</t>
  </si>
  <si>
    <t>+84984762140</t>
  </si>
  <si>
    <t>Em chọn vị trí Intern AI Engineer tại SUN.RISER vì em đang định hướng phát triển theo mảng AI và mong muốn được tham gia vào các dự án thực tế.</t>
  </si>
  <si>
    <t>Theo em, vị trí này sẽ làm việc với dữ liệu, xây dựng và tích hợp các mô hình AI vào sản phẩm. Em thấy bản thân mình phù hợp vì em có nền tảng lập trình, tư duy hệ thống và kinh nghiệm làm dự án thực tế. Bên cạnh đó em có tinh thần chủ động học hỏi và có thể nhanh chóng tiếp cận các công nghệ AI mới hiện nay.</t>
  </si>
  <si>
    <t>Hiện tại em có nền tảng về phát triển mobile app và website. Tuy chưa có nhiều kinh nghiệm trực tiếp trong lĩnh vực game, nhưng em tin rằng các kỹ năng lập trình, tư duy logic và kinh nghiệm xây dựng sản phẩm của mình có thể áp dụng tốt vào quá trình phát triển game.</t>
  </si>
  <si>
    <t>https://github.com/Thanhdqk/DuAnTotNghiep</t>
  </si>
  <si>
    <t>Em mong muốn được học hỏi và phát triển trong môi trường thực tế tại SUN.STUDIO, nơi em có thể tiếp cận các bài toán AI và cách áp dụng vào sản phẩm. Em sẵn sàng chủ động học hỏi, thích nghi nhanh và nỗ lực để không chỉ hoàn thành tốt công việc được giao mà còn có thể đóng góp giá trị cho team trong quá trình làm việc.</t>
  </si>
  <si>
    <t>sqad4pkbz1rwr3knffjjsqad4pkbxxpk</t>
  </si>
  <si>
    <t>Nguyễn Hoàng Trang</t>
  </si>
  <si>
    <t>hoanggtrang12345@gmail.com</t>
  </si>
  <si>
    <t>+84989431140</t>
  </si>
  <si>
    <t>I am motivated to choose the Data Analyst position at SUN.RISER because it provides the opportunity to work with real game data and understand how data supports decision-making in game development.</t>
  </si>
  <si>
    <t>I think this role is about using game data to understand player behavior and turn it into insights for better decisions.
I’m a good fit because I have a strong Excel foundation and a logical mindset from Accounting. I’m still learning SQL and Python, but I learn fast and prefer hands-on work.</t>
  </si>
  <si>
    <t>Corporate Accounting</t>
  </si>
  <si>
    <t>I don’t have direct experience in the gaming industry yet, but I have worked with data through coursework, mainly using Excel for organizing and analyzing data.
In addition, I’m very interested in games and often try to understand how player behavior and in-game systems affect outcomes.</t>
  </si>
  <si>
    <t>https://drive.google.com/drive/folders/1PmfMhu13OyPnBC7D99tfm_DhJr8djOuz?usp=sharing</t>
  </si>
  <si>
    <t>I know I’m still at the beginning of my journey in Data Analysis, but I’m serious about it. I’m actively improving my skills and looking for a real environment to learn and contribute.
I believe SUN.STUDIO can give me that opportunity, and I’m ready to put in the effort to grow and create value.</t>
  </si>
  <si>
    <t>f3rntee4u5p1loykk13f3rntaz4uvi5o</t>
  </si>
  <si>
    <t>Phan Nguyễn Trung Hiếu</t>
  </si>
  <si>
    <t>trunghieuy2006@gmail.com</t>
  </si>
  <si>
    <t>+94945661917</t>
  </si>
  <si>
    <t>Tôi chọn vị trí này tại SUN.RISER vì đây là cơ hội phù hợp để tôi phát triển kỹ năng Unity, học hỏi trong môi trường làm game thực tế và đóng góp vào những sản phẩm chất lượng. Tôi tin đây là nơi giúp tôi vừa nâng cao chuyên môn, vừa tích lũy kinh nghiệm để phát triển lâu dài trong ngành game.</t>
  </si>
  <si>
    <t>Theo tôi, vị trí này sẽ tập trung vào phát triển và tối ưu các tính năng trong game bằng Unity, hỗ trợ xây dựng gameplay, sửa lỗi, phối hợp với team để hoàn thiện sản phẩm và đảm bảo trải nghiệm người chơi tốt hơn. Tôi cảm thấy phù hợp vì tôi có nền tảng về Unity, C#, tư duy logic tốt và khả năng học nhanh.</t>
  </si>
  <si>
    <t>Trường Cao đẳng FPT Polytechnic Tây Nguyên</t>
  </si>
  <si>
    <t>Có, tôi đã tham gia các dự án game, ví dụ như game Tower Defense với vai trò Gameplay Developer, chủ yếu phát triển gameplay bằng Unity, xây dựng cơ chế chơi. Qua đó, tôi hoàn thành sản phẩm đúng mục tiêu và tích lũy thêm kinh nghiệm thực tế về Unity, C# và làm việc nhóm.</t>
  </si>
  <si>
    <t>https://github.com/Yutaka-ReiRoku/Kingdom-Defense</t>
  </si>
  <si>
    <t>Tôi rất mong có cơ hội được đồng hành cùng SUN.STUDIO để học hỏi, phát triển kỹ năng và đóng góp hết mình vào các dự án game của công ty. Tôi hy vọng có thể mang đến tinh thần chủ động, trách nhiệm và sự nghiêm túc trong công việc, đồng thời không ngừng cải thiện bản thân để tạo ra giá trị thực tế cho đội ngũ. Cảm ơn SUN.STUDIO đã dành thời gian xem xét hồ sơ của tôi.</t>
  </si>
  <si>
    <t>rjgg16bpsdsikwbyzujrjgg16fl5a78i</t>
  </si>
  <si>
    <t>Nguyễn Đặng Thanh Duy</t>
  </si>
  <si>
    <t>thanhdyy23@gmai.com</t>
  </si>
  <si>
    <t>+84373792380</t>
  </si>
  <si>
    <t>em nghĩ vị trí intern là bước phù hợp để em tiếp cận quy trình làm game chuyên nghiệp, làm việc cùng các anh chị trong team và hiểu rõ hơn về từng vai trò như game design, development hay QA. Qua đó, em có thể xác định hướng đi lâu dài của mình trong ngành.</t>
  </si>
  <si>
    <t>Em nghĩ là sẽ phân tích game, cân bằng những chỉ số cơ bản nhỏ, có thể là fix những bug game nhỏ , viết các tính năng có logic cơ bản cho game.
Và vì sao em phù hợp với vị trí này : em nghĩ mình thực sự phù hợp với vị trí này vì em có sự quan tâm một cách nghiêm túc đến cách mà một trò chơi được vận hành, không dừng lại ở việc chơi .</t>
  </si>
  <si>
    <t>CEP – Trường Cao đẳng Kinh tế TP.HCM</t>
  </si>
  <si>
    <t>Công nghệ thông tin ( Ứng dụng phần mềm)</t>
  </si>
  <si>
    <t>~ 6.5/10</t>
  </si>
  <si>
    <t>Trước đây chủ yếu em chỉ làm về các trang web để nộp bài tập thôi ạ. Chủ yếu dùng C# VÀ C++</t>
  </si>
  <si>
    <t>dạ em không còn ạ.</t>
  </si>
  <si>
    <t>SUN.STUDIO LinkedIn, TopCV</t>
  </si>
  <si>
    <t>Dạ em cảm ơn SUN.STUDIO đã tạo cơ hội cho các bạn trẻ như em có công việc thực tập và phát huy nhiều hơn trong đời sống của mình . Em cảm ơn ạ</t>
  </si>
  <si>
    <t>9klung0lne587yd9kl3vapvp1augp8fc</t>
  </si>
  <si>
    <t>Võ Nhân Hồng Phúc</t>
  </si>
  <si>
    <t>phucvnhpk04087@gmail.com</t>
  </si>
  <si>
    <t>+84854452626</t>
  </si>
  <si>
    <t>Tôi đam mê phát triển game mobile nên muốn ứng tuyển vị trí này. Với kinh nghiệm Unity &amp; C#, tôi mong được đóng góp vào các tựa game vui, mượt mà và học hỏi từ team chuyên nghiệp.</t>
  </si>
  <si>
    <t>Tôi nghĩ vị trí này tập trung vào xây dựng gameplay, tối ưu hiệu năng và làm mượt trên mobile.  Tôi phù hợp vì đã có kinh nghiệm Unity &amp; C#, từng làm cơ chế gameplay (di chuyển, combat, bắn súng) và multiplayer với Photon PUN2 trong các dự án thực tế.</t>
  </si>
  <si>
    <t>FPT Poly - Trường Cao đẳng FPT Polytechnic Tây Nguyên</t>
  </si>
  <si>
    <t>Trong dự án FPS Multiplayer, tôi làm Game Play Developer. Tôi triển khai cơ chế di chuyển và bắn súng, đồng bộ người chơi, tạo phòng chơi bằng Photon PUN2, cùng xây dựng hệ thống điểm và bảng xếp hạng.  Dự án hoàn thành với gameplay ổn định ở 60 FPS và không có bug nghiêm trọng.</t>
  </si>
  <si>
    <t>https://github.com/BuckyPlat/FPS-tutor</t>
  </si>
  <si>
    <t>Tôi mong rằng có thể có được một buổi phỏng vấn và nếu tốt hơn thì sẽ được trúng tuyển vào trong công ty</t>
  </si>
  <si>
    <t>wrf0abdh9jrflmncwrf0w8qoep6ss5zx</t>
  </si>
  <si>
    <t>Lê Bá Đoàn</t>
  </si>
  <si>
    <t>23520292@gm.uit.edu.vn</t>
  </si>
  <si>
    <t>+84819070163</t>
  </si>
  <si>
    <t>Em có niềm đam mê với ngành làm game, đặc biệt là đối với những game casual vì đó là một trong những thể loại game mà em yêu thích. Em cũng là một người học hỏi và sẵn sàng ghi nhận những ý kiến và đóng góp từ những thành viên trong dự án để phát triển kỹ năng lập trình cũng như mở rộng được thêm những kiến thức cho dự án sau này.</t>
  </si>
  <si>
    <t>Theo em, vị trí này sẽ bao gồm phát triển và sáng tạo tính năng gameplay, tối ưu hóa game, sửa lỗi và thiết lập UI.
Bản thân em phù hợp với vị trí này vì những sản phẩm tạo ra ở trường và những dự án cá nhân khác đều bao gồm tất cả những công việc trên, và em đã làm quen và thích nghi được trong việc quản lý những thành phần quan trọng này.</t>
  </si>
  <si>
    <t>8.23</t>
  </si>
  <si>
    <t>Em quản lý hệ thống game trong dự án nhóm Debt or Dead trong khóa học Unity tại trường, được đánh giá 9/10 điểm.</t>
  </si>
  <si>
    <t>https://github.com/doanryderrhythm/SE115-Thesis</t>
  </si>
  <si>
    <t>TopCV, Mạng xã hội, Trường đại học</t>
  </si>
  <si>
    <t>mux92ookmpqh4kmb7lumuxrp8zhv81nv</t>
  </si>
  <si>
    <t>Phan Ngưng</t>
  </si>
  <si>
    <t>phanngung77x17@gmail.com</t>
  </si>
  <si>
    <t>+84708099262</t>
  </si>
  <si>
    <t>I love developing games.</t>
  </si>
  <si>
    <t>I am passionate about game development.</t>
  </si>
  <si>
    <t>CNTT (Honor Program)</t>
  </si>
  <si>
    <t>9.07</t>
  </si>
  <si>
    <t>MMORPG C++, Unity Puzzle C#</t>
  </si>
  <si>
    <t>https://github.com/77x17</t>
  </si>
  <si>
    <t>a9v8z54wdxrl1authma3za9v8z5ul4tb</t>
  </si>
  <si>
    <t>Nguyễn Trường Thịnh</t>
  </si>
  <si>
    <t>truongthinhbte@gmail.com</t>
  </si>
  <si>
    <t>+84838592692</t>
  </si>
  <si>
    <t>Vì em thấy làm game là một công việc rất thú vị, mình có thể trải nghiệm những sản phẩm do chính tay mình làm ra.</t>
  </si>
  <si>
    <t>Theo em, vị trí này sẽ tham gia phát triển các tính năng trong game, phối hợp với các thành viên khác như designer, artist hay backend để hoàn thiện sản phẩm.
Em nghĩ mình phù hợp với vị trí này vì em đã có kinh nghiệm làm các dự án game bằng Unity, có nền tảng C# tốt, quen với việc xử lý logic game, UI, animation và event system.</t>
  </si>
  <si>
    <t>Trong dự án gần nhất, em đóng vai trò từ thiết kế đến lập trình và kiểm thử. Đây là dự án game cá nhân đầu tiên của em.</t>
  </si>
  <si>
    <t>https://bunhiacopxki.itch.io/nummatch</t>
  </si>
  <si>
    <t>Dương Quang Minh</t>
  </si>
  <si>
    <t>Sau khi thử qua nhiều lĩnh vực thì em cảm thấy ngành game phù hợp nhất với mình. Trong game, em có thể ứng dụng nhiều kiến thức em đã tích lũy được. Em có khả năng đọc hiểu văn bản, viết document bằng tiếng Anh, sử dụng các thuật ngữ chuyên ngành. Ngoài ra, em đã có nhiều kinh nghiệm làm việc nhóm ở trường, sử dụng thành thạo git/github, hiểu rõ quy trình phát triển phần mềm. Em mong muốn làm việc trong một môi trường năng động, hòa đồng, có lộ trình phát triển rõ ràng. Em tin là thực tập tại SUN.STUDIO sẽ cho em nhiều bài học quý giá và kinh nghiệm làm việc thực tiễn trong môi trường chuyên nghiệp. Em xin cảm ơn!</t>
  </si>
  <si>
    <t>4l1ei512sx3vn3b04l1ei2pvmtt40yfc</t>
  </si>
  <si>
    <t>Nguyễn Hoài Như</t>
  </si>
  <si>
    <t>nhoainhu733@gmail.com</t>
  </si>
  <si>
    <t>+84367672694</t>
  </si>
  <si>
    <t>- Em muốn học hỏi nhiều hơn về công việc của vị trí đồng thời muốn sử dụng kiến thức mình học được để ứng dụng vào thực tế để hiểu và phân tích được những nhu cầu thực tế của người dùng hoặc sáng tạo những điều phù hợp hữu ích cho họ</t>
  </si>
  <si>
    <t>- Theo như nghiên cứu của em thì DA sẽ tập trung vào phân tích insight của người dùng từ dữ liệu thu thập được trong quá trình sử dụng từ đó đưa ra giải pháp phù hợp với nhu cầu thực tế của người dùng
- GD sẽ phân tích những gameplay hiện có sau đó đưa ra những lối chơi phù hợp và sáng tạo</t>
  </si>
  <si>
    <t>Kỹ thuật Phần mềm</t>
  </si>
  <si>
    <t>- Em có thu thập dữ liệu các loại bánh yêu thích theo mùa trên internet, sau đó làm sạch dữ liệu, phân tích các loại bánh nào sẽ được yêu thích vào mùa nào, ví dụ: Mùa valentine thì ưa chuộng bánh socola, 
- Đồng thời em cũng xây dựng dashboard cho website để thống kê doanh thu và tình hình buôn bán từ dữ liệu thực tế trong dự án của em</t>
  </si>
  <si>
    <t>https://www.behance.net/gallery/246985267/NguyenHoaiNhu-Portfolio</t>
  </si>
  <si>
    <t>- Em hy vọng sẽ có cơ hội làm việc lâu dài với SUN trong tương lai và học hỏi được nhiều thứ bổ ích từ anh chị đi trước</t>
  </si>
  <si>
    <t>k4t0h5s7u89903sfl3lnld1k4t0h5asr</t>
  </si>
  <si>
    <t>Nguyễn Xuân Lộc</t>
  </si>
  <si>
    <t>nxloc.2004@gmail.com</t>
  </si>
  <si>
    <t>+84961786249</t>
  </si>
  <si>
    <t>I am interested in this position due to my endless passion for game development, since I have little bit skills through building a game in Unity, I am not confident for the game dev position. Then, since I still want to contribution into the process of developing a game in the game industry, I felt that my skills in AI and data analysis worth it</t>
  </si>
  <si>
    <t>In my opinion, I think this position will require me to design an AI workflow and specialised for prompting and designing AI agent through tools such as n8n or"hardcore tools" such as React Agent, Langchain. Since I have experiences on using LangChain and n8n in the past, and I believe I have knowledge about NLP and LLMs, so this is bet fit for me</t>
  </si>
  <si>
    <t>6.68/10</t>
  </si>
  <si>
    <t>I have developed a game pokemon using Unity, and I have contributed into design and develop the skills, movement, strength balancing, and design the mana, blood bar for the character and pokemon</t>
  </si>
  <si>
    <t>https://github.com/Kandy2705/Pokemon_quiz.git</t>
  </si>
  <si>
    <t>gw2vlop5egq0gl2gw2vqkafcyxbep3xz</t>
  </si>
  <si>
    <t>Trương Quỳnh Như</t>
  </si>
  <si>
    <t>ntruongquynh2411@gmail.com</t>
  </si>
  <si>
    <t>+84706070821</t>
  </si>
  <si>
    <t>I’m motivated to join SUN.RISER because I want to grow in a fast-paced game studio that creates enjoyable games at scale. I’m excited to support hiring and improve candidate experience with strong coordination and attention to detail. And I’m eager to learn data-driven growth and creative testing to connect the right games to right players.</t>
  </si>
  <si>
    <t>I think this role involves supporting recruitment operations—screening candidates, coordinating interviews, updating trackers, and ensuring a smooth candidate experience. I’m a good fit because I’m organized, detail-oriented, and comfortable communicating with stakeholders, and my customer service anadmin experience trained me for this position.</t>
  </si>
  <si>
    <t>Business Administration/Quản trị Kinh Doanh</t>
  </si>
  <si>
    <t>Trong môn Tư Duy Thiết kế trong Kinh doanh, vào phần bài tập nhóm lấy điểm cuối kỳ: nhóm em xây dựng ý tưởng cho một game mobile (thể loại: casual/puzzle) từ giai đoạn lên ý tưởng đến đề xuất mô hình kinh doanh. 
Sau thời gian cùng bàn luận với các thành viên trong nhóm thì đã ra được trò chơi tên là Cafe Merge: Rush Hour, cách chơi là: Kéo ghép 2 món giống nhau (coffee bean → espresso → latte…) để hoàn thành đơn hàng. Đơn càng về sau càng phức tạp, thêm “combo chain” để ăn điểm. 
Vai trò của em tập trung vào nghiên cứu thị trường và đối thủ, xác định nhóm người dùng mục tiêu, phác thảo vòng lặp gameplay cốt lõi, và chuẩn bị tài liệu thuyết trình (vấn đề–giải pháp, giá trị đề xuất, định hướng kiếm tiền cơ bản &amp; kế hoạch go-to-market).
Trong phần trình bày trên lớp, nhóm nhận phản hồi tập trung vào tính “dễ chơi – dễ hiểu” của tính chất trò chơi và gợi ý cải thiện thêm về phần thiết kế logo vì đây mới là ý chính mà giảng viên sẽ dùng để chấm điểm bài tập nhóm.</t>
  </si>
  <si>
    <t>Vì các bạn đã xóa hết dữ liệu cho đỡ nặng máy sau khi kết thúc môn đó nên em cũng không còn giữ nữa.</t>
  </si>
  <si>
    <t>palrxykyg5q5b4palrxqldhe4ru9l6z8</t>
  </si>
  <si>
    <t>Lê Quốc Vương</t>
  </si>
  <si>
    <t>lequocvuong.work@gmail.com</t>
  </si>
  <si>
    <t>+84767615124</t>
  </si>
  <si>
    <t>Em muốn có cơ hội được tham gia vào dự án thật, học hỏi kinh nghiệm từ các dự án thực tế và anh chị đi trước để từ đó phát triển bản thân nhiều hơn</t>
  </si>
  <si>
    <t>Em nghĩ vị trí AI Engineer Intern sẽ tham gia vào việc huấn luyện và tinh chỉnh mô hình, triển khai mô hình, giải quyết các bài toán Computer Vision và NLP. 
Em nghĩ em phù hợp với vị trí này vì em được đào tạo lĩnh vực này ở trường đại học và em có sự yêu thích với việc hiểu và vận dụng các kiến trúc mô hình để có thể giải quyết vấn đề thực tế.</t>
  </si>
  <si>
    <t>9.13</t>
  </si>
  <si>
    <t>Dạ chưa có</t>
  </si>
  <si>
    <t>Dạ em hi vọng được trở thành một thành viên của SUN.STUDIO</t>
  </si>
  <si>
    <t>z0elp1lzew8yzjw41piwcuz0elp1lbg1</t>
  </si>
  <si>
    <t>BUI TRAN THY THY</t>
  </si>
  <si>
    <t>thybui1903qn@gmail.com</t>
  </si>
  <si>
    <t>+84344731226</t>
  </si>
  <si>
    <t>I’m motivated to join SUN.RISER because I want to explore a new domain in the game industry. Previously, I worked on data analysis in domains such as banking and marketing, and I’m eager to apply my skills to player data. I hope to leverage data-driven insights to improve player experience and contribute to better game decisions.</t>
  </si>
  <si>
    <t>I understand this role focuses on analyzing player data to generate insights for improving game experience and supporting product decisions.
With my background in Data Science and experience working with real-world datasets, I’m confident in my ability to analyze data effectively and adapt quickly to the gaming domain.</t>
  </si>
  <si>
    <t>1. ABSA on Tiki Reviews project
I worked on a semi-automatic dataset construction project using LLM-assisted labeling. My role involved preprocessing crawled raw data and designing annotation guidelines to create a gold dataset (~30% of processed data). I then guided multiple LLMs to label the remaining data and evaluated their performance by comparing outputs with the gold data to validate labeling effectiveness.
2. Bank Marketing Campaign Analysis and Costumer Segmentation
I reframed the binary classification problem into a customer segmentation task. My role involved data preprocessing (handling missing values, encoding categorical variables, and feature transformation) and applying K-Means clustering to segment customers. I performed feature analysis using methods such as Random Forest and Mutual Information to interpret cluster characteristics and identify key drivers. Based on this, I analyzed cluster-level behaviors to generate actionable insights for targeted marketing strategies.</t>
  </si>
  <si>
    <t>https://github.com/thybui1903/Bank-Marketing-Customer-Analysis</t>
  </si>
  <si>
    <t>5vgfpa8lzvjnvw4vhp9u5vgfpaa8ieq7</t>
  </si>
  <si>
    <t>Nguyễn Hoàn Báu</t>
  </si>
  <si>
    <t>nguyenhoanbau2004@gmail.com</t>
  </si>
  <si>
    <t>+84375981616</t>
  </si>
  <si>
    <t>Tôi yêu thích game và mong muốn hiểu rõ cách một sản phẩm được hoàn thiện trước khi đến tay người dùng, vì vậy tôi chọn vị trí này để phát triển kỹ năng kiểm thử và đóng góp vào việc nâng cao chất lượng game.</t>
  </si>
  <si>
    <t>Đối với tôi, vị trí này đóng vai trò quan trọng trong việc đảm bảo chất lượng game thông qua việc kiểm thử, phát hiện lỗi và cải thiện trải nghiệm người chơi. Tôi phù hợp vì tôi vừa yêu thích game, vừa có tư duy phân tích tốt, cẩn thận trong việc kiểm tra và có nền tảng về kiểm thử phần mềm.</t>
  </si>
  <si>
    <t>Công Nghệ Thông Tin (clc)</t>
  </si>
  <si>
    <t>7.24</t>
  </si>
  <si>
    <t>Tôi đã từng làm đồ án môn Game Aventure 2D, vai trò chính của tôi trong nhóm là viết kịch bản game, thiết kế map, lên ý tưởng nhân vật, thiết kế nhân vật, kiểm tra và báo lỗi khi trải nghiệm game</t>
  </si>
  <si>
    <t>https://github.com/HoanBau/Game2D</t>
  </si>
  <si>
    <t>Tôi mong muốn được trở thành một phần của SUN.STUDIO để học hỏi quy trình phát triển game thực tế, đóng góp vào việc nâng cao chất lượng sản phẩm và phát triển kỹ năng kiểm thử trong môi trường chuyên nghiệp.</t>
  </si>
  <si>
    <t>6pu81a92y2fj9vo92xq6pu81bcj4b0ek</t>
  </si>
  <si>
    <t>Lương Nguyễn Xuân Minh</t>
  </si>
  <si>
    <t>luongxuanminh102@gmail.com</t>
  </si>
  <si>
    <t>+84366750106</t>
  </si>
  <si>
    <t>Em lựa chọn vị trí này vì em có hứng thú với việc kiểm thử và cải thiện chất lượng sản phẩm. Với nền tảng lập trình, em thích tìm lỗi, kiểm tra tính đúng đắn của hệ thống và đảm bảo trải nghiệm người dùng. Em tin SUN.RISER là môi trường phù hợp để em học hỏi và phát triển trong lĩnh vực QA.</t>
  </si>
  <si>
    <t>Em nghĩ vị trí này sẽ bao gồm việc kiểm thử tính năng, phát hiện và báo lỗi, xác nhận hệ thống hoạt động đúng và đảm bảo chất lượng sản phẩm trước khi phát hành. Với nền tảng lập trình và kinh nghiệm làm việc với API, debugging và testing, em có thể hiểu rõ hệ thống, tìm lỗi hiệu quả và phối hợp tốt với team để cải thiện chất lượng sản phẩm.</t>
  </si>
  <si>
    <t>Trường Đại Học FPT</t>
  </si>
  <si>
    <t>Trong quá trình thực tập và các dự án cá nhân, em đã tham gia kiểm thử hệ thống web với nhiều module như product, order, dashboard và quản lý người dùng. Em thực hiện API testing bằng Postman, kiểm tra luồng chức năng, xác nhận dữ liệu và phát hiện lỗi. Ngoài ra, em cũng tham gia debugging, kiểm tra UI/UX và hỗ trợ regression testing để đảm bảo hệ thống hoạt động ổn định trước khi release.</t>
  </si>
  <si>
    <t>Rex Centre Management System: https://rexenglish.com (tested UI, API, and data consistency)</t>
  </si>
  <si>
    <t>Em mong muốn được trở thành một phần của SUN.STUDIO để học hỏi, phát triển kỹ năng QA và đóng góp vào việc nâng cao chất lượng sản phẩm. Em luôn sẵn sàng tiếp thu, cải thiện bản thân và làm việc nghiêm túc để mang lại giá trị cho team.</t>
  </si>
  <si>
    <t>54db48r4wc64luj8aczuoh854db48m0v</t>
  </si>
  <si>
    <t>Bùi Lê Hồng Tâm</t>
  </si>
  <si>
    <t>buitamta176@gmail.com</t>
  </si>
  <si>
    <t>+84768965596</t>
  </si>
  <si>
    <t>I am motivated to join SUN.RISER because this role fits my skills and provides valuable opportunities for growth and contribution.</t>
  </si>
  <si>
    <t>I believe this role involves understanding workflows across teams, identifying manual or inefficient steps, and applying AI solutions such as prompt engineering, AI pipelines, and agent-based automation to improve productivity. It also includes building internal AI tools and documenting processes for non-technical users.</t>
  </si>
  <si>
    <t>SIU – Trường Đại học Quốc tế Sài Gòn</t>
  </si>
  <si>
    <t>AI</t>
  </si>
  <si>
    <t>During my previous AI internship, I worked on a project focused on generating infographics from news articles. My role involved researching LLM-based approaches, designing prompts to extract and structure key information, and supporting the pipeline for transforming text into visual-ready content.</t>
  </si>
  <si>
    <t>ecotrack.asia</t>
  </si>
  <si>
    <t>I am truly excited about the opportunity to join SUN.STUDIO and contribute to building practical AI solutions that create real impact. I hope to grow together with the team and deliver meaningful value through my work.</t>
  </si>
  <si>
    <t>jqegbro2h78849xfojqeikpjuc36m6dv</t>
  </si>
  <si>
    <t>Lê Hoàng Châu Anh</t>
  </si>
  <si>
    <t>w.chauanh@gmail.com</t>
  </si>
  <si>
    <t>+84396717580</t>
  </si>
  <si>
    <t>I have been passionate about gaming from a young age, with experience playing various titles such as Garena Liên Quân Mobile, PUBG Mobile, and Audition Online. This passion motivates me to apply for the HR Intern position where I hope to combine my interest in gaming with my development in Human Resources and contribute to a dynamic team</t>
  </si>
  <si>
    <t>I believe this role involves supporting recruitment activities, coordinating internal HR processes, and helping in building a positive working environment within a game focused company. I am a good fit because I am highly organized, responsible, and able to learn quickly, with strong communication skills and a genuine interest in both gaming and HR</t>
  </si>
  <si>
    <t>While I have not had direct experience in the gaming industry yet, I have gained relevant experience through a university project where I worked as an Operations Intern for the financial website “5PhutTaiChinh.” In this role, I supported coordination tasks, managed information, and contributed to the overall operation of the project. This experience helped me develop strong organizational, communication, and teamwork skills, which I believe are transferable and will allow me to quickly adapt and contribute effectively in this role.</t>
  </si>
  <si>
    <t>https://docs.google.com/document/d/11e0V9guqGZbNS7fNpOzU0FNs7UJ9L6MjouJblwQmIe8/edit?tab=t.0</t>
  </si>
  <si>
    <t>I would like to express my sincere interest in becoming a part of SUN.STUDIO and contributing as a dedicated and responsible intern. I strongly hope to gain a meaningful and enriching internship experience where I can both support the team and further develop my professional skills. At the same time, I wish SUN.STUDIO continued success in identifying and nurturing talented interns, as well as achieving sustainable growth and greater accomplishments in the future.</t>
  </si>
  <si>
    <t>csbdd6hckapdcl7bld9csbdd6mvr8dwy</t>
  </si>
  <si>
    <t>Trương Tấn Phát</t>
  </si>
  <si>
    <t>truongtanphat6302@gmail.com</t>
  </si>
  <si>
    <t>+84933540827</t>
  </si>
  <si>
    <t>Tôi thích khám phá game và những gốc nhìn khác nhau của nhân vật từ đó có thể quan sát chi tiết và logic game chặt chẽ, điều này giúp tôi dễ dàng phát hiện lỗi và xác định nguyên nhân gây ra vấn đề trong game</t>
  </si>
  <si>
    <t>Tôi có khả năng làm việc với các quy trình kiểm thử, từ thiết kế test case, thực thi kiểm thử, đến báo cáo lỗi một cách rõ ràng và hiệu quả. Công việc QA không chỉ đơn thuần là tìm lỗi, mà còn giúp đảm bảo trải nghiệm người chơi tốt hơn, góp phần tạo ra 1 con game thú vị và đáng tin cậy.</t>
  </si>
  <si>
    <t>Tôi đã thực tập vị trí Tester Intern ở công ty Testing VN, sau 3 tháng thực tập tôi đã làm những công việc như viết Testcase, Test API, SQL,.... Sau khi thực thi các testcase em tìm ra những con bug và em đã post lên Jira để DEV có thể fix lại sau khi fix xong em đã kiểm thử hồi quy để xem các chức năng được fix và các chức năng liên quan có chạy ổn định không.</t>
  </si>
  <si>
    <t>https://testingvn.atlassian.net/browse/HRM-468?atlOrigin=eyJpIjoiMmFhYjAwOTFiYTM3NGI2NTg1ZmQ5YWQ4MzFhY2Y0MDEiLCJwIjoiaiJ9</t>
  </si>
  <si>
    <t>Em mong là em được gắn bó được với công ty và học hỏi từ đó có thể có nhiều kinh nghiệm để đóng góp cho công ty ra những sản phẩm game chất lượng.</t>
  </si>
  <si>
    <t>wv8a3x4mg1z23drjjdhzwv8a3x4lo0yz</t>
  </si>
  <si>
    <t>Nguyễn Lâm Đức Hòa</t>
  </si>
  <si>
    <t>duchoa3032002@gmail.com</t>
  </si>
  <si>
    <t>+84868433581</t>
  </si>
  <si>
    <t>Mong muốn được học hỏi và phát triển nhiều hơn về chuyên ngành của mình.
Tìm một môi trường tốt để làm việc và phát triển lâu dài.</t>
  </si>
  <si>
    <t>Mình nghĩ vị trí này sẽ là kiểm thử phần mềm, hỗ trợ cùng kĩ thuật để phát triển phần mềm.
Vì đây là thứ mình đã học trong chuyên ngành và mình cũng có đam mê với game và những thứ liên quan tới logic.</t>
  </si>
  <si>
    <t>Trường Đại học Ngoại ngữ - Tin học Thành phố Hồ Chí Minh( HUFLIT)</t>
  </si>
  <si>
    <t>Chưa có kinh nghiệm liên quan tới game</t>
  </si>
  <si>
    <t>Hi vọng có thể pass để có thể đi làm ạ T_T</t>
  </si>
  <si>
    <t>2l34dinw0zyww64k2lxnabttopm1qozf</t>
  </si>
  <si>
    <t>Nguyễn Trần Gia</t>
  </si>
  <si>
    <t>ntgiainfo@gmail.com</t>
  </si>
  <si>
    <t>+84394359278</t>
  </si>
  <si>
    <t>Mình chọn vị trí AI Engineering Intern (NV2: Data Analysis Intern) vì mong muốn ứng dụng AI vào các sản phẩm thực tế trong lĩnh vực game. Đồng thời, mình còn quan tâm đến Data Analysis vì tin rằng dữ liệu đóng vai trò quan trọng trong việc hiểu và cải thiện trải nghiệm người chơi. Mình mong muốn được học hỏi và phát triển lâu dài tại SUN.STUDIO.</t>
  </si>
  <si>
    <t>Theo mình, vị trí này sẽ tập trung vào việc ứng dụng AI trong quy trình phát triển game, như xây dựng các công cụ hỗ trợ sản xuất, xử lý dữ liệu và cải thiện trải nghiệm người chơi. Mình phù hợp vì đã có kinh nghiệm với RAG, chatbot, backend và xử lý dữ liệu, cùng với tư duy logic và khả năng học hỏi nhanh để giải quyết các bài toán thực tế.</t>
  </si>
  <si>
    <t>Vietnamese Historical Weather Dashboard: Mình tham gia với vai trò Data Analyst và Designer, sử dụng Python (NumPy, Pandas, Matplotlib, Dash, Plotly) để phân tích và trực quan hóa dữ liệu thời tiết. Đồng thời, mình xây dựng chatbot hỗ trợ truy vấn và phát triển dashboard trên Power BI. Kết quả là một hệ thống giúp người dùng dễ dàng theo dõi và khai thác dữ liệu.
Netflix Data Analysis: Mình đóng vai trò Data Analyst, thực hiện làm sạch và phân tích dữ liệu phim trên Netflix để tìm ra các xu hướng và mối quan hệ. Mình trực quan hóa kết quả bằng Seaborn và Matplotlib, giúp các insight được thể hiện rõ ràng và dễ hiểu.
AI Engineer Intern – ASOFT Corporation: Xây dựng pipeline RAG cho hệ thống truy vấn tài liệu, lưu trữ embeddings trên Redis cho semantic search; thiết kế kiến trúc client–server và triển khai REST API, tích hợp với AWS và Amazon Q. Kết quả giúp truy xuất thông tin nhanh và hiệu quả hơn.</t>
  </si>
  <si>
    <t>https://github.com/Yogurt01/Vietnamese-Historical-Weather-Dashboard.git ; https://github.com/kNhung/PDS_FinalProject.git</t>
  </si>
  <si>
    <t>2tmonqztu29gffb49s5k2tmonqy4cl8b</t>
  </si>
  <si>
    <t>phunguyen_vn2010@yahoo.com</t>
  </si>
  <si>
    <t>I want to join SUN.RISER because I am drawn to its focus on creating engaging and innovative player experiences. As a game designer, I enjoy the challenge of turning ideas into interactive systems that feel meaningful and rewarding. SUN.RISER’s projects match my passion.</t>
  </si>
  <si>
    <t>I believe this role requires the design and refinement of gameplay mechanics that make for an enjoyable and cohesive gameplay experience. This will involve the creation of the core gameplay mechanics, the balancing of the various systems within the game, working alongside artists and programmers.</t>
  </si>
  <si>
    <t>This project is a personal thesis project. An improved AI made enemies behave in a more realistic and unpredictable manner, thus adding suspense by contrasting NPCs with zombies. The implementation of the Depth of Field technique added to the game's realism, making it more immersive. Moreover, the implementation of the spatial inventory system promoted tactical thinking due to space limitations, which adds to the decision-making process.</t>
  </si>
  <si>
    <t>youtube link: https://www.youtube.com/watch?v=RD684U095lE</t>
  </si>
  <si>
    <t>t9wcdfbqden3igtlp88cst9wcdfba296</t>
  </si>
  <si>
    <t>Nguyễn Tú Như</t>
  </si>
  <si>
    <t>nguyentunhu0886@gmail.com</t>
  </si>
  <si>
    <t>+84924780886</t>
  </si>
  <si>
    <t>What motivated me to apply for this position at SUN.RISER is the opportunity to work with real user data in a game environment. I find game data very dynamic, especially in player behavior. I can contribute by ensuring data quality, applying proper data cleaning and validation, and supporting analysis to generate actionable insights.</t>
  </si>
  <si>
    <t>I think this role involves analyzing player behavior, retention, and monetization by working with gameplay data, cleaning and preparing datasets, and generating insights to support game improvements. I’m a good fit because I’m comfortable handling messy data, ensuring data quality, and using Python to explore patterns and deliver clear, actionable</t>
  </si>
  <si>
    <t>DAZONE 2025 – National Data Analytics Competition (Top 10)
- Cleaned and standardized a large-scale e-commerce dataset with missing, duplicate, and unstructured records to ensure data quality and consistency;
- Performed EDA to identify user behavior patterns and engagement trends
- Developed customer segmentation, analogous based on customer behavior;
- Derived actionable insights to support strategies for improving retention and user engagement;
- Collaborated with team members, mentors to structure analysis workflow and translate findings into business recommendations.</t>
  </si>
  <si>
    <t>https://nguyentunhu.github.io/portfolio/</t>
  </si>
  <si>
    <t>I am particularly interested in working with user behavior data in a game environment, where data directly informs product and design decisions. I have a strong foundation in data cleaning, preparation, and exploratory analysis, and I am comfortable working with real-world, unstructured datasets.
I am also motivated to contribute by ensuring data quality, supporting analysis, and delivering clear, actionable insights. At the same time, I am eager to learn from a real product environment and continuously improve my technical and analytical skills.</t>
  </si>
  <si>
    <t>7mxy0cthh46h88d7mx7eczmzv4v4g5fa</t>
  </si>
  <si>
    <t>Lê Thị Thu Hiệp</t>
  </si>
  <si>
    <t>lethuhiep27032002@gmail.com</t>
  </si>
  <si>
    <t>+84327528330</t>
  </si>
  <si>
    <t>I choose the Data Analysis Intern position at SUN.RISER because it matches my background in data analysis and my interest in working with real-world data. I want to apply my Excel and SQL skills to generate insights and support decision-making, while gaining hands-on experience in a practical environment.</t>
  </si>
  <si>
    <t>This role involves querying, cleaning, and analyzing data, building dashboards, and tracking key metrics to support decision-making.
I am a good fit because I have experience with Excel and SQL for data analysis, along with strong analytical thinking and attention to detail.</t>
  </si>
  <si>
    <t>I have experience working with data through academic projects and part-time roles.
In my graduation thesis, I performed data preprocessing and analysis on user behavior data, applied NLP techniques (TF-IDF, Word2Vec, BERT), and supported building a recommendation system.
In addition, I analyzed operational data in my part-time role by  structuring order data, tracking performance.</t>
  </si>
  <si>
    <t>https://drive.google.com/file/d/11lYhxGQ7NHJo0ijVWolsdr08TVhp9qHs/view?usp=sharing</t>
  </si>
  <si>
    <t>I may not be the most experienced candidate, but I am willing to learn quickly, work seriously, and continuously improve myself. I hope to have the opportunity to work with real data, contribute even in small ways, and grow step by step at SUN.STUDIO.</t>
  </si>
  <si>
    <t>isc38fvibu88wg9zdzly0892isc38fvi</t>
  </si>
  <si>
    <t>Nguyễn Thành Vinh</t>
  </si>
  <si>
    <t>vinh.thanhnguyen26@gmail.com</t>
  </si>
  <si>
    <t>+84582915056</t>
  </si>
  <si>
    <t>Em chọn vị trí AI Engineering Intern tại SUN.RISER vì em thường dùng AI để tự động hóa quy trình xây dựng các hệ thống. Em có hứng thú với việc thiết kế prompt, xây dựng AI Pipelines và Agents để giải quyết bài toán thực tế. Đây là cơ hội lý tưởng để em áp dụng tư duy hệ thống của mình vào để giúp SUN.STUDIO tối ưu workflow.</t>
  </si>
  <si>
    <t>Công việc này xoay quanh việc thiết kế prompt, xây dựng pipelines để tự động hóa các quy trình vận hành nội bộ. Em tin mình phù hợp vì đã có kinh nghiệm qua việc tự phát triển app quản lý công việc tích hợp trợ lý tự động, em đã quen với việc xử lý luồng, JSON và API. Hiện em đang tập trung nghiên cứu sâu về NLP để thiết kế promt hiệu quả.</t>
  </si>
  <si>
    <t>Em đã có kinh nghiệm làm dự án liên quan đến game mang tên "Mummy Maze Game AI Solver". Về vai trò, em đảm nhiệm việc thiết kế game engine bằng công cụ Pygame và xây dựng một agent. Em đã trực tiếp cài đặt và đánh giá các thuật toán tìm kiếm (như DFS, BFS, A*, Simulated Annealing) để tìm đường đi tối ưu. Kết quả của dự án, agent của em có khả năng tự động điều hướng và giải quyết các bài toán mê cung phức tạp ngay cả trong điều kiện giới hạn tầm nhìn (Partial Observation). Bên cạnh đó, hệ thống có thể trực quan hóa hành vi của Agent theo thời gian thực.</t>
  </si>
  <si>
    <t>https://github.com/vinhVVN/GameAI-Mummy-Maze-VDG.git</t>
  </si>
  <si>
    <t>Em rất ấn tượng với định hướng tiên phong ứng dụng AI Agent để tái thiết quy trình vận hành của SUN.STUDIO. Điều em muốn gửi gắm là sự cam kết: Em rất mong có cơ hội đồng hành cùng SUN.RISER để biến mục tiêu tiết kiệm hàng nghìn giờ làm việc của công ty thành kết quả thực tế.</t>
  </si>
  <si>
    <t>usxgosyi70jmy2bzuwkwusxgov1zyc7q</t>
  </si>
  <si>
    <t>Ngô Phương Nam</t>
  </si>
  <si>
    <t>ngonam1601@gmail.com</t>
  </si>
  <si>
    <t>+84867852519</t>
  </si>
  <si>
    <t>SUN.RISER offers a strong opportunity to apply AI knowledge to real-world problems. I want to gain hands-on experience, learn from experienced engineers, and further develop my skills in building practical AI solutions. This aligns well with my goal of becoming a professional</t>
  </si>
  <si>
    <t>I believe this role involves building and improving AI models, working with data, and applying them to real-world problems, and I am a good fit because I have a strong foundation in machine learning, experience with Python and ML frameworks, and I am eager to learn and apply my skills in practice.</t>
  </si>
  <si>
    <t>https://github.com/Oxazolidinone/DetectDisease</t>
  </si>
  <si>
    <t>I would like to express my strong interest in contributing to SUN.STUDIO and learning from your team. I am eager to gain hands-on experience, continuously improve my skills, and contribute to meaningful AI projects while growing with the company.</t>
  </si>
  <si>
    <t>jzz1mzpcosszp1ljzzy8d2sesqj7oni2</t>
  </si>
  <si>
    <t>Lâm Minh Khang</t>
  </si>
  <si>
    <t>lmkhang2005@gmail.com</t>
  </si>
  <si>
    <t>+84938368316</t>
  </si>
  <si>
    <t>I am motivated to apply because it aligns with both my passion for Human Resources and my strong interest for gaming. I enjoy connecting with people, building positive experiences, and contributing to team development. Gaming for me is a space of creativity and community, which makes me genuinely excited to grow in this industry.</t>
  </si>
  <si>
    <t>I believe this role involves supporting recruitment activities, managing candidate data, and contributing to employer branding and onboarding. With my experience in recruitment projects and candidate pipeline management, along with my proactive mindset and attention to detail, I believe I am a strong fit for this position.</t>
  </si>
  <si>
    <t>International Economics</t>
  </si>
  <si>
    <t>I served as Co-Project Leader in a recruitment project in my club, where I led the end-to-end hiring process, including planning, candidate sourcing, screening, and interview coordination. I also managed a pipeline of over 200 candidates and coordinated a team of 10 members to ensure smooth execution. As a result, we successfully selected 50 qualified candidates and improved the overall recruitment efficiency and candidate experience.</t>
  </si>
  <si>
    <t>https://drive.google.com/file/d/1R-F_nQwPn2eBi6LQuQHCt-cySlQCwmkc/view?usp=sharing</t>
  </si>
  <si>
    <t>I am particularly motivated to contribute while continuously learning and taking ownership in my work. I hope not only to grow here, but also to make a meaningful contribution to the team &lt;3</t>
  </si>
  <si>
    <t>yfeqbz25sbr166n3jdh7yfeqbz2f0a6h</t>
  </si>
  <si>
    <t>Trần Thị Kim Anh</t>
  </si>
  <si>
    <t>ashleytranworkspace@gmail.com</t>
  </si>
  <si>
    <t>+84376195921</t>
  </si>
  <si>
    <t>Vì vị trí này phù hợp với định hướng nghề nghiệp và kiến thức em đang theo đuổi trong ngành ISs. Em có sự hứng thú với việc làm việc cùng dữ liệu, phân tích và tìm ra insight để hỗ trợ việc ra quyết định.
Bên cạnh đó, em mong muốn được học hỏi trong một môi trường chuyên nghiệp và năng động như SUN.RISER, nơi em có thể phát triển thêm nhiều skills</t>
  </si>
  <si>
    <t>Em nghĩ vị trí này bao gồm thu thập, xử lý và phân tích dữ liệu để tạo insight hỗ trợ ra quyết định, đồng thời xây dựng báo cáo hoặc dashboard.
Em phù hợp vì có nền tảng về phân tích dữ liệu, tư duy logic tốt và khả năng học hỏi nhanh. Em cũng đã có kinh nghiệm với các công cụ như Excel, SQL và Power BI trong quá trình học tập.</t>
  </si>
  <si>
    <t>Em đã tham gia một số dự án học tập liên quan đến phân tích dữ liệu, trong đó em phụ trách làm sạch dữ liệu, phân tích và trực quan hóa bằng Power BI/Excel.
Kết quả là xây dựng được dashboard giúp theo dõi và rút ra insight từ dữ liệu. Qua đó, em cải thiện kỹ năng xử lý dữ liệu, tư duy phân tích và trình bày kết quả.</t>
  </si>
  <si>
    <t>https://github.com/kimanhwppe?tab=repositories</t>
  </si>
  <si>
    <t>Em rất mong có cơ hội được học hỏi và phát triển tại SUN.STUDIO trong vai trò Data Analyst Intern. Em luôn sẵn sàng chủ động học hỏi, tiếp nhận feedback và nỗ lực đóng góp giá trị thông qua dữ liệu.
Cảm ơn SUN.STUDIO đã dành thời gian xem xét hồ sơ của em.</t>
  </si>
  <si>
    <t>3ztr7sav1m8ttrwwwiic3ztr04wsloks</t>
  </si>
  <si>
    <t>Võ Hoàng Phúc</t>
  </si>
  <si>
    <t>hoangphuc141204@gmail.com</t>
  </si>
  <si>
    <t>+84868612497</t>
  </si>
  <si>
    <t>I am motivated to join the SUN.RISER program because it perfectly aligns with my passion for building Agentic Workflows and my drive to create tangible business impact. Having hands-on experience with LangChain, LangGraph, and advanced prompt engineering (Few-shot, CoT) to enforce structured JSON outputs</t>
  </si>
  <si>
    <t>Having hands-on experience with LangChain, LangGraph, and advanced prompt engineering (Few-shot, CoT) to enforce structured JSON outputs, I am eager to apply these skills to automate complex cross-functional pipelines at SUN.STUDIO.</t>
  </si>
  <si>
    <t>Năm 4 và sắp tốt nghiệp</t>
  </si>
  <si>
    <t>No, i haven't</t>
  </si>
  <si>
    <t>https://my-portfolio-phucvo1412s-projects.vercel.app/</t>
  </si>
  <si>
    <t>I would just like to emphasize how genuinely excited I am about the scale at which SUN.STUDIO operates. Reaching over 1 billion plays is an incredible milestone, and your mission to make games accessible and enjoyable really resonates with me. Thank you for considering my application, and I truly look forward to the opportunity to learn and grow with your team</t>
  </si>
  <si>
    <t>69hu02xzzawp3vyzt352m69hu0niaifw</t>
  </si>
  <si>
    <t>Vũ Đỗ Trung Quốc</t>
  </si>
  <si>
    <t>quocvuuu582@gmail.com</t>
  </si>
  <si>
    <t>+84938320564</t>
  </si>
  <si>
    <t>I’m interested in the User Acquisition Intern position at Sun Studio because it combines my passion for gaming with my interest in data-driven marketing. I’m excited about the opportunity to help grow a game’s user base, analyze campaign performance, and learn how to scale players effectively in a fast-paced game studio environment.</t>
  </si>
  <si>
    <t>I believe this role focuses on running and optimizing user acquisition campaigns, analyzing performance data, and scaling growth across channels. 
I’m a good fit because I have a solid marketing foundation, enjoy working with data, and am highly motivated to learn and grow in the gaming industry.</t>
  </si>
  <si>
    <t>8.07</t>
  </si>
  <si>
    <t>Digital Commerce Executive (Client Nutifood):
Media Management (20%): Collaborated with the Performance Marketing team to develop media plans for Shopee, TikTok Shop, Lazada forecast ROI, and plan sales activities.
Promotion Management (30%): Responsible for managing the performance of TikTok Shop promotional campaigns, directly executing and setting up promotions on e-commerce platforms, and overseeing the setup of key livestream sessions featuring top KOLs (e.g., Hùng Huỳnh, Pháp Kiều, Hồ Bích Trâm), generating over $5,000 per session.
Stock Management (20%): Monitored and forecasted stock levels for SKUs and promotional gifts to ensure optimal inventory throughout key campaigns.
Data Analysis &amp; Reporting (30%): Analyzed sales and advertising performance across e-commerce platforms, delivering monthly and quarterly reports with actionable insights to support client decision-making.</t>
  </si>
  <si>
    <t>https://drive.google.com/drive/folders/1-2WVYKOkPgbb67RvcPDG_GrDrDF5Upcf?usp=sharing</t>
  </si>
  <si>
    <t>I’m eager to learn, contribute, and grow in a fast-paced game environment. I’m highly motivated to build strong user acquisition skills and create real impact for SUN.STUDIO.</t>
  </si>
  <si>
    <t>gbnycfx332dqbaywsx83gbnycfxojpg9</t>
  </si>
  <si>
    <t>Phạm Quang Duy</t>
  </si>
  <si>
    <t>monluette@gmail.com</t>
  </si>
  <si>
    <t>+84767098134</t>
  </si>
  <si>
    <t>My motivation stems from a deep curiosity about the hidden mechanics that keep players engaged. My fascination with game design actually took off from playing Teamfight Tactics. Over time, I found myself looking past the gameplay to analyze the underlying systems and I honestly want to see if I have what it takes to do this job.</t>
  </si>
  <si>
    <t>This role bridges player experience with data-driven design, focusing on core loops, game economy, and UI/UX flows. I believe by having watched multiple developer's videos on how their idea developed from scratch, I would an analytical edge for balancing game systems. And also this role feels like a dream come true and I am very excited for it.</t>
  </si>
  <si>
    <t>Business Economics</t>
  </si>
  <si>
    <t>As a Customs Declaration Intern at Long Phu Logistics, my role involved processing complex cargo data and verifying shipping documentation to ensure strict compliance with international trade policies and Incoterms. The primary outcome was facilitating smooth, error-free import and export operations. While not a gaming project, this experience heavily honed my analytical thinking, extreme attention to detail, and ability to manage complex, rule-based systems, skills that are directly applicable to balancing game economies, analyzing product logic, and structuring seamless core loops.</t>
  </si>
  <si>
    <t>https://monluette.framer.website/</t>
  </si>
  <si>
    <t>As expressed earlier, I absolutely love this position and would love to give it a go if there is a chance. If there are more skills needed to become an expert at this, I will definitely use my time to acquire those and try my best at this position:)</t>
  </si>
  <si>
    <t>obvo0pumxhxb5jotsobvo0pbhkqv8ecl</t>
  </si>
  <si>
    <t>Phạm Hồng Phương Anh</t>
  </si>
  <si>
    <t>23006260@student.westernsydney.edu.vn</t>
  </si>
  <si>
    <t>+84969271271</t>
  </si>
  <si>
    <t>I chose the User Acquisition role at SUN.RISER because I want to go behind the scenes and learn to turn those player insights into growth. And as a gamer myself, I'm sincerely eager to master the process of testing creatives and finding the winning formula that brings new players to our game.</t>
  </si>
  <si>
    <t>I’m a great fit because I’m a data-driven storyteller. I’ve proven I can hook an audience with viral content and possess the analytical discipline of a MOS Excel Specialist to measure what actually works. As a casual gamer, I genuinely understand the audience SUN.RISER is trying to reach.</t>
  </si>
  <si>
    <t>UEH-ISB Western Sydney</t>
  </si>
  <si>
    <t>My GPA is 6.6/10</t>
  </si>
  <si>
    <t>I have experience in both community growth and data analysis. I directed a viral TikTok strategy that achieved 107,000+ likes and 10,000+ followers by analyzing audience trends and testing content hooks. Additionally, at Gateway Learning, I managed Facebook seeding campaigns with 100+ comments/week to drive engagement.
On the analytical side, I earned a High Distinction for a market research project on AR consumer behavior using SPSS and SmartPLS.</t>
  </si>
  <si>
    <t>While my official portfolio website is currently under development, I have organized my most impactful work in this Drive folder: https://drive.google.com/drive/folders/1DXfQtoAqSyQdsWTP6cfi1g3XYDkHRFBO?usp=drive_link</t>
  </si>
  <si>
    <t>Beyond my background in data and creative testing, I’m someone who genuinely loves the mobile gaming industry. I chose SUN.STUDIO because I believe your environment is the best place for me to master User Acquisition. I’m committed to learning fast, working hard, and delivering real results for the team.</t>
  </si>
  <si>
    <t>94k6b4uh7x9fkmsj94k6b6stgsyz9rg6</t>
  </si>
  <si>
    <t>Lê Nguyễn Minh Thư</t>
  </si>
  <si>
    <t>minhthulnnn@gmail.com</t>
  </si>
  <si>
    <t>+84343422716</t>
  </si>
  <si>
    <t>I am drawn to the Data Analyst position at SUN.RISER because of my passion for the gaming industry and my fascination with data-driven insights. I am eager to apply my technical foundation to real-world gaming data. SUN.STUDIO is the ideal professional environment for me to immerse myself in the gaming industry and solve real-world challenges.</t>
  </si>
  <si>
    <t>This role involves analyzing player behavior and performance metrics to drive strategic decisions. I am a great fit due to my technical foundation, ability to extract insights from complex data, and proactive mindset. My passion for gaming combined with these skills allows me to effectively tackle challenges and contribute to SUN.STUDIO.</t>
  </si>
  <si>
    <t>I conducted a Sales Data Analysis project where I built an end-to-end data pipeline using SQL, Python, and Power BI. My role involved data modeling and mining to uncover actionable trends, leading to more data-driven operational insights.</t>
  </si>
  <si>
    <t>https://drive.google.com/drive/folders/1n433YQm-AP5Ziy-Y4MR2sRmD_BPV3HrG?usp=sharing</t>
  </si>
  <si>
    <t>I am very excited about the opportunity to join SUN.RISER. I am eager to bring my analytical skills to the team, learn from experienced mentors, and contribute to the growth of high-quality gaming products at SUN.STUDIO.</t>
  </si>
  <si>
    <t>4nhr33fz2dvibkj5u4nh3y57c6x23r86</t>
  </si>
  <si>
    <t>Ngô Tùng Khải</t>
  </si>
  <si>
    <t>khaingotung3@gmail.com</t>
  </si>
  <si>
    <t>+84787499136</t>
  </si>
  <si>
    <t>Ngành công nghiệp game đã luôn mà một phần mà em muốn tìm hiểu. Những vị trí tại SUN.STUDIO là một cơ hội tuyệt vời mà em nhận thấy mình có thể tìm hiểu và đào sâu hơn về ngành công nghiệp này.</t>
  </si>
  <si>
    <t>Quality Assurance sẽ là người kiểm soát chất lượng đầu ra của sản phẩm, là người chịu trách nhiệm trước khi sản phẩm đến được tay khách hàng, hỗ trợ đội ngũ phát triển trong quá trình kiểm tra vận hành của sản phẩm. Bản thân em đã từng tham gia quá trình thực tập vị trí này tại một công ty khác nên em nghĩ mình có thể tận dụng tốt kinh nghiệm này.</t>
  </si>
  <si>
    <t>Trước đây, em đã từng thực tập với vị trí Software QC tại SPERANZA INTERNATIONAL SOFTWARE DEVELOPMENT COMPANY LIMITED trong vòng 3 tháng. Ngoài ra, đối với ngành công nghiệp game thì em đã từng làm việc với vị trí Content Writer, Video Editor cho một số dự án với một vài page nhỏ lẻ làm về các game như Doom, Blue Archive,...</t>
  </si>
  <si>
    <t>https://youtu.be/F0TF5F_FhkA?si=fejplqJYUIBxwbo3</t>
  </si>
  <si>
    <t>Sau khi kết thúc kỳ thực tập thì em sẽ phải quay lại trường để tiếp tục chương trình học nên em khó có thể đáp ứng được lịch trình làm việc công ty đề ra.</t>
  </si>
  <si>
    <t>Trường đại học, Forum của UIT</t>
  </si>
  <si>
    <t>Em hiện đang là sinh viên năm 2 ngành Khoa học Máy tính của trường Đại Học Công nghệ Thông tin, chương trình liên kết với Đại học Birmingham City. Thiết kế của chương trình học hiện tại là kỳ thực tập của em, em không phải tham gia bất kỳ lớp nào ở trường nên có thể tự do tìm kiếm việc thực tập. Chi tiết hơn quý công ty có thể tìm hiểu qua link giới thiệu sau.
https://oep.uit.edu.vn/vi/nganh-khoa-hoc-may-tinh-bcu</t>
  </si>
  <si>
    <t>cbblcwdu94pum2m0vucbblce4izvs8t2</t>
  </si>
  <si>
    <t>Nguyễn Việt Kỳ Quân</t>
  </si>
  <si>
    <t>nguyenvietkyquan2022@gmail.com</t>
  </si>
  <si>
    <t>+84921124475</t>
  </si>
  <si>
    <t>chi tiết của công việc khá phù với những kinh nghiệm của mình đã  có, và mình cũng mong muốn được thử sức trong môi trường làm việc chuyên nghiệp</t>
  </si>
  <si>
    <t>Mình sẽ thiết kế những AI agentic pipeline để hỗ trợ việc vận hành của công ty một cách trơn tru</t>
  </si>
  <si>
    <t>Overview: Designed and operated a server-authoritative backend supporting real-time multiplayer gameplay and live services.
Key Contributions:
Developed socket-based networking using TCP/IP:
   + TCP for authentication, lobby, chat, and session management
   + UDP for low-latency real-time state synchronization
Implemented server-side gameplay logic, including player state validation, win-condition handling, and anti-cheat enforcement.
Designed custom application-layer protocols to manage player lifecycle, data synchronization, and state broadcasting.
Built asynchronous and multi-threaded server logic to handle concurrent clients eciently.
Managed player sessions and ensured safe cleanup of server resources on disconnect.
Applied client-side interpolation techniques to reduce jitter while maintaining server authority.
Deployed and operated the game server on a cloud VM (Azure) with public access and rewall conguration.
Conducted network and performance optimizations to ensure consistent world state across connected
Tech Stack: .Net, Unity, Azure
Source: https://github.com/NTQuang13/ParkourGame/tree/master
Demo: https://drive.google.com/file/d/1cZ2w8_ialAeVfExB348dDKQyYl5nLXHW/view?usp=drive_link</t>
  </si>
  <si>
    <t>https://github.com/NVKQ2022/RAG</t>
  </si>
  <si>
    <t>Mình rất hào hứng khi có thể thamm gia vào chương trình thực tập của SUN.STUDIO, nếu như mình không được nhận thì không biết mình  có thể apply lại sau khi đã chuẩn bị kỹ hơn không ạ</t>
  </si>
  <si>
    <t>vuvgrfyvuo3etlj665vuvgr167d47d1n</t>
  </si>
  <si>
    <t>Ngô Minh Hải Yến</t>
  </si>
  <si>
    <t>ngominhhaiyen1905@gmail.com</t>
  </si>
  <si>
    <t>+84906688799</t>
  </si>
  <si>
    <t>Em chọn vị trí này vì niềm đam mê mãnh liệt với việc ứng dụng công nghệ. SUN.RISER là môi trường lý tưởng cho thực tập sinh, giúp em có thể nhanh chóng thích nghi và mang lại giá trị thực tế.</t>
  </si>
  <si>
    <t>Em hiểu vị trí này đòi hỏi sự kết hợp giữa việc kiểm soát chất lượng kỹ thuật (QA) và phân tích dữ liệu để tối ưu hóa trải nghiệm người dùng. Với kinh nghiệm làm Quality Control (QC) tỉ mỉ, em có khả năng phát hiện lỗi và đưa ra các nhận định chính xác từ dữ liệu.</t>
  </si>
  <si>
    <t>Quản lý chuỗi cung ứng và Vận hành</t>
  </si>
  <si>
    <t>6.87</t>
  </si>
  <si>
    <t>CS Staff: Quản lý lớp học, chăm sóc khách hàng và tổ chức sự kiện tại trung tâm.
QC Staff: Kiểm soát chất lượng hàng hóa, quản lý tồn kho và vận hành đơn hàng thương mại điện tử.</t>
  </si>
  <si>
    <t>xefqy4nf1svfaytxefqdgffj4gp23t4z</t>
  </si>
  <si>
    <t>Nguyễn Thiên Ấn</t>
  </si>
  <si>
    <t>ngthienaans@gmail.com</t>
  </si>
  <si>
    <t>+84911105675</t>
  </si>
  <si>
    <t>Em lựa chọn chương trình SUN.RISER vì mong muốn được trải nghiệm môi trường làm việc chuyên nghiệp tại SUN.STUDIO, nơi em có thể chuyển hóa những kiến thức chuyên ngành AI còn mang tính lý thuyết trên giảng đường vào các dự án thực tế.</t>
  </si>
  <si>
    <t>Em hiểu vị trí này không chỉ dừng lại ở việc lập trình, mà còn bao gồm việc thiết kế các giải pháp AI để giải quyết những bài toán cụ thể của SUN.STUDIO.</t>
  </si>
  <si>
    <t>Trí tuệ Nhân tạo</t>
  </si>
  <si>
    <t>9.02</t>
  </si>
  <si>
    <t>https://github.com/p1neapplechoco</t>
  </si>
  <si>
    <t>gb98zk0vliwq7oca3nltkgb98zk0w8yk</t>
  </si>
  <si>
    <t>Trần Phước Đại</t>
  </si>
  <si>
    <t>tpdai108@gmail.com</t>
  </si>
  <si>
    <t>+84901956202</t>
  </si>
  <si>
    <t>Mình chọn ứng tuyển vào SUN.RISER vì mình nhận thấy đây là môi trường phù hợp để phát triển tư duy thiết kế game một cách bài bản và thực tế. Cá nhân mình là một người rất thích sáng tạo, yêu cái đẹp . Mình tin rằng môi trường năng động và định hướng sản phẩm rõ ràng của SUN.RISER sẽ giúp mình cải thiện đáng kể về mọi mặt (chuyên môn + sở thích).</t>
  </si>
  <si>
    <t>I believe this role involves designing and refining game mechanics, supporting the development process, and collaborating with the team to create engaging player experiences. I think I’m a good fit because I enjoy analyzing how games work at a system level and turning ideas into clear, structured designs</t>
  </si>
  <si>
    <t>Mạng Máy Tính và Truyền Thông Dữ Liệu (Computer Networks and Data Communication)</t>
  </si>
  <si>
    <t>Data Security Intern (TRG International) - Create Usage Guide Documents; Setup, configure Data Loss Prevention Policies; Create Sensitive Auto-Labeling for 100+ Internal Documents; Collaborate with 5 Cross-function departments to guide them input and classify over 1000+ data; Create scripts to help controlling versions of documents and migrating data. Create around 10 automation workflows to alleviate business related tasks.</t>
  </si>
  <si>
    <t>Since all of my tasks in my old company is confidential, so I can't put any relevant links in here</t>
  </si>
  <si>
    <t>Mình rất mong có cơ hội được học hỏi và đóng góp tại SUN.STUDIO. Dù là intern, mình luôn giữ tinh thần chủ động, sẵn sàng nhận trách nhiệm và liên tục cải thiện bản thân. Mình cũng luôn cởi mở với feedback và thử thách, và hy vọng có thể cùng team tạo ra được những "blockbuster" trong tương lai :D</t>
  </si>
  <si>
    <t>fokoafi5mb3dsk89afokoafidj4okik5</t>
  </si>
  <si>
    <t>Nguyễn Hoàng Nhật Thiên</t>
  </si>
  <si>
    <t>thien.nguyenhn@hcmut.edu.vn</t>
  </si>
  <si>
    <t>+84963877559</t>
  </si>
  <si>
    <t>Khao khát có thể gắn bó với công ty để tạo nên con game có game play siêu cấp độc lạ, thu hút giới trẻ.</t>
  </si>
  <si>
    <t>Em sẽ chọn vị trí thực tập sinh thiết kế game, vì em có trí tưởng tượng bay bổng, phong phú.</t>
  </si>
  <si>
    <t>7.01/10</t>
  </si>
  <si>
    <t>em từng thiết kế game 2D based turn, game đi cảnh tương tự mario, game đánh bóng 2D, game dạng đập chuột thời xưa.</t>
  </si>
  <si>
    <t>https://github.com/RuMeoDiNhau/Game-2D-Turn-Based-strategy</t>
  </si>
  <si>
    <t>Rất cảm ơn SUN.STUDIO đã quan tâm.Em mong muốn có cơ hội được đóng góp kỹ năng và cùng đội ngũ tạo ra những sản phẩm chất lượng, mang lại giá trị thực tế cho người dùng ạ.</t>
  </si>
  <si>
    <t>zm1p97mcjeleahad26zm1p959nscm0qq</t>
  </si>
  <si>
    <t>Nguyễn Mai Hân</t>
  </si>
  <si>
    <t>maihannguyen100124@gmail.com</t>
  </si>
  <si>
    <t>+84367063277</t>
  </si>
  <si>
    <t>I am motivated to apply for the HR Intern position in the Sun.riser program organized by SUN.STUDIO, as I am eager to learn how a company operates, especially in HR processes such as recruitment and training. I also look forward to joining and growing in a dynamic and professional working environment.</t>
  </si>
  <si>
    <t>I believe this role involves supporting HR operations such as recruitment, managing records, and organizing internal activities. I am a good fit because I have experience in administrative support, document management, and coordination, along with strong organizational skills and attention to detail.</t>
  </si>
  <si>
    <t>Information - Library Science</t>
  </si>
  <si>
    <t>I am interested in the gaming industry, but I have not had direct experience in this field. I hope to gain hands-on experience and learn more by applying for this role.</t>
  </si>
  <si>
    <t>I haven’t had any project experience yet</t>
  </si>
  <si>
    <t>I am eager to learn, open to feedback, and willing to take on challenges. I hope to contribute my best while growing in a professional environment like SUN.STUDIO.</t>
  </si>
  <si>
    <t>dojxodpo21exzluaduvkdojxod8dsl68</t>
  </si>
  <si>
    <t>Nguyen Thi Thanh Hao</t>
  </si>
  <si>
    <t>ahaoinp212@gmail.com</t>
  </si>
  <si>
    <t>+84854197352</t>
  </si>
  <si>
    <t>because I am deeply passionate about emerging technologies, especially Artificial Intelligence and Game Development</t>
  </si>
  <si>
    <t>I previously studied Graphic Design and am currently studying Embedded System Engineering. I am particularly passionate about merging technology and visual creativity to develop high-quality, valuable products.</t>
  </si>
  <si>
    <t>IMIC Technology</t>
  </si>
  <si>
    <t>Learning &amp; working</t>
  </si>
  <si>
    <t>Graphic Designer, Embedded System Engineer</t>
  </si>
  <si>
    <t>I have self-developed a 2D game using Godot Engine. I was responsible for the entire development process, including game design, implementing core gameplay mechanics, player controls, UI, and basic animations.
Through this project, I gained practical experience in game development workflow, problem-solving, and optimizing game performance. Although it was a personal project, it helped me strengthen my programming logic and deepened my passion for creating interactive experiences.</t>
  </si>
  <si>
    <t>https://drive.google.com/file/d/1EXQ5k-Q1fEnRZoRIYgN2unfXKavGI34j/view?usp=share_link</t>
  </si>
  <si>
    <t>Mạng xã hội, Google Searching</t>
  </si>
  <si>
    <t>Thank you !</t>
  </si>
  <si>
    <t>y2oamhw07uxq613a68y2oamhwy5l1elx</t>
  </si>
  <si>
    <t>Bùi Đặng Quỳnh Như</t>
  </si>
  <si>
    <t>buidangquynhnhu.work@gmail.com</t>
  </si>
  <si>
    <t>+84707628369</t>
  </si>
  <si>
    <t>I chose SUN.RISER because I want to learn through real projects, not just theory. This position fits well with what I’m interested in,working with data and understanding user behavior to support product decisions.
I also like that the role involves working with different teams, so I can see the bigger picture of how a game is built and grown.</t>
  </si>
  <si>
    <t>I think this role involves analyzing player behavior to understand how users interact with the game, like retention, engagement, or where they drop off, and then turning those insights into suggestions to improve the game and its growth.</t>
  </si>
  <si>
    <t>Financial Technology</t>
  </si>
  <si>
    <t>- Data Analysis Intern | IDG Vietnam: Analyzed quantitative and qualitative data across multiple customer segments to evaluate and rank banking products for national awards
- Top 5 | RMIT Business Analytics Champion 2025: Analyzed manufacturing data and propose data-driven strategies
- Top 10 | DAZONE 2025 (FTU): Built ML pipeline to predict customer behavior and define strategies.</t>
  </si>
  <si>
    <t>https://drive.google.com/file/d/1qIjPrLJ_zvlPkIDKMj0uZCbqy8KpGFxv/view</t>
  </si>
  <si>
    <t>Hope to be a part of SUN.STUDIO</t>
  </si>
  <si>
    <t>pn2a1o3y9plm4ipn2vp8xeybaspk426s</t>
  </si>
  <si>
    <t>Nguyễn Đắc Thành</t>
  </si>
  <si>
    <t>ndthanh.work@gmail.com</t>
  </si>
  <si>
    <t>+84937159395</t>
  </si>
  <si>
    <t>Em chọn vị trí này vì em muốn áp dụng kiến thức Data Analytics vào thực tế, đặc biệt là phân tích hành vi người chơi để tạo ra insight và cải thiện sản phẩm. Đồng thời, em mong muốn học hỏi và phát triển trong môi trường game năng động như SUN.RISER.</t>
  </si>
  <si>
    <t>Em nghĩ vị trí này tập trung vào phân tích dữ liệu người chơi, tìm insight và hỗ trợ team đưa ra quyết định để cải thiện sản phẩm và tăng trưởng. Em phù hợp vì có nền tảng về Data Analytics, Python, SQL, đã từng làm các project liên quan đến giải quyết vấn đề thực tế</t>
  </si>
  <si>
    <t>Trong dự án Flight Delay Prediction, em phụ trách data cleaning và xây dựng mô hình ML. Kết quả, mô hình đạt ~80% accuracy, xác định 3 yếu tố chính gây delay (thời tiết, hãng bay, lịch bay) và hỗ trợ dự đoán xu hướng trễ chuyến.</t>
  </si>
  <si>
    <t>https://github.com/thanhndac</t>
  </si>
  <si>
    <t>wqvab3dn3fi3qqy86wqvab3dgajdafmi</t>
  </si>
  <si>
    <t>Đặng Trí Nguyễn</t>
  </si>
  <si>
    <t>nguyendang1653@gmail.com</t>
  </si>
  <si>
    <t>+84942678894</t>
  </si>
  <si>
    <t>Đầu tiên là em thích chơi game với thứ hai là em muốn mang lại cho người dùng một trải nghiệm trọn vẹn nhất.</t>
  </si>
  <si>
    <t>Theo em nghĩ vị trí này sẽ tham gia vào quy trình tìm lỗi, kiểm tra các tính năng và báo cáo bug. Em thấy mình phù hợp vì có tư duy lập trình giúp nắm bắt nhanh hệ thống kèm sự tỉ mỉ khi phân tích các cơ chế game.</t>
  </si>
  <si>
    <t>Có dựa theo video trên Youtube để làm một tựa game trên Unity giống với mario</t>
  </si>
  <si>
    <t>hf9m5dxtfd7d1c8wy2zzehf9m5d3rrjj</t>
  </si>
  <si>
    <t>Đường Xuân Thành Tài</t>
  </si>
  <si>
    <t>xuanthanhtai873@gmail.com</t>
  </si>
  <si>
    <t>+84968186482</t>
  </si>
  <si>
    <t>Vị trí tại SUN.RISER là cơ hội vàng để chuyển hóa những kiến thức lý thuyết về xử lý dữ liệu lớn thành những thông tin chi tiết (insights) có giá trị, giúp doanh nghiệp thấu hiểu hành vi khách hàng một cách sâu sắc hơn.</t>
  </si>
  <si>
    <t>Vị trí này tập trung phân tích hành vi khách hàng và xây dựng dashboard để tối ưu hóa hiệu suất sản phẩm tài chính sau khi go-live. Sự phù hợp đến từ nền tảng Big Data và AI xuất sắc (điểm A), kinh nghiệm xử lý dữ liệu thực tế (Kafka, Spark) cùng kỹ năng ứng dụng AI để tự động hóa phân tích với độ chính xác cao.</t>
  </si>
  <si>
    <t>an toàn thông tin</t>
  </si>
  <si>
    <t>6.46</t>
  </si>
  <si>
    <t>Nhiệm vụ chính: Hiện thực hóa thuật toán tìm đường với tối đa 2 bước ngoặt, cơ chế tự động xáo trộn (Shuffle) và hệ thống gợi ý (Hint) thông minh.  
Kỹ thuật xử lý: Quản lý dữ liệu mảng đa chiều, đồng bộ hóa trạng thái trò chơi và tối ưu hóa hiệu suất vận hành hệ thống.  
Ứng dụng AI: Khai thác AI để tối ưu hóa độ phức tạp của thuật toán tìm kiếm (BFS/Dijkstra), hỗ trợ kiểm thử (debug) logic phức tạp và tinh chỉnh hệ thống gợi ý nước đi tự động.</t>
  </si>
  <si>
    <t>https://github.com/thanhtai21</t>
  </si>
  <si>
    <t>3ssmjfzpq6jro3ssco9ifmui1lkr4zdn</t>
  </si>
  <si>
    <t>Nguyễn Phú Trọng</t>
  </si>
  <si>
    <t>phutrong.ltv@gmail.com</t>
  </si>
  <si>
    <t>+84357345434</t>
  </si>
  <si>
    <t>Have opportunities for personal and professional growth in a professional and dynamic working environment.</t>
  </si>
  <si>
    <t>This position involves collecting, processing, and analyzing data to generate valuable insights and support business decision-making. I believe I am a good fit for this role because I enjoy working with data analysis, and I have gained relevant experience in this field through both my academic projects and practical work experience.</t>
  </si>
  <si>
    <t>Prioject: User Behavior and Demographic Analysis in Online Advertising
Role: Data Analyst
Description: Conducted a full-cycle data analysis project to understand user behavior in online advertising. Performed data preprocessing, exploratory data analysis (EDA), univariate/multivariate analysis, and predictive modeling to extract insights. Produced visualizations and a detailed analytical
report.
Dataset: 1,002 records with 10 attributes related to ad interaction.
Technologies: Deepnote, Python (Pandas, NumPy, Scikit-learn, Matplotlib), Machine Learning Libraries, etc</t>
  </si>
  <si>
    <t>https://github.com/ngphtrong2003</t>
  </si>
  <si>
    <t>I really hope to have the opportunity to work and develop here.</t>
  </si>
  <si>
    <t>opun7mwmieamop8fzyc07239hnuknssa</t>
  </si>
  <si>
    <t>Nguyễn Kim Hằng</t>
  </si>
  <si>
    <t>nguyenkimhang2501@gmail.com</t>
  </si>
  <si>
    <t>+84933977855</t>
  </si>
  <si>
    <t>Qua tìm hiểu, em thấy SUN.RISER có môi trường năng động và chú trọng vào hiệu quả marketing thực tế, điều này giúp em có cơ hội học hỏi và phát triển nhanh hơn. Em đặc biệt hứng thú với việc được tham gia xây dựng các chiến dịch marketing, đóng góp ý tưởng và tối ưu hiệu quả dựa trên dữ liệu.</t>
  </si>
  <si>
    <t>Em lựa chọn vị trí Marketing tại SUN.RISER vì em định hướng phát triển lâu dài trong lĩnh vực này và cảm thấy công việc này rất phù hợp với thế mạnh của mình như sáng tạo nội dung và phân tích insight khách hàng.</t>
  </si>
  <si>
    <t>Multimedia Communications</t>
  </si>
  <si>
    <t>3.04/4.0 GPA</t>
  </si>
  <si>
    <t>Chưa từng có kinh nghiệm liên quan ạ</t>
  </si>
  <si>
    <t>Portfolio - Nguyen Kim Hang.pdf</t>
  </si>
  <si>
    <t>Em muốn chia sẻ rằng em rất mong muốn phát triển lâu dài trong lĩnh vực Marketing và không ngừng cải thiện kỹ năng của mình. Em đặc biệt quan tâm đến việc sáng tạo nội dung và tìm hiểu hành vi khách hàng để xây dựng các chiến dịch hiệu quả.
Em tin rằng mình có thể mang đến tinh thần chủ động, sáng tạo và luôn sẵn sàng học hỏi. Đồng thời, em cũng mong muốn được làm việc trong môi trường chuyên nghiệp như SUN.STUDIO để vừa đóng góp, vừa phát triển bản thân lâu dài cùng công ty.</t>
  </si>
  <si>
    <t>s98qioy08wuw952aly513s98qio1kj4t</t>
  </si>
  <si>
    <t>Phạm Thị Cẩm Nhung</t>
  </si>
  <si>
    <t>ptcnhung99tn@gmail.com</t>
  </si>
  <si>
    <t>+84901906334</t>
  </si>
  <si>
    <t>Một ví trí có nhiều thử thách và lòng kiên nhẫn</t>
  </si>
  <si>
    <t>Vị trí này ứng dụng AI trong công việc, giúp tăng nhanh hiệu suất làm game</t>
  </si>
  <si>
    <t>8.1/10</t>
  </si>
  <si>
    <t>Tôi có làm dự án về LLM và RAG cho tư vấn bệnh tiểu đường</t>
  </si>
  <si>
    <t>https://github.com/Nhung55555/chatbot-diabetes-prethesis-2025-2026</t>
  </si>
  <si>
    <t>Em mong có được cơ hội làm việc và gắn bó với SUN.STUDIO ạ</t>
  </si>
  <si>
    <t>e8sr7n7143zzm95qj64e4ov0e8sr7nbf</t>
  </si>
  <si>
    <t>Đào Hương Giang</t>
  </si>
  <si>
    <t>huonggiangdao19092k5@gmail.com</t>
  </si>
  <si>
    <t>+84334570359</t>
  </si>
  <si>
    <t>Được tiếp xúc với quy trình làm việc và đào tạo chuyên nghiệp. Làm việc trong một doanh nghiệp chuyên về phát triển game là một ước mơ, khao khát của tôi. Tôi luôn tin mình sẽ đáp ứng được những yêu cầu mà quý doanh nghiệp đề ra.</t>
  </si>
  <si>
    <t>Vị trí nhân sự: hỗ trợ tìm kiếm ứng viên, sàng lọc và quản lý hồ sơ, chuẩn bị hậu cần cho các buổi phỏng vấn. Tôi thấy mình phù hợp với vị trí này vì: là một sinh viên Bách Khoa, tôi được rèn luyện khả năng lắng nghe và sự cẩn trọng thông qua quá trình làm project trong các môn học. Và tôi luôn sẵn sàng bắt đầu học hỏi từ những điều nhỏ nhất.</t>
  </si>
  <si>
    <t>Quản Lý Công Nghiệp</t>
  </si>
  <si>
    <t>Tôi đã có kinh nghiệm quản lý hồ sơ, hõ trợ kết nối giữa giảng viên và phụ huynh qua công việc làm trợ giảng tiếng anh. Bên cạnh có, tôi cũng từng thực hiện dự án môn Hành vi tổ chức yêu cầu nghiên cứu về động lực thúc đẩy khả năng làm việc của nhân viên, quay video tình huống và đạt được điểm B+ cho môn học này</t>
  </si>
  <si>
    <t>https://www.canva.com/design/DAGXU3zB8u8/zLA1ZzgyCPA1rdfYqOPRiw/edit?utm_content=DAGXU3zB8u8&amp;utm_campaign=designshare&amp;utm_medium=link2&amp;utm_source=sharebutton</t>
  </si>
  <si>
    <t>Mạng xã hội, Ứng tuyển qua Chương trình Thực tập hè của Nhà trường (như HCMUS, HCMUT), Trường đại học</t>
  </si>
  <si>
    <t>Em rất ấn tượng với văn hóa và môi trường làm việc tại SUN.STUDIO qua các kênh truyền thông. Em hy vọng hành trình sắp tới của mình sẽ được bắt đầu tại đây – nơi em có thể kết hợp tư duy logic của một sinh viên Bách Khoa và niềm đam mê với ngành Nhân sự. Cảm ơn quý công ty đã lắng nghe và xem xét CV  của em.</t>
  </si>
  <si>
    <t>nb6o8eeaub7u9ziis7fsnb6o8eea1d3x</t>
  </si>
  <si>
    <t>Trần Thị Thanh Nga</t>
  </si>
  <si>
    <t>tranthithanhnga3101@gmail.com</t>
  </si>
  <si>
    <t>+84838244506</t>
  </si>
  <si>
    <t>Em lựa chọn vị trí UA tại SUN.RISER vì định hướng performance và data-driven rất phù hợp với em. Em đã có cơ hội phân tích các chỉ số như engagement và hành vi người dùng trong các project trước, và đặc biệt hứng thú với việc tối ưu hiệu quả dựa trên dữ liệu. Em mong muốn được phát triển sâu hơn về testing và tối ưu ads trong môi trường thực chiến.</t>
  </si>
  <si>
    <t>Theo em, vị trí UA sẽ tập trung vào việc chạy và tối ưu các chiến dịch quảng cáo để thu hút người dùng, bao gồm nghiên cứu thị trường, A/B testing creatives và phân tích các chỉ số như CTR, CPM, ROAS để cải thiện hiệu quả. Em nghĩ mình phù hợp vì đã có trải nghiệm cơ bản trong việc phân tích dữ liệu và tối ưu nội dung dựa trên hành vi người dùng ạ.</t>
  </si>
  <si>
    <t>UEH.ISB</t>
  </si>
  <si>
    <t>Kinh Doanh Quốc Tế</t>
  </si>
  <si>
    <t>Em đã tham gia 1 project nhóm phân tích dữ liệu Airbnb, sử dụng Excel và Power BI để phân tích các yếu tố như giá và tỷ lệ lấp đầy, từ đó rút ra insight và đề xuất hướng tối ưu. Ngoài ra, em có kinh nghiệm cơ bản trong việc theo dõi và tối ưu các chỉ số tương tác trong project digital marketing, giúp em bước đầu làm quen với việc cải thiện hiệu quả dựa trên dữ liệu.</t>
  </si>
  <si>
    <t>https://drive.google.com/drive/folders/1pSv0Rlm8V_-XXbIQiHfDtRQVqDPrELRA?usp=sharing</t>
  </si>
  <si>
    <t>Em mong muốn được tham gia vào môi trường thực chiến tại SUN.STUDIO để phát triển tư duy phân tích dữ liệu và tối ưu hiệu quả chiến dịch. Với tinh thần chủ động học hỏi và sẵn sàng thử nghiệm, em tin rằng mình có thể nhanh chóng thích nghi và đóng góp vào việc cải thiện hiệu suất chiến dịch ạ</t>
  </si>
  <si>
    <t>yxcdk6dholh0c5hjyxcdkswhkulwr89y</t>
  </si>
  <si>
    <t>Đặng Trần Anh Hào</t>
  </si>
  <si>
    <t>noobz2110@gmail.com</t>
  </si>
  <si>
    <t>+84946074322</t>
  </si>
  <si>
    <t>Em đã theo dõi Sun Studio từ lâu và thực sự ấn tượng với chất lượng hình ảnh cũng như tư duy thiết kế trong các sản phẩm của studio. Vì vậy, em chọn vị trí này với mong muốn được tiếp cận với môi trường phát triển game chuyên nghiệp, học hỏi từ đội ngũ của Sun và đồng thời áp dụng những kỹ năng lập trình của mình vào các dự án thực tế.</t>
  </si>
  <si>
    <t>Em nghĩ em sẽ đảm nhận việc lập trình, thiết kế các hệ thống gameplay, xử lý tương tác và phối hợp chặt chẽ với Game Designer, Lead để hiện thực hóa các ý tưởng. 
Trong quá trình phát triển các dự án game trước đây, em đã tích lũy được kinh nghiệm làm việc chuyên sâu với Unity và C# và nắm vững kiến thức về OOP. Vì vậy em nghĩ vị trí phù hợp với em</t>
  </si>
  <si>
    <t>Em đã hoàn thành 7 tựa game. Trong đó, em đảm nhận việc lập trình, thiết kế game, đồ họa, âm thanh. Qua các dự án ấy em học được cách thiết kế hệ thống tương tác nhau một cách chỉnh chu cũng như là những thiết kế sai để có thể né tránh những lỗi lầm ấy.</t>
  </si>
  <si>
    <t>https://kohrabi.itch.io/</t>
  </si>
  <si>
    <t>jpt6geotzvv7cqq0fhxjpt6g0zoezl74</t>
  </si>
  <si>
    <t>Phạm Ngọc Thiện</t>
  </si>
  <si>
    <t>phamngocthienpy2005@gmail.com</t>
  </si>
  <si>
    <t>+84823727385</t>
  </si>
  <si>
    <t>Em tin rằng những kỹ năng hiện có, được tích lũy qua quá trình học tập, rất phù hợp với vị trí Data Analysis Intern của SUN.RISER. Em mong muốn vừa áp dụng kiến thức để đóng góp, vừa học hỏi quy trình làm việc thực tế tại công ty. Đặc biệt, em có niềm hứng thú lớn với mảng Game và rất mong được gắn bó ở lĩnh vực này</t>
  </si>
  <si>
    <t>Dựa trên JD của công ty, vị trí DA intern yêu cầu truy vấn SQL để khám phá data, theo dõi pattern, trends; xây dựng pipeline dữ liệu, tạo dashboard để trực quan hoá data, viết tài liệu chỉ số và phối hợp liên phòng ban. Với khả năng học hỏi, thích nghi nhanh, nền tảng vững chắc, em nghĩ em sẽ phù hợp vị trí này.</t>
  </si>
  <si>
    <t>Information Systems - Hệ thống Thông tin</t>
  </si>
  <si>
    <t>8.25</t>
  </si>
  <si>
    <t>I have 1 personal project and 1 coursework:
The first coursework is "Customer churn analytics and prediction in telecommunication", it's a project of "Statistical Analysis" subject. I began by performing Exploratory Data Analysis (EDA) - with using Python(Pandas) on usage metrics to understand customer behavior, followed by data preprocessing—including standardization and normalization—to prepare for modeling. My primary responsibility was training the Logistic Regression and LightGBM models. After our team evaluated the models and selected the best-performing one, I utilized SHAP values to interpret the results and identify the key drivers of customer churn. Based on these insights, I provided actionable recommendations to help the company decrease its churn rate.
The second one is my personal project, this related to building the data pipeline and an interactive dashboard for Ecommerce dataset. I engineered an automated data pipeline using Apache Airflow to extract raw MySQL data into a PostgreSQL data warehouse. To efficiently manage complex relational mappings, I architected a robust Star Schema structure utilizing surrogate keys and standardized data types. Building upon this infrastructure, I defined core business KPIs—such as GMV and AOV—and integrated the warehouse with Metabase and Power BI. This enabled me to deliver interactive dashboards that provide consistent, actionable operational and revenue insights for stakeholders.</t>
  </si>
  <si>
    <t>https://github.com/thien1805/teleco-churn-prediction,  https://drive.google.com/file/d/1UvKnRcnEALEC7MKAfsqjH3DRiGZaPRUW/view,  https://github.com/thien1805/Olist-Ecommerce-Data-Warehouse-and-Analytics</t>
  </si>
  <si>
    <t>cedevpnlv6xyhs5240yv3cedev0w90uo</t>
  </si>
  <si>
    <t>Lê Phạm Hoàng Hà</t>
  </si>
  <si>
    <t>lp.hoangha03@gmail.com</t>
  </si>
  <si>
    <t>+84773021504</t>
  </si>
  <si>
    <t>First, I am highly attracted to the key responsibilities outlined in the job description. I see this as a perfect opportunity to learn and gain hands-on experience.
Second, the 1-on-1 Mentorship benefit is a significant factor for me. I believe that having direct guidance is crucial for my professional development.</t>
  </si>
  <si>
    <t>I view this role as a strategic blend of
- Market research
- Creative A/B testing
- Data-driven optimization to drive quality user growth for games. 
I am a strong fit because my experience in content creation allows me to identify trends and develop engaging ad creatives.</t>
  </si>
  <si>
    <t>I haven't had any game-related or job-related experience before</t>
  </si>
  <si>
    <t>kbv9tudf2sxo083ecxvc2g1kbv9thm5d</t>
  </si>
  <si>
    <t>Lê Bảo Ngọc</t>
  </si>
  <si>
    <t>lebaongoc86cm@gmail.com</t>
  </si>
  <si>
    <t>+84915702727</t>
  </si>
  <si>
    <t>As someone who loves to play games and has a fundamental background in creative and digital marketing, I see UA as the perfect intersection for my career growth and personal interests.  I am motivated to join your team as an intern to receive structured training, deepen my data analysis skills, and contribute to the growth of the gaming industry.</t>
  </si>
  <si>
    <t>I think this role involves executing creative campaigns and analyzing metrics like CPI and ROAS to optimize the game's growth and drive installations.
I believe I'm a good fit because with my Multimedia background, I can contribute fresh ideas for ad creatives. I'm also familiar with ad platforms and detail-oriented.</t>
  </si>
  <si>
    <t>During my "Magazine and Publication Production" course, my team created a game-themed magazine called GAME VERSE.
Role: I was the Head of Content, where I was responsible for coordinating the editorial team, planning the topic, managing the content strategy, and writing several articles myself.
Outcome: We received a final score of 9.5/10 for the project.</t>
  </si>
  <si>
    <t>https://drive.google.com/file/d/19l_6-ZxC7Bq1nXLsoJvf59Wz5wfFTfLA/view?usp=sharing</t>
  </si>
  <si>
    <t>Từ lúc em xác định muốn được phát triển trong lĩnh vực UA Marketing thì Sun Studio là môi trường làm việc mà em rất quan tâm và luôn chờ đợi cơ hội phù hợp. Trong quá trình tìm hiểu thì em nhận thấy rất ít công ty game/mobile app ở TP.HCM có chương trình đào tạo cho UA Intern. Vậy nên đối với em, chương trình SUN.RISER INTERNSHIP là cơ hội rất quý báu để em có thể hiện thực hóa đam mê của mình và được thử sức trong ngành Game. Em rất mong có thể đóng góp sự nhiệt huyết và kỹ năng của mình để được đồng hành cùng đội ngũ trong thời gian tới ạ.</t>
  </si>
  <si>
    <t>1uto0bw1qmink6p1uto0uxjeoxv0hexu</t>
  </si>
  <si>
    <t>Nguyễn Tấn Dũng</t>
  </si>
  <si>
    <t>nguyentandung037@gmail.com</t>
  </si>
  <si>
    <t>+84394996425</t>
  </si>
  <si>
    <t>I chose this position because I’m passionate about games and technology, and want to go beyond traditional software development by applying AI to real-world problems. Even starting as an intern, I see this as a chance to learn quickly and prove my value.</t>
  </si>
  <si>
    <t>I believe this role focuses on analyzing workflows, identifying inefficiencies, and applying AI to automate processes through prompt engineering, AI pipelines, and agent design.
I’m a good fit because I have a software background, and I have built AI pipelines in my graduation project.</t>
  </si>
  <si>
    <t>I worked on RecipeLens, an AI-powered full-stack application.
I integrated AI models into application workflows, built backend APIs, and handled async processing. This project gave me hands-on experience with AI pipelines and deploying an end-to-end system.</t>
  </si>
  <si>
    <t>https://github.com/dungnguyen73/recipelens_recommender</t>
  </si>
  <si>
    <t>rxyq0nreja1jx83ieti6rxyq9rlhurpq</t>
  </si>
  <si>
    <t>Lê Quang Long</t>
  </si>
  <si>
    <t>long48800@gmail.com</t>
  </si>
  <si>
    <t>+84768843039</t>
  </si>
  <si>
    <t>I am motivated to apply for this position because it aligns with my career goal of developing expertise in digital transformation. SUN.RISER offers a dynamic environment where I can learn from experienced mentors, contribute to impactful projects, and grow both professionally and personally.</t>
  </si>
  <si>
    <t>I believe the AI Engineer role involves building and deploying machine learning models, handling data pipelines, and integrating AI solutions into real-world applications. I am a good fit because my background in Computer Science and hands-on experience with PyTorch and NLP projects have equipped me with both technical skills</t>
  </si>
  <si>
    <t>8.21</t>
  </si>
  <si>
    <t>Real‑Time Sentiment Analysis for E‑Commerce – Role: System Designer and Model Developer. I built a big data pipeline with Kafka/Spark and fine‑tuned PhoBERT for multi‑aspect sentiment classification. Outcome: Delivered sub‑5 second latency and F1‑Score 0.83 across 9 aspects.</t>
  </si>
  <si>
    <t>https://github.com/Longhehehe</t>
  </si>
  <si>
    <t>I truly appreciate the opportunity to apply for the SUN.RISER program. I am eager to learn from SUN.STUDIO’s innovative environment, contribute my skills in AI engineering, and grow alongside talented peers. I look forward to making meaningful contributions and building long-term connections.</t>
  </si>
  <si>
    <t>y1y51n1nbvvfy6niky1y5lbkj2jg866n</t>
  </si>
  <si>
    <t>Nguyễn Phạm Chí Bảo</t>
  </si>
  <si>
    <t>nguyenphamchibao757@gmail.com</t>
  </si>
  <si>
    <t>+84379439757</t>
  </si>
  <si>
    <t>Em chọn vị trí này tại SUN.RISER vì em quan tâm đến phân tích dữ liệu trong lĩnh vực game, đặc biệt là cách dữ liệu giúp hiểu hành vi người chơi và cải thiện trải nghiệm người dùng.</t>
  </si>
  <si>
    <t>Em nghĩ vị trí này sẽ làm về phân tích dữ liệu người chơi, xây dựng báo cáo và hỗ trợ ra quyết định.
Em phù hợp vì có nền tảng Data Science, đã làm project với Python, SQL, Power BI và có khả năng xử lý dữ liệu, tìm insight. Đồng thời em cũng chủ động học hỏi và muốn phát triển trong môi trường thực tế.</t>
  </si>
  <si>
    <t>Em đã có kinh nghiệm làm các dự án liên quan đến phân tích dữ liệu trong quá trình học. Ở dự án HR Analytics, em thực hiện xử lý dữ liệu, phân tích hiệu suất nhân sự và rút ra insight để hỗ trợ báo cáo.
Ngoài ra, em có làm dự án Rice Leaf Disease Classification, trong đó em chuẩn bị dữ liệu, xây dựng mô hình phân loại và đánh giá kết quả mô hình bằng Python.
Tuy em chưa làm trực tiếp với dữ liệu game, nhưng em đã có nền tảng về xử lý, phân tích dữ liệu và mong muốn áp dụng các kỹ năng này vào dữ liệu liên quan đến hành vi người chơi trong game.</t>
  </si>
  <si>
    <t>https://chibao-v.github.io/chibao-portfolio/</t>
  </si>
  <si>
    <t>Em rất mong có cơ hội được tham gia và học hỏi tại SUN.STUDIO. Dù kinh nghiệm thực tế của em chưa nhiều, nhưng em sẵn sàng học hỏi, chủ động trong công việc và luôn cố gắng hoàn thành tốt các nhiệm vụ được giao.
Em hy vọng có thể đóng góp một phần nhỏ thông qua việc phân tích dữ liệu, tìm insight và hỗ trợ team trong việc cải thiện trải nghiệm người chơi.</t>
  </si>
  <si>
    <t>lfrm5hjiznnx64lfrmr4qbmdj6dxvyr1</t>
  </si>
  <si>
    <t>Trần Ngọc Biên</t>
  </si>
  <si>
    <t>bientran.dev@gmail.com</t>
  </si>
  <si>
    <t>+84374383707</t>
  </si>
  <si>
    <t>Quá trình làm backend và trực tiếp tích hợp các dịch vụ AI vào hệ thống thực tế đã khiến em thực sự hứng thú và muốn tiến sâu hơn. Em chọn vị trí này vì muốn chính thức thử sức ở mảng phát triển AI, dùng nền tảng tư duy hệ thống sẵn có của mình để trực tiếp tạo ra các giải pháp AI giúp tối ưu quy trình sản xuất game.</t>
  </si>
  <si>
    <t>Vị trí này sẽ ứng dụng AI vào quy trình làm việc nhằm tăng tốc độ sản xuất và cải thiện chất lượng game. Em phù hợp vì có cả kinh nghiệm nghiên cứu lẫn thực chiến tích hợp dịch vụ AI vào môi trường production. Nền tảng tư duy sẵn có giúp em không chỉ làm việc với mô hình, mà còn biết cách triển khai chúng vào hệ thống để vận hành mượt mà và tối ưu.</t>
  </si>
  <si>
    <t>8.55/10</t>
  </si>
  <si>
    <t>- Dự án "AiAction" tại FPT Telecom: Với vai trò Software Engineer, em chịu trách nhiệm tích hợp các API nhận diện hành vi bằng AI vào kiến trúc backend. Kết quả: Kỹ sư hóa thành công dịch vụ AI lên môi trường production, đáp ứng được các tiêu chuẩn về giám sát nghiệp vụ thực tế (cho đối tác FRT Long Châu).
- Đề tài Nghiên cứu mô hình PhoBERT: Nghiên cứu và phát triển hệ thống AI phát hiện lỗi ngữ pháp. Kết quả: Đạt Giải Nhất Nghiên cứu Khoa học sinh viên cấp trường.</t>
  </si>
  <si>
    <t>https://fpt.vn/tin-tuc/fpt-vmsmart-nen-tang-quan-tri-tap-trung-cho-doanh-nghiep-11576.html</t>
  </si>
  <si>
    <t>Em mong muốn được đồng hành cùng SUN.STUDIO để nắm bắt và tham gia phát triển kịp thời trong kỷ nguyên AI. Với nền tảng có sẵn và kinh nghiệm thực chiến với AI, tôi đã sẵn sàng đóng góp vào việc tự động hóa và tăng tốc quy trình sản xuất của công ty. Rất mong sớm được trao đổi sâu hơn về các bài toán kỹ thuật thực tế cùng anh/chị ở vòng phỏng vấn sắp tới!</t>
  </si>
  <si>
    <t>wjwkc2xz2abgallvft0ymqwjwkc2x39q</t>
  </si>
  <si>
    <t>Nguyễn Phan Bình Nguyên</t>
  </si>
  <si>
    <t>n.p.binhnguyenkrp2025@gmail.com</t>
  </si>
  <si>
    <t>+84347281081</t>
  </si>
  <si>
    <t>My motivation for choosing Sun.Studio stems from a deep-rooted curiosity for gaming and creative storytelling, even though I haven't worked in this industry yet. I’ve always been fascinated by how Sun.Studio creates such engaging experiences with simple accessibility for millions of users.</t>
  </si>
  <si>
    <t>While I am a newbie in technical data analysis, I am a fast learner and deeply eager to grow in this field. I believe I am a good fit because I can bring a creative mindset that is always rooted in strategic objectives, as demonstrated by the 2.67% engagement rate I achieved during my Digital Marketing project.</t>
  </si>
  <si>
    <t>I was responsible for managing the social media for a project in the Digital Marketing course. In particular: 
●	Concepted and executed the complete brand ecosystem, including naming, logo design, mascot development, and a cohesive color palette.
●	Directed social media production including copywriting, photography, and video editing for website and social channels including Facebook, Instagram, TikTok, growing the project facebook page to 213 followers.
●	Optimized social posts to achieve a 2.67% engagement rate per post in 6 weeks, successfully attracting 356 organic sessions to the website via social referrals.</t>
  </si>
  <si>
    <t>https://tinyurl.com/npbinhnguyen</t>
  </si>
  <si>
    <t>I have always admired how Sun.Studio’s games bring simple, everyday joy to millions of users, including me. While I am just a newbie in the professional game industry, I am confident in my ability to contribute creative value to the game-building process. I am incredibly eager to learn the technical mechanics of User Acquisition from your team and am ready to put in the hard work to help Sun.Studio continue your success.</t>
  </si>
  <si>
    <t>7i77ctv0megssygxe1e01po7i77ctvj3</t>
  </si>
  <si>
    <t>Lê Tấn Lợi</t>
  </si>
  <si>
    <t>loiletan0412@gmail.com</t>
  </si>
  <si>
    <t>+84931479174</t>
  </si>
  <si>
    <t>Lý do mình chọn vị trí Unity Developer Intern tại SUN.RISER là khao khát được rèn luyện trong một môi trường chuyên nghiệp. Mình mong muốn được vận dụng những nền tảng kiến thức đã học để đóng góp giá trị thực cho Studio. Đồng thời, mình rất cầu thị được học hỏi và đồng hành lâu dài cùng sự phát triển của SUN.RISER</t>
  </si>
  <si>
    <t>Tham gia vào quy trình phát triển sản phẩm thực tế, hiện thực hóa các tính năng gameplay, logic nhân vật và giao diện (UI) bằng Unity. Học hỏi và áp dụng các quy chuẩn mã nguồn chuyên nghiệp, thực hiện tối ưu hóa hiệu năng
Mình phù hợp Nền tảng kỹ thuật vượt mức cơ bản: Qua dự án DreamRPG,GameRoBot. CóTư duy tối ưu hóa hiệu suất như: Object Pooling</t>
  </si>
  <si>
    <t>Tháng 6 này sẽ hoàn thành</t>
  </si>
  <si>
    <t>Lập Trình Game Unity</t>
  </si>
  <si>
    <t>GameMeoAn(thả vật phẩm từ trên xuống người chơi sẽ nhặt thức ăn để được cộng điểm , nhặt phải vật dụng thì bị trừ máu)
GameRoBot(Người chơi sẽ vào vai nhân vật robot rắn đi phiêu lưu và tiêu diệt quái vật )
DreamRPG(nhập vai vào hiệp sỹ nguyên tố phiêu lưu qua các vùng đất và thu thập các mảnh vỡ nguyên tố)(game đang thực hiện)</t>
  </si>
  <si>
    <t>Link Github của mình : https://github.com/loigado</t>
  </si>
  <si>
    <t>Em xác định Game Development là con đường sự nghiệp duy nhất và dài hạn của mình. Với nền tảng từ dự án đã làm, em khao khát được rèn luyện trong quy chuẩn chuyên nghiệp của SUN.STUDIO để không chỉ hoàn thành tốt vai trò thực tập sinh, mà còn phát triển trở thành một nhân sự nòng cốt, sẵn sàng đồng hành và cống hiến lâu dài cùng sự phát triển của Studio</t>
  </si>
  <si>
    <t>qh1dakqaois47likqmaqh1dakqvbcire</t>
  </si>
  <si>
    <t>Hồ Nguyễn Thành Trung</t>
  </si>
  <si>
    <t>thanhtrung30062003@gmail.com</t>
  </si>
  <si>
    <t>+84906281336</t>
  </si>
  <si>
    <t>An opportunity to merge my technical expertise in data analytics with my passion for the gaming industry, particularly within a fast-moving studio environment.</t>
  </si>
  <si>
    <t>A game studio needs someone who understands the product, not just the numbers. That's where my ability to turn multi-platform data into growth strategies comes.</t>
  </si>
  <si>
    <t>International Business</t>
  </si>
  <si>
    <t>I managed user acquisition campaigns across TikTok, Facebook, and LinkedIn as a digital marketing analyst (intern) at OTSU LABS, analyzing retention signals and audience behavior to drive a 20% increase in video watch-through rates and over 120K impressions</t>
  </si>
  <si>
    <t>https://drive.google.com/drive/folders/1hcEGeNvcRhhdhay0gajawGTPCEhgCwRQ?usp=sharing</t>
  </si>
  <si>
    <t>Trường đại học, Ybox, Mạng xã hội</t>
  </si>
  <si>
    <t>I’m really excited about the possibility of joining the team. Beyond the data and the spreadsheets, I’m a huge fan of how gaming brings people together and my time in Japan really deepened my appreciation for that culture. I’m looking for a place where I can grow, learn the 'Sun Studio way,' and use my background in UA and analytics to help make our games even more successful.  
I’ve always been a proactive learner—whether it's picking up SQL or Japanese—and I’d love to bring that same energy to supporting your growth goals.</t>
  </si>
  <si>
    <t>g976kp9szy8chgx7u4i8g976kpriiupa</t>
  </si>
  <si>
    <t>Đoàn Minh Trí</t>
  </si>
  <si>
    <t>tri26842684@gmail.com</t>
  </si>
  <si>
    <t>+84785406202</t>
  </si>
  <si>
    <t>Với kinh nghiệm về boardgame và các kiến thức đã tiếp thu ở trường, mình quyết định chọn vị trí này để làm quen với thị trường digital game và phát triển kĩ năng của bản thân.</t>
  </si>
  <si>
    <t>- Ở vị trí Game Design sẽ đảm nhận việc thiết kế gameplay, level và trải nghiệm người chơi sao cho cuốn hút nhất có thể.
- Mình phù hợp với vị trí này là vì mình là một người đam mê game và đã học hỏi rất nhiều về cách vận hành của game thông qua công việc Boardgame Leader.</t>
  </si>
  <si>
    <t>Công nghệ Đa phương tiện</t>
  </si>
  <si>
    <t>7,6</t>
  </si>
  <si>
    <t>No.</t>
  </si>
  <si>
    <t>I don't have any project yet.</t>
  </si>
  <si>
    <t>Mạng xã hội, Ybox</t>
  </si>
  <si>
    <t>g8qhg4s2gdae4r9zr9yr4g8qhgaeg2cj</t>
  </si>
  <si>
    <t>Đặng Hiểu Hòa</t>
  </si>
  <si>
    <t>hoaemail1305@gmail.com</t>
  </si>
  <si>
    <t>+84843208288</t>
  </si>
  <si>
    <t>Lý do là vì em đã từng có kinh nghiệm làm game bằng Unity, em muốn học thêm nhiều nữa trong chương trình Thực tập của SUN.STUDIO</t>
  </si>
  <si>
    <t>Em nghĩ vị trí này sẽ chịu trách nhiệm lập trình logic game bằng C#, triển khai giao diện (Unity UI), xử lý lỗi (debug), tối ưu hóa hiệu suất và phối hợp với team để chuyển hóa các ý tưởng thành tính năng game hoàn chỉnh. Vì đã có kinh nghiệm làm game bằng Unity thông qua đồ án môn học ở nhà trường nên em tự tin mình phù hợp với vị trí này.</t>
  </si>
  <si>
    <t>Infomation Security</t>
  </si>
  <si>
    <t>Vai trò của em trong dự án Battleship Game là 1 leader, em chịu trách nhiệm nghĩ ra ý tưởng, phân chia công việc cho các thành viên trong team, quản lý tiến độ công việc, tổng hợp kết quả của team. Về phần coding, em chịu trách nhiệm hiện thực 1 phần UI, logic xử lý, kết nối database, websocket. Kết quả của dự án là dự án đã hoàn thành đúng tiến độ và đúng các yêu cầu đề ra như chơi cùng bạn bè 1 cách online, hỗ trợ nhắn tin realtime.</t>
  </si>
  <si>
    <t>https://github.com/Hoauit1305/BattleShip-Game.git</t>
  </si>
  <si>
    <t>Em mong sẽ có cơ hội học tập và làm việc lâu dài trong môi trường của SUN.STUDIO</t>
  </si>
  <si>
    <t>4m5b4n1gp7ucasb34m58ady5244bwlfx</t>
  </si>
  <si>
    <t>Lê Tấn Xuân Khang</t>
  </si>
  <si>
    <t>letanxuankhang1003@gmail.com</t>
  </si>
  <si>
    <t>+84373708308</t>
  </si>
  <si>
    <t>Em chọn Data Analyst vì yêu thích làm việc với dữ liệu, phân tích số liệu và tạo ra insight có giá trị. Với nền tảng backend, SQL và ETL, em muốn phát triển sâu trong lĩnh vực data.</t>
  </si>
  <si>
    <t>Theo em, vị trí Data Analyst sẽ tập trung vào thu thập, xử lý, phân tích dữ liệu và trực quan hóa kết quả để hỗ trợ doanh nghiệp ra quyết định. Em phù hợp với vị trí này nhờ nền tảng về backend, SQL, database, ETL và tư duy logic trong xử lý dữ liệu, cùng tinh thần học hỏi để phát triển sâu hơn trong lĩnh vực data.</t>
  </si>
  <si>
    <t>HITC – Trường Cao đẳng Công thương TP.HCM</t>
  </si>
  <si>
    <t>6,7</t>
  </si>
  <si>
    <t>Em có kinh nghiệm làm việc với SQL, database và ETL, bao gồm xử lý, làm sạch và chuyển đổi dữ liệu phục vụ lưu trữ và phân tích. Những trải nghiệm này giúp em xây dựng tư duy làm việc dữ liệu một cách logic và có hệ thống.</t>
  </si>
  <si>
    <t>https://github.com/khangle103</t>
  </si>
  <si>
    <t>Em mong được trở thành một phần của SUN.STUDIO, nơi em có thể học hỏi từ môi trường thực tế, phát triển chuyên môn về Data/AI và tạo ra những giá trị thiết thực cho đội ngũ.</t>
  </si>
  <si>
    <t>74n76myuawg2gqd74n76b2ajxckm135s</t>
  </si>
  <si>
    <t>Lê Phạm Quỳnh Duyên</t>
  </si>
  <si>
    <t>duyenle30052@gmail.com</t>
  </si>
  <si>
    <t>+84842094192</t>
  </si>
  <si>
    <t>I wanted to challenge myself in this position. Sun Studio opened a path for me to learn and become a true game designer.</t>
  </si>
  <si>
    <t>I’m Duyen - a young girl working in the creative industry with a strong passion for creating breakthrough gaming experiences. I firmly believe that I have a special advantage over other candidates that is my major - Game Design.</t>
  </si>
  <si>
    <t>3.0/4</t>
  </si>
  <si>
    <t>In the project part in my CV</t>
  </si>
  <si>
    <t>https://www.rmitvn-showcase.com/scd-games-y2/mama-please-wait</t>
  </si>
  <si>
    <t>Thank you for taking the time to review my application. I look forward to having the opportunity to directly discuss how my skills can bring practical value to company.</t>
  </si>
  <si>
    <t>22mz5btw4ffsdjj22mi8d145xnd9g4h1</t>
  </si>
  <si>
    <t>Trương Quốc Bảo</t>
  </si>
  <si>
    <t>quocbaoo2005@gmail.com</t>
  </si>
  <si>
    <t>+84942406392</t>
  </si>
  <si>
    <t>Dù đã tự build hoàn chỉnh game multiplayer và vững tư duy hệ thống, code của em vẫn ở mức 'đồ án sinh viên'. Em chọn SUN.RISER vì cần một môi trường chuẩn mực để va chạm quy trình thực tế, học Clean Code và tư duy làm sản phẩm thương mại.</t>
  </si>
  <si>
    <t>Em nghĩ vị trí này đòi hỏi khả năng hiện thực hóa game logic, tối ưu code và xử lý giao tiếp mạng. Em phù hợp vì đã từng tự phát triển hoàn chỉnh một game Multiplayer. Trải nghiệm xử lý đồng bộ trạng thái qua Socket.IO, có sẵn tư duy hệ thống và sẵn sàng giải quyết các bài toán khắt khe hơn khi làm sản phẩm thương mại.</t>
  </si>
  <si>
    <t>Tôi Là một thành viên trong team chịu trách nhiệm thiết kế UI, logic xử lý backend, kết nối database, xử lý hiệu ứng cho các thành phần giao diện. Kết quả hoàn thiện được game multiplayer, đồng thời deploy bằng Railway, đúng deadline và đạt được điểm cùng đánh giá cao trong môn học.</t>
  </si>
  <si>
    <t>Em hi vọng mình có thể trở thành một thành viên được học hỏi kinh nghiệm và làm việc trong một môi trường chuyên nghiệp như SUN.STUDIO.</t>
  </si>
  <si>
    <t>stxnhrb2tka6s2dlbstxo0orie8w4uet</t>
  </si>
  <si>
    <t>Lai Mộc Huy</t>
  </si>
  <si>
    <t>laimochuy@gmail.com</t>
  </si>
  <si>
    <t>+84375037830</t>
  </si>
  <si>
    <t>Data has always been what drives my decisions — not assumptions. When I explored SUN.STUDIO's games, I noticed real room to grow in player retention and engagement. That gap excites me: using data to understand player behavior, identify friction points, and help the team make more informed product decisions.</t>
  </si>
  <si>
    <t>This role involves querying player data, identifying patterns, and translating numbers into actionable insights for product decisions. I'm a good fit due to my SQL, database design, and systems thinking background — practiced through data research and academic projects.</t>
  </si>
  <si>
    <t>Data-focused research on medical image datasets (preprocessing, data quality standards) and relational database design for a workspace management project. Won Overall Champion — Business Case at One Day Boschler 2026 (Bosch) as a team, applying analytical thinking to solve real enterprise challenges.</t>
  </si>
  <si>
    <t>GitHub: https://github.com/MocHuy LinkedIn: https://linkedin.com/in/laimochuy</t>
  </si>
  <si>
    <t>Open to it, but will need to align with my university schedule at that time.</t>
  </si>
  <si>
    <t>I'm a second-year student, so I may not check every box on paper — but I'm a fast learner, I take ownership seriously, and I genuinely want to grow in data. I'd love the chance to prove that in the room.</t>
  </si>
  <si>
    <t>evvv07donq7wwel7evvv0pb3uhzqkwo8</t>
  </si>
  <si>
    <t>Nguyễn Duy Tân</t>
  </si>
  <si>
    <t>tannd1008@gmail.com</t>
  </si>
  <si>
    <t>+84918790709</t>
  </si>
  <si>
    <t>I want to grow inside a team that takes game craft seriously. I have Unity experience from projects like Overrun and my thesis RogueLearn, but I know a professional studio is where real development happens.</t>
  </si>
  <si>
    <t>I expect this role involves implementing features and iterating based on team feedback. I've tackled similar work in personal projects, so I'm not starting from zero but I know there's a gap between solo work and production, and I'm here to close it.</t>
  </si>
  <si>
    <t>Yes. I've worked on a few projects across my studies. My thesis was RogueLearn, a WebGL multiplayer game built with Unity Netcode and hosted on a Docker server, where I handled the full stack solo. I also built Overrun, a 3D roguelite arena shooter where I implemented enemy AI, pathfinding across multi-tier geometry, and a combat system. Outside of that, I participated in VNG Games NextGen 2026, a graduate game dev recruitment program. Most of my work has been solo or small-team, which is why I'm looking to step into a professional environment now.</t>
  </si>
  <si>
    <t>https://github.com/Ryvvn/Overun https://github.com/Ryvvn/VNR-Mortar-Game  https://github.com/Ryvvn/2D_platformer https://github.com/FA25SE050-RogueLearn/RogueLearn.Unity</t>
  </si>
  <si>
    <t>I just want to say. I'm genuinely excited about this opportunity, not just to build my skills, but to contribute to something real. I'm still early in my career, but I care deeply about making games that feel good to play, and I'm willing to put in the work to get there. I hope to earn a spot on the team.</t>
  </si>
  <si>
    <t>j189crkoe6tq5lggj189qpce03m1jm9x</t>
  </si>
  <si>
    <t>Kiều Tấn Anh Minh</t>
  </si>
  <si>
    <t>minh.kieutananh@hcmut.edu.vn</t>
  </si>
  <si>
    <t>+84936560552</t>
  </si>
  <si>
    <t>I chose to apply for Data Analyst Intern position at SUN.RISER because I see it as an opportunity to bridge what I have learned in school with real-world impact, especially in the gaming industry where data plays a crucial role in shaping user experience.</t>
  </si>
  <si>
    <t>I think that this role involves collecting, cleaning and analyzing data to generate insights that support decision-making. In a company like SUN.STUDIO, this could include analyzing player behavior, retention and engagement metrics to improve game performance and user experience.</t>
  </si>
  <si>
    <t>While I do not have direct experience in the gaming industry yet, I have gained hands-on experience through coursework and personal data analysis projects. In these projects, I worked with datasets to perform data cleaning, exploratory analysis, and visualization using tools like Python and SQL. My role focused on identifying patterns and extracting meaningful insights from raw data.</t>
  </si>
  <si>
    <t>https://github.com/itzKieuMinh05/CO4033-Weather-forecast</t>
  </si>
  <si>
    <t>I am truly interested in growing as a data analyst in the gaming industry and see Sun Studio as a great place to start. I am eager to learn, work with real data, and contribute to improving player experience through data insights.</t>
  </si>
  <si>
    <t>g0nbk48yb70jgibh4zagg0nbk0ip7e3o</t>
  </si>
  <si>
    <t>Nguyễn Trần Đức Hoàng</t>
  </si>
  <si>
    <t>hoangdelima0905@gmail.com</t>
  </si>
  <si>
    <t>+84817002407</t>
  </si>
  <si>
    <t>Tôi muốn được học hỏi thêm kinh nghiệm làm việc từ môi trường của SUN.RISER đồng thời nếu có cơ hội tôi mong sẽ được gắn bó lâu dài với SUN.RISER</t>
  </si>
  <si>
    <t>Tôi nghĩ vị trí này sẽ ứng dụng các kỹ thuật học máy, học sâu vào để có thể huấn luyện các nhân vật game có thể tự động di chuyển và hoạt động theo kế hoạch. Tôi nghĩ tôi phù hợp với vị trí này bởi vì tôi có tinh thần ham học hỏi, có thể làm việc theo nhóm một cách khoa học có kế hoạch và có khả năng hòa nhập môi trường làm việc tốt.</t>
  </si>
  <si>
    <t>Trí tuệ nhân tạo và ứng dụng</t>
  </si>
  <si>
    <t>7.58</t>
  </si>
  <si>
    <t>Tôi dùng giải thuật A* để tìm đường đi ngắn nhất để giải bài toán trong bài tập lớn Sokoban, kết quả giải thuật hoàn thành tốt, giải được bài toán đặt ra</t>
  </si>
  <si>
    <t>https://github.com/hoangdelima09/BTLSokoban/</t>
  </si>
  <si>
    <t>Ứng tuyển qua Chương trình Thực tập hè của Nhà trường (như HCMUS, HCMUT), Trường đại học</t>
  </si>
  <si>
    <t>Hy vọng tôi và quý công ty sẽ có cơ hội được đồng hành và phát triển cùng nhau. Cảm ơn quý công ty.</t>
  </si>
  <si>
    <t>z3s4ib2elq541tbwz3ss6q8qoqt9ytym</t>
  </si>
  <si>
    <t>Ngo Anh Kiet</t>
  </si>
  <si>
    <t>kietngo.work@gmail.com</t>
  </si>
  <si>
    <t>+84933484531</t>
  </si>
  <si>
    <t>I choose this position because I want to understand how a game is developed and scaled in real practice, and this is also an opportunity for me to apply the Marketing foundation I have learned at university. With strong analytical thinking and a continuous learning mindset, I believe I can contribute positively to the organization.</t>
  </si>
  <si>
    <t>I fit this role because I have a Marketing background that helps me understand users, plus strong analytical thinking and a fast learning mindset. I adapt well in fast-paced, experimental environments like the game industry.
I also enjoy playing games, which makes me naturally interested in how games are designed, operated, and how they keep playe</t>
  </si>
  <si>
    <t>FPTU - Đại học FPT</t>
  </si>
  <si>
    <t>8.64</t>
  </si>
  <si>
    <t>I have experience in Marketing-related projects and competitions.
I worked as a Marketing Lead in a startup project called Laceup, where I was responsible for defining the communication direction, conducting user insight research, and executing marketing activities. The project was recognized for its fresh and innovative approach compared to the current Vietnamese market context, especially in how it positioned and engaged with users.
In addition, I have participated in several marketing competitions and achieved some notable results. Through these competitions, I practiced strategic thinking, campaign development based on briefs, and teamwork under time constraints.
Overall, these experiences helped me develop a strong understanding of user behavior, marketing strategy, and execution—skills that are also relevant to roles in the gaming and product-related fields.</t>
  </si>
  <si>
    <t>https://ngo-anh-kiet-volcanic-portfolio-535123231210.asia-southeast1.run.app/</t>
  </si>
  <si>
    <t>I hope to have the opportunity to experience a real game development environment at SUN.STUDIO, where I can develop my product thinking, user understanding, and ability to work in a fast-growing, fast-paced environment, while also contributing directly to the team’s projects during the internship.
In addition, I would appreciate the chance to discuss further to better understand the role and potential development path if I am considered a good fit.</t>
  </si>
  <si>
    <t>4uv0czqv2mh4l4uv0cuf7xjwz3sfxejt</t>
  </si>
  <si>
    <t>Nguyễn Mai Xuân Linh</t>
  </si>
  <si>
    <t>xuanlinhnguyenmai@gmail.com</t>
  </si>
  <si>
    <t>+84388653120</t>
  </si>
  <si>
    <t>I want to develop myself in a professional, dynamic, and creative working environment. I am especially interested in the game industry, where innovation and user experience play a crucial role</t>
  </si>
  <si>
    <t>I think this role involves analyzing game data such as player behavior and performance metrics to support decisions, as well as testing features to ensure a smooth user experience
I’m a good fit because I have a foundation in Excel,SQL,PBI for data analysis, along with basic testing skills . I’m detail-oriented, interested in games,eager to learn</t>
  </si>
  <si>
    <t>Information Management</t>
  </si>
  <si>
    <t>I have experience working with large-scale retail data during my internship, where I cleaned, validated, and built reports to support operations monitoring
I also worked on academic projects related to data analysis and system testing, including test case design and data validation</t>
  </si>
  <si>
    <t>https://xuanlinhngmportfolio.netlify.app/</t>
  </si>
  <si>
    <t>Sau khi thấy bài đăng tuyển, em đã dành thời gian tìm hiểu thêm về SUN.STUDIO. Em ấn tượng khi công ty đã phát triển hơn 40 game với hơn 1 tỷ lượt chơi trên toàn cầu. Em đặc biệt quan tâm đến cách công ty tập trung vào game casual và trải nghiệm người chơi, điều này rất phù hợp với định hướng của em trong phân tích dữ liệu và chất lượng sản phẩm. Em rất mong có cơ hội được gia nhập team. Em sẽ cố gắng hết sức để đóng góp và không ngừng phát triển ạ</t>
  </si>
  <si>
    <t>82lu7oyatyq2rm82awytr282lu7oyxsq</t>
  </si>
  <si>
    <t>Phạm Tiến Hùng</t>
  </si>
  <si>
    <t>hungphamtien101@gmail.com</t>
  </si>
  <si>
    <t>+84963733570</t>
  </si>
  <si>
    <t>Như đã ghi trong CV, tôi muốn trở thành một Game Designer có thể tạo ra các trò chơi độc đáo, sáng tạo, chinh phục người dùng và mang về doanh thu khủng cho quý công ty</t>
  </si>
  <si>
    <t>Game Designer cần phải tìm hiểu insight để biết thị trường hiện tại người dùng đang mong muốn gì để từ đó vạch ra chiến lược: cần những engine gì để tạo ra game, budget cho game, doanh thu từ game,...Tôi tin mình phù hợp với vị trí này vì từ khi còn đi học tôi đã mày mò tạo một vài trò chơi casual và kiếm một ít khi trade với bạn học, đồng nghiệp</t>
  </si>
  <si>
    <t>Tôi rất mong có được cơ hội cống hiến cho quý công ty</t>
  </si>
  <si>
    <t>e6gxl7l6j4j1el9e6gxl7qqbllhsxh6j</t>
  </si>
  <si>
    <t>Huỳnh Thị Kim  Quỳnh</t>
  </si>
  <si>
    <t>10421053@student.vgu.edu.vn</t>
  </si>
  <si>
    <t>+84944499310</t>
  </si>
  <si>
    <t>After reviewing your job posting, I am very impressed and would love to be part of your team. I hope to begin my career in a professional, international environment. I believe my academic background and project experience have prepared me well to quickly adapt and contribute to your team</t>
  </si>
  <si>
    <t>This role involves extracting and exploring data from BigQuery to understand game performance and operational metrics, building and optimizing transformation pipelines. I’m a good fit because I have hands-on experience with SQL, used to work with Power BI.</t>
  </si>
  <si>
    <t>VGU – Trường Đại học Việt Đức</t>
  </si>
  <si>
    <t>Computer Science Engineering</t>
  </si>
  <si>
    <t>I only used to implement the game via my course at my university, using javaFX for frontend and Java for backend logic</t>
  </si>
  <si>
    <t>not</t>
  </si>
  <si>
    <t>I wish to be a part of your team</t>
  </si>
  <si>
    <t>6mw4ij90z4sykdw2bc96mw4iat4dnzgh</t>
  </si>
  <si>
    <t>Phạm Trần Dạ Thảo</t>
  </si>
  <si>
    <t>thaopham3128@gmail.com</t>
  </si>
  <si>
    <t>+84947346557</t>
  </si>
  <si>
    <t>I am motivated to apply for the Data Analyst Intern position at SUN.RISER because it aligns with my goal of becoming a data-driven professional. I am particularly attracted to its structured training and real project exposure, which will help me strengthen my analytical skills and gain practical experience in solving real business problems.</t>
  </si>
  <si>
    <t>I believe this role involves analyzing data to generate insights and support business decisions.
I am a good fit because I have hands-on experience with Excel, SQL, and Python, along with strong analytical thinking and a willingness to learn.</t>
  </si>
  <si>
    <t>I worked as a Project Manager and Tester in the “FunnyRacing” project, a 3D racing game developed in Java. The project was successfully completed with full features, including user management, multiple race tracks, betting and minigames.</t>
  </si>
  <si>
    <t>https://github.com/nguyen11103/qldacntt_nhom10</t>
  </si>
  <si>
    <t>nok0gllc9zf7h1m7ibjnok0hpc2u7h9a</t>
  </si>
  <si>
    <t>Hoàng Thị Thanh Tâm</t>
  </si>
  <si>
    <t>hoangthithanhtam12052004@gmail.com</t>
  </si>
  <si>
    <t>+84335212458</t>
  </si>
  <si>
    <t>Em chọn vị trí này vì định hướng lâu dài của em là làm marketing, đặc biệt là với mảng vừa có sáng tạo vừa làm việc với số liệu. Em thích lên ý tưởng nhưng cũng muốn hiểu rõ hiệu quả qua các chỉ số để tối ưu tốt hơn. Ngoài ra, em cũng khá hứng thú với ngành game nên em muốn thử sức và phát triển trong môi trường như SUN.RISER</t>
  </si>
  <si>
    <t>Em nghĩ vị trí này sẽ tập trung vào việc thu hút các user mới cho game thông qua các kênh marketing, đặc biệt là chạy ads và tối ưu dựa trên các chỉ số như CPI, ROAS, LTV, ASO.
Em thấy mình hợp vì em thích vừa nghĩ idea cho ads vừa làm việc với số liệu để cải thiện hiệu quả.</t>
  </si>
  <si>
    <t>Em đã có kinh nghiệm từ kỳ thực tập với vị trí Business Development, chủ yếu làm về research thị trường, phân tích dữ liệu bán hàng từ 20+ cửa hàng và theo dõi các chỉ số để đưa ra insight và đề xuất cải thiện. Em cũng có tham gia lên ý tưởng sản phẩm dựa trên hành vi người dùng.
Dù chưa làm trực tiếp trong ngành game, nhưng những trải nghiệm này giúp em quen với cách làm việc dựa trên số liệu và tối ưu hiệu quả, nên em nghĩ khá liên quan đến user acquisition.</t>
  </si>
  <si>
    <t>Hiện tại em chưa có portfolio riêng, tuy nhiên em có thể chia sẻ thêm các project và bài tập liên quan đến marketing, research và phân tích dữ liệu khi cần.</t>
  </si>
  <si>
    <t>Em mong có cơ hội được học hỏi và tham gia trực tiếp vào các campaign thực tế tại SUN.STUDIO để hiểu rõ hơn về user acquisition. Em sẵn sàng thử, sai và học nhanh để cải thiện mỗi ngày. Hy vọng có thể đóng góp một phần nhỏ vào team trong quá trình đó.</t>
  </si>
  <si>
    <t>kqkh3tbh1g2n582fx5n9tgwkqkh3tb4o</t>
  </si>
  <si>
    <t>Ngô Trường Định</t>
  </si>
  <si>
    <t>ngodinh2339@gmail.com</t>
  </si>
  <si>
    <t>+84356763136</t>
  </si>
  <si>
    <t>I choose this position because I want to apply AI to real game products and learn from practical projects. I believe SUN.RISER is a good opportunity for me to improve my AI skills and contribute to game development.</t>
  </si>
  <si>
    <t>I think this role involves supporting AI-related tasks such as data processing, model training, testing, and applying AI to improve game development workflows. I believe I am a good fit because I have basic knowledge of machine learning, Python, and data handling, and I am willing to learn quickly and contribute to real projects.</t>
  </si>
  <si>
    <t>https://github.com/ngodinhtruong</t>
  </si>
  <si>
    <t>I hope to have the opportunity to learn, grow, and contribute to SUN.STUDIO as an AI Engineer Intern. I am willing to work hard, learn from the team, and apply my knowledge to real game projects.</t>
  </si>
  <si>
    <t>9embtzwtu0uhyg5m6npf39embtzvs1zc</t>
  </si>
  <si>
    <t>Nguyễn Thị Viên</t>
  </si>
  <si>
    <t>vi12091994@gmail.com</t>
  </si>
  <si>
    <t>+84377976509</t>
  </si>
  <si>
    <t>Em tin vị trí này cho em cơ hội áp dụng kiến thức vào các dự án thực tế, học hỏi từ các anh chị có kinh nghiệm và nâng cao kỹ năng chuyên môn trong môi trường chuyên nghiệp.</t>
  </si>
  <si>
    <t>AI Engineer sẽ làm các việc như phát triển mô hình, tiền xử lý dữ liệu, huấn luyện và đánh giá mô hình, cũng như áp dụng các giải pháp AI vào dự án thực tế. Em tin em phù hợp với vị trí này vì em có nền tảng về Khoa học dữ liệu, kiến thức về machine learning, deep learning và đã có kinh nghiệm làm các dự án liên quan đến AI.</t>
  </si>
  <si>
    <t>8.10</t>
  </si>
  <si>
    <t>Trong WorldQuant IQC, em đảm nhận vai trò research, thử nghiệm các phương pháp trên toán tử do công ty cung cấp để tạo alpha dự đoán xu hướng thị trường chứng khoán. Kết quả đạt Giải 3 tại IUH và Top 18 Việt Nam.
Trong UIT Data Science Challenge 2024, em tham gia bài toán phát hiện sarcasm đa phương thức từ văn bản và hình ảnh, phụ trách huấn luyện mô hình và tối ưu pipeline. Dự án đạt Top 4 Public Test và Top 12 Private Test.
Ngoài ra, em tham gia YSC với vai trò first author và trưởng nhóm trong bài báo về bảo vệ tính riêng tư trong xử lý ảnh y khoa, phụ trách đề xuất ý tưởng, điều phối nhóm, thực nghiệm và viết bài. Dự án đạt Giải 3.</t>
  </si>
  <si>
    <t>https://drive.google.com/drive/folders/1I_gssGj2J9LXk8rbJhaCvPmxr0Wykk_v?usp=sharing</t>
  </si>
  <si>
    <t>Em hy vọng có cơ hội đồng hành cùng SUN.STUDIO, học hỏi và đóng góp vào các dự án AI thực tế. Nếu chưa phù hợp, em rất mong nhận được feedback để tiếp tục cải thiện bản thân và CV của mình.</t>
  </si>
  <si>
    <t>c4vkgwpimvm37v6lc4vkg69us11i81w9</t>
  </si>
  <si>
    <t>Nguyễn Duy Nhất</t>
  </si>
  <si>
    <t>nguyenduynhat.250505@gmail.com</t>
  </si>
  <si>
    <t>+84911366562</t>
  </si>
  <si>
    <t>Em chọn vị trí này vì phù hợp với định hướng phát triển sự nghiệp của em trong lĩnh vực game</t>
  </si>
  <si>
    <t>Theo em, vị trí Unity Development Intern sẽ làm việc với Game Designer và Artist để lập trình gameplay, xử lý logic và hỗ trợ GD triển khai ý tưởng game bằng cách tạo ra các tool.
Em phù hợp vì đã có kinh nghiệm với Unity và C#, từng làm các project game nhỏ, và có khả năng học hỏi nhanh để đáp ứng yêu cầu công việc.</t>
  </si>
  <si>
    <t>Kỹ thuật máy tính</t>
  </si>
  <si>
    <t>7.34</t>
  </si>
  <si>
    <t>Em đã thực hiện một số project game cá nhân bằng Unity trong quá trình sinh hoạt ở câu lạc bộ GameDev Club HCMUT và các bài tập lớn của môn Lập trình game. Bên cạnh đó, em từng đậu vòng tuyển chọn thực tập tại VGames, giúp em có thêm góc nhìn về quy trình tuyển dụng và yêu cầu thực tế của ngành.</t>
  </si>
  <si>
    <t>https://github.com/dinhat255/GameDevProject3.git</t>
  </si>
  <si>
    <t>8pm5f2xpugt58po0iifdouvf81p99dte</t>
  </si>
  <si>
    <t>minh.kieutananh@gmail.com</t>
  </si>
  <si>
    <t>What excites me most about this position is how closely it aligns with my skills and interests, particularly in SQL, extracting insights from data and discovering hidden knowledge through the number of game players.</t>
  </si>
  <si>
    <t>From my perspective, this role involves working with game data to analyze player behavior, build dashboards and generate insights that support data-drivven decisions. A strong fit comes from a solid background in SQL, data analysis and visualization, which aligns well with the job requirements and is reflected in my academic projects.</t>
  </si>
  <si>
    <t>While I have not worked on game-related projects yet, I have experience working with diverse datasets from multiple sources and developing projects that appropriate with the role’s requirements. These experiences have helped me build a strong foundation that can be applied to analyzing player behavior and game data.</t>
  </si>
  <si>
    <t>https://intern-portfolio-nu.vercel.app/</t>
  </si>
  <si>
    <t>I am truly interested in growing as a data analyst in the gaming industry and see SUN.STUDIO as a great place to start.</t>
  </si>
  <si>
    <t>etssxxe9yfq0ox9bdzgetssp0zenri35</t>
  </si>
  <si>
    <t>Lê Nguyễn Tấn Thịnh</t>
  </si>
  <si>
    <t>tanthinh030203@gmail.com</t>
  </si>
  <si>
    <t>+84934025703</t>
  </si>
  <si>
    <t>Hứng thú với nhiều loại game của SUN.RISER, đặc biệt là game Sweet Cookie và Bubble Fall</t>
  </si>
  <si>
    <t>Game Design Intern là vị trí thiết kế gameplay, xây dựng cơ chế game, cân bằng độ khó và tối ưu trải nghiệm người chơi, đồng thời phối hợp với Developer, QA để hoàn thiện sản phẩm dựa trên phản hồi và dữ liệu.
Tôi phù hợp vì có nền tảng IT, tư duy logic tốt, hiểu cách hệ thống vận hành và có kinh nghiệm làm dự án, giúp xây dựng game tốt hơn</t>
  </si>
  <si>
    <t>HUFLIT - Trường Đại học Ngoại ngữ - Tin học TP. Hồ Chí Minh</t>
  </si>
  <si>
    <t>Công nghệ thông tin - An ninh mạng</t>
  </si>
  <si>
    <t>GPA 3.24/4 or 8.1/10</t>
  </si>
  <si>
    <t>Tôi đã tham gia phát triển một dự án game multiplayer mang tên Number Finding Game (05/2024 – 08/2025) với team 3 người, trong đó tôi đảm nhiệm vai trò Frontend &amp; Client–Server Multiplayer.
Trong dự án này, tôi phụ trách xây dựng giao diện người chơi và triển khai cơ chế giao tiếp giữa client và server bằng Java Socket. Tôi thiết kế logic để đồng bộ trạng thái game theo thời gian thực, đảm bảo nhiều người chơi có thể tương tác trên cùng một grid mà không xảy ra xung đột dữ liệu. Ngoài ra, tôi cũng xử lý các vấn đề liên quan đến multithreading để đảm bảo hiệu năng và độ mượt khi có nhiều kết nối đồng thời.
Kết quả, nhóm đã hoàn thiện một game có thể chơi multiplayer real-time ổn định, mô phỏng được trải nghiệm cạnh tranh giữa các người chơi. Dự án được quản lý và triển khai trên GitHub, hỗ trợ làm việc nhóm và kiểm soát phiên bản hiệu quả.</t>
  </si>
  <si>
    <t>github.com/tanthinh030203/number-finding-game</t>
  </si>
  <si>
    <t>Em mong muốn được phát triển theo hướng lập trình game, đặc biệt là các hệ thống multiplayer và real-time.
SUN.STUDIO là môi trường phù hợp để em rèn luyện kỹ năng này ở mức chuyên sâu hơn, từ việc tối ưu hiệu năng, xử lý concurrency đến cải thiện trải nghiệm người chơi.
Em hy vọng có thể đóng góp bằng nền tảng đã có, đồng thời liên tục học hỏi để trở thành một game developer tốt hơn.</t>
  </si>
  <si>
    <t>u5ql6rghp44nv7leu5ql6ftch7sjg5b2</t>
  </si>
  <si>
    <t>Phạm Ngọc Quỳnh Hương</t>
  </si>
  <si>
    <t>huongpham7803@gmail.com</t>
  </si>
  <si>
    <t>+84896546111</t>
  </si>
  <si>
    <t>Tôi chọn vị trí này vì nhận thấy sự tương đồng lớn giữa yêu cầu công việc và năng lực chuyên môn của mình trong việc tối ưu hóa dữ liệu và xây dựng báo cáo. Tôi khao khát được áp dụng những kiến thức này để cùng SUN.RISER tạo ra những kết quả đột phá.</t>
  </si>
  <si>
    <t>Tôi tin rằng vai trò này đòi hỏi việc quản lý và tối ưu hóa hệ thống dữ liệu trên nền tảng đám mây. Với kinh nghiệm vận hành AWS Redshift và triển khai các giải pháp tự động hóa, tôi có thể đảm bảo các luồng dữ liệu luôn vận hành ổn định, đạt tốc độ cao và đáp ứng tốt các yêu cầu kỹ thuật phức tạp của công ty.</t>
  </si>
  <si>
    <t>UTH - Trường Đại học Giao Thông Vận Tải thành phố Hồ Chí Minh</t>
  </si>
  <si>
    <t>Automation and Control Engineering</t>
  </si>
  <si>
    <t>7.94</t>
  </si>
  <si>
    <t>https://github.com/huongphamngoc/sql-data-warehouse-project</t>
  </si>
  <si>
    <t>k798nzxbfbkmwk798nzadlz32m1ggx5k</t>
  </si>
  <si>
    <t>Phạm Thị Ái Ngân</t>
  </si>
  <si>
    <t>phamthiaingan1205@gmail.com</t>
  </si>
  <si>
    <t>+84767026352</t>
  </si>
  <si>
    <t>Em mong muốn bắt đầu sự nghiệp trong ngành game với vị trí QA vì em hiểu rằng chất lượng là yếu tố cốt lõi để giữ chân người chơi và em cũng muốn góp phần tạo ra những tựa game hay.</t>
  </si>
  <si>
    <t>QA đối với em là đảm bảo chất lượng thông qua việc lên kế hoạch và kiểm soát quy trình chặt chẽ. Em chọn vị trí này vì muốn phát triển sâu hơn về Game Feel để em hiểu được tâm lý người dùng và nắm bắt được trải nghiệm cốt lõi của một tựa game, từ đó tích lũy nền tảng để tạo ra những sản phẩm thực sự có giá trị.</t>
  </si>
  <si>
    <t>Vai trò của em trong dự án là gameplay development. Em đã hoàn thành xây dựng hệ thống kẻ địch, lính đồng mình. Thiết kế và lập trình cơ chế cho 2 boss chính của game. Dự án hoàn thành mức playable với đủ chức năng nhưng vẫn còn một số vấn đề UXUI và bug.</t>
  </si>
  <si>
    <t>Link Github: https://github.com/NganPham-tech/Du_An_Game_Nam_Quoc_Son_Ha ; Link Demo: https://youtu.be/0aRG4Gsuk54</t>
  </si>
  <si>
    <t>Em rất mong có cơ hội đóng góp để tạo ra những tựa game hay. Em sẽ cố gắng học hỏi nhanh để hoàn thành tốt công việc và cùng team mang đến những sản phẩm chỉn chu nhất cho người chơi.</t>
  </si>
  <si>
    <t>0hd2gimp0k4w8km4fbe5s0hd2gimylh1</t>
  </si>
  <si>
    <t>Huỳnh Tấn Đạt</t>
  </si>
  <si>
    <t>huynhdat.contact@gmail.com</t>
  </si>
  <si>
    <t>+84981885030</t>
  </si>
  <si>
    <t>Tôi chọn DA Intern ở SUN.RISER vì:
- Yêu thích môi trường trẻ trung, năng động, nơi tinh thần "dám nghĩ dám làm" luôn được ưu tiên để bứt phá giới hạn.
- Muốn biến niềm đam mê dữ liệu thành những giá trị thực sự cho sự phát triển của công ty.  
- Sẵn sàng học hỏi với tiếp thu kinh nghiệm, không ngại thử thách, cố gắng hoàn thành tốt công việc.</t>
  </si>
  <si>
    <t>Tôi hiểu đây là cầu nối biến số liệu thành giải pháp thực tế. Với sự chủ động và năng lượng trẻ của một sinh viên năm cuối, tôi tin mình sẽ cùng team chinh phục mọi mục tiêu tương lai.</t>
  </si>
  <si>
    <t>Tôi muốn chia sẻ rằng mình là một người luôn đặt sự chủ động và tinh thần học hỏi lên hàng đầu. Tôi hi vọng mình sẽ mang đến nguồn năng lượng tươi mới cùng khát khao được thực chiến và đóng góp hết mình. Tôi tin rằng sự bền bỉ và tư duy không ngại thử thách của mình sẽ là mảnh ghép tích cực để cùng SUN.STUDIO chinh phục những mục tiêu trong tương lai. 
Rất cảm ơn anh/chị đã dành thời gian xem xét hồ sơ của tôi!</t>
  </si>
  <si>
    <t>c3nkiroiy0fa4doc3nkp9w7qspx4tnp9</t>
  </si>
  <si>
    <t>Nguyễn Lê Thiên Kim</t>
  </si>
  <si>
    <t>nguyenlethienkim10a1@gmail.com</t>
  </si>
  <si>
    <t>+84935769791</t>
  </si>
  <si>
    <t>Em chọn vị trí Data Analyst Intern tại SUN.RISER vì đây là công việc em muốn theo đuổi lâu dài và cũng là lĩnh vực em cảm thấy phù hợp với khả năng phân tích, xử lý số liệu của mình. Ngoài ra, SUN.RISER thuộc công ty game nên em thấy đây là môi trường rất thú vị vì ngành game có lượng dữ liệu người dùng lớn và thay đổi liên tục.</t>
  </si>
  <si>
    <t>Em nghĩ vị trí này sẽ tập trung vào việc thu thập, xử lý và phân tích dữ liệu để hỗ trợ theo dõi hành vi người dùng, hiệu quả sản phẩm và các chỉ số vận hành, từ đó đưa ra insight cho team. Em phù hợp với vị trí này vì em có nền tảng tốt về phân tích số liệu, sử dụng được SQL, Excel, Power BI cùng tư duy cẩn thận, logic.</t>
  </si>
  <si>
    <t>Toán thống kê</t>
  </si>
  <si>
    <t>https://www.notion.so/Customer-360-Analysis-Understanding-Behavior-Through-Accounts-Credit-Scores-and-Transactions-33461980d77d8071bd83d985d0d15ab8</t>
  </si>
  <si>
    <t>Em mong sẽ có cơ hội được đồng hành cùng SUN.STUDIO để học hỏi trong môi trường chuyên nghiệp, tiếp cận dữ liệu thực tế và phát triển hơn về tư duy phân tích. Em sẵn sàng nỗ lực, chủ động học hỏi và đóng góp hết khả năng của mình nếu được trở thành một phần của SUN.RISER.</t>
  </si>
  <si>
    <t>kddp06y2qzdkznlgwcdmgkddp069znk9</t>
  </si>
  <si>
    <t>Lê Minh Hoàng</t>
  </si>
  <si>
    <t>hoanglm.124010123034@vtc.edu.vn</t>
  </si>
  <si>
    <t>+84384956604</t>
  </si>
  <si>
    <t>Mình tìm đến Sun Studio với mục đích học hỏi thêm những kiến thức mới và nhanh chóng tiếp cận được với những công nghệ hiện đại hơn.</t>
  </si>
  <si>
    <t>Công việc của Developer là phối hợp với team Game Designer để thiết lập các tính năng, cơ chế của gameplay. Để có thể phù hợp với vị trí này, ngoài hoàn thành chương trình học tại trường, mình có tìm hiểu và học hỏi thêm những tính năng mới của Unity nên mình tự tin có thể đảm nhận được công việc và sẵn sàng học hỏi thêm.</t>
  </si>
  <si>
    <t>VTC Academy - Học viện công nghệ thông tin và thiết kế VTC</t>
  </si>
  <si>
    <t>Đã hoàn thành đồ án tốt nghiệp và chờ tốt nghiệp</t>
  </si>
  <si>
    <t>Capstone Project: Lost Between Realms 3D RPG – Roguelike
-	Vị trí đảm nhiệm: Leader
-	Quản lý thông tin vận hành trong nhóm, hỗ trợ giải quyết khi thành viên gặp khó khăn trong quá trình làm việc.
-	Kiểm tra chất lượng asset/object của các thành viên trong nhóm.
-	Thiết kế model/texturing cho nhân vật/đồ vật.
-	Thiết kế hệ thống game, hệ thống chiến đấu, UI game.
-	Viết cốt truyện/plot cho game.
-	Animation cho các nhân vật chính trong game.
-	Animation kỹ năng, VFX, Âm thanh cho nhân vật.
-	Các công cụ sử dụng để thiết kế: Clip Studio Paint, C#, Unity, Blender.
Kết quả sau buổi bảo vệ đồ án là được thầy cô đánh giá cao về hiệu quả và sức sáng tạo của game.</t>
  </si>
  <si>
    <t>Portfolio: https://drive.google.com/file/d/1jXo8qtySyeSBLHZDBdzgeU4GePvI79PH/view?usp=sharing</t>
  </si>
  <si>
    <t>6cmgle8lmu6cg5mcl37io6cmgle8w990</t>
  </si>
  <si>
    <t>Nguyễn Đỗ Minh Quân</t>
  </si>
  <si>
    <t>minhquan.nguyendo.0705@gmail.com</t>
  </si>
  <si>
    <t>+84938984732</t>
  </si>
  <si>
    <t>Với đam mê về Game và dữ liệu, em luôn muốn khám phá dữ liệu game và đưa ra các insight chất lượng, cùng phối hợp với các team liên quan để nâng cao trải nghiệm người chơi với tựa game yêu thích của họ.</t>
  </si>
  <si>
    <t>Data Analyst sẽ trực tiếp làm việc với dữ liệu game thực tế, xử lý, phân tích và trực quan hóa, đưa ra các insight chất lượng, chính xác, hỗ trợ quyết định.
Em tin rằng với kinh nghiệm xây dựng data pipeline và EDA từ các dự án trong quá trình học tập, em sẽ thích nghi nhanh chóng với vị trí này trong thời gian thực tập.</t>
  </si>
  <si>
    <t>Trong đồ án về đề tài đánh giá hiệu quả vaccine COVID-19, em đảm nhiệm vai trò xử lý, phân tích dữ liệu time-series và đưa ra các insight về tác động của vaccine lên diễn biến dịch. 
Kết quả là chứng minh được mối tương quan nghịch giữa mức độ bao phủ vaccine và tỷ lệ nhiễm mới trong cộng đồng.</t>
  </si>
  <si>
    <t>https://colab.research.google.com/drive/1DjcaIS1eetkqDdQlHsLvXenaU-WWxk0l?usp=sharing</t>
  </si>
  <si>
    <t>Mục tiêu lớn nhất của em khi tham gia chương trình SUN.RISER là được đào tạo bài bản và cọ xát thực tế tại vị trí Data Analysis Intern của SUN.STUDIO. Với nền tảng sẵn có về xử lý dữ liệu và phân tích khám phá (EDA), em rất mong được học hỏi cách doanh nghiệp khai thác dữ liệu để ra quyết định, từ đó đóng góp năng lực của mình vào sự phát triển chung của studio.</t>
  </si>
  <si>
    <t>tsx7jxfbyok6z8bna4cptsx7j0utrr1r</t>
  </si>
  <si>
    <t>Nguyễn Ngọc</t>
  </si>
  <si>
    <t>nguyenanh6290@gmail.com</t>
  </si>
  <si>
    <t>+84398866290</t>
  </si>
  <si>
    <t>Em lựa chọn vị trí này tại SUN.RISER vì đây là cơ hội rất phù hợp với định hướng phát triển trong ngành Digital Marketing mà em đang theo học.Những mô tả công việc như nghiên cứu thị trường, cũng như phân tích các chỉ số như CTR, CPM, ROAS đều là những kiến thức em đã được tiếp cận ở mức cơ bản và mong muốn được áp dụng vào thực tế.</t>
  </si>
  <si>
    <t>Theo em, vị trí này sẽ chạy quảng cáo để thu hút user cho game: nghiên cứu thị trường, set up &amp; tối ưu ads và đọc số liệu (CTR, CPM, ROAS) để cải thiện hiệu quả.
Vì em có nền tảng Digital Marketing đã học tại trường, hiểu các chỉ số cơ bản, có tư duy phân tích và muốn học hỏi thực chiến về performance marketing.</t>
  </si>
  <si>
    <t>Ngoài các hoạt động được ghi vào CV, em đã thực hiện nhiều báo cáo cuối kỳ ở các môn như Digital Marketing, Phân tích Digital Marketing, Search Marketing và Quản trị khách hàng số. Vai trò của em chủ yếu là nghiên cứu thị trường, phân tích dữ liệu và đề xuất chiến lược.
Gần đây nhất, em tham gia phân tích báo cáo cuối kì về ShopeeFood và GrabFood. Em tập trung vào việc phân tích hành vi người dùng, xác định pain point trong trải nghiệm và đề xuất kế hoạch truyền thông tích hợp 12 tháng với các campaign cụ thể nhằm tăng tần suất sử dụng và giữ chân khách hàng. Báo cáo đưa ra được insight rõ ràng và các giải pháp có thể đo lường, tối ưu trong thực tế.
Kết quả của bài báo cáo đạt 8.6/10</t>
  </si>
  <si>
    <t>https://drive.google.com/file/d/1-P3gl635azgu5eatSr9geZ67qZsJov-u/view?usp=drive_link</t>
  </si>
  <si>
    <t>Vì em còn học một số môn tại trường, em có thể làm full time bắt đầu từ tháng 7. Tháng 6 em có thể làm part time nhưng vẫn sẽ đủ 3.5 ngày/ tuần.</t>
  </si>
  <si>
    <t>Em mong muốn được học hỏi và tham gia vào môi trường thực chiến tại SUN.STUDIO để phát triển nhanh hơn về kỹ năng chạy ads và tư duy performance. Em sẵn sàng chủ động học, nhận feedback và hỗ trợ team hết khả năng để tạo ra hiệu suất và kết quả ngày càng tốt.</t>
  </si>
  <si>
    <t>liptqgc5fvgoe475p36mliptqgct3rca</t>
  </si>
  <si>
    <t>Bùi Thái Hoàng</t>
  </si>
  <si>
    <t>buithaihoang04gl@gmail.com</t>
  </si>
  <si>
    <t>+84984251589</t>
  </si>
  <si>
    <t>Tôi muốn làm ra những con game đỉnh, feeling cao, combat đã tay</t>
  </si>
  <si>
    <t>Tôi đã từng phát triển một số project nhỏ, một số con game nhỏ và tôi rất yêu thích công việc này, vì vậy tôi rất muốn mình có thể được phát triển một con game tầm cỡ AAA</t>
  </si>
  <si>
    <t>Tôi đã từng phát triển 3 con game trong thời gian đi học, trong đó có một con game tôi đã làm trong đề tài khoá luận tốt nghiệp của tôi.
Tôi đã đi thực tập ở một công ty game, ở đó tôi được code về kỹ năng nhân vật(Tôi rất thích làm cái này), logic skill,.... và được tham gia vào một dự án phát triển game multiplayer với Meta Horizon.</t>
  </si>
  <si>
    <t>https://www.youtube.com/watch?v=_o7EdFzF_o0, https://www.youtube.com/watch?v=xKfo8syj80c, https://www.youtube.com/watch?v=3DLvVD6CTE4</t>
  </si>
  <si>
    <t>Tôi muốn SUN.STUDIO sẽ phát triển và đầu tư làm những dự án game lớn hơn vươn tới những người chơi trên toàn thế giới</t>
  </si>
  <si>
    <t>v6t6tatfprz5cjvuiv6t6tat5755mt1d</t>
  </si>
  <si>
    <t>Vũ Đức Việt Anh</t>
  </si>
  <si>
    <t>vuducvietanh1802@gmail.com</t>
  </si>
  <si>
    <t>+84797598184</t>
  </si>
  <si>
    <t>Là sinh viên năm 3 CNTT, mình đã thực hành các dự án AI trên trường và cá nhân nhưng chưa có cơ hội làm việc trong môi trường thực tế. Mình chọn vị trí này vì muốn hiểu rõ hơn cách AI được ứng dụng trong game development và học cách làm việc trong một team chuyên nghiệp.</t>
  </si>
  <si>
    <t>Theo mình, vị trí này tập trung vào phân tích quy trình, thiết kế prompt và xây dựng AI pipelines để tự động hóa công việc thủ công. Mình có nền tảng về LLM và đã thử nghiệm prompt engineering qua các dự án cá nhân, nên nghĩ đây là môi trường phù hợp để mình áp dụng và học hỏi thêm kinh nghiệm.</t>
  </si>
  <si>
    <t>Mình chưa có kinh nghiệm trực tiếp liên quan đến game hay vị trí AI Engineering. Tuy nhiên, mình đã tự làm một số dự án AI cá nhân liên quan đến LLM và prompt engineering, và đang tích cực học thêm về agentic workflows.</t>
  </si>
  <si>
    <t>https://github.com/vietanh1802</t>
  </si>
  <si>
    <t>Mình biết mình chưa có nhiều kinh nghiệm thực tế, nhưng mình sẵn sàng học hỏi. Cảm ơn SUN.STUDIO đã tạo ra chương trình thực tập cho trường.</t>
  </si>
  <si>
    <t>botb99x4gnmhf3rensffwbotb99xkom9</t>
  </si>
  <si>
    <t>Hoàng Đức Hiếu Anh</t>
  </si>
  <si>
    <t>anh.hoangduchieu815@hcmut.edu.vn</t>
  </si>
  <si>
    <t>+84931792129</t>
  </si>
  <si>
    <t>I am motivated to apply for the AI Engineering Intern position at SUN.RISER because it closely matches my current focus on LLMs, RAG, AI Agents, and AI-powered workflow automation.
I am especially interested in building practical AI pipelines, structured outputs, tool/function calling, and internal RAG systems that support real business workflows.</t>
  </si>
  <si>
    <t>I think this role involves understanding team workflows and building AI workflows to reduce manual tasks through prompt engineering, structured outputs, AI pipelines, and tool/function calling. I believe I am a good fit because I built a travel chatbot workflow demo, where I designed step-by-step AI logic to understand user constraints,etc.</t>
  </si>
  <si>
    <t>6.62</t>
  </si>
  <si>
    <t>Yes. I am currently working on a research project about a TravelPlanner chatbot using LLM-based agents. My role involves studying agent workflows, prompt design, constraint handling, and structured response generation for travel-planning tasks. The project aims to improve the chatbot’s reliability, reduce planning errors, and help it follow user constraints more accurately.</t>
  </si>
  <si>
    <t>https://github.com/Kyling815/travel-chatbot-workflow-demo</t>
  </si>
  <si>
    <t>Depends on my personal schedule at university as I'm heading to the final year of the course</t>
  </si>
  <si>
    <t>Mạng xã hội, TopCV, Ứng tuyển qua Chương trình Thực tập hè của Nhà trường (như HCMUS, HCMUT)</t>
  </si>
  <si>
    <t>Thank you for considering my application. I am very interested in this internship because it matches my current focus on LLMs, AI agents, and workflow automation. I am willing to learn quickly, work responsibly, and contribute to practical internal AI tools at SUN.STUDIO.</t>
  </si>
  <si>
    <t>mdcrzk5lk518c4b3a9mdcrzk94xxo3es</t>
  </si>
  <si>
    <t>Dương Thị Quỳnh Giang</t>
  </si>
  <si>
    <t>gamegiang123@gmail.com</t>
  </si>
  <si>
    <t>+84965351817</t>
  </si>
  <si>
    <t>Em là sinh viên năm cuối ngành Hệ thống Thông tin với mong muốn được thực tập ở vị trí Data Analysis. Em lựa chọn SUN.RISER vì cơ hội được tiếp cận dữ liệu từ các sản phẩm game và tham gia vào quá trình truy vấn, xử lý, trực quan hóa dữ liệu để hỗ trợ ra quyết định, là môi trường phù hợp để em có thể được áp dụng kiến thức đã học vào thực tế.</t>
  </si>
  <si>
    <t>Vị trí Data Analysis Intern sẽ bao gồm việc truy vấn, xử lý và phân tích dữ liệu từ sản phẩm, xây dựng dashboard và hỗ trợ các team ra quyết định dựa trên dữ liệu, đặc biệt thông qua các chỉ số như DAU, retention. Em tin mình phù hợp vì có nền tảng về SQL, Python và Power BI cùng các kiến thức được học ở trường để có khả năng thích nghi nhanh.</t>
  </si>
  <si>
    <t>Hệ thống Thông tin</t>
  </si>
  <si>
    <t>Em chưa có kinh nghiệm thực tập</t>
  </si>
  <si>
    <t>Không có ạ</t>
  </si>
  <si>
    <t>114mg71806bj5ssjpq114mg7em1ct470</t>
  </si>
  <si>
    <t>Trần Hùng Sơn</t>
  </si>
  <si>
    <t>tranhungson322005@gmail.com</t>
  </si>
  <si>
    <t>+84784345079</t>
  </si>
  <si>
    <t>Personally, I have strong interest in the Game Industry, especially  the process of developing a game from initial concept, working with it from draft to real production. And furthermore, I am a gamer myself with high interested in cozy and casual game, their simplicity but addicted gameplay always success in captivate my attention and time.</t>
  </si>
  <si>
    <t>With Game Design, the role should be involving in design game pattern, investigate deep in player motives and behaviors; with QA, then it is to ensure the system run smoothly, gurantee both of them is to ensure a smooth and engaging player experience</t>
  </si>
  <si>
    <t>5.99</t>
  </si>
  <si>
    <t>In my university Game Programming Course, I am the team leader and take the role of designing game project mechanic, team representator</t>
  </si>
  <si>
    <t>The repo link is currently my teammate's ownership and I cannot contact him about this problem</t>
  </si>
  <si>
    <t>SUN.STUDIO LinkedIn, Ứng tuyển qua Chương trình Thực tập hè của Nhà trường (như HCMUS, HCMUT), From friends</t>
  </si>
  <si>
    <t>I am committed to contributing long-term and growing within your company, with the goal of becoming a reliable and valuable team member.</t>
  </si>
  <si>
    <t>xbt32p6tc2ox7wmpxbtxx4nfitxmgjc2</t>
  </si>
  <si>
    <t>Hà Quang Đại</t>
  </si>
  <si>
    <t>daiha.work@gmail.com</t>
  </si>
  <si>
    <t>+84862586678</t>
  </si>
  <si>
    <t>Tôi lựa chọn vị trí Data Analysis Intern tại SUN.RISER vì 3 lý do chính:
- Niềm yêu thích dành cho game, ở nhiều hình thức, thể loại, và chủ đề. Tôi mong muốn sự nghiệp của mình có thể xoay quanh ngành này;
- Cơ hội học hỏi về chuyên môn liên quan tới dữ liệu, và các kiến thức về ngành game;
- Cơ hội kết nối với các anh chị tiền bối cùng sở thích.</t>
  </si>
  <si>
    <t>Tôi hình dung vị trí này sẽ tham gia vào toàn bộ quá trình phân tích dữ liệu, từ khai thác raw data, xử lý, tìm insight và report lại.
Tôi cho rằng tôi sẽ phù hợp vì tôi có kiến thức về thống kê, kinh nghiệm xử lý dữ liệu, tư duy phân tích, và tư duy trình bày; khả năng làm việc nhóm; và không thể thiếu là tinh thần ham học hỏi và trách nhiệm.</t>
  </si>
  <si>
    <t>Tuy chưa từng có kinh nghiệm trực tiếp trong lĩnh vực game, tôi đã thực hiện một dự án cá nhân phân tích dữ liệu khách hàng ngân hàng, đảm nhận từ khâu xử lý dữ liệu đến phân tích và trực quan hóa. (Chi tiết tại repo: VP Bank Customer Segmentation &amp; Revenue Opportunity Analysis trên GitHub của tôi).
Trong dự án, tôi đã tích hợp và xử lý 113K+ records từ nhiều nguồn bằng SQL, xây dựng một mô hình phân khúc khách hàng dựa trên AUM và mức độ sử dụng sản phẩm, sau đó tạo dashboard trên Power BI để phân tích hành vi và mức độ đóng góp giá trị của từng nhóm, từ đó tìm cơ hội tăng doanh thu, và cuối cùng là viết báo cáo lại những điều đó.
Kết quả, tôi xác định được:
- Nhóm 20% khách hàng đóng góp hơn 80% tổng tài sản;
- Khoảng trống lớn trong việc sử dụng thẻ tín dụng ở một nhóm khách hàng giá trị cao;
- Một nhóm khách hàng có tài sản nhưng chưa từng tiếp cận sản phẩm sinh lời;
Từ đó tôi đề xuất các chiến lược cho từng nhóm khách hàng nhằm tối ưu hóa tăng trưởng.
Dự án này đã giúp tôi rèn luyện khả năng làm việc với dữ liệu lớn, xây dựng mô hình phân tích và chuyển đổi dữ liệu thành insight phục vụ quyết định kinh doanh.</t>
  </si>
  <si>
    <t>https://github.com/Quang-Dai-Ha</t>
  </si>
  <si>
    <t>Tôi thực sự mong muốn được làm việc trong một môi trường gắn liền với các sản phẩm game như SUN.STUDIO. Đây có thể là một bước khởi đầu quan trọng trong sự nghiệp của tôi, và có thể là nơi tôi sẽ gắn bó trong những năm sắp tới nếu có cơ hội. Tôi sẵn sàng học hỏi, bắt đầu từ những công việc cơ bản và từng bước nâng cao năng lực để đóng góp hiệu quả hơn cho cả nhóm.
Rất mong đơn ứng tuyển của tôi sẽ nhận được sự xem xét của Anh/Chị và được tham gia vòng phỏng vấn để có cơ hội đặt câu hỏi tìm hiểu thêm về những thực tế tại công ty và ngành game này.
Kính chúc Quý Công ty ngày càng phát triển lớn mạnh.</t>
  </si>
  <si>
    <t>tuegeeyp5ky12mpnpnltuegeeynl7n0h</t>
  </si>
  <si>
    <t>Nguyễn Văn Anh Quân</t>
  </si>
  <si>
    <t>nppanhquan129@gmail.com</t>
  </si>
  <si>
    <t>+84905902489</t>
  </si>
  <si>
    <t>I am passionate about game development and have built several Unity projects to improve my skills in C# and game logic.
I want to join SUN.RISER to gain real-world experience, learn from experienced developers, and continue growing as a Unity developer.</t>
  </si>
  <si>
    <t>I believe this role involves supporting the development of game features using Unity, such as implementing gameplay logic, working with UI, and fixing bugs under the guidance of senior developers.
I am a good fit because I have built Unity projects. I am eager to learn, improve, and work in a team environment.</t>
  </si>
  <si>
    <t>6.91</t>
  </si>
  <si>
    <t>Developed a match-3 game using Unity, implementing gameplay logic, UI, and systems such as special gems, shop, and audio. The project is fully playable and published on GitHub.</t>
  </si>
  <si>
    <t>https://github.com/AQ129/Gem-hunter-match.git</t>
  </si>
  <si>
    <t>Thank you for reviewing my application. I am eager to learn, improve my Unity skills, and contribute to real projects. I look forward to the opportunity to work and grow with your team.</t>
  </si>
  <si>
    <t>5g375dfi4iavnh9wje65g375be6oap9r</t>
  </si>
  <si>
    <t>Hồ Kim Ngọc</t>
  </si>
  <si>
    <t>thanhu0108@gmail.com</t>
  </si>
  <si>
    <t>+84944859735</t>
  </si>
  <si>
    <t>Em lựa chọn vị trí này vì muốn mở rộng từ nền tảng thiết kế đồ họa sang thiết kế game và định hướng phát triển lâu dài trong lĩnh vực này. Với kinh nghiệm về hình ảnh và màu sắc, em tin rằng mình có thể hỗ trợ tốt về mặt thẩm mỹ và trải nghiệm người chơi.Đồng thời, SUN.RISER là môi trường chuyên nghiệp mà em mong muốn được học hỏi và phát triển.</t>
  </si>
  <si>
    <t>Em nghĩ vị trí này sẽ hỗ trợ xây dựng ý tưởng game, tham gia thiết kế gameplay, nội dung và phối hợp với các bộ phận khác để hoàn thiện trải nghiệm người chơi. Em phù hợp với vị trí này nhờ nền tảng về thiết kế đồ họa và màu sắc, giúp em có tư duy thẩm mỹ và khả năng truyền tải cảm xúc qua hình ảnh.</t>
  </si>
  <si>
    <t>7.63</t>
  </si>
  <si>
    <t>UI Design, Concept Design, Game Flow Design</t>
  </si>
  <si>
    <t>https://drive.google.com/drive/folders/1tJ2VNo_JTXLWkrJ9dOEaD4GlUca05h6c?usp=sharing</t>
  </si>
  <si>
    <t>vbttdyu2gnt3fgbfvbw80bbhv36a1soe</t>
  </si>
  <si>
    <t>Nguyễn Thị Mỹ Nữ</t>
  </si>
  <si>
    <t>nguyenthimynu13042003@gmail.com</t>
  </si>
  <si>
    <t>+84397569676</t>
  </si>
  <si>
    <t>Em mong muốn được tham gia làm việc thực tế tại SUN.RISER để phát triển định hướng trở thành Game Designer. Với nền tảng về thiết kế, em mong muốn hướng sâu hơn vào lĩnh vực game, đặc biệt quan tâm đến việc xây dựng gameplay và tối ưu trải nghiệm người chơi. Em mong muốn được học hỏi quy trình phát triển game chuyên nghiệp trong môi trường thực tế.</t>
  </si>
  <si>
    <t>Theo em, vị trí Game Design Intern hỗ trợ thiết kế gameplay, cân bằng được mức độ khó của từng level, đồng thời phối hợp với developer để triển khai tính năng game và artist để đảm bảo hình ảnh nhân vật đúng với ý tưởng thiết kế. Em phù hợp vì có nền tảng thiết kế giúp em phát triển ý tưởng gameplay và hình dung trải nghiệm người chơi tốt hơn.</t>
  </si>
  <si>
    <t>PTITHCM - Học viện Công nghệ Bưu chính Viễn thông cơ sở TP Hồ Chí Minh</t>
  </si>
  <si>
    <t>Chuẩn bị tốt nghiệp</t>
  </si>
  <si>
    <t>Thiết kế đa phương tiện</t>
  </si>
  <si>
    <t>7.81</t>
  </si>
  <si>
    <t>góp phần tạo ra giao diện app game, các tính năng cơ bản và dựng nhân vật. Kết quả của đồ án đó được A</t>
  </si>
  <si>
    <t>https://drive.google.com/drive/folders/1z8glwC-7YtlpXnK_lqftltLfqdUmlJt5</t>
  </si>
  <si>
    <t>Em mong muốn được trở thành một phần của SUN.STUDIO để học hỏi quy trình phát triển game thực tế . Em sẵn sàng học hỏi, thích nghi và không ngại thử thách để hoàn thành tốt công việc. Hy vọng có thể đóng góp giá trị và đồng hành cùng team trong các dự án sắp tới.</t>
  </si>
  <si>
    <t>ynm8a7syx2kvxv6mynmbwir244922br9</t>
  </si>
  <si>
    <t>Trần Ngọc Tuyền Vy</t>
  </si>
  <si>
    <t>tranvy060903@gmail.com</t>
  </si>
  <si>
    <t>+84898162396</t>
  </si>
  <si>
    <t>Tôi có niềm đam mê với game và muốn lan tỏa niềm đam mê đến nhiều khách hàng hơn</t>
  </si>
  <si>
    <t>Phân tích thị trường, hành vi tiêu dùng khách hàng và đưa ra chiến lược phù hợp để thu hút khách hàng mục tiêu. Tôi tin rằng tôi phù hợp với vị trí này là vì tôi đã có nền tảng kiến thức vững thông qua các môn học tại trường. Hơn nữa tôi là người có khả năng làm việc nhóm và học hỏi nhanh.</t>
  </si>
  <si>
    <t>Truyền thông chuyên nghiệp</t>
  </si>
  <si>
    <t>2.0/4.0</t>
  </si>
  <si>
    <t>Từng thi cuộc thi giải case e-commerce, cộng tác viên cho sự kiện</t>
  </si>
  <si>
    <t>w510ffnihkjqlm5pbvfrw510ffpsx55b</t>
  </si>
  <si>
    <t>Phạm Nguyễn Thế Hào</t>
  </si>
  <si>
    <t>phamnguyen.thehao2703@gmail.com</t>
  </si>
  <si>
    <t>+84334191487</t>
  </si>
  <si>
    <t>Em chọn SUN.RISER vì muốn phát triển trong môi trường làm sản phẩm thực tế, có định hướng rõ ràng và tốc độ cao.
Em đã có kinh nghiệm làm mobile, fullstack và tìm hiểu AI, nhưng em muốn cải thiện hơn thông qua mentorship và sản phẩm có người dùng thật. Em thấy SUN.STUDIO phù hợp để nâng cao kỹ năng và khám phá thêm về lĩnh vực game.</t>
  </si>
  <si>
    <t>Em nghĩ vị trí này sẽ làm việc với dữ liệu và các mô hình AI để phân tích dữ liệu, rút ra insight và xây dựng các tính năng thông minh phục vụ sản phẩm thực tế.
Em phù hợp vì đã có kinh nghiệm làm fullstack và từng làm việc với dữ liệu (phân tích, trực quan hóa cơ bản), đồng thời có tiếp cận AI qua các dự án như nhận diện ngôn ngữ ký hiệu.</t>
  </si>
  <si>
    <t>Em thực hiện các bài tập game nhỏ bằng Unity, trong đó em xây dựng gameplay cơ bản, UI và logic game đơn giản bằng C#. Các bài tập đã hoàn thành theo yêu cầu môn học và giúp em nắm được các khái niệm nền tảng về phát triển game.</t>
  </si>
  <si>
    <t>https://docs.google.com/presentation/d/1KSrT4frNXYEML1U6mH91m33XYujN5461/edit?usp=sharing&amp;ouid=105447179199460469406&amp;rtpof=true&amp;sd=true</t>
  </si>
  <si>
    <t>Em biết bản thân còn nhiều điều cần học, nhưng em rất mong muốn có cơ hội được trải nghiệm thực tế và phát triển bản thân. Em sẽ cố gắng học hỏi và đóng góp tốt nhất nếu có cơ hội tại SUN.STUDIO</t>
  </si>
  <si>
    <t>eujskpkky9g25xeb4ibeujskpk2sx59s</t>
  </si>
  <si>
    <t>Bế Trương Dương</t>
  </si>
  <si>
    <t>duongw0103@gmail.com</t>
  </si>
  <si>
    <t>+84989712496</t>
  </si>
  <si>
    <t>Tôi chọn vị trí này vì muốn có cơ hội học hỏi thêm, trải nghiệm thực tế và phát triển bản thân trong môi trường chuyên nghiệp của SUN.RISER.</t>
  </si>
  <si>
    <t>Tôi nghĩ vị trí này là nơi đảm bảo chất lượng sản phẩm trước khi đến tay người dùng, để họ nhận được trải nghiệm tốt nhất. Tôi phù hợp với vị trí này vì tôi có sự cẩn thận, trách nhiệm và mong muốn học hỏi để nâng cao kỹ năng kiểm tra, góp phần giữ uy tín cho sản phẩm và công ty.</t>
  </si>
  <si>
    <t>PTITHCM - Học viện công nghệ bưu chính viễn thông (cơ cở HCM)</t>
  </si>
  <si>
    <t>Hiện tại tôi chưa có portfolio chính thức, nhưng tôi rất mong có cơ hội được học hỏi và xây dựng portfolio thực tế trong quá trình thực tập tại SUN.STUDIO.</t>
  </si>
  <si>
    <t>Bế Hải Long</t>
  </si>
  <si>
    <t>Tôi rất mong có cơ hội được đồng hành cùng SUN.STUDIO. Với niềm đam mê game và sự kiên nhẫn trong việc kiểm thử, tôi tin mình có thể đóng góp vào việc nâng cao trải nghiệm người chơi. Tôi sẵn sàng học hỏi, tiếp thu kinh nghiệm từ đội ngũ, và mong muốn cùng SUN.STUDIO phát triển những sản phẩm game chất lượng, sáng tạo và bền vững.</t>
  </si>
  <si>
    <t>z1gj6kajxzbkpu155m4k1fz1gj6q0div</t>
  </si>
  <si>
    <t>Đinh Quốc Tiến</t>
  </si>
  <si>
    <t>dinhquoctien1980@gmail.com</t>
  </si>
  <si>
    <t>+84945766746</t>
  </si>
  <si>
    <t>Tôi chọn SUN.RISER vì tôi muốn làm việc trong một môi trường mới là lĩnh vực kiểm thử game thay vì kiểm thử phần mềm đã làm trước đây.</t>
  </si>
  <si>
    <t>Tôi nghĩ vị trí này sẽ làm các công việc như sau:
- Kiểm thử kịch bản, logic của game so với yêu cầu ban đầu
- Test hiệu năng, tương thích của game với từng thiết bị
Lý do phù hợp: Đã thực tập tại FPT Software, nắm vững quy trình kiểm thử và quản lý bug</t>
  </si>
  <si>
    <t>7.4/10</t>
  </si>
  <si>
    <t>Mình muốn biết thêm về lộ trình thăng tiến trong công việc, work flow làm việc của công ty và hi vọng được là mảnh ghép của công ty trong thời gian sắp tới.</t>
  </si>
  <si>
    <t>whvyghv1u92puad93xwhvyghcfkr67u3</t>
  </si>
  <si>
    <t>Lê Hoàng Tâm</t>
  </si>
  <si>
    <t>chibaolam2000@gmail.com</t>
  </si>
  <si>
    <t>+84385800144</t>
  </si>
  <si>
    <t>Tôi đã được tiếp xúc với việc chơi game từ sớm, vì vậy tôi có một niềm đam mê mãnh liệt với các trò chơi. Và không chỉ chơi tôi còn một cái giấc mơ đó là sẽ tạo được một trò chơi của riêng mình, một trò chơi để chơi cùng bạn bè của tôi, nhưng càng lớn tham vọng càng tiến xa hơn, không chỉ thu hẹp trong vòng nhỏ mà là cả một đất nước hình chữ S.</t>
  </si>
  <si>
    <t>Vị trí này sẽ làm việc thiết kế đầu cho trò chơi, bao gồm nắm bắt thị trường và cũng viết/vẽ nên một hình ảnh của trò chơi, cùng hợp tác với các team Dev, Art,... Và tạo nên trò chơi hoàn chỉnh nhất. Vì tôi đã trải nghiệm qua nhiều trò chơi, thường xuyên tải và chơi các trò mới được ra mắt, và cũng vì tôi là một người chơi nên sẽ nắm rõ người chơi.</t>
  </si>
  <si>
    <t>Thực tế ảo và lập trình Games</t>
  </si>
  <si>
    <t>Thực tập sinh Game Devoloper cho công ty Ace Galaxy. 
Vai trò: Trưởng nhóm
Tham gia hỗ trợ việc giao tiếp giữa nhóm thực tập và công ty, thông qua hình thức nhắn tin trên Telegram. Hỗ trợ kiểm tra lỗi, phân công công việc cho các thành viên trong nhóm.
Đạt được đánh giá tốt và hoàn thành khoá thực tập.</t>
  </si>
  <si>
    <t>https://shinzole.itch.io/bay-ao</t>
  </si>
  <si>
    <t>Cho dù có đạt hay rớt thì tôi cũng cảm ơn SUN.STUDIO đã tạo điều kiện cho các sinh viên vừa ra trường, để họ có thể kiếm được một môi trường tốt học tập lấy kinh nghiệm, trong bối cảnh thời nay việc một công ty sẵn sàng bỏ thời gian để có thể mở ra một sân chơi nhằm trao cho các sinh viên mới ra trường, người thiếu kinh nghiệm khiến tôi ngưỡng mộ và càng mong muốn có thể được đồng hành cùng SUN.STUDIO trong tương lai gần.</t>
  </si>
  <si>
    <t>e8tmsbwln6j073i16e8tmsbmxslbzzx4</t>
  </si>
  <si>
    <t>Giao Thái Bảo</t>
  </si>
  <si>
    <t>giaobao2kk5@gmail.com</t>
  </si>
  <si>
    <t>+84976973831</t>
  </si>
  <si>
    <t>I've always loved gaming and being able to make a living out of working on games would be like a dream come true.  I enjoy being around people knowledgeable about gaming and its intricacies</t>
  </si>
  <si>
    <t>This role should involves a lot of brain storming, a lot of researching about methods and designs that successful games use, working with other game designers and especifically as an intern, a lot of taking criticisms and improving. I'd say that i'm an open minded person, a team oriented person that would do the best for the team.</t>
  </si>
  <si>
    <t>I was a game designer on the Anime Auto Chess project</t>
  </si>
  <si>
    <t>https://www.roblox.com/games/16695366828/Anime-Auto-Chess</t>
  </si>
  <si>
    <t>I love your location in the AP Tower</t>
  </si>
  <si>
    <t>dhhn7upntu8uq59j6xldhhn74gvvk261</t>
  </si>
  <si>
    <t>Triệu Phước Minh Long</t>
  </si>
  <si>
    <t>trieuminhlong2000@gmail.com</t>
  </si>
  <si>
    <t>+84794408658</t>
  </si>
  <si>
    <t>I am passionate about game development and aspire to create my own game. Therefore, I am seeking an internship to gain hands-on experience, learn from senior developers, and build a strong foundation in game creation.</t>
  </si>
  <si>
    <t>I think this role involves learning and working on the knowledge needed to become a Unity developer who can contribute to the company in the future. With my background and my passion for game development, I believe this combination enables me to contribute effectively as an intern while growing into a professional game developer.</t>
  </si>
  <si>
    <t>FPT university</t>
  </si>
  <si>
    <t>Bachelor Degree</t>
  </si>
  <si>
    <t>Developing a personal Unity (C#) game project, responsible for gameplay programming and system design. Implemented core mechanics (movement, interaction, animation, basic AI) and focused on scalable architecture and clean code. The project is ongoing.</t>
  </si>
  <si>
    <t>https://www.linkedin.com/in/long-tri%E1%BB%87u-24a248229</t>
  </si>
  <si>
    <t>Thank you for taking the time to review my CV. I look forward to the opportunity to meet with you in person.</t>
  </si>
  <si>
    <t>5eau7tvap7b8615guf5ea5uoof9h3yfy</t>
  </si>
  <si>
    <t>Nguyễn Huy Quang</t>
  </si>
  <si>
    <t>nguyenhuyquangvt@gmail.com</t>
  </si>
  <si>
    <t>+84854624879</t>
  </si>
  <si>
    <t>Em quan tâm đến phân tích dữ liệu và muốn phát triển trong lĩnh vực này. Vị trí Data Analysis Intern tại SUN.RISER là cơ hội phù hợp để em học hỏi, áp dụng kỹ năng và tạo ra giá trị từ dữ liệu.</t>
  </si>
  <si>
    <t>Em nghĩ vị trí Data Analysis Intern sẽ bao gồm việc thu thập, làm sạch và phân tích dữ liệu, xây dựng báo cáo/dashboards và hỗ trợ đưa ra insight phục vụ cho việc ra quyết định.
Em tin mình phù hợp vì em có nền tảng tư duy logic, khả năng làm việc với dữ liệu (Excel/SQL/Python) và tinh thần học hỏi cao.</t>
  </si>
  <si>
    <t>Xác suất thống kê</t>
  </si>
  <si>
    <t>Project ETL end-to-end cho dữ liệu bán hàng bằng Python và Power BI; thực hiện trích xuất dữ liệu từ Excel, làm sạch và biến đổi bằng Pandas, NumPy nhằm đảm bảo tính chính xác và nhất quán. Tiến hành phân tích khám phá dữ liệu (EDA) với Seaborn và Matplotlib để đánh giá xu hướng doanh số, lợi nhuận, cơ cấu sản phẩm và hiệu suất theo khu vực. Xây dựng dashboard Power BI tương tác (bộ lọc động, drill-down), hỗ trợ xác định sản phẩm/khu vực hiệu quả, theo dõi biến động lợi nhuận theo thời gian và phân tích tác động của chiết khấu, chi phí vận chuyển đến lợi nhuận, qua đó cung cấp cơ sở cho việc ra quyết định dựa trên dữ liệu.</t>
  </si>
  <si>
    <t>https://zennnn1203.github.io/Portfolio/</t>
  </si>
  <si>
    <t>dsj9pi7uznd2jzqmeawsdsj9pi7h3t0k</t>
  </si>
  <si>
    <t>Nguyễn Văn Minh Quân</t>
  </si>
  <si>
    <t>quan030604@gmail.com</t>
  </si>
  <si>
    <t>+84393995405</t>
  </si>
  <si>
    <t>Vì mình muốn phát triển theo hướng performance marketing, đặc biệt là trong ngành game.  Ngoài ra, môi trường như ở SUN.RISER sẽ giúp mình học được nhiều kỹ năng thực chiến và hiểu rõ hơn về cách đưa một sản phẩm đến với số lượng lớn người dùng.</t>
  </si>
  <si>
    <t>Theo tôi vị trí này thường sẽ tập trung vào việc thu hút người chơi mới cho game thông qua các kênh quảng cáo trả phí như Meta. Cụ thể là set up chiến dịch, theo dõi các chỉ số như CTR, CPI, ROAS. Tôi nghĩ mình phù hợp với vị trí này vì tôi có nền tảng cơ bản về chạy quảng cáo và đã từng thử nghiệm các chiến dịch nhỏ.</t>
  </si>
  <si>
    <t>chưa từng</t>
  </si>
  <si>
    <t>Nếu có cơ hội vào SUN.STUDIO, rất mong được hợp tác và phát triển nhiều với team và công ty ở trong những dự án sau này.</t>
  </si>
  <si>
    <t>u7nlr7hn473ooijet09alu7nlr7zqmps</t>
  </si>
  <si>
    <t>Lâm Vũ Bội Nhi</t>
  </si>
  <si>
    <t>lamnhi232002@gmail.com</t>
  </si>
  <si>
    <t>+84869910467</t>
  </si>
  <si>
    <t>Em chọn vị trí này vì bản thân em rất hứng thú với trong việc học hỏi, trau dồi thêm kiến thức như thiết kế nhân vật, uiux, thiết kế bối cảnh trong lĩnh vực thiết kế game. Sau khi tìm hiểu, em thấy định hướng của công ty rất phù hợp với mục tiêu phát triển của em nên em tin rằng bản thân mình có thể đóng góp và gắn bó lâu dài</t>
  </si>
  <si>
    <t>Theo em nghĩ, vị trí này sẽ làm về thiết kế như tạo hình nhân vật, môi trường, giao diện ứng dụng, hoạt họa trong game. Em tin rằng bản thân phù hợp với vị trí này vì em có niềm đam mê với game, dù chưa có kinh nghiệm chuyên nghiệp nhưng em có khả năng học hỏi tốt, cải thiện qua feedback và chịu được áp lực cao trong công việc</t>
  </si>
  <si>
    <t>Em có từng làm đồ án nhỏ về thiết kế game với vai trò thiết kế nhân vật cùng với môi trường trong game.</t>
  </si>
  <si>
    <t>https://drive.google.com/file/d/1oM2r48ztyGvZLNfQT8h_lz7x05ga74fO/view?usp=sharing</t>
  </si>
  <si>
    <t>Em rất mong mình sẽ có cơ hội để được học hỏi, tích lũy kinh nghiệm trong môi trường ổn định và chuyên nghiệp. Đồng thời, em hy vọng kỹ năng của bản thân sẽ đóng góp được giá trị cho SUN.STUDIO.</t>
  </si>
  <si>
    <t>smndu7eorl21q3y4ns5smndu78845uan</t>
  </si>
  <si>
    <t>Huỳnh Anh Quốc</t>
  </si>
  <si>
    <t>huynhanhquoc.c3@gmail.com</t>
  </si>
  <si>
    <t>+84388710603</t>
  </si>
  <si>
    <t>I chose this position in SUN.RISER because it aligns with my career goals in the technology field. I hope to learn in a professional environment, work on real projects, and develop both my technical skills and problem-solving abilities.</t>
  </si>
  <si>
    <t>I believe I’m a good fit because I have a strong willingness to learn, a solid foundation, and a proactive attitude toward challenges</t>
  </si>
  <si>
    <t>Yes, I have experience developing a Caro (Gomoku) game using sockets. The game supports real-time multiplayer, allowing players to connect and play with each other.Through this project, I worked on client–server communication</t>
  </si>
  <si>
    <t>https://huynhanhquoc.lovable.app</t>
  </si>
  <si>
    <t>I hope to grow in a dynamic environment and bring value to the team</t>
  </si>
  <si>
    <t>d4cf74e76kiyelwd4cf7pakfc0r58jcc</t>
  </si>
  <si>
    <t>Trương Lê Đán Phúc Nguyên</t>
  </si>
  <si>
    <t>tldpn4@gmail.com</t>
  </si>
  <si>
    <t>+84362494249</t>
  </si>
  <si>
    <t>Em rất thích trải nghiệm các thể loại game và đã luôn mong muốn có cơ hội để được thực tập và thử công việc liên quan đến sáng tạo game nên em xem đây là cơ hội để mình có thể cố gắng trong lĩnh vực này.
Đây có thể là lần đầu tiên em tham gia vào vị trí này, nhưng em tin em có thể học hỏi và tiếp thu được nhanh các công việc ở đây.</t>
  </si>
  <si>
    <t>Em nghĩ Game Design Intern là công việc liên quan đến việc sáng tạo game, thiết kế giao diện và gameplay, thiết kế nhân vật, UX/UI và game lore.
Em đã học các môn học của ngành Thiết kế đồ hoạ như thiết kế UX/UI , vẽ minh hoạ, truyền thông tương tác và các môn học khác liên quan tới thiết kế nên em tim em có thể quen với công việc dễ dàng.</t>
  </si>
  <si>
    <t>Thiết kế đồ hoạ</t>
  </si>
  <si>
    <t>7.21</t>
  </si>
  <si>
    <t>Em chưa có kinh nghiệm liên quan đến game, em có nghiên cứu, biết một chút kiến thức về các công việc liên quan đến game.</t>
  </si>
  <si>
    <t>https://www.behance.net/gallery/245733143/PORTFOLIO-2026-Yoi</t>
  </si>
  <si>
    <t>Em muốn cảm ơn SUN.STUDIO đã cho em cơ hội apply vào vị trí này. Em mong công ty mình sẽ ngày càng phát triển và có những game top đầu bảng xếp hạng ạ.</t>
  </si>
  <si>
    <t>5oyevkftwqyrcytp1rq5oyevkan3ymuk</t>
  </si>
  <si>
    <t>taitm410@gmail.com</t>
  </si>
  <si>
    <t>+84777576435</t>
  </si>
  <si>
    <t>Em chọn SUN.RISER tại SUN.STUDIO vì đây là cơ hội kết hợp giữa dữ liệu, hành vi người dùng và game. Kinh nghiệm tại VNG Corporation giúp em hiểu rõ các chỉ số như retention, ARPU và funnel. Em muốn phát triển sâu hơn về product analytics, xây dựng hệ thống dữ liệu và tạo insight giúp tối ưu trải nghiệm người chơi</t>
  </si>
  <si>
    <t>Em nghĩ vị trí này tại SUN.STUDIO tập trung phân tích dữ liệu game, theo dõi các chỉ số như retention, ARPU, xây dashboard và hỗ trợ team ra quyết định. Em phù hợp vì đã có kinh nghiệm phân tích game tại VNG Corporation, hiểu funnel, monetization và có kỹ năng SQL, dashboard để chuyển dữ liệu thành insight.</t>
  </si>
  <si>
    <t>Trong dự án phân tích dữ liệu game tại VNG Corporation, em đóng vai trò khai thác và phân tích dữ liệu về hành vi users, theo dõi các chỉ số như retention, ARPU và funnel. Kết quả là xác định được điểm rơi churn và đề xuất cải tiến cho sự kiện trong game, giúp tăng mức độ engagement của người chơi.</t>
  </si>
  <si>
    <t>Dạ project này là dữ liệu kinh doanh của công ty khác nên thật khó để chia sẻ ạ.</t>
  </si>
  <si>
    <t>7cow30si2hbgzdotifh37cow30slztuh</t>
  </si>
  <si>
    <t>Trương Lâm Gia Vỹ</t>
  </si>
  <si>
    <t>nhathao15101998@gmail.com</t>
  </si>
  <si>
    <t>+84586500581</t>
  </si>
  <si>
    <t>I’m interested in the Game Intern Developer position at SUN.RISER because I want to improve my skills through real projects and teamwork in a professional game development environment.</t>
  </si>
  <si>
    <t>I think this role involves developing gameplay features, supporting game systems, and learning through real production workflows. Since 2023, I’ve been building Unity game projects personally, mainly focusing on gameplay systems, problem-solving, and improving my development skills, which I believe makes me a good fit for this position.</t>
  </si>
  <si>
    <t>7.06</t>
  </si>
  <si>
    <t>Worked as both game designer and developer in personal Unity projects since 2023. Responsible for gameplay systems, UI implementation, feature development, balancing, debugging, and overall game flow. Built playable prototypes and completed small game projects through teamwork and self-learning.</t>
  </si>
  <si>
    <t>https://tnieyu1706.github.io/</t>
  </si>
  <si>
    <t>Thank you for considering my application. I’m looking forward to learning, contributing, and growing as a game developer through real projects and teamwork at SUN.STUDIO.</t>
  </si>
  <si>
    <t>h00xzdu4ft0ysvmxrpzh00xzd8parv2c</t>
  </si>
  <si>
    <t>Tô Gia Lợi</t>
  </si>
  <si>
    <t>togialoi000@gmail.com</t>
  </si>
  <si>
    <t>+84963422608</t>
  </si>
  <si>
    <t>Mong muốn được học hỏi nhiều điều về môi trường làm việc, tiếp xúc xã hội &amp; nâng cao khả năng và kiến thức về Unity.</t>
  </si>
  <si>
    <t>Em nghĩ vị trí này sẽ làm việc với Unity qua code và các system đồng nhất. Em cảm thấy mình rất phù hợp vì có niềm yêu thích game &amp; làm game, còn nắm khá chắc các kiến thức cơ bản về Unity, bản thân em rất ham học hỏi về nó.</t>
  </si>
  <si>
    <t>Lập trình game.</t>
  </si>
  <si>
    <t>Đã từng giữ vai trò leader trong 3/6 dự án tại trường học.</t>
  </si>
  <si>
    <t>https://togialoi.carrd.co/</t>
  </si>
  <si>
    <t>Em mong muốn hồ sơ của mình sẽ được xem xét, và sẽ được trao cơ hội thực tập tại quý công ty, để được cọ xát thực tế với vốn kiến thức của mình về chuyên ngành mà em yêu thích</t>
  </si>
  <si>
    <t>rr0pxsbsuhvbmomvrr0pxiwih7v0bnew</t>
  </si>
  <si>
    <t>Lê Thị Hoa</t>
  </si>
  <si>
    <t>hoalevn6245@gmail.com</t>
  </si>
  <si>
    <t>+84358697673</t>
  </si>
  <si>
    <t>Trong quá trình làm intern, em nhận ra mình hứng thú với digital và tối ưu hiệu quả hơn là chỉ làm content. Em cũng chơi game như Liên Quân Mobile và game casual nên khá quan tâm đến cách thu hút người chơi và khi tìm hiểu thì thấy mảng UA này đang phát triển và phù hợp với định hướng của em ạ.</t>
  </si>
  <si>
    <t>Em nghĩ vị trí này sẽ tập trung vào việc chạy và tối ưu quảng cáo để thu hút người dùng mới, thông qua việc test creative và theo dõi các chỉ số như CTR, CPM. Em phù hợp vì có nền tảng digital, từng làm nội dung quảng cáo và hứng thú với việc phân tích, tối ưu hiệu quả đồng thời em cũng chơi game nên hiểu phần hành vi người chơi</t>
  </si>
  <si>
    <t>Quản trị Marketing</t>
  </si>
  <si>
    <t>Em chưa có kinh nghiệm trực tiếp trong mảng game, nhưng em đã làm Marketing Intern với các công việc liên quan đến nội dung và quảng cáo. Em cũng chơi game như Liên Quân Mobile và game casual nên có hiểu biết về hành vi người chơi và em tin mình có thể học nhanh để phù hợp với vị trí này.</t>
  </si>
  <si>
    <t>https://www.facebook.com/phanphoimanhinhled              https://www.facebook.com/LEDBluevnn</t>
  </si>
  <si>
    <t>Em chưa có nhiều kinh nghiệm trong mảng game UA nhưng em có nền tảng digital và sẵn sàng học nhanh, làm thật để cải thiện từng ngày. Em mong có cơ hội được thử sức trong môi trường như SUN.STUDIO để hiểu rõ hơn cách một chiến dịch hoạt động và phát triển lâu dài trong mảng này.</t>
  </si>
  <si>
    <t>3l5y3orkfeyyryyppym3l5y3kf3piiwp</t>
  </si>
  <si>
    <t>Phan Vũ Trường An</t>
  </si>
  <si>
    <t>truongan.271103@gmail.com</t>
  </si>
  <si>
    <t>+84393589643</t>
  </si>
  <si>
    <t>I want to become a game designer who want to design amazing games with my passion</t>
  </si>
  <si>
    <t>The role of a game designer is to craft the player’s experience: from concept, gameplay mechanics, and rules, to balancing systems and challenges.
- I have worked in game industrial for year as a game tester. I understand the process of making a game and i also have skill with playing and analyzing the game</t>
  </si>
  <si>
    <t>Working for 1 year as a QA game</t>
  </si>
  <si>
    <t>I have worked as a QA game for 1 year at Hopper Games Studio. As a QA game, I ensure the quality and performance of mobile games across multiple genres including Idle, Casual, Merge, RPG, and Tower Defense.</t>
  </si>
  <si>
    <t>https://www.linkedin.com/in/an-phan-vu-truong-586b25280/</t>
  </si>
  <si>
    <t>Thank you for your time to review my application.
I hope that I have the opportunity to contribute my skills and passion for Sun Studio.</t>
  </si>
  <si>
    <t>mirurnrsrnwtbp016miru9cedjyqjcy5</t>
  </si>
  <si>
    <t>Nguyễn Cang Trường</t>
  </si>
  <si>
    <t>nctnhue95@gmail.com</t>
  </si>
  <si>
    <t>+84971605817</t>
  </si>
  <si>
    <t>Một môi trường làm việc trẻ, đầy năng lượng tích cực và nhiều điều mới</t>
  </si>
  <si>
    <t>Mình nghĩ với vị trí AI Engineering thì chủ yếu mình sẽ làm việc với các model và công nghệ mới nhất liên quan tới AI và các Agent thông minh; và mình tin với kiến thức toán và tin học vững chắc cùng sự đam mê của mình thì mình phù hợp với vị trí này</t>
  </si>
  <si>
    <t>8.16</t>
  </si>
  <si>
    <t>chưa có kinh nghiệm</t>
  </si>
  <si>
    <t>chưa có kinh nghiệm liên quan mảng game ạ</t>
  </si>
  <si>
    <t>lsb21t7s1kraq8g6ylsb21fayii0teaa</t>
  </si>
  <si>
    <t>Hồ Ngọc Hiếu</t>
  </si>
  <si>
    <t>fantastichaha11@gmail.com</t>
  </si>
  <si>
    <t>+84395736440</t>
  </si>
  <si>
    <t>Qua tìm hiểu, em ấn tượng với tinh thần đổi mới tại SUN.RISER. Việc công ty sẵn sàng mở ra vị trí AI Intern cho thấy tầm nhìn đón đầu công nghệ. Em muốn được đóng góp sức trẻ, khả năng học hỏi nhanh và tư duy kỹ thuật của mình vào một đội ngũ không ngại thử nghiệm cái mới để tạo ra những bước đột phá trong ngành game.</t>
  </si>
  <si>
    <t>Em nghĩ vị trí này sẽ tích hợp Generative AI (Stable Diffusion, LLMs) vào quy trình tạo Art và Content hoặc viết script tối ưu hóa các tác vụ lặp lại và hỗ trợ kiểm thử game. Em có nền tảng về AI/Python và khả năng chuyển hóa mô hình lý thuyết thành công cụ thực tế.</t>
  </si>
  <si>
    <t>Dự án nhỏ về pokemon matching game trên console bằng C++.</t>
  </si>
  <si>
    <t>https://github.com/fantastichaha11</t>
  </si>
  <si>
    <t>2x5evd5eddfr16mxsqv2h2x5evrbgsy9</t>
  </si>
  <si>
    <t>Trần Cẩm Tú</t>
  </si>
  <si>
    <t>trancamtu3518@gmail.com</t>
  </si>
  <si>
    <t>+84799513518</t>
  </si>
  <si>
    <t>Em nhận ra mình phù hợp với phân tích dữ liệu phục vụ bài toán kinh doanh hơn là lập trình thuần kỹ thuật. Vì vậy, em ứng tuyển vị trí Data Analysis Intern tại SUN.RISER để phát triển theo hướng này và học cách tạo ra insight từ dữ liệu.</t>
  </si>
  <si>
    <t>Vị trí này sẽ xử lý và phân tích dữ liệu, tạo báo cáo để hỗ trợ ra quyết định. Em phù hợp vì có nền tảng phân tích dữ liệu, tư duy logic và khả năng học nhanh để đáp ứng công việc.</t>
  </si>
  <si>
    <t>7.25/10</t>
  </si>
  <si>
    <t>Dạ em chưa có</t>
  </si>
  <si>
    <t>https://github.com/trancamtu3518</t>
  </si>
  <si>
    <t>Em sẽ chủ động hiểu mục tiêu của team, nắm rõ công việc của từng thành viên và hỗ trợ để tối ưu khối lượng công việc chung.</t>
  </si>
  <si>
    <t>alu61z135618l841xzuralu61z1j2gc1</t>
  </si>
  <si>
    <t>Trần Thị Trúc Linh</t>
  </si>
  <si>
    <t>truclinh.lttt@gmail.com</t>
  </si>
  <si>
    <t>+84988402767</t>
  </si>
  <si>
    <t>Dạ động lực để em ứng tuyển vị trí Game UA Intern tại SUN.RISER là vì em đang tìm kiếm cơ hội để được học và nâng cao kỹ năng Performance Marketing trong một môi trường chuyên nghiệp. Bên cạnh đó em mong muốn tìm một công việc để có thêm thu nhập ạ.</t>
  </si>
  <si>
    <t>Dạ em có các kỹ năng và định hướng rõ ràng về lĩnh vực Digital/Performance Marketing cho nên em nghĩ đây là một ví trí rất phù hợp để em nỗ lực học hỏi.</t>
  </si>
  <si>
    <t>Digital Business</t>
  </si>
  <si>
    <t>8.5/10</t>
  </si>
  <si>
    <t>Tại FN Trading Lab, em đảm nhận vị trí Content Writer với các kết quả nổi bật:
• Tăng trưởng lượt xem: Tối ưu hóa kịch bản video (TikTok/Reels), đưa lượt xem từ mức 300 - 3.000 lên mức đột phá 20.000 views mỗi clip.
• Chuyên môn hóa nội dung: Sản xuất bản tin phân tích thị trường (Gold, Crypto, Fed), sử dụng chính xác thuật ngữ thắt chặt/nới lỏng và xây dựng hệ thống content pillars bền vững.
• Hiệu suất và phong cách: Đảm bảo SLA phản hồi 2 giờ, chuẩn hóa 100% hình thức trình bày tối giản và chuyên nghiệp để tăng trải nghiệm người dùng.
• Tối ưu hóa SEO/GEO: Xây dựng thành công 3 trụ cột nội dung (content pillars) chính, giúp tăng khả năng tiếp cận và nhận diện thương hiệu trên các nền tảng số.</t>
  </si>
  <si>
    <t>Hiện em chưa bổ sung Portfolio ạ</t>
  </si>
  <si>
    <t>eiu5hgubokgtnysugdeiu5hrip0umrxw</t>
  </si>
  <si>
    <t>Trần Nguyễn Hạnh Trang</t>
  </si>
  <si>
    <t>tnhtrang.work@gmail.com</t>
  </si>
  <si>
    <t>+84903856791</t>
  </si>
  <si>
    <t>Hiện tại, tuy có nền tảng về luật nhưng em mong muốn định hướng phát triển ở mảng HR. Em tin rằng những nền tảng về luật có thể hỗ trợ tốt cho các công việc HR như quản lý hồ sơ nhân sự, xây dựng và tuân thủ chính sách, cũng như xử lý các vấn đề về quan hệ lao động. Và đặc biệt là được làm việc trong môi trường năng động, sáng tạo của ngành game</t>
  </si>
  <si>
    <t>Vị trí này không chỉ tuyển dụng mà còn là cầu nối giữa ứng viên và đội ngũ nội bộ để xây dựng một team phù hợp phát triển sản phẩm. Cụ thể sẽ tìm kiếm, sàng lọc ứng viên, phối hợp với các bộ phận để hiểu nhu cầu tuyển dụng.  Kinh nghiệm ngành luật giúp em quen với việc xử lý, rà soát hồ sơ, làm việc cẩn thận, hiểu về pháp luật lao động</t>
  </si>
  <si>
    <t>https://www.facebook.com/tuoitreluat/posts/pov-b%E1%BA%A1n-nh%E1%BA%ADn-%C4%91%C6%B0%E1%BB%A3c-th%C3%B4ng-%C4%91i%E1%BB%87p-ti%E1%BA%BFp-s%E1%BB%A9c-m%C3%B9a-thi-t%E1%BA%A1i-ulaw-%E1%BB%9F-%C4%91%C3%A2y-kh%C3%B4ng-c%C3%B3-th%E1%BA%A7n-mu%E1%BB%97ng/1158260182979286/</t>
  </si>
  <si>
    <t>w2zqn22hp6bca7n1n040ww2zqn2iycap</t>
  </si>
  <si>
    <t>Nguyễn Trần Phương Mai</t>
  </si>
  <si>
    <t>ntphuongmai111@gmail.com</t>
  </si>
  <si>
    <t>+84367117346</t>
  </si>
  <si>
    <t>I choose this position to apply my knowledge of models and optimization thinking to building real-world AI agents. I am particularly impressed by the Automation Pipeline training program at SUN.RISER and tools like LangChain and n8n, which help improve resource efficiency and accelerate operations.</t>
  </si>
  <si>
    <t>I believe this position focuses on building AI agents and automating workflows through LLM-integrated pipelines. With a background in RAG, experience working with LangChain, and a strong ability to learn quickly, I can rapidly adapt and contribute effectively.</t>
  </si>
  <si>
    <t>I independently developed an end-to-end RAG system, covering the full pipeline from data ingestion to LLM response optimization. Using LangChain for orchestration, I integrated the Google Gemini API and built an interactive user interface with Streamlit. The project deployed a pipeline that extracts text from multiple PDFs, performs strategic chunking, and manages vector embeddings. I implemented a hybrid retrieval approach combining FAISS vector search with LLM-based reranking, resulting in an application that delivers accurate, context-aware responses.</t>
  </si>
  <si>
    <t>github.com/mai2005/ChatwMultiPdf</t>
  </si>
  <si>
    <t>I look forward to the opportunity to be considered for this position. Thank you for your time and consideration.</t>
  </si>
  <si>
    <t>ckf41ctf3do6z4ysexckf410n0i8h0hb</t>
  </si>
  <si>
    <t>NGUYỄN NGỌC DUY MINH</t>
  </si>
  <si>
    <t>nndminh03@gmail.com</t>
  </si>
  <si>
    <t>+84396982813</t>
  </si>
  <si>
    <t>Yêu thích game, có định hướng theo QA Game Tester</t>
  </si>
  <si>
    <t>Test game, lên plan, tìm bug, log bug và đề xuất các ý tưởng phục vụ người chơi tốt nhất</t>
  </si>
  <si>
    <t>Xây dựng dự án cá nhân là web game Flappy Bird vào năm 4 đại học</t>
  </si>
  <si>
    <t>https://github.com/nguyenminh183</t>
  </si>
  <si>
    <t>Là một người đam mê game tôi rất muốn làm việc tại công ty và góp phần đưa các sản phẩm game hay nhất ra thị trường.</t>
  </si>
  <si>
    <t>3mpgtua5ejcnr5rx3mpgtl72nlnu6sw3</t>
  </si>
  <si>
    <t>Phạm Quang Vinh</t>
  </si>
  <si>
    <t>phamquangvinh853@gmail.com</t>
  </si>
  <si>
    <t>+84388056429</t>
  </si>
  <si>
    <t>Em muốn có cơ hội áp dụng những kiến thức và tư duy đã được học và mài dũa vào giải quyết các vấn đề thực tế, trực quan hóa chúng thành bức tranh toàn cảnh hỗ trợ cho các quyết định chiến lược của công ty</t>
  </si>
  <si>
    <t>Theo em, vị trí này sẽ 'giải mã' những bài toán, những yêu cầu từ stakeholders thành những hành động cụ thể. Em tự tin mình phù hợp với vị trí này vì em có khả năng nắm bắt mong muốn của stakeholders và dùng dữ liệu để biến nó một câu chuyện thay vì chỉ là những con số khô khan.</t>
  </si>
  <si>
    <t>8.42</t>
  </si>
  <si>
    <t>Em đã hoàn thành hai dự án phân tích dữ liệu toàn diện. Với Xóm E-Com, em phân tích hành vi và tỷ lệ giữ chân khách hàng cho nền tảng thương mại điện tử quy mô 2,3 triệu USD, áp dụng phân khúc RFM và tư duy Cohort để giải mã lý do người dùng rời bỏ sau lần mua đầu tiên, từ đó tìm cách tái tương tác với các nhóm khách hàng tiềm năng. Những khung tư duy này hoàn toàn có thể chuyển đổi linh hoạt sang việc phân tích hành vi và tỷ lệ giữ chân người chơi trong mảng Game.
Với NovaTech Retail, em xây dựng hệ thống Dashboard cho cấp quản trị (C-Level) trên Power BI để hợp nhất dữ liệu vận hành và tìm ra nguyên nhân cốt lõi đằng sau sự sụt giảm doanh thu theo khu vực. Cả hai dự án đều tập trung vào việc chuyển hóa dữ liệu thô thành các đề xuất có tính thực thi cao và đó cũng chính là giá trị cốt lõi mà em muốn mang lại khi phân tích dữ liệu người chơi tại SUN.STUDIO.</t>
  </si>
  <si>
    <t>https://vinhpquangporforlio.vercel.app/</t>
  </si>
  <si>
    <t>Em tìm đến với SUN.STUDIO không chỉ vì muốn tích lũy kinh nghiệm mà vì thật sự bị thu hút bởi cách bên mình xây dựng sản phẩm/thương hiệu. Em tin môi trường tại SUN.STUDIO sẽ giúp em phát triển được nhiều hơn và hơn thế nữa em cũng rất sẵn sàng cống hiến hết sức mình trong thời gian intern ạ!</t>
  </si>
  <si>
    <t>7dbbjj6m1l7t9lye7dbbjgz8465npjkw</t>
  </si>
  <si>
    <t>Nguyễn Thị Anh Thư</t>
  </si>
  <si>
    <t>nguyenthu12042006@gmail.com</t>
  </si>
  <si>
    <t>+84376580052</t>
  </si>
  <si>
    <t>Chuyên ngành em đang theo học là Công nghệ Marketing tại UEH. Em được tiếp xúc không chỉ về marketing mà còn tiếp xúc nhiều với công nghệ và dữ liệu. Qua những môn học tại giảng đường, em nhận thấy bản thân có niềm yêu thích với data và mong muốn hỏi hỏi nhiều hơn các kiến thức và kỹ năng về lĩnh vực này. Vì vậy em chọn vị trí Data Analysis.</t>
  </si>
  <si>
    <t>Vị trí này sẽ làm việc nhiều với dữ liệu cụ thể: thu thập, xử lý làm sạch, analyze, visualize dữ liệu, đọc insights từ những bảng biểu hay con số. Bản thân em  tuy còn nhiều hạn chế nhưng với những gì em đã biết kèm với mong muốn được giỏi hơn, biết nhiều hơn trong lĩnh vực này và không có gì hơn bằng một tinh thần sẵn sàn cống hiến và phát triển.</t>
  </si>
  <si>
    <t>Công nghệ Marketing</t>
  </si>
  <si>
    <t>8.0/10.0</t>
  </si>
  <si>
    <t>Em đã từng tham gia một cuộc thi giải case study do Logitech giao đề bài. Tuy Logitech là thương hiệu về gaming gear nhưng em đã có cơ hội được tìm hiểu và khai thác về đối tượng chơi game và hành vi của họ một cách sâu sắc hơn. Tuy chưa đạt được kết quả mong muốn nhưng em nghĩ đó là mở đầu cho những kết quả tốt hơn, và hơn hết là em cũng có cơ hội tìm hiểu về ngành game và hành vi của người chơi game, có thể không quá sâu sắc nhưng cũng là một nền tảng để bắt đầu những thứ hay ho phía trước đối với nền công nghiệp này.</t>
  </si>
  <si>
    <t>https://drive.google.com/file/d/1LF3LVT96_gxXc4javFZlO5KQQ3KUFIUv/view?usp=sharing</t>
  </si>
  <si>
    <t>Hy vọng SUN.STUDIO sẽ là nơi mở đầu giá trị cho chuỗi hành trình cống hiến và phát triển của em trong tương lai.</t>
  </si>
  <si>
    <t>homf7z4cti92piyiqhomf7d7t7gw7ac9</t>
  </si>
  <si>
    <t>Nguyen Quoc Lap</t>
  </si>
  <si>
    <t>nguyenquoclap159@gmail.com</t>
  </si>
  <si>
    <t>+84903094915</t>
  </si>
  <si>
    <t>I’m interested in SUN.RISER because it combines my marketing background with my passion for gaming, and I want to grow in user acquisition and performance marketing at SUN.STUDIO.</t>
  </si>
  <si>
    <t>This role focuses on running and optimizing user acquisition campaigns through testing and data analysis. I’m a good fit because I have experience with Meta Ads, performance tracking, and I’m eager to grow in UA.</t>
  </si>
  <si>
    <t>HUFLIT - Đại học Ngoại ngữ - Tin học TP. Hồ Chí Minh</t>
  </si>
  <si>
    <t>Currently waiting for graduation</t>
  </si>
  <si>
    <t>Business Administration - Marketing</t>
  </si>
  <si>
    <t>7.10</t>
  </si>
  <si>
    <t>-</t>
  </si>
  <si>
    <t>https://lapqnguyen.wixsite.com/portfolio</t>
  </si>
  <si>
    <t>I’m highly motivated to build a long-term career in user acquisition for mobile games, and I’m eager to learn quickly and contribute to real campaigns. I’m also very open to feedback and ready to take on challenges to grow with SUN.STUDIO.</t>
  </si>
  <si>
    <t>vcwfbg84kk3yqnt121hvcwfbgwrks6h8</t>
  </si>
  <si>
    <t>Nguyễn Lê Đăng Khoa</t>
  </si>
  <si>
    <t>khoanld2609@gmail.com</t>
  </si>
  <si>
    <t>+84393824024</t>
  </si>
  <si>
    <t>Em ứng tuyển vì định hướng AI - Automation của SUN.RISER rất khớp với chuyên môn hiện tại của em. Với kinh nghiệm thực tập AI Engineer (hỗ trợ xây dựng hệ thống RAG, LLM và data pipelines), em tự tin ứng dụng kỹ năng Prompt Engineering để phát triển trợ lý ảo nội bộ, giúp tối ưu hóa vận hành.</t>
  </si>
  <si>
    <t>Theo em nghĩ, vị trí sẽ này tập trung thiết kế AI Pipelines, hệ thống RAG và Agent Skills để tự động hóa vận hành. Em phù hợp nhờ kinh nghiệm thực tập AI Engineer, trực tiếp xây dựng data pipelines và chatbot RAG. Kỹ năng Prompt Engineering và trích xuất dữ liệu từ LLM giúp em tự tin đóng góp ngay vào mục tiêu Automation của SUN.STUDIO.</t>
  </si>
  <si>
    <t>Vai trò của em là hỗ trợ nghiên cứu và thử nghiệm triển khai hệ thống chatbot RAG. Kết quả sau 3 tháng thực tập là một chatbot có thể phản hồi được các vấn đề cơ bản đã được đặt ra ban đầu. Đồng thời đảm bảo chatbot có thể trả lời đúng phạm vi, nhiệm vụ.</t>
  </si>
  <si>
    <t>Vì lý do bảo mật dữ liệu doanh nghiệp, đây là dự án nội bộ nên em không thể chia sẻ source code public.</t>
  </si>
  <si>
    <t>Em hi vọng có được một cơ hội được học tập, làm việc và đóng góp giá trị cho công ty trong kỳ thực tập. Thông qua đó, em có thể xây dựng được những nền tảng vững chắc cho tương lai của mình trong công việc AI Engineer. Em xin cảm ơn</t>
  </si>
  <si>
    <t>g6ru71g4my02g6ru03ap3087qi6t5y4g</t>
  </si>
  <si>
    <t>Trần Gia Huy</t>
  </si>
  <si>
    <t>huy.0977907282@gmail.com</t>
  </si>
  <si>
    <t>+84392227658</t>
  </si>
  <si>
    <t>Em chọn vị trí này vì tôi yêu thích lĩnh vực game và muốn được tham gia vào quá trình tạo ra trải nghiệm thú vị cho người chơi. Em mong muốn được học hỏi trong môi trường chuyên nghiệp như SUN.RISER để phát triển thêm về tư duy thiết kế gameplay, khả năng sáng tạo và kỹ năng làm việc thực tế. Với nền tảng CNTT, em nghĩ mình có thể làm tốt.</t>
  </si>
  <si>
    <t>Em nghĩ vị trí này sẽ tham gia thiết kế gameplay, hỗ trợ xây dựng trải nghiệm người chơi và phối hợp với team phát triển game. Em phù hợp vì có nền tảng Công nghệ Thông tin, tư duy logic tốt và đặc biệt rất yêu thích lĩnh vực game nên em muốn học hỏi và phát triển lâu dài trong ngành này.</t>
  </si>
  <si>
    <t>CET – Trường Cao đẳng Kinh tế – Công nghệ TP.HCM</t>
  </si>
  <si>
    <t>Mặc dù chưa có nhưng em sẽ phát triển hơn  ạ</t>
  </si>
  <si>
    <t>dạ hiện tại em chưa có ạ</t>
  </si>
  <si>
    <t>Em mong muốn có cơ hội được học hỏi và phát triển bản thân tại SUN.STUDIO. Dù chưa có nhiều kinh nghiệm thực tế, em luôn sẵn sàng tiếp thu, cố gắng hoàn thiện kỹ năng và đóng góp tích cực trong quá trình làm việc. Em hy vọng sẽ được đồng hành và phát triển lâu dài cùng công ty.</t>
  </si>
  <si>
    <t>kqr59alq2bedzvwkqr57qjhunuj3zosc</t>
  </si>
  <si>
    <t>Dương Thanh Phụng</t>
  </si>
  <si>
    <t>thphung2@gmail.com</t>
  </si>
  <si>
    <t>+84368948121</t>
  </si>
  <si>
    <t>Tôi có gần 1,5 năm kinh nghiệm phát triển game Unity WebGL và hiện muốn tham gia môi trường chuyên nghiệp hơn để phát triển thêm về kỹ năng kỹ thuật cũng như teamwork. Đồng thời, tôi cũng định hướng lâu dài ở mảng game mobile puzzle/casual và nhận thấy SUN.RISER phù hợp với mục tiêu phát triển của mình.</t>
  </si>
  <si>
    <t>Theo tôi, vị trí này sẽ hỗ trợ phát triển gameplay 2D, tích hợp UI, fix bug và phối hợp cùng các team khác trong quá trình phát triển game. Tôi phù hợp với vị trí này vì đã có gần 1,5 năm kinh nghiệm làm game Unity WebGL với C#, từng tham gia làm gameplay, UI và tối ưu hiệu năng trong dự án thực tế.</t>
  </si>
  <si>
    <t>NLU – Trường Đại học Nông Lâm TP.HCM</t>
  </si>
  <si>
    <t>Đã ra trường hơn 1 năm</t>
  </si>
  <si>
    <t>Tôi có gần 1.5 năm kinh nghiệm phát triển game WebGL bằng Unity tại công ty, tập trung vào gameplay systems, multiplayer synchronization và tối ưu hiệu năng. Tôi đã tham gia phát triển các dự án multiplayer farming simulation và idle game, phối hợp cùng backend team để xây dựng gameplay features và đồng bộ dữ liệu real-time.
Ngoài ra, tôi cũng thực hiện một dự án cá nhân tên Cozy Market — một game puzzle/casual trên mobile nhằm tìm hiểu sâu hơn về game feel, level design và tối ưu cho nền tảng di động.</t>
  </si>
  <si>
    <t>https://finn191.github.io/thanhphung-portfolio/</t>
  </si>
  <si>
    <t>Tôi đã có gần 1.5 năm kinh nghiệm phát triển game với Unity trên nền tảng WebGL, chủ yếu tập trung vào gameplay systems và tối ưu hiệu năng. Tuy nhiên, team size trước đây của tôi khá nhỏ, vì vậy hiện tại tôi mong muốn được làm việc trong một môi trường chuyên nghiệp hơn để học hỏi thêm về teamwork, quy trình phát triển sản phẩm và nâng cao kỹ năng kỹ thuật của bản thân.
Tôi không ngại bắt đầu từ vị trí intern, vì tôi tin rằng điều quan trọng nhất ở giai đoạn hiện tại là được phát triển đúng hướng. Đồng thời, tôi cũng đang rất quan tâm đến mảng mobile game, đặc biệt là dòng puzzle/casual với trọng tâm về game feel và trải nghiệm người chơi.
Sau khi tìm hiểu về SUN.STUDIO, tôi nhận thấy định hướng của công ty có nhiều điểm phù hợp với kinh nghiệm và định hướng phát triển của bản thân, đặc biệt ở mảng game web và mobile.</t>
  </si>
  <si>
    <t>cxjxkn9a99in06afvcxjxknre61qnw6m</t>
  </si>
  <si>
    <t>Thi Kiều Thơ</t>
  </si>
  <si>
    <t>kieutho4416@gmail.com</t>
  </si>
  <si>
    <t>+84347776422</t>
  </si>
  <si>
    <t>Em chọn vị trí Tester tại SUN.RISER vì em muốn thử sức trong lĩnh vực kiểm thử game. Em mong muốn được tham gia vào quá trình đảm bảo chất lượng sản phẩm, tìm hiểu quy trình testing thực tế và phát triển thêm kỹ năng QA/QC của bản thân.</t>
  </si>
  <si>
    <t>Em nghĩ vị trí Tester sẽ tập trung vào việc kiểm tra và đảm bảo chất lượng phần mềm trước khi đến tay người dùng, bao gồm tìm lỗi, kiểm tra chức năng và trải nghiệm sử dụng.
Em phù hợp với vị trí này vì em là người cẩn thận, có tư duy logic, thích tìm hiểu hệ thống và có kiến thức cơ bản về testing, quản lý bug cũng như hỗ trợ  kiểm thử.</t>
  </si>
  <si>
    <t>- Tester Intern: Đảm bảo chất lượng sản phẩm trước khi đến tay khách hàng thông qua kiểm thử chức năng, UI và API; quản lý bug và task trên Odoo; hỗ trợ automated testing với Playwright và Git workflow. Đồng thời áp dụng các công cụ AI như ChatGPT và Claude Code để hỗ trợ viết test case, phân tích bug và tăng hiệu quả làm việc, góp phần cải thiện tiến độ và chất lượng dự án.
- Dự án trên trường: Tham gia với vai trò kiểm thử trong nhiều dự án học tập, hỗ trợ thực hiện test case, báo cáo lỗi và đảm bảo chất lượng sản phẩm trong quá trình phát triển.
- Kiểm thử game part-time: Thực hiện chơi thử và báo cáo lỗi khi phát hiện bug, góp phần cải thiện chất lượng và trải nghiệm game.</t>
  </si>
  <si>
    <t>Hiện tại không có link dự án hoặc Portfolio</t>
  </si>
  <si>
    <t>Em mong có cơ hội được học hỏi và phát triển tại SUN.STUDIO trong môi trường chuyên nghiệp và sáng tạo. Với tinh thần chủ động học hỏi, trách nhiệm và yêu thích kiểm thử game/phần mềm, em hy vọng có thể đóng góp vào việc nâng cao chất lượng sản phẩm cũng như mang lại trải nghiệm tốt hơn cho người dùng.</t>
  </si>
  <si>
    <t>434m5ub8nwuuy5e8vl4x434mhaztunjf</t>
  </si>
  <si>
    <t>Tiền Minh Dương</t>
  </si>
  <si>
    <t>tmd31052005@gmail.com</t>
  </si>
  <si>
    <t>+84826245431</t>
  </si>
  <si>
    <t>Em rất thích việc được phát triển các game casual giải trí nhẹ nhàng, hấp dẫn. Em cũng muốn được trải nghiệm quy trình làm game sản phẩm thực tế, cũng như được học hỏi kinh nghiệm từ các anh chị đi trước.</t>
  </si>
  <si>
    <t>Theo tìm hiểu của em, ở vị trí này, em sẽ làm quen và tìm hiểu dự án hiện tại của team Game Development, lập trình các tính năng gameplay và UI cơ bản, sửa lỗi và tối ưu trong quá trình phát triển game, cũng như phối hợp làm việc nhóm và với các phòng ban khác. Em đã từng có kinh nghiệm trong các việc làm trên ạ.</t>
  </si>
  <si>
    <t>9.24</t>
  </si>
  <si>
    <t>Em từng tham gia ở các vai trò khác nhau trong một nhóm từ thành viên đến leader khi thực hiện bài tập hoặc tham gia cuộc thi. Trong đó kết quả cao nhất là giải Nhì cuộc thi SeApp2024, một cuộc thi do khoa Công nghệ Phần mềm trường UIT tổ chức, với tựa game Crocodile Invader được làm bởi cá nhân em, một tựa game có cơ chế dựa trên Zombie Tsunami.</t>
  </si>
  <si>
    <t>https://github.com/tienminhduong/CrocodileInvader.git</t>
  </si>
  <si>
    <t>2yoz6qa6qqrho7a2yc8jy72yoz6qkmhc</t>
  </si>
  <si>
    <t>Lê Hồ Nhật Tân</t>
  </si>
  <si>
    <t>zasure112@gmail.com</t>
  </si>
  <si>
    <t>+84966191734</t>
  </si>
  <si>
    <t>Tôi chọn vị trí Intern Game Design tại SUN.RISER
 vì tôi thích phân tích gameplay và tìm hiểu lý do khiến người chơi bị cuốn vào một game.Tôi nghĩ khả năng phân tích và tư duy về player experience của mình phù hợp</t>
  </si>
  <si>
    <t>Theo tôi, vị trí này sẽ tham gia thiết kế gameplay, level và phân tích trải nghiệm người chơi.
Tôi phù hợp vì có tư duy phân tích tốt, thích breakdown gameplay systems và thường tìm cách cải tiến mechanic để game thú vị hơn.</t>
  </si>
  <si>
    <t>Tôi đã tự thực hiện nhiều concept game puzzle/casual cá nhân, chủ yếu tập trung vào gameplay design, level flow và viết GDD. Vai trò của tôi là phân tích market references, đề xuất gameplay twist, thiết kế core loop và xây dựng prototype concept trên Unity. Ngoài ra, tôi cũng thường breakdown các game mobile để phân tích retention, difficulty curve và player experience nhằm cải thiện ý tưởng thiết kế.</t>
  </si>
  <si>
    <t>https://smolrevenant.github.io/portfoliogame/</t>
  </si>
  <si>
    <t>Tôi rất mong có cơ hội được học hỏi và làm việc cùng team tại SUN.STUDIO</t>
  </si>
  <si>
    <t>625l21tsfwgk9wmi0625l2mgzj1m9h0s</t>
  </si>
  <si>
    <t>Lữ Nguyễn Duy Đức</t>
  </si>
  <si>
    <t>duclnd.t1.2023@gmail.com</t>
  </si>
  <si>
    <t>+84332718397</t>
  </si>
  <si>
    <t>Em có đam mê lập trình game, muốn trải nghiệm công việc thực tế của công việc cũng như gắn bó lâu dài với ngành game trong tương lai. Ngoài ra em muốn học hỏi thêm nhiều kiến thức thực tế từ những người đi trước để phát triển bản thân trong ngành lập trình game.</t>
  </si>
  <si>
    <t>Em nghĩ vị trí này sẽ phối hợp cùng những bên như Game Designer, Artist... để trao đổi và làm ra một sản phẩm phù hợp với mục tiêu đề ra. Ngoài ra Game developer sẽ chịu trách nhiệm viết code, xử lý logic, fix bug, tối ưu hóa để đảm bảo đúng GDD và trải nghiệm người chơi tốt. Em nghĩ em phù hợp vì em có tính kiên trì, tỉ mỉ cũng như trách nhiệm cao</t>
  </si>
  <si>
    <t>Software Engineer (Kỹ thuật phần mềm)</t>
  </si>
  <si>
    <t>9.09</t>
  </si>
  <si>
    <t>- Em đã từng clone lại vài màn chơi của game NamelessCat để làm đồ án môn học Lập trình trực quan, em đã làm phần di chuyển player, âm thanh, UI, xây dựng màn chơi, kết quả là em đã đạt điểm cao ở môn đó.
- Hiện tại em đang cùng các bạn trong câu lạc bộ Game của trường đang thực hiện một con game để kỉ niệm 20 năm ngày thành lập trường, em tham gia cả bên Client và bên Server. Bên Client thì em được giao xây dựng UI phù hợp với yêu cầu, nối API. Bên Server thì em thực hiện những API cơ bản như đăng xuất, đăng nhập, tính năng quên mật khẩu (gửi OTP về mail để xác nhận) bằng HTTP, tính năng tính thời gian người chơi bằng Websocket. Hiện tại thì game đã hoàn thiện về mặt logic, đang chỉnh sửa lại một vài UI để game đẹp hơn.</t>
  </si>
  <si>
    <t>NamelessCat: https://github.com/DucLove1/NamelessCat.git . Tomb of the mask: https://github.com/DucLove1/TombOfTheMask.git . FoxyAdventure: https://github.com/tienminhduong/FoxyAdventure.git</t>
  </si>
  <si>
    <t>Em mong muốn có thể được đồng hành cùng SUN.STUDIO trên con đường nghề nghiệp của em ạ.</t>
  </si>
  <si>
    <t>9tkfj2r4ulc6qbwo9tkfowetlhv8of2y</t>
  </si>
  <si>
    <t>Nguyễn Đức Hiệp</t>
  </si>
  <si>
    <t>nguyenduchiep13dn@gmail.com</t>
  </si>
  <si>
    <t>+84386962089</t>
  </si>
  <si>
    <t>Em chọn vị trí này vì em muốn phát triển theo hướng UA Marketing. Em thích công việc liên quan đến phân tích dữ liệu và tối ưu campaign. Sau khi tìm hiểu, em thấy môi trường ở SUN.RISER khá trẻ và có định hướng rõ về performance marketing, nên em nghĩ đây sẽ là nơi phù hợp để em học hỏi và phát triển kỹ năng thực tế.</t>
  </si>
  <si>
    <t>Theo em thì công việc chính thường đi kèm với A/B testing, tối ưu target audience, theo dõi chỉ số và chạy ads trên các nền tảng Facebook Ads, TikTok Ads, Google Ads, Unity… Em nghĩ điểm mạnh của em là khả năng phân tích và học nhanh. Bên cạnh đó là khả năng hiểu được người dùng và sáng tạo nội dung nên em thấy phù hợp với vị trí này.</t>
  </si>
  <si>
    <t>BUV – Trường Đại học Anh Quốc Việt Nam</t>
  </si>
  <si>
    <t>Classification: Second Class: 1st Division (2:1) 7.9/10</t>
  </si>
  <si>
    <t>Tại Dmobin, em có cơ hội tiếp xúc với các dòng game Hyper-casual/Casual. Điểm em học được nhiều nhất là cách lên ý tưởng sáng tạo cho creative. Bên cạnh đó, em cũng hỗ trợ thiết lập và giám sát các chiến dịch trên Google Ads.</t>
  </si>
  <si>
    <t>Do tính chất bảo mật thông tin dự án tại công ty cũ, em không thể chia sẻ link trực tiếp từ tài khoản. Khoảng thời gian đó, em hỗ trợ lên ý tưởng, viết mô tả, spy ads và thiết lập camp Google Ads thôi ạ. Dự án lúc đó em làm con game people flow.</t>
  </si>
  <si>
    <t>Mong rằng bộ phận tuyển dụng có thể đọc CV và sắp xếp một cuộc phỏng vấn trực tiếp gần đây nhất.</t>
  </si>
  <si>
    <t>q90zs8l317uvwbdj4q90zs8vvjz3y9mi</t>
  </si>
  <si>
    <t>Trần Gia Hân</t>
  </si>
  <si>
    <t>trangiahankrb@gmail.com</t>
  </si>
  <si>
    <t>+84379801319</t>
  </si>
  <si>
    <t>Em chọn vị trí Game QA Intern tại SUN.RISER vì em yêu thích lĩnh vực CNTT (Game) và muốn học hỏi quy trình QA thực tế. Em hứng thú với việc kiểm tra, phát hiện lỗi và góp phần cải thiện trải nghiệm người chơi trong môi trường làm việc chuyên nghiệp.</t>
  </si>
  <si>
    <t>Em hiểu vị trí Sun.Riser sẽ trực tiếp thực thi các loại kiểm thử (Functional, UI, Smoke, Regression), phát hiện và phối hợp báo cáo lỗi cũng như viết tài liệu test case cho các sản phẩm mobile. Với nền tảng kiến thức về Quản lý chất lượng và chứng chỉ "Bảy công cụ QC", em có khả năng phân tích sai lỗi hệ thống và rà soát tài liệu.</t>
  </si>
  <si>
    <t>Quản lý công nghiệp</t>
  </si>
  <si>
    <t>Em chưa ạ</t>
  </si>
  <si>
    <t>Em không có ạ</t>
  </si>
  <si>
    <t>beBee</t>
  </si>
  <si>
    <t>Em mong muốn được mang tư duy quản lý chất lượng và sự tỉ mỉ của mình để đồng hành cùng SUN.STUDIO trong việc tối ưu hóa sản phẩm. Với tinh thần trách nhiệm và thái độ cầu tiến , em sẽ cố gắng học hỏi nhanh chóng để đóng góp hiệu quả vào đội ngũ, hướng tới mục tiêu trở thành nhân viên chính thức và gắn bó lâu dài cùng sự phát triển của công ty.</t>
  </si>
  <si>
    <t>15brinq60mj8hs4fd15brinq0x0kclr7</t>
  </si>
  <si>
    <t>Nguyễn Thế Văn</t>
  </si>
  <si>
    <t>thevan3204@gmail.com</t>
  </si>
  <si>
    <t>+84797472852</t>
  </si>
  <si>
    <t>I’m motivated to apply for this position at SUN.RISER because of my strong interest in mobile games and my desire to work in data-driven marketing. I’m particularly drawn to how this role balances creativity in developing ad concepts with accuracy in analyzing performance metrics - aligns well with my strengths and the direction I want to grow in.</t>
  </si>
  <si>
    <t>I understand this role involves running and optimizing user acquisition campaigns through market research, creative testing, and data analysis. I’m a good fit because I have a strong interest in mobile games, and I’m motivated to continuously test, analyze, and improve—while also contributing ideas for creatives.</t>
  </si>
  <si>
    <t>Marketing Managment</t>
  </si>
  <si>
    <t>During my Brand Marketing internship at WinEco – Masan Group, I supported various activities related to market research, communication, and marketing plan execution. Specifically, I conducted regular research on pricing, competitor promotions, and consumer trends, while assisting in the implementation of ATL &amp; BTL activities, POSM development, and in-store communication according to daily, weekly, and monthly marketing plans.</t>
  </si>
  <si>
    <t>https://drive.google.com/file/d/1OcZIToHrIPmGvYsY6qflegwo0q5PFYI1/view?usp=sharing</t>
  </si>
  <si>
    <t>I have nothing to share further now.</t>
  </si>
  <si>
    <t>ezgy3dm4u4qcaz5pezgyylv0jhswcxsf</t>
  </si>
  <si>
    <t>Nguyễn Hữu Thiện</t>
  </si>
  <si>
    <t>huuthien180204@gmail.com</t>
  </si>
  <si>
    <t>+84979531499</t>
  </si>
  <si>
    <t>Điều khiều em chọn vị trí này chính là việc được tham gia vào quy trình phân tích dữ liệu Game thực tế. Ngoài ra, bản thân em cũng là người rất thích và đam mê game.</t>
  </si>
  <si>
    <t>Em nghĩ Data Analysis Intern thường sẽ làm các việc liên quan đến xử lý dữ liệu, phân tích và sau đó đưa ra các insights có ích cho doanh nghiệp. Em tự tin với khả năng tư duy logic và phân tích dữ liệu mà mình đã tích lũy được thông qua các project sẽ giúp em phù hợp với trí này.</t>
  </si>
  <si>
    <t>- Em có một dự án cá nhân về Phân tích chỉ số kinh doanh và Hành vi người dùng của game Autogun Heroes: Run and Gun. 
- Vai trò: Là người thực hiện dự án độc lập, chịu trách nhiệm toàn bộ quá trình từ khâu xử lý, mô hình hóa dữ liệu đến việc thiết kế Dashboard trên Power BI và phân tích hành vi người dùng.
- Kết quả:
+ Tối ưu Onboarding Funnel: Phát hiện "nút thắt" nghiêm trọng tại bước "Claim Reward", nơi xảy ra tỷ lệ rớt (drop-off) lên tới 58%, đề xuất kiểm tra UI/UX/Bug để tránh thất thoát người chơi mới.
+ Chiến lược giữ chân (Retention): Chỉ ra độ khó tại Stage 101 và 913 khiến tỷ lệ Churn vượt mốc 80%, làm cơ sở để team Game Design cân bằng lại độ khó.
+ Tối ưu doanh thu: Phân tích sự chênh lệch giữa Win Rate cao (93.8%) và Buyer Rate cực thấp (0.61%). Ứng dụng mô hình RFM để phân khúc 37.4K người chơi, từ đó khoanh vùng 9.4K user thuộc nhóm "At-Risk" để chạy các chiến dịch phù hợp nhằm cứu vãn doanh thu.</t>
  </si>
  <si>
    <t>https://github.com/thiennh1/autogun_heroes_analysis</t>
  </si>
  <si>
    <t>Với nền tảng kiến thức liên quan đến phân tích dữ liệu mà em đã có được thông qua việc học tập trên trường cũng như các dự án mà em đã thực hiện, em tự tin mình đã sẵn sàng để chuyển từ 'dữ liệu mẫu' sang 'dữ liệu thực'. Em rất mong có cơ hội gia nhập công ty trong vai trò Intern để được cọ xát với các bài toán vận hành game thực tế, qua đó đóng góp các góc nhìn phân tích mới và phát triển bản thân cùng sự lớn mạnh của công ty. Em hy vọng sẽ được đồng hành cùng các anh chị trong thời gian sắp tới.</t>
  </si>
  <si>
    <t>makp0qbfjvo95maybfriu4bprsalnqmd</t>
  </si>
  <si>
    <t>nguyenminhthuvcst@gmail.com</t>
  </si>
  <si>
    <t>+84849362717</t>
  </si>
  <si>
    <t>Em lựa chọn vị trí này vì yêu thích dòng game Casual/Puzzle và mong muốn được học hỏi cũng như tham gia vào quá trình thiết kế game thực tế. Em cũng cảm thấy định hướng của SUN.RISER rất phù hợp với mục tiêu phát triển của bản thân.</t>
  </si>
  <si>
    <t>Theo em, vị trí này sẽ tập trung vào việc phân tích và tối ưu trải nghiệm game Casual/Puzzle thông qua việc nghiên cứu đối thủ, thiết kế hệ thống, cân bằng level và hỗ trợ cải thiện khi phát hiện lỗi.
Em phù hợp vì có tư duy logic, yêu thích game Puzzle, thích phân tích gameplay và luôn chủ động học hỏi cũng như đóng góp tưởng cho sản phẩm</t>
  </si>
  <si>
    <t>Tin học quản lý</t>
  </si>
  <si>
    <t>Em phát triển game Match-3 theo phong cách Bejeweled bằng C# WinForms. Vai trò chính gồm xây dựng gameplay cơ bản như swap, kiểm tra match, tính điểm và quản lý lưới game. Thông qua dự án, em hiểu thêm về gameplay loop, logic hệ thống và trải nghiệm người chơi.</t>
  </si>
  <si>
    <t>https://github.com/nguyenminhthuvcst-eng/Bejeweled</t>
  </si>
  <si>
    <t>Em mong muốn được học hỏi và phát triển trong môi trường làm game thực tế tại SUN.STUDIO, đồng thời đóng góp vào việc tạo ra những trải nghiệm Casual/Puzzle hấp dẫn cho người chơi.</t>
  </si>
  <si>
    <t>v2ysf4s98xksagr25v2ysf5dfprw455l</t>
  </si>
  <si>
    <t>Em có đam mê và mong muốn được tham gia các dự án phát triển Game, hy vọng có thể tạo ra những sản phẩm thú vị.</t>
  </si>
  <si>
    <t>Dùng Unity Engine là nền tản chính tạo dựng thế giới trong game theo thiết kế của Game designer, quan trọng, tư duy logic, sự tỉ mĩ, kiên trì trước màn hình máy tính.</t>
  </si>
  <si>
    <t>HUIT - Trường Đại học Công Thương TP. Hồ Chí Minh</t>
  </si>
  <si>
    <t>Tốt nghiệp 1 năm</t>
  </si>
  <si>
    <t>Em từng tham gia thự tập về Game designer tại Gihot Studio.
Trong quá trình tham gia, em được giới thiệu về công việc game designer, các khái niệm lý thuyết. Được tham gia đánh giá sản phẩm đang phát triển của R&amp;D. Quan trọng hơn là các chia sẻ về Văn hóa, lịch sử của các thành viên đội cốt truyện, bug còn vướn trong dự án.
Bài tập chính được người hướng dẫn giao cho em là các bài nhỏ về phân tích event, tạo cơ chế mới, thiết kế nhân vật mới. Tuy kết quả "ổn" nhưng em vẫn thấy bản thân còn thiếu khá nhiều kinh nghiệm cần cả thiện thêm.</t>
  </si>
  <si>
    <t>Dự án cá nhân em còn khá sơ xài nên em xin phép không show ạ</t>
  </si>
  <si>
    <t>Chúc cho chương trình mình thành công mĩ mãng và SUN.STUDIO sẽ cho ra lò những sản phẩm làm mới thị trường Game Việt và vươn xa hơn là cả thị trường quốc tế ạ. Nếu được có tên trong đội ngủ sản xuất đó thì thật sự quá tuyệt với đối với em</t>
  </si>
  <si>
    <t>fy6nepkoh21ppu6zfy6nejzh0qssjwru</t>
  </si>
  <si>
    <t>Võ Duy Anh</t>
  </si>
  <si>
    <t>duyanh.vo2103@gmail.com</t>
  </si>
  <si>
    <t>+84705783596</t>
  </si>
  <si>
    <t>Em chọn vị trí AI Engineer Intern tại SUN.RISER vì muốn phát triển AI trong môi trường sản phẩm thực tế, đặc biệt là ngành game. Em hứng thú với cách SUN.STUDIO tập trung vào trải nghiệm người chơi, xây dựng sản phẩm accessible cho người dùng. Em mong muốn được học hỏi từ mentor, tham gia dự án thực tế, phát triển lâu dài trong Game Development.</t>
  </si>
  <si>
    <t>Em nghĩ vị trí AI Engineer Intern sẽ tham gia xây dựng và ứng dụng AI vào sản phẩm game, hỗ trợ xử lý dữ liệu, tối ưu trải nghiệm người chơi và cải thiện hiệu quả phát triển sản phẩm. Em phù hợp với vị trí này vì có nền tảng lập trình, tư duy logic, khả năng tự học nhanh và luôn chủ động tìm hiểu các công nghệ AI mới để áp dụng vào tế.</t>
  </si>
  <si>
    <t>Trong dự án xây dựng hệ thống dịch video Anh–Việt ứng dụng Machine Learning, em đảm nhiệm vai trò AI Engineer, tập trung vào nghiên cứu, tích hợp và tối ưu các mô hình AI cho toàn bộ pipeline xử lý video tự động. Hệ thống được thiết kế theo hướng end-to-end, bao gồm các tác vụ Speech-to-Text (ASR), Machine Translation, Text-to-Speech (TTS) và Lip-sync nhằm tạo ra video đầu ra có nội dung được dịch sang tiếng Việt với giọng nói tự nhiên và khẩu hình đồng bộ.
Công việc chính của em là nghiên cứu và benchmark nhiều mô hình AI khác nhau để lựa chọn giải pháp phù hợp cho từng bài toán. Ở giai đoạn ASR, em thử nghiệm các mô hình như Whisper và WhisperX để cải thiện độ chính xác nhận dạng giọng nói và khả năng timestamp alignment. Với bài toán dịch máy, em đánh giá các mô hình Gemini, GPT, MarianMT và M2M100 nhằm tối ưu chất lượng dịch theo ngữ cảnh thay vì chỉ dịch trực tiếp từng câu. Đối với TTS, em nghiên cứu và tích hợp các mô hình như ViTTS và XTTS để tạo giọng nói tiếng Việt tự nhiên, đồng thời giữ được ngữ điệu phù hợp với video gốc. Ở bài toán lip-sync, em tham gia đánh giá và tích hợp các mô hình như Wav2Lip và LatentSync nhằm cải thiện độ khớp giữa khẩu hình và audio sau dịch.
Ngoài việc nghiên cứu mô hình, em còn tham gia xây dựng AI inference pipeline cho hệ thống, xử lý luồng dữ liệu từ video input - speech extraction - translation - speech synthesis - lip synchronization - video rendering. Em hỗ trợ tối ưu quá trình inference và tích hợp mô hình trên môi trường cloud GPU, triển khai hệ thống trên AWS EC2/S3 nhằm đảm bảo khả năng xử lý video thực tế và dễ mở rộng. Bên cạnh đó, em cũng phối hợp với backend team để xây dựng API cho các AI services, chuẩn hóa input/output giữa các module và xử lý các vấn đề liên quan đến multimedia processing, asynchronous job execution và model integration.
Kết quả của dự án là xây dựng thành công một nền tảng web hoàn chỉnh cho phép dịch video từ tiếng Anh sang tiếng Việt với khả năng đồng bộ giọng nói và khẩu hình tự động. Hệ thống hoạt động ổn định trên dữ liệu thực tế, hỗ trợ nhiều tác vụ như video translation, speech-to-text, text translation, text-to-speech và lip-sync generation. Dự án giúp em có kinh nghiệm thực tế trong việc triển khai AI systems quy mô nhiều module, làm việc với deep learning models cho speech và computer vision, cũng như tối ưu và vận hành AI pipeline trong môi trường production-like.</t>
  </si>
  <si>
    <t>https://github.com/duyanhvo2103/MLVT</t>
  </si>
  <si>
    <t>Em rất mong có cơ hội được trở thành SUN.RISER tại SUN.STUDIO để được học hỏi và phát triển trong một môi trường làm game chuyên nghiệp, thực tế. Em đặc biệt ấn tượng với định hướng tạo ra các sản phẩm game dễ tiếp cận và mang lại trải nghiệm tốt cho người chơi, điều này cũng là động lực để em muốn đóng góp một phần công sức của mình.
Dù kinh nghiệm còn hạn chế, em luôn giữ tinh thần chủ động học hỏi, sẵn sàng tiếp nhận feedback và cải thiện bản thân mỗi ngày. Em tin rằng với sự hướng dẫn từ mentor và môi trường làm việc thực tế, em có thể tiến bộ nhanh và đóng góp giá trị cho team.
Em hy vọng không chỉ học được kỹ năng chuyên môn về AI và phát triển sản phẩm, mà còn rèn luyện được tư duy làm việc chuyên nghiệp, trách nhiệm và khả năng phối hợp trong team. Nếu có cơ hội, em sẽ cố gắng hết sức để không chỉ là một thực tập sinh, mà là một thành viên có thể tạo ra giá trị thực cho SUN.STUDIO.</t>
  </si>
  <si>
    <t>2h2trrtbpryw6h2h2tnokvazpyzgjwtn</t>
  </si>
  <si>
    <t>Nguyen Le Diem Ngoc</t>
  </si>
  <si>
    <t>nguyenlediemngoc213xt@gmail.com</t>
  </si>
  <si>
    <t>+84857726404</t>
  </si>
  <si>
    <t>Em lựa chọn vị trí Data Analysis Intern vì em hứng thú với việc sử dụng dữ liệu để phân tích hành vi người dùng và tìm ra insight hỗ trợ cải thiện sản phẩm cũng như tăng trưởng; cách dữ liệu có thể giúp đưa ra các quyết định chính xác hơn thay vì dựa trên cảm tính. Em mong muốn được học hỏi từ thực tế và phát triển lâu dài trong lĩnh vực này.</t>
  </si>
  <si>
    <t>Vị trí này sẽ hỗ trợ phân tích dữ liệu người dùng để tìm insight phục vụ cải thiện sản phẩm và tăng trưởng. Em phù hợp với vị trí này vì em có nền tảng về Excel, SQL, Power BI và từng thực hiện các dự án liên quan đến KPI, forecasting và trực quan hóa dữ liệu. Em thích tìm hiểu insight từ dữ liệu, có tư duy logic và học nhanh trong môi trường mới.</t>
  </si>
  <si>
    <t>Tôi đã phát triển game Kéo – Búa – Bao bằng C# WinForms với các chức năng xử lý logic trò chơi, tính điểm và giao diện người dùng cơ bản. Tham gia thiết kế giao diện, xử lý sự kiện và kiểm thử chức năng nhằm đảm bảo game hoạt động ổn định và dễ sử dụng.</t>
  </si>
  <si>
    <t>Em mong muốn được học hỏi và phát triển trong môi trường năng động như SUN.STUDIO, nơi em có thể vừa nâng cao kỹ năng phân tích dữ liệu vừa tham gia vào các sản phẩm thực tế có tác động đến người dùng. Em tin rằng với tinh thần chủ động, khả năng học nhanh và sự nghiêm túc trong công việc, em sẽ có thể đóng góp tích cực và phát triển lâu dài cùng công ty.</t>
  </si>
  <si>
    <t>t27jkx5yrgb8q9hbt27jkjmfyuy3pzy9</t>
  </si>
  <si>
    <t>Diệp Thái Phong</t>
  </si>
  <si>
    <t>diepthaiphong15@gmail.com</t>
  </si>
  <si>
    <t>+84988634825</t>
  </si>
  <si>
    <t>Em ấn tượng với việc SUN.STUDIO tiên phong dùng AI trong Game Design. Với kinh nghiệm dùng AI làm GDD/Wireframes, em muốn học hỏi về Product Analysis và tối ưu data quy mô lớn để đóng góp hiệu quả cho các dự án Casual/Puzzle của công ty.</t>
  </si>
  <si>
    <t>Vị trí tập trung vào phân tích sản phẩm, thiết kế Core Loop và UX/UI cho game Casual. Em phù hợp vì có tư duy logic hệ thống , đã tự xây dựng GDD và phác thảo Wireframes cho dự án Bus Jam. Khả năng ứng dụng AI linh hoạt  cũng giúp em tự tin thích nghi nhanh với quy trình của công ty.</t>
  </si>
  <si>
    <t>Lập Trình game</t>
  </si>
  <si>
    <t>Em đã có kinh nghiệm thực hiện các dự án Game Design và cọ xát qua bài test của doanh nghiệp:
Bài Test Chuyên môn Game Designer (Athena Studio):
Vai trò: Thực hiện bài test phân tích và thiết kế game theo yêu cầu thực tế của studio.
Kết quả: Bài làm được hội đồng chuyên môn đánh giá cao về tư duy logic, vượt qua vòng sơ tuyển để tiến vào vòng phỏng vấn trực tiếp.</t>
  </si>
  <si>
    <t>Dự án Bus Jam Concept (GDD &amp; Wireframes): https://docs.google.com/document/d/1Ied1DCXFsyG7hTeddeszGpOQfFSjTCZ89IJr5r_e99M/edit?tab=t.0. Dự án web (có áp dụng AI): https://workflowz-ruddy.vercel.app/dashboard.</t>
  </si>
  <si>
    <t>Là một người thích tự mày mò 'vibe code' và liên tục thử nghiệm các công cụ AI mới để tối ưu quy trình làm việc, em tin rằng SUN.STUDIO chính là môi trường lý tưởng nhất để em phát huy tinh thần chủ động này. Cảm ơn anh/chị ạ!</t>
  </si>
  <si>
    <t>e9ys59shkuhovt3slayze9ys599rq3tn</t>
  </si>
  <si>
    <t>Lâm Tấn Vũ</t>
  </si>
  <si>
    <t>vulamtan2005@gmail.com</t>
  </si>
  <si>
    <t>+84829334908</t>
  </si>
  <si>
    <t>Với em, Game Design là công việc biên tập trải nghiệm người chơi. Nền tảng Công nghệ đổi mới sáng tạo giúp em mạnh về phân tích hành vi, thiết kế workflow và định nghĩa game mechanics thay vì tập trung vào lập trình. Vị trí khớp với tư duy hệ thống và định hướng phát triển của em.</t>
  </si>
  <si>
    <t>Vị trí này đòi hỏi việc thiết kế luật chơi (core loop), viết GDD và phân tích dữ liệu. Em tự tin phù hợp nhờ nền tảng BA mạnh về thiết kế logic, vẽ workflow và sự tỉ mỉ của người thích biên tập vào trải nghiệm người dùng. Đặc biệt, việc ứng dụng AI giúp em tối ưu hóa hiệu suất nghiên cứu và sáng tạo đúng mục tiêu của SUN.RISER.</t>
  </si>
  <si>
    <t>Trong dự án DIGI (App E-learning tích hợp Gamification), em đảm nhận vai trò Product Lead tập trung vào System &amp; UX Design. Cụ thể, em chịu trách nhiệm xây dựng lộ trình bài học (tương đương Level Design) và thiết kế các cơ chế giữ chân người dùng (như hệ thống Streak, điểm thưởng. Em không trực tiếp vẽ UI nhưng đóng vai trò rà soát toàn bộ luồng trải nghiệm (User Flow), phát hiện các điểm "cấn" khi tương tác để cố vấn cho các bạn design trong team tối ưu hóa giao diện. Kết quả, team đã hoàn thiện hệ thống chi tiết và bản Prototype UI/UX.</t>
  </si>
  <si>
    <t>https://canva.link/tuy8d46mr7j8zwr</t>
  </si>
  <si>
    <t>Em rất ấn tượng với sứ mệnh tạo ra các trò chơi dễ tiếp cận của SUN.STUDIO. Với tâm hồn của một người thích biên tập trải nghiệm em thực sự mong muốn được đóng góp sự tỉ mỉ, logic của mình vào các sản phẩm triệu view của công ty. Cảm ơn anh/chị và chúc team một tuần làm việc thật hiệu quả!</t>
  </si>
  <si>
    <t>qeqg15j0u833xnmfxhepj9dh8qeqg155</t>
  </si>
  <si>
    <t>Lương Linh Khôi</t>
  </si>
  <si>
    <t>linhkhoiluong@gmail.com</t>
  </si>
  <si>
    <t>+84779130905</t>
  </si>
  <si>
    <t>I have loved playing and creating games since I was at the very young age. Being a part of a professional game studio will help me to gain more hands-on experience in developing more games that meet commercial standards. Besides, I want to connect with experienced professionals in game development field to share knowledge and grow together.</t>
  </si>
  <si>
    <t>This role involves developing game features in Unity Engine based on game design documents and collaborating with the team to deliver quality gameplay. I believe I am a good fit because I have been self-learning Unity, building practical skills, and have a strong growth mindset with the ability to quickly learn and adapt in game development.</t>
  </si>
  <si>
    <t>Pathfinding Visualizer: Led a team Unity project by implementing the UI and Tilemap-based maze system, while designing the pathfinding function template for team member implementation. Achieved a project score of 9/10.
Sky Hopper: Independently developed a Unity-based 2D arcade game, implementing UI systems and core gameplay features as part of an end-to-end personal game development project. Successfully designed and completed 7 fully playable levels.
Unity Essentials: Completed Unity Essentials Pathway with digital certificate, building a strong foundation in core Unity concepts and game development fundamentals.</t>
  </si>
  <si>
    <t>- Sky Hopper's GitHub Repository: https://github.com/linhkhoi1309/SkyHopper - Pathfinding Visualizer's GitHub Repository: https://github.com/linhkhoi1309/Pathfinding-Visualizer  - Pathfinding Visualizer's WebGL Build Demo: https://linhkhoi1309.github.io/Pathfinding-Visualizer/ - Unity Essentials's GitHub Repository: https://github.com/linhkhoi1309/Unity-Essentials - Unity Essentials's Unity Play Demo: https://play.unity.com/api/v1/games/game/4b377ac9-c7e4-4691-95b1-64f413d5ee15/build/latest/frame</t>
  </si>
  <si>
    <t>This is the first studio I have applied to for an internship, and I hope to have the chance to make it through and be part of your team.</t>
  </si>
  <si>
    <t>g98nvve1hq5zpug98n8thzy6ppyl6tnj</t>
  </si>
  <si>
    <t>Trương Quốc Cường</t>
  </si>
  <si>
    <t>cuongtr341@gmail.com</t>
  </si>
  <si>
    <t>+84962213194</t>
  </si>
  <si>
    <t>Đối với em game không chỉ là để chơi mà còn là để trải nghiệm, đắm chìm vào thế giới của tựa game, vào nhân vật, nên em đang tìm kiếm một cơ hội trở thành một game designer</t>
  </si>
  <si>
    <t>Em nghĩ ở vị trí này những thứ em cần làm sẽ là thiết kế một level màn chơi, thiết kế cơ chế game, cân bằng game, và thiết kế cốt truyện hoặc thế giới game.</t>
  </si>
  <si>
    <t>Ngôn Ngữ Anh</t>
  </si>
  <si>
    <t>em đã và đang phát triển một dự án game cá nhân, lấy chủ đề là chuyển đổi giữa 2 thế giới thật và thế giới gương để giải câu đố, người chơi sẽ vào vai một nhân vật tạm thời mất kí ức sau cú rơi vào thế giới gương, trong quá trình tìm kiếm cách để trở về thế giới thật của mình người chơi sẽ dần khám phá ra các kí ức đã mất của mình</t>
  </si>
  <si>
    <t>cuongtruong.me</t>
  </si>
  <si>
    <t>0t80hb39vtv7wpnq72d9w0t80hlqgizw</t>
  </si>
  <si>
    <t>Bùi Trọng Tín</t>
  </si>
  <si>
    <t>trbuitin0423@gmail.com</t>
  </si>
  <si>
    <t>+84934866294</t>
  </si>
  <si>
    <t>My background in MIS and my internship experience helped me realize that I enjoy identifying inconsistencies, reviewing workflows, and finding ways to improve operational efficiency in daily processes.
I believe my analytical thinking, attention to detail, and willingness to learn would allow me to contribute well and grow in this role.</t>
  </si>
  <si>
    <t>I believe this role focuses on testing features, identifying bugs, validating workflows, and helping maintain product quality.
I think I fit this position because I am detail-oriented, process-driven, and comfortable working with structured checklists and validation tasks. My internship experience also helped me develop quality-focus mindset.</t>
  </si>
  <si>
    <t>I do not have professional game industry experience yet, but I have been a long-time gamer and have always been curious about how game systems and user experiences work. I enjoy observing gameplay flows, features, and inconsistencies, which is one of the reasons I became interested in QA.</t>
  </si>
  <si>
    <t>https://zinc-duke-f6f.notion.site/Bui-Trong-Tin-Quality-Assurance-Intern-3596216b16a08060b368cb3d4b5ecefc</t>
  </si>
  <si>
    <t>Đã hoàn thành chương trình học và trong trạng thái chờ bằng - có thể làm việc full-time cả tuần.</t>
  </si>
  <si>
    <t>Thank you for considering my application. I would really appreciate the opportunity to discuss my background and motivation further, and learn more about the role and team at Sun.Riser.</t>
  </si>
  <si>
    <t>rxi56jx9qyrc28h9pdrxi56jj3izcom1</t>
  </si>
  <si>
    <t>LAM MAI HUONG GIANG</t>
  </si>
  <si>
    <t>huonggiang03012004@gmail.com</t>
  </si>
  <si>
    <t>+84852367703</t>
  </si>
  <si>
    <t>I chose SUN.RISER because I want to grow in Game Design through real production experience. I enjoy analyzing gameplay systems, progression, and player experience, especially in Casual/Puzzle games. I also want to improve my design thinking by learning from a professional team.</t>
  </si>
  <si>
    <t>I think this role involves designing gameplay systems, improving player experience, and learning through testing and iteration.
I believe I’m a good fit because I enjoy gameplay design and have experience with level design, UI/UX, and player-focused thinking through my projects.</t>
  </si>
  <si>
    <t>Thiết kế Mỹ Thuật Số: Chuyên ngành Game - Hoạt hình 2D</t>
  </si>
  <si>
    <t>I have worked on several game projects involving gameplay design, level design, UI/UX, and player experience. In “REGROVER HILL,” I focused on puzzle progression, level flow, and gameplay systems. In “MIRACLE,” I worked on combat gameplay, UI/UX, feedback systems, and progression features. I also have internship experience using AI tools to support design workflows and content production.</t>
  </si>
  <si>
    <t>https://drive.google.com/drive/folders/1O5bIMCC0c7aHigyYKqG1XBsu0-Xcvuz4?usp=sharing</t>
  </si>
  <si>
    <t>I really hope to have the opportunity to work and grow with SUN.STUDIO through the SUN.RISER program. I’m still improving as a Game Designer, but I genuinely enjoy gameplay and player experience, and I would love the chance to learn more through a real game development environment.</t>
  </si>
  <si>
    <t>0ul2xxcfuooood8eagwft0ul2xxcfmnx</t>
  </si>
  <si>
    <t>Nguyễn Nhật Huy</t>
  </si>
  <si>
    <t>nguyennhathuy21112005@gmail.com</t>
  </si>
  <si>
    <t>+84818953935</t>
  </si>
  <si>
    <t>Em mong muốn tham gia học hỏi, trau dồi kĩ năng và kiến thức</t>
  </si>
  <si>
    <t>Vị trí này sẽ tham gia vào phát triển các dự án game trong thực tế, em có tinh thần ham học hỏi, có niềm đam mê với thể loại game mobile</t>
  </si>
  <si>
    <t>Đây là dự án cá nhân nên em đóng vai trò chính, một mình hoàn thành tất cả các giai đoạn phát triển của dự án. Sau khi hoàn thành dự án em có thêm được những kiến thức cũng như những kinh nghiệm quý báu được rút ra từ dự án cá nhân đấy</t>
  </si>
  <si>
    <t>https://www.youtube.com/watch?v=kTPI4lNVEdU</t>
  </si>
  <si>
    <t>Em hi vọng có thể tham gia chương trình thực tập bên mình và đồng hành cùng công ty trong lĩnh vực game, chúc công ty thành công hơn nữa trong thị trường game. Cảm ơn nhiều ạ</t>
  </si>
  <si>
    <t>lxt0blc1mu6b8iz3iarqdlxt0h206tsx</t>
  </si>
  <si>
    <t>Huỳnh Ngọc Anh Thư</t>
  </si>
  <si>
    <t>thu.2374802010492@vanlanguni.vn</t>
  </si>
  <si>
    <t>+84847457689</t>
  </si>
  <si>
    <t>Điều khiến em chọn SUN.RISER là vì đây là nơi AI phải hoạt động thật trong tổ chức thật, với Product, HR, Marketing không phải chỉ research. 
Khi làm DentAI, em nhận ra phần khó nhất không phải train model, mà là làm output đúng format, đủ tin cậy để người không kỹ thuật dùng được. Đó chính xác là bài toán SUN.RISER đang giải.</t>
  </si>
  <si>
    <t>Vị trí này yêu cầu phân tích quy trình của các team, thiết kế prompt và AI pipeline tự động hóa các bước thủ công, rồi viết SOP để người không kỹ thuật vận hành được. Em đã làm đúng vòng lặp này với DentAI từ pipeline design, structured output, đến Streamlit app cho bác sĩ không biết ML. Em tự tin apply trực tiếp vào công việc thật tại SUN.Studio</t>
  </si>
  <si>
    <t>8.375</t>
  </si>
  <si>
    <t>Em đã thực hiện nhiều dự án AI cá nhân và tham gia các cuộc thi/hackathon liên quan đến AI Engineering, LLM và workflow automation.
Dự án nổi bật nhất là DentAI – hệ thống AI hỗ trợ chẩn đoán X-quang răng, trong đó em xây dựng pipeline gồm Computer Vision (YOLOv11), RAG và LLM (Qwen2 fine-tuning bằng QLoRA). Em phụ trách toàn bộ quá trình từ xử lý dữ liệu, thiết kế prompt, xây dựng workflow AI nhiều bước đến triển khai giao diện Streamlit. Dự án đạt giải “Most Popular Project” tại VLU MedTech 2025 và vào bán kết Naver Vietnam AI Hackathon 2025.
Ngoài ra, em còn xây dựng MathMate – trợ lý AI giải toán với pipeline OCR → LLM → SymPy → xuất lời giải từng bước. Qua các dự án này, em có kinh nghiệm làm việc với prompt engineering, structured output, API integration và thiết kế AI workflow phục vụ người dùng thực tế.</t>
  </si>
  <si>
    <t>https://github.com/hnathuw</t>
  </si>
  <si>
    <t>Em rất mong có cơ hội được tham gia SUN.RISER vì em thật sự hứng thú với hướng ứng dụng AI để tối ưu workflow và xây dựng các hệ thống automation thực tế. Điều em thích ở SUN.STUDIO là cách công ty nhìn AI như một công cụ giúp đội ngũ làm việc hiệu quả hơn, thay vì chỉ dừng ở việc nghiên cứu mô hình.
Em biết mình vẫn còn là sinh viên và còn nhiều điều cần học, nhưng em tự tin ở khả năng tự học nhanh, chủ động nghiên cứu và sẵn sàng thử những công nghệ mới. Em cũng thích môi trường có tư duy sản phẩm, làm việc thực tế và liên tục cải tiến quy trình như SUN.STUDIO.
Nếu có cơ hội đồng hành cùng team, em mong có thể vừa đóng góp được vào các AI workflows thực tế, vừa học hỏi thêm về cách xây dựng các hệ thống AI có thể scale và phục vụ nhiều người dùng trong môi trường production.</t>
  </si>
  <si>
    <t>wqw3fttr6lkzhuxjmz396bwqw3fttrm9</t>
  </si>
  <si>
    <t>Hoàng Văn Minh</t>
  </si>
  <si>
    <t>minh.2374802010309@vanlanguni.vn</t>
  </si>
  <si>
    <t>+84898261388</t>
  </si>
  <si>
    <t>Mình chọn SUN.RISER vì muốn được học và tham gia trực tiếp vào quá trình xây dựng AI workflows, automation và các công cụ AI ứng dụng thực tế. Mình hứng thú với Prompt Engineering, AI Pipelines và mong muốn phát triển kỹ năng thông qua môi trường teamwork, sản phẩm thật và mentor giàu kinh nghiệm tại SUN.STUDIO.</t>
  </si>
  <si>
    <t>Mình nghĩ vị trí này sẽ tập trung vào xây dựng AI workflows, automation, prompt engineering và hỗ trợ tích hợp AI vào quy trình thực tế. Mình phù hợp vì đã có trải nghiệm làm project dùng LLM, RAG, structured JSON output và phối hợp nhóm trong các sản phẩm AI thực tế.</t>
  </si>
  <si>
    <t>7.225</t>
  </si>
  <si>
    <t>Em từng tham gia nhiều dự án và cuộc thi liên quan AI/LLM. Trong dự án DentAI v2, em tham gia xây dựng pipeline AI gồm RAG, Prompt Engineering và tích hợp LLM với hệ thống xử lý ảnh X-quang. Ngoài ra em từng hỗ trợ technical workflow và tích hợp AI API cho một dự án đạt Giải Nhì tại VLU MedTech 2025. Em cũng phát triển MathMate – trợ lý giải toán dùng OCR + LLM + Flask/Gradio với luồng xử lý nhiều bước và structured output.</t>
  </si>
  <si>
    <t>github.com/VanMinh815</t>
  </si>
  <si>
    <t>Em mong được học hỏi trong môi trường nơi AI không chỉ dừng ở ý tưởng mà được áp dụng vào quy trình thực tế để tạo ra sản phẩm có tác động rõ ràng. Em đặc biệt hứng thú với hướng AI automation, prompt engineering và agent workflows mà SUN.RISER đang theo đuổi, và hy vọng có thể đóng góp lâu dài cùng team.</t>
  </si>
  <si>
    <t>2c5dnj55ugrys6les2c5dnadt8kh21nq</t>
  </si>
  <si>
    <t>Nhơn Minh Kiệt</t>
  </si>
  <si>
    <t>kynenhon@gmail.com</t>
  </si>
  <si>
    <t>+84764440624</t>
  </si>
  <si>
    <t>Mình ứng tuyển vị trí Game Designer Intern tại SUN.RISER vì muốn nghiêm túc theo đuổi ngành game, lĩnh vực mình luôn đam mê. Dù xuất phát điểm là Graphic Designer chuyển ngành và vẫn còn là một fresher, mình luôn sẵn sàng học hỏi, thử thách bản thân và bắt đầu lại từ đầu. Hy vọng SUN.RISER có thể cho mình cơ hội được học hỏi và phát triển cùng team</t>
  </si>
  <si>
    <t>Mình nghĩ vị trí này sẽ tham gia xây dựng gameplay, trải nghiệm người chơi và phát triển ý tưởng cho game. Với nền tảng Graphic Design cùng đam mê game lâu năm, mình tin khả năng thẩm mỹ, tư duy sáng tạo và tinh thần học hỏi sẽ giúp mình phù hợp và phát triển tốt ở vị trí này.</t>
  </si>
  <si>
    <t>Tốt nghiệp được 4 năm</t>
  </si>
  <si>
    <t>https://kimberlynhon.framer.website/?fbclid=IwdGRleARpp99jbGNrBAtZQ2V4dG4DYWVtAjExAHNydGMGYXBwX2lkEDIyMjAzOTE3ODgyMDA4OTIAAR58a50QfNv2z5FglEOiepl7s0UFTalwD5rLl4JCvnKM0YLtPs5PpVz5YHDX2A_aem_IKT4azipqaxWMCT6TzMAqA&amp;utm_source=ig&amp;utm_medium=social&amp;utm_content=link_in_bio</t>
  </si>
  <si>
    <t>Cảm ơn vì đã xem qua những thông tin mình đã gửi. Dù kết quả như thế nào mình cũng rất trân trọng các giá trị mà SUN.STUDIO đã dành tâm huyết cho cộng đồng game Việt cũng như những ai đam mê game.</t>
  </si>
  <si>
    <t>o5haht1w4z6hp0dp7ao5hahtvr15s2r1</t>
  </si>
  <si>
    <t>Nguyễn Phước Thành Tâm</t>
  </si>
  <si>
    <t>npthanhtam2012@gmail.com</t>
  </si>
  <si>
    <t>+84905272537</t>
  </si>
  <si>
    <t>Tôi chọn vị trí AI Engineer Intern vì muốn có cơ hội tiếp cận thực tế việc ứng dụng AI trong doanh nghiệp, đặc biệt trong môi trường phát triển game. Tôi xem đây là cơ hội để học hỏi, hiểu rõ hơn về quy trình làm việc và định hướng bản thân trong lĩnh vực này.</t>
  </si>
  <si>
    <t>Theo tôi, vị trí này sẽ hỗ trợ áp dụng AI vào các công việc như xử lý dữ liệu, tối ưu quy trình hoặc cải thiện chất lượng sản phẩm. Dù nền tảng của tôi còn đang trong quá trình hoàn thiện, tôi có tư duy logic, tinh thần học hỏi và sẵn sàng tiếp thu nhanh để đáp ứng yêu cầu công việc.</t>
  </si>
  <si>
    <t>Year 5</t>
  </si>
  <si>
    <t>IoT và trí tuệ nhân tạo ứng dụng</t>
  </si>
  <si>
    <t>6.8</t>
  </si>
  <si>
    <t>https://github.com/ThTam-20/HeartRateApp</t>
  </si>
  <si>
    <t>Em mong muốn được học hỏi và phát triển trong môi trường làm game chuyên nghiệp tại SUN.STUDIO. Em có khả năng tự học, chủ động tìm hiểu tài liệu kỹ thuật và kiên trì hoàn thiện giải pháp khi gặp vấn đề. Dù kinh nghiệm thực tế của em còn hạn chế và em vẫn cần học hỏi thêm về quy trình phát triển game trong doanh nghiệp, em luôn sẵn sàng tiếp thu phản hồi và nỗ lực để nhanh chóng thích nghi với đội ngũ. Em hy vọng có cơ hội được tham gia vào các dự án thực tế, tích lũy thêm kinh nghiệm và đóng góp tốt nhất trong khả năng của mình.</t>
  </si>
  <si>
    <t>p427k3xwgjdp9ze9dmsp427k3xwlnp24</t>
  </si>
  <si>
    <t>Nguyễn Bùi Quang</t>
  </si>
  <si>
    <t>qbnguyen0718@gmail.com</t>
  </si>
  <si>
    <t>+84394111920</t>
  </si>
  <si>
    <t>Beyond gaining hands-on experience, I choose this position to understand the real-world development workflows behind a leading game studio. I am deeply curious about how your team creates, optimizes, and scales complex games and software products. This internship is an ideal opportunity for me to hone my technical skills.</t>
  </si>
  <si>
    <t>I believe this role involves crafting engaging player experience from balancing core gameplay mechanics and systems to designing compelling narratives and world-building. I am a strong fit because I bridge creative storytelling with technical logic combined with my solid Computer Science background</t>
  </si>
  <si>
    <t>Mạng xã hội, Trường đại học, Ứng tuyển qua Chương trình Thực tập hè của Nhà trường (như HCMUS, HCMUT)</t>
  </si>
  <si>
    <t>uvewskdrrvrgpqzg7fyxauvewskgwh10</t>
  </si>
  <si>
    <t>Phạm Thị Thùy Dương</t>
  </si>
  <si>
    <t>duongpham246.work@gmail.com</t>
  </si>
  <si>
    <t>+84708197069</t>
  </si>
  <si>
    <t>Vì em đã tìm hiểu về lĩnh vực UA marketing, em mong muốn thực hiện hóa các kiến thức mình học vào công việc thực tế</t>
  </si>
  <si>
    <t>Theo em, vị trí Game UA Intern là cầu nối giữa các ứng dụng và đối tượng khách hàng mục tiêu, với các nhiệm vụ chủ yếu là tập trung vào tối ưu hóa phễu người dùng qua A/B Testing và ASO, và em tự tin phù hợp nhờ tư duy Data-driven cùng khả năng nghiên cứu độc lập để tạo ra những chiến dịch UA hiệu quả cho SUN.RISER.</t>
  </si>
  <si>
    <t>Em chưa có kinh nghiệm thực tiễn về game, tuy nhiên em đã tự bổ sung kiến thức của mình bằng các khóa học bên ngoài và thử sức cho case study giả định như trong CV</t>
  </si>
  <si>
    <t>https://docs.google.com/document/d/1tn2TJgm4K2PuXq9YhMncYHqmNBdw-KRQvZFuMIR3QMw/edit?pli=1&amp;tab=t.1g2miupzpmmp</t>
  </si>
  <si>
    <t>Dạ tạm thời không ạ</t>
  </si>
  <si>
    <t>4w72vzpv15bfnoqvmmq4w72vqsa0ldkx</t>
  </si>
  <si>
    <t>Nguyen1608thien@gmail.com</t>
  </si>
  <si>
    <t>Em đam mê phát triển game và muốn học hỏi thêm về gameplay design cũng như quy trình làm game chuyên nghiệp. Em nghĩ SUN.RISER là môi trường phù hợp để em phát triển kỹ năng và tích lũy kinh nghiệm thực tế.</t>
  </si>
  <si>
    <t>Em nghĩ vị trí này sẽ tham gia thiết kế gameplay và phát triển game bằng Unity. Em phù hợp vì em đã có kinh nghiệm làm game với Unity và xây dựng gameplay systems qua các dự án cá nhân và học tập.</t>
  </si>
  <si>
    <t>CNTT( Game Developer )</t>
  </si>
  <si>
    <t>Tại Nekotech, em từng làm Game User Tester với công việc kiểm thử gameplay, tìm lỗi và đưa ra feedback để cải thiện trải nghiệm người chơi.
Trong dự án Game Verse 2025 – Xoul’s Era, em đảm nhận vai trò Game Designer và Unity Developer, tham gia thiết kế gameplay systems và phát triển các tính năng bằng Unity cho prototype của dự án. Link: https://vnexpress.net/cong-nghe/vgv-2025/du-an/xoul-s-era-239</t>
  </si>
  <si>
    <t>Em rất mong có cơ hội được học hỏi, phát triển kỹ năng và đóng góp cho các dự án game tại SUN.STUDIO. Em sẽ luôn cố gắng hoàn thành tốt công việc và cải thiện bản thân trong quá trình làm việc. Chúc quý công ty có một ngày làm việc hiệu quả ạ !!</t>
  </si>
  <si>
    <t>yae36rgif55pm0eydyae36r9nt2gb07q</t>
  </si>
  <si>
    <t>Trần Ngọc Nhi</t>
  </si>
  <si>
    <t>tnnhi01035@gmail.com</t>
  </si>
  <si>
    <t>+84942981375</t>
  </si>
  <si>
    <t>Em chọn vị trí này vì đây là công việc phù hợp nhất với điểm mạnh và sở thích của em. Em thích phân tích, quan sát và thường xuyên đặt câu hỏi về lý do đằng sau một vấn đề nào đó và em cũng mong muốn được học hỏi và cải thiện nhiều hơn về tư duy phân tích, cách giải quyết vấn đề và cách dữ liệu có thể hỗ trợ đưa ra quyết định trong thực tế</t>
  </si>
  <si>
    <t>Em nghĩ vị trí này sẽ tập trung vào việc phân tích dữ liệu người chơi để tìm ra insight, hỗ trợ cải thiện trải nghiệm game và giúp team đưa ra quyết định tốt hơn. Công việc này cần tư duy phân tích, và liên tục đặt câu hỏi từ dữ liệu nên em nghĩ mình phù hợp vì em thích phân tích, tò mò để tìm kiếm nguyên nhân phía sau các vấn đề</t>
  </si>
  <si>
    <t>Em có làm Snake Game (đính kèm trong CV) cho môn DSA. Đây là dự án cá nhân, em dùng Java để mở rộng trò chơi Snake Game cổ điển, trong đó em xây dựng các gameplay systems chính như di chuyển của rắn, collision detection, obstacle generation, enemy behavior, new special food và score management. Dự án được hoàn thành với nhiều gameplay features và được xếp trong nhóm project có điểm cao nhất của môn học</t>
  </si>
  <si>
    <t>https://github.com/nhitr135/SnakeGame</t>
  </si>
  <si>
    <t>Em là một người đã gắn bó với game từ nhỏ và đến hiện tại vẫn thường chơi game để giải trí (Clash of Clans, Subway Surfers,..). Em không chỉ thích chơi để giải trí mà còn thích quan sát cách game giữ chân người chơi, tạo trải nghiệm và xây dựng các hệ thống gameplay. Điều đó cũng khiến em hứng thú hơn với việc phân tích dữ liệu và hành vi người chơi trong game. Em hy vọng sẽ có cơ hội được học hỏi và đóng góp trong môi trường của SUN.STUDIO</t>
  </si>
  <si>
    <t>8ens2ry6uun28e116mc6nh0j6fy9116i</t>
  </si>
  <si>
    <t>Nguyễn Thị Khánh Ly</t>
  </si>
  <si>
    <t>khanhly2852005@gmail.com</t>
  </si>
  <si>
    <t>+84911616518</t>
  </si>
  <si>
    <t>What motivates me to choose this position is that it matches both my background and my career goals. I am studying in Data Science, and I want to develop my skills in data analysis and problem-solving in a real working environment.</t>
  </si>
  <si>
    <t>From my perspective, this role involves analyzing data, supporting business decisions, and working with different tools to generate useful insights. 
I believe I am a good fit because of my acedemic background and my strong analytical and technical skills with programming languages such as Python, SQL, Power BI,...</t>
  </si>
  <si>
    <t>https://github.com/klee528/Recommendation_System</t>
  </si>
  <si>
    <t>uw86grbl1hq7s9myat0uw86ght922r5f</t>
  </si>
  <si>
    <t>Hà Ngọc Tuyết Như</t>
  </si>
  <si>
    <t>yuki16072004@gmail.com</t>
  </si>
  <si>
    <t>+84867926064</t>
  </si>
  <si>
    <t>Em chọn vị trí thực tập tại SUN.RISER vì nhận ra mình có niềm đam mê rất lớn với việc tối ưu hóa giao diện nơi em có thể chuyển hóa những tư duy thiết kế, nền tảng từ quá trình học hỏi thành những sản phẩm công nghệ mang lại giá trị thật .</t>
  </si>
  <si>
    <t>Theo góc nhìn của em, vị trí Thực tập sinh Design mảng Game sẽ tập trung rất nhiều vào việc tối ưu hóa trải nghiệm người chơi.Em tin mình là một ứng viên sáng giá cho vị trí này nhờ sự kết hợp giữa tư duy thiết kế hệ thống và sự thấu hiểu tâm lý người chơi và tin thần ham học hỏi của bản thân .</t>
  </si>
  <si>
    <t>TDMU- Đại Học Thủ Dầu Một</t>
  </si>
  <si>
    <t>Nthiết kế UI/UX đến phát triển ứng, trực tiếp đảm nhiệm toàn bộ quy trình từ nghiên cứu trải nghiệm, em đã lên ý tưởng wireframe, thiết kế luồng người dùng. Hoàn thiện toàn bộ bản thiết kế UI/UX .</t>
  </si>
  <si>
    <t>https://github.com/Tuyetnhu1607</t>
  </si>
  <si>
    <t>Trường đại học, TopCV, Mạng xã hội</t>
  </si>
  <si>
    <t>Hy vọng rằng hồ sơ của em sẽ phù hợp với những gì studio đang tìm kiếm, và em có cơ hội được đồng hành, phát triển cùng mọi người trong thời gian tới, em mong muốn được học hỏi thêm để có thể phát triển bản thân và đáp ứng được sự kỳ vọng của quý công ty</t>
  </si>
  <si>
    <t>fatilkfnfc258cb70fl7ifatimwk0hnt</t>
  </si>
  <si>
    <t>Trần Xuân Mai</t>
  </si>
  <si>
    <t>txmai.935@gmail.com</t>
  </si>
  <si>
    <t>+84846112731</t>
  </si>
  <si>
    <t>Em lựa chọn vị trí Game User Acquisition Intern tại SUN.RISER đầu tiên là vì em khá hứng thú cũng như muốn thử sức trong lĩnh vực game, đây cũng là cơ hội để em phát triển trong lĩnh vực marketing và user growth mà em quan tâm, đặc biệt là kết hợp giữa nghiên cứu người dùng, triển khai chiến dịch và phân tích hiệu quả truyền thông.</t>
  </si>
  <si>
    <t>Theo em, vị trí này sẽ tập trung vào việc nghiên cứu thị trường, phân tích hành vi người chơi và triển khai các chiến dịch nhằm thu hút người dùng mới cho game. Em nghĩ em phù hợp với vị trí này vì đã có kinh nghiệm về market research, user-centric design và social media thông qua các dự án trước đây.</t>
  </si>
  <si>
    <t>Technology and Innovation</t>
  </si>
  <si>
    <t>8.41</t>
  </si>
  <si>
    <t>Em từng thực hiện một dự án VR game mô phỏng trải nghiệm pha chế cà phê, trong đó em phụ trách research người dùng, testing trải nghiệm và đóng góp ý tưởng cải thiện tính năng, đồng thời quản lý và điều phối công việc của cả nhóm. Dự án đạt điểm 10 và nhận được phản hồi tích cực về trải nghiệm tổng thể, tuy nhiên giảng viên cũng đưa ra một số góp ý về thao tác điều khiển cần được tối ưu thêm.</t>
  </si>
  <si>
    <t>https://drive.google.com/drive/folders/1r5xZsyh7o89BOx_SQ-O7HJ7wXgt1EIiB?usp=drive_link</t>
  </si>
  <si>
    <t>Em mong muốn có cơ hội được học hỏi và phát triển thực tế trong môi trường game năng động tại SUN.STUDIO. Em sẵn sàng chủ động học hỏi, thử nghiệm và đóng góp hết mình để tạo ra những chiến dịch hiệu quả cho sản phẩm game của công ty.</t>
  </si>
  <si>
    <t>94grfyokfs4k6lu94grf8vb34e6t3q7n</t>
  </si>
  <si>
    <t>Võ Thị Đông Nghi</t>
  </si>
  <si>
    <t>contact.nghivo@gmail.com</t>
  </si>
  <si>
    <t>+84916913866</t>
  </si>
  <si>
    <t>I learned about SUN.STUDIO through information shared by Assoc. Prof., Ph.D. Chau. After conducting thorought research (LinkedIn, Website, Facebook...) SUN.STUDIO has become my top choice. The SUN.RISER program is a perfect oppoturnity for the DA position, which has motivated me to prepare thoroughly and commit fully to this application.</t>
  </si>
  <si>
    <t>This role requires querying data from BigQuery, building pipelines, and developing Tableau dashboards to track DAU, retention rate, and ARPU.
I am suitable candidate. I've completed projects involving data visualization, learned SQL and related knowledge such as ML, Data Mining, and EDA. I am eager to learn, quickly adapt to new environment.</t>
  </si>
  <si>
    <t>7,54</t>
  </si>
  <si>
    <t>I have completed several independent projects focused on data analysis and engineering. I built CineB, a cinema analytics dashboard using SQL Server and React, writing advanced T-SQL queries including window functions and CTEs to surface revenue trends, seat utilization, and customer metrics from raw transactional data. I also developed a Tokyo house price prediction model - handling a 100+ feature dataset with 3.5M records, covering data cleaning, feature engineering, and regression modeling end-to-end, and ranked 1st in my class competition. Additionally, I contributed to a university workshop on AI in economics, supporting the financial ratio analysis section using 20 years of real market data.</t>
  </si>
  <si>
    <t>https://github.com/NghinnDahlias/CineB-</t>
  </si>
  <si>
    <t>I'm passionate about data analysis and excited to grow alongside SUN.STUDIO. I appreciate the opportunity and look forward to making a positive impact through my work and continuous learning. I'm committed to quickly mastering the tools and technologies required for this role, and I'm eager to contribute meaningfully to team's success. I believe my dedication to learning and problem-solving will add value to your data analytics initiatives.</t>
  </si>
  <si>
    <t>wrbahc6s7wf0d8aftnlq1uwrba2m1erb</t>
  </si>
  <si>
    <t>Em lựa chọn vị trí Data Analyst Intern tại SUN.RISER vì em mong muốn được phát triển kỹ năng phân tích dữ liệu trong một môi trường chuyên nghiệp, năng động và có cơ hội học hỏi thực tế.</t>
  </si>
  <si>
    <t>Theo em, vị trí Data Analyst Intern sẽ bao gồm việc thu thập, làm sạch, phân tích dữ liệu và hỗ trợ tạo báo cáo để giúp doanh nghiệp đưa ra quyết định hiệu quả hơn. Ngoài ra, vị trí này cũng cần khả năng tư duy logic, sử dụng các công cụ như SQL, Excel hoặc Python để xử lý dữ liệu và tìm ra insight có giá trị.</t>
  </si>
  <si>
    <t>Hiện tại em đang là giảng viên tại MindX Technology School, em đang phụ trách giảng dạy các môn liên quan đến lập trình game như Scratch, GameMaker cho các bạn học sinh từ 10-16 tuổi. Nhiệm vụ của em là truyền đạt kiến thức và hướng dẫn các bạn thực hiện các dự án game sử dụng các công cụ trên.</t>
  </si>
  <si>
    <t>https://drive.google.com/drive/u/0/folders/1Y9wZr6rhNTPaUDrkm4xvv4Ipx8Rt0BT7</t>
  </si>
  <si>
    <t>Em rất mong có cơ hội được học hỏi và phát triển tại SUN.STUDIO. Dù chưa có nhiều kinh nghiệm thực tế nhưng em luôn sẵn sàng chủ động tìm hiểu kiến thức mới, có tinh thần trách nhiệm và sẵn sàng tiếp thu feedback để cải thiện bản thân. Em hy vọng có thể đóng góp giá trị cho team cũng như tích lũy thêm kinh nghiệm thực tế trong lĩnh vực Data Analyst. Em xin chân thành cảm ơn SUN.STUDIO đã dành thời gian xem xét hồ sơ của em.</t>
  </si>
  <si>
    <t>591v7m1ax3u1vgtlh591v79fguer5xqr</t>
  </si>
  <si>
    <t>LÊ HIẾU NGÂN</t>
  </si>
  <si>
    <t>lehieungan1904@gmail.com</t>
  </si>
  <si>
    <t>+84364817555</t>
  </si>
  <si>
    <t>I chose the Data Analysis Intern position at SUN.RISER because I enjoy working with data to solve problems and generate meaningful insights. I’m interested in how data can improve user experience and support business decisions, especially in the gaming industry.</t>
  </si>
  <si>
    <t>I think this role focuses on analyzing data to generate insights that support product and business decisions.
I’m a good fit because I have an analytical mindset, experience with data analysis and dashboards, and I learn quickly in fast-paced environments.</t>
  </si>
  <si>
    <t>8.65</t>
  </si>
  <si>
    <t>As a Commercial Data Analyst Intern at Hello Health Group, I was responsible for collecting, validating, and analyzing financial and operational data to ensure accurate reporting.
I also supported building dashboards to track sales performance and assist decision-making.
Through this role, I helped improve data accuracy and made reporting more consistent and easier to use for the team.</t>
  </si>
  <si>
    <t>egbb4kbpfabq6labsdo4egbbo4pbrg0v</t>
  </si>
  <si>
    <t>I’m motivated by the chance to improve game quality and player experience. With my Game Design background, I’m used to testing builds, spotting gameplay issues, and giving structured feedback. I believe SUN.RISER is the right environment for me to learn professional QA while contributing with my design mindset.</t>
  </si>
  <si>
    <t>I understand this role involves testing builds, finding, reproducing bugs, writing reports, and working with the team to improve game quality and player experience. I believe I’m a good fit because my Game Design background trained me to analyze gameplay, spot issues, and give structured feedback. I’m detail-oriented, patient, and improving product</t>
  </si>
  <si>
    <t>In university projects, I worked mainly as a Game Designer, focusing on gameplay design, level balancing, playtesting, and documentation. I also collaborated closely with programmers and artists during development. The projects resulted in playable Unity prototypes, successful academic evaluations, and hands-on experience in testing, feedback, and teamwork.</t>
  </si>
  <si>
    <t>lmquang.uwu.ai - https://shumoyed.itch.io/</t>
  </si>
  <si>
    <t>Thank you for considering my application. As a fresh graduate, I’m eager to learn, grow, and contribute in a professional game development environment. I believe my passion for games, attention to detail, and willingness to improve would allow me to add value to SUN.STUDIO.</t>
  </si>
  <si>
    <t>a7hpjdqbr2uguk72fukla7hpj9n572js</t>
  </si>
  <si>
    <t>Nguyễn Thị Ngọc Hân</t>
  </si>
  <si>
    <t>nguyentngochan1612@gmail.com</t>
  </si>
  <si>
    <t>+84915046248</t>
  </si>
  <si>
    <t>Tôi chọn vị trí này tại SUN.RISER vì đây là cơ hội để tôi áp dụng kiến thức kiểm thử phần mềm vào môi trường phát triển game thực tế. Tôi muốn đóng góp vào điều đó. Bên cạnh đó, tôi mong muốn được học hỏi quy trình QA chuyên nghiệp từ đội ngũ có kinh nghiệm</t>
  </si>
  <si>
    <t>Tôi hiểu rằng vị trí này bao gồm việc kiểm thử các tính năng game, phát hiện và báo cáo lỗi, viết test case, và phối hợp với nhóm Dev để nâng cao chất lượng sản phẩm. Công việc này đòi hỏi sự tỉ mỉ và khả năng nhìn nhận sản phẩm từ góc độ người chơi.Tôi có tư duy phân tích, ham học hỏi và đam mê game. Tôi sẵn sàng đóng góp ngay từ đầu và phát triển</t>
  </si>
  <si>
    <t>TDMU- Trường đại học Thủ Dầu Một</t>
  </si>
  <si>
    <t>7.37</t>
  </si>
  <si>
    <t>https://github.com/ngochan1612/cake4u</t>
  </si>
  <si>
    <t>Thread</t>
  </si>
  <si>
    <t>Tôi mong muốn được học hỏi những kinh nghiệm và trải từ SUN.STUDIO,</t>
  </si>
  <si>
    <t>bxy00uz15dvg9ebxyg36uupb8p3ts0j4</t>
  </si>
  <si>
    <t>Phan Văn Hoàng</t>
  </si>
  <si>
    <t>hoanganh172424@gmail.com</t>
  </si>
  <si>
    <t>+84914891650</t>
  </si>
  <si>
    <t>Đầu tiên em ấn tượng với định hướng rõ ràng và quy mô lớn của SUN.RISER, đồng thời em cũng muốn tìm hiểu cách ứng dụng AI để tối ưu hóa trong cách vận hành games như thế nào. Ngoài ra, vị trí này tập trung mạnh vào việc sử dụng Prompt Engineering để thiết kế AI Agent, điều này phù hợp định hướng phát triển của em.</t>
  </si>
  <si>
    <t>Vị trí này tập trung triển khai giải pháp AI-Automation trong việc phối hợp các phòng ban, thiết kế prompt xây dựng AI Agent tự động hóa tác vụ trên Notion, Figma... Em tin mình phù hợp vì đã có kinh nghiệm thực tế về Prompt Engineering và AI Pipelines và xử lí hệ thống API/JSON thông qua các dự án của em.</t>
  </si>
  <si>
    <t>Trong dự án AI-Generated Text Detector, mục tiêu là phân biệt văn bản tiếng Việt do người và AI viết. Em có vai trò trong việc trực tiếp thiết kế Prompt Engineering để tạo dữ liệu phù hợp văn phong giống con người viết, xây dựng AI Pipeline chuẩn hóa văn bản và fine-tune các mô hình Transformer. Kết quả, dự án đã thu thập thành công bộ dữ liệu hơn 50.000 mẫu và mô hình CafeBERT đạt độ chính xác F1-score 98.54%, vượt trội hơn 8% so với baseline (mDeBERTa).</t>
  </si>
  <si>
    <t>https://github.com/vanhoangpvh/Seminar-Detect-AI</t>
  </si>
  <si>
    <t>SUN.STUDIO LinkedIn, Nhân viên công ty giới thiệu</t>
  </si>
  <si>
    <t>Nguyễn Hữu Dũng</t>
  </si>
  <si>
    <t>ds8d96ju2e17m5aqlap8dds8d9rwh02d</t>
  </si>
  <si>
    <t>NGUYỄN ĐÌNH SINH QUẢNG</t>
  </si>
  <si>
    <t>pikachuahihi123@gmail.com</t>
  </si>
  <si>
    <t>+84868595305</t>
  </si>
  <si>
    <t>I’m motivated to join SUN.RISER because the position aligns well with my interest in data-driven problem solving and business analysis. I’m especially excited about the opportunity to work on real projects, learn from experienced teammates, and further develop both my analytical and communication skills in a fast-paced environment.</t>
  </si>
  <si>
    <t>I believe this role involves analyzing player behavior, game performance, and in-game data to help improve user experience and business outcomes. I think I’m a good fit because I’m genuinely interested in the gaming industry, enjoy working with data to uncover insights.</t>
  </si>
  <si>
    <t>Chongqing University</t>
  </si>
  <si>
    <t>I am currently analyzing a game-related personal project, in which I am responsible for data cleaning, exploratory analysis, and building interactive dashboards to analyze player behavior, retention, and in-game purchasing patterns. The project helped identify key factors affecting player engagement and provided actionable insights to improve retention strategies and optimize monetization performance.</t>
  </si>
  <si>
    <t>https://github.com/xiaoxigua0503/Logistic-Supply-Chain-Personal-Project.git</t>
  </si>
  <si>
    <t>I would love the opportunity to join SUN.STUDIO and gain valuable hands-on experience in a real working environment. I’m eager to learn from experienced professionals, improve my analytical and problem-solving skills, and contribute with a proactive and growth-oriented mindset.</t>
  </si>
  <si>
    <t>vczwc8mejtnye83z0pvczwcykkh6rorx</t>
  </si>
  <si>
    <t>PHAN THỊ THÙY TRANG</t>
  </si>
  <si>
    <t>trangquynhyen@gmail.com</t>
  </si>
  <si>
    <t>+84399723484</t>
  </si>
  <si>
    <t>As an RMIT graduate with experience in bilingual education, I am passionate about storytelling that resonates with young learners and parents. I see this position as a perfect opportunity to use my skills.</t>
  </si>
  <si>
    <t>I believe this role involves more than just logistics; it is about designing and delivering meaningful experiences. This includes conceptualizing creative themes, crafting persuasive proposals, and managing end-to-end operations to ensure brand consistency. It also requires the ability to bridge digital storytelling with physical events (O2O) to en</t>
  </si>
  <si>
    <t>Digital marketing</t>
  </si>
  <si>
    <t>Project: "Stars Speak" English Speaking Contest &amp; AHB Tết Fair.
Responsibilities: Conceptualized and designed the "event journey" as a gamified experience for over 250 students. I was responsible for creating interactive activity booths, point-reward systems, and mission-based challenges to increase student engagement.
Outcomes: Successfully achieved high participation rates and positive feedback from 100% of attendees. The mission-based event format led to a significant increase in social media interaction and a high enrollment conversion rate through experiential learning</t>
  </si>
  <si>
    <t>https://trangphan.my.canva.site/thuytrangportfolio</t>
  </si>
  <si>
    <t>b3wqwpu8erspdep0b3wqw35rp4hm3al8</t>
  </si>
  <si>
    <t>Phùng Nguyễn Khánh Trâm</t>
  </si>
  <si>
    <t>khanhtrampn@gmail.com</t>
  </si>
  <si>
    <t>+84908947286</t>
  </si>
  <si>
    <t>The philosophy: dreaming big, taking challenges, and never giving up, perfectly mirrors my own professional journey.
Having participate in many roles (PL, organizing member) in many competition, I thrive in environments that reward ownership and bold thinking. I am not just looking for a "job"; I am looking for a platform</t>
  </si>
  <si>
    <t>I view the HR Intern role as being a "Culture Catalyst". It include
Talent Acquisition &amp; Branding, helping build a strong Employer Brand, Employee Experience: Coordinating internal engagement activities and communication
I bring strong leadership and conflict resolution skills from my role as a Project Leader in debate competition</t>
  </si>
  <si>
    <t>Kinh tế đối ngoại</t>
  </si>
  <si>
    <t>As Project Leader for the Debate competition FIM, I spearheaded the end-to-end execution, from defining the academic themes to managing a cross-functional team of organizers and judges. I successfully streamlined the competition’s operations and organized the first debate competition in Foreign Trade University.
For the Leadership 5.0 Competition, I served as an organizing member and Sales Leader, where I managed a sales master plan that attracted over 2,000 contestants. By coordinating outreach strategies and managing a team of five, I helped the project exceed its conversion targets and secure significant engagement across multiple university campuses.</t>
  </si>
  <si>
    <t>https://www.facebook.com/groups/1151574896283891 , https://www.facebook.com/share/1DguoHJwTb/</t>
  </si>
  <si>
    <t>ccq8pzlxzj4x7cwwccq82wlmvwmwwogn</t>
  </si>
  <si>
    <t>Nguyễn Lợi Thanh Dũng</t>
  </si>
  <si>
    <t>dungnguyenbo@gmail.com</t>
  </si>
  <si>
    <t>+84915765079</t>
  </si>
  <si>
    <t>What drew me to Sun.Riser is the chance to work with real product data, building pipelines and dashboards teams rely on. Their mission of making games accessible and enjoyable reflects how I think about data: clear enough for teams to act fast. I also want to grow somewhere that shares my values: speed, quality, and responsibility.</t>
  </si>
  <si>
    <t>This role connects data engineering and analytics by querying game data, building pipelines, and surfacing insights teams act on daily. I've experience building SQL pipelines, dashboards for non-technical stakeholders, and documenting metrics as deliverables. Speed, quality, and responsibility are values I work by, which is why Sun.Riser is a fit.</t>
  </si>
  <si>
    <t>I built an e-commerce dashboard analyzing $1.94M revenue, engineered 4 SQL views across 6 tables, built a Power BI dashboard with 11 DAX measures, and uncovered $85K in refund risk. 
I also built a banking BI pipeline on 1M+ transactions, applying ML to surface a $3.33M growth segment via a 5-tab cross-filtering dashboard.</t>
  </si>
  <si>
    <t>github.com/dg-ng</t>
  </si>
  <si>
    <t>Thank you for creating real opportunities for young talent. I'm genuinely excited to contribute to Sun.Riser.</t>
  </si>
  <si>
    <t>gy40wje4ed2gyhx8rskwdb2lybq3hx8r</t>
  </si>
  <si>
    <t>Nguyễn Gia Bảo Danh</t>
  </si>
  <si>
    <t>ngbdanh239@gmail.com</t>
  </si>
  <si>
    <t>+84837437886</t>
  </si>
  <si>
    <t>Ước mơ của tôi là tự tay tham gia vào quá trình tạo ra những tựa game chất lượng. Với nền tảng Unity sẵn có, tôi tìm đến SUN.RISER là một môi trường sáng tạo, nơi hội tụ những người có cùng đam mê. Tôi tin rằng sự kỷ luật cùng với sức sáng tạo của mình sẽ đóng góp tích cực vào các dự án đầy thử thách của SUN.RISER.</t>
  </si>
  <si>
    <t>Vị trí này tập trung vào xây dựng logic gameplay, xử lý và tối ưu hoá trải nghiệm người chơi. Tôi phù hợp nhờ kinh nghiệm phát triển Unity 2D thực tế và có tư duy lập trình hệ thống, tư duy giải quyết vấn đề và đã quen thuộc với quy trình làm việc qua nhóm.</t>
  </si>
  <si>
    <t>Prepare to graduate / Chuẩn bị tốt nghiệp</t>
  </si>
  <si>
    <t>Thị Giác Máy Tính</t>
  </si>
  <si>
    <t>6.92</t>
  </si>
  <si>
    <t>Tôi đã thực hiện các dự án cá nhân trên Unity như game 2D.
Tôi chịu trách nhiệm chính lên ý tưởng - sau đó là lập trình hệ thống và xây dựng cấu trúc dữ liệu cho game. Kết quả là hoàn thiện các bản Prototype có cơ chế vận hành mượt mà và đồng thời nắm vững quy trình quản lý mã nguồn.</t>
  </si>
  <si>
    <t>https://github.com/Aqua239/Meow-Munch</t>
  </si>
  <si>
    <t>Đầu tiên là do em biết đến SUN.RISER hơi trễ nên chưa chuẩn bị kịp bảng điểm - bảng điểm hiện tại chỉ là em chụp trên hệ thống.
Cuối cùng, em dù biết đến chương trình hơi muộn, nhưng đam mê làm game và mong muốn làm việc trong môi trường chuyên nghiệp như SUN.STUDIO của em là rất lớn. Em hy vọng những nỗ lực của mình sẽ giúp em có cơ hội đồng hành cùng SUN.STUDIO tạo ra những sản phẩm tuyệt vời.</t>
  </si>
  <si>
    <t>utmj9yc1i2lwlt8a5ttq2yutmj9yplwf</t>
  </si>
  <si>
    <t>Lâm Nhật Minh</t>
  </si>
  <si>
    <t>Tôi chọn vị trí này vì muốn ứng dụng AI vào workflow thực tế, từ phân tích quy trình, tìm điểm nghẽn đến xây dựng AI pipeline/agent workflow để tự động hóa tác vụ thủ công. Tôi có kinh nghiệm với LLM, RAG, OCR, structured output và API service, phù hợp với prompt engineering, JSON/tool calling và internal AI tools.</t>
  </si>
  <si>
    <t>Role này tập trung vào hiểu workflow của các team, tìm bước thủ công/tốn thời gian và thiết kế prompt, AI pipeline hoặc agent workflow để tự động hóa quy trình.
Tôi phù hợp vì có kinh nghiệm với LLM, RAG, OCR và structured data extraction. Trong project Heartify, tôi xây dựng OCR + LLM pipeline đạt 94% accuracy và giảm latency từ 8s xuống 2.5s.</t>
  </si>
  <si>
    <t>Có. Tôi từng thực hiện một dự án game Battleship bằng Python với giao diện Tkinter trong môn học/dự án cá nhân. Trong dự án này, tôi xây dựng logic trò chơi và bot AI, bao gồm Random AI và Hunt &amp; Target AI, trong đó bot chuyển sang chế độ nhắm mục tiêu sau khi bắn trúng.
Dự án giúp tôi rèn luyện cách biểu diễn trạng thái game, xây dựng logic ra quyết định theo luật, xử lý lượt chơi, và tổ chức code theo hướng module hóa giữa phần game logic, AI strategy và giao diện.</t>
  </si>
  <si>
    <t>https://github.com/nhatminh280</t>
  </si>
  <si>
    <t>Tôi rất mong có cơ hội tham gia SUN.STUDIO vì vị trí này phù hợp với định hướng của tôi: ứng dụng AI vào các workflow thực tế trong doanh nghiệp, không chỉ dừng lại ở các demo kỹ thuật. Tôi là người học nhanh, chủ động tiếp nhận feedback và sẵn sàng chịu trách nhiệm từ bước hiểu yêu cầu, xây dựng, kiểm thử, viết tài liệu đến cải thiện giải pháp.
Nếu có cơ hội, tôi hy vọng có thể đóng góp vào các sáng kiến AI automation của SUN.STUDIO, đồng thời học hỏi từ các anh/chị trong team để phát triển thành một AI Engineer có tư duy thực tiễn và hướng sản phẩm hơn.</t>
  </si>
  <si>
    <t>frxt4t7vspz2vg6u3m43aefrxt4ko2qb</t>
  </si>
  <si>
    <t>Lê Đức Mạnh</t>
  </si>
  <si>
    <t>manhducl2812@gmail.com</t>
  </si>
  <si>
    <t>+84842442368</t>
  </si>
  <si>
    <t>because I want to grow in a professional game development environment and improve my real production skills.</t>
  </si>
  <si>
    <t>I believe I’m a good fit because I already have hands-on experience creating Unity projects by myself. I’ve worked with systems like object pooling, event-driven architecture, dependency injection using Zenject, and basic game optimization techniques such as reducing draw calls and using sprite atlases.</t>
  </si>
  <si>
    <t>Yes. I have experience developing personal Unity game projects, mainly focused on gameplay programming and game systems.
One of my projects is an online multiplayer game inspired by social deduction gameplay. In this project, I worked on player movement, networking synchronization, lobby/room systems, UI interactions, and gameplay logic. I also implemented optimization techniques such as object pooling and reducing unnecessary updates to improve performance.
Besides that, I created smaller arcade and mobile-style projects to practice clean architecture and scalable systems using event-driven design and dependency injection with Zenject.
Through these projects, I improved my problem-solving skills, understanding of Unity workflows, debugging, and teamwork preparation for a professional game development environment.</t>
  </si>
  <si>
    <t>https://www.youtube.com/@Duc-d3u</t>
  </si>
  <si>
    <t>I’m very excited about the opportunity to join SUN.STUDIO
 as a Unity Intern.
I believe this position would be a valuable chance for me to learn from experienced developers, improve my technical and teamwork skills, and gain real industry experience. I’m willing to learn, accept feedback positively, and always try my best to contribute to the team.
Thank you for considering my application. I hope to have the opportunity to grow together with SUN.STUDIO in the future.</t>
  </si>
  <si>
    <t>h7b9ditpmq9uh7b9seilrcbzmcrwseil</t>
  </si>
  <si>
    <t>LÊ MINH TRƯỜNG</t>
  </si>
  <si>
    <t>truong32787@gmail.com</t>
  </si>
  <si>
    <t>+84399347445</t>
  </si>
  <si>
    <t>Là một sinh viên ngành Công nghệ thông tin, tôi đã dành nhiều thời gian nghiên cứu về phát triển ứng dụng di động và hệ thống backend. Việc tự tay xây dựng dự án 'Cẩm nang cho cộng đồng người chơi game Gacha' không chỉ giúp tôi rèn luyện tư duy lập trình mà còn hiểu sâu về hành vi và nhu cầu của game thủ.</t>
  </si>
  <si>
    <t>Theo tôi, vị trí Unity Development Intern không chỉ đơn thuần là viết code, mà là quá trình hiện thực hóa các ý tưởng sáng tạo thành trải nghiệm tương tác cho người dùng, từ việc xây dựng logic game đến tối ưu hóa hiệu suất trên thiết bị di động.
Tôi tin mình là một ứng viên phù hợp vì tôi có nền tảng tốt về lập trình phần mềm và đã có kinh nghiệm.</t>
  </si>
  <si>
    <t>TDMU-Trường Đại Học Thủ Dầu Một</t>
  </si>
  <si>
    <t>7.03</t>
  </si>
  <si>
    <t>Vai trò: Full-stack Developer (Người phát triển chính)
Mô tả: Hoàn thành sản phẩm "Cẩm nang cho Cộng đồng người chơi game Gacha", giúp người dùng tra cứu dữ liệu nhân vật nhanh chóng. Hệ thống vận hành ổn định với khả năng đồng bộ dữ liệu thực tế (real-time). Nâng cao kỹ năng xử lý logic lập trình di động và quản trị backend.</t>
  </si>
  <si>
    <t>https://github.com/leminhtruongtruong12445-creator</t>
  </si>
  <si>
    <t>Tôi muốn gửi lời cảm ơn đến SUN.STUDIO vì đã tạo ra chương trình SUN.RISER – một cơ hội quý giá cho sinh viên tiếp cận môi trường làm việc chuyên nghiệp. Với nền tảng là sinh viên ngành Kỹ thuật phần mềm và kinh nghiệm tự phát triển dự án cá nhân về Game Gacha, tôi không chỉ mang đến kỹ năng lập trình mà còn là sự thấu hiểu sâu sắc về trải nghiệm người chơi. Tôi rất mong có cơ hội được học hỏi từ các chuyên gia tại SUN.STUDIO và đóng góp sức trẻ của mình vào những dự án sắp tới của công ty.</t>
  </si>
  <si>
    <t>qctfgy3l9evdpvtqctfm9emamphpf7i8</t>
  </si>
  <si>
    <t>Nguyễn Hữu Sang</t>
  </si>
  <si>
    <t>24huusang6a2@gmail.com</t>
  </si>
  <si>
    <t>+84942594875</t>
  </si>
  <si>
    <t>Sự tương đồng về định hướng sản phẩm: Tôi có niềm đam mê đặc biệt với dòng game Casual và Puzzle — vốn là thế mạnh cốt lõi của SUN.STUDIO. Những dự án tôi từng thực hiện như WayFinder, Quiz Master đều tập trung vào việc tối ưu hóa trải nghiệm người dùng đơn giản nhưng tinh tế, rất sát với định hướng tiếp cận hàng triệu người chơi của quý công ty.</t>
  </si>
  <si>
    <t>Vị trí này sẽ làm gì: Tham gia vận hành và sản xuất game Casual/Puzzle thực tế, phối hợp đa phòng ban để xử lý logic gameplay, tối ưu hiệu suất và tích hợp giao diện dưới sự dẫn dắt của chuyên gia.
Tại sao tôi phù hợp: Là sinh viên năm cuối, làm chủ Unity 6, UI Toolkit và kiến trúc Clean Code. Tôi có tư duy sản phẩm thực chiến qua dự án.</t>
  </si>
  <si>
    <t>Công nghệ thông tin ( chuyên ngành: Kỹ thuật phần mềm )</t>
  </si>
  <si>
    <t>Vai trò: Lập trình viên chính (Solo Developer). Trực tiếp xây dựng Core Gameplay trên Unity 6, thiết kế hệ thống AI (State Machine) cho 5 archetype kẻ thù và ứng dụng workflow UI Toolkit để tối ưu hóa hiệu suất hiển thị.  
Kết quả: Hoàn thiện bản Demo chơi thử ổn định với kiến trúc code sạch, ứng dụng các Design Patterns (Observer, Singleton) giúp giảm thiểu phụ thuộc chéo; toàn bộ mã nguồn được quản lý qua Git/GitHub.</t>
  </si>
  <si>
    <t>Portfolio (Notion): https://www.notion.so/Nguy-n-H-u-Sang-Unity-Developer-Portfolio-3580d23507f18070b6ced23eec37544e?source=copy_link ; GitHub (Source Code): https://github.com/Sang-GameStudio</t>
  </si>
  <si>
    <t>Được theo dõi các sản phẩm của SUN.STUDIO đã truyền cho em rất nhiều cảm hứng để phát triển bản thân trở thành một Unity Developer có tư duy thiết kế trải nghiệm người dùng. Với nền tảng Kỹ thuật Phần mềm và niềm đam mê mãnh liệt với dòng game Casual/Puzzle, em đã sẵn sàng 100% năng lượng để học hỏi và đóng góp hết mình cho vị trí Unity Development Intern tại chương trình SUN.RISER. Cảm ơn Anh/Chị đã tạo cơ hội tuyệt vời này cho các bạn sinh viên, hy vọng sớm được gặp Anh/Chị trong vòng phỏng vấn!</t>
  </si>
  <si>
    <t>7fdr5ujodt9rp9w7fdr5mwe3bud0eeua</t>
  </si>
  <si>
    <t>Nguyễn Công Minh</t>
  </si>
  <si>
    <t>minhnguyen29p304@gmail.com</t>
  </si>
  <si>
    <t>+84865530244</t>
  </si>
  <si>
    <t>I am excited to apply for the position at SUN.RISER because it offers the opportunity to work in the gaming industry, a dynamic and fast-paced environment where I can apply my analytical skills to real-world challenges. I am also eager to learn from practical projects, further develop my professional skills, and grow in a collaborative environment.</t>
  </si>
  <si>
    <t>I think this role involves analyzing and transforming data, building dashboards, and generating insights to support data-driven decisions for different teams. I believe I am a good fit because I have a strong foundation in statistics, SQL, and data visualization, along with strong analytical thinking, attention to detail, and a strong willingness</t>
  </si>
  <si>
    <t>Marketing Technology</t>
  </si>
  <si>
    <t>8.89</t>
  </si>
  <si>
    <t>Although I have not had professional working experience yet, I have worked on several academic and personal data analysis projects involving data cleaning, transformation, querying, dashboard visualization using SQL and Power BI, as well as applying basic machine learning techniques for data analysis and prediction tasks. Through these projects, I developed strong analytical thinking, problem-solving skills, and the ability to extract actionable insights from data.</t>
  </si>
  <si>
    <t>https://github.com/minhnguyen290304/Video-Games-Market-Analysis-Trends-Insights          https://github.com/minhnguyen290304/Telco-Customer-Churn-Prediction-and-Customer-Segmentation/blob/main/telco_churn_prediction_segmentation.ipynb              https://github.com/minhnguyen290304/Retail-Product-Demand-Forecasting/blob/main/demand_forecast.ipynb</t>
  </si>
  <si>
    <t>I am highly motivated to learn, adaptable to new environments, and eager to gain hands-on experience in a professional setting. I believe my analytical mindset, willingness to learn, and passion for working with data will allow me to contribute positively and grow quickly at SUN.STUDIO. Thank you for your consideration.</t>
  </si>
  <si>
    <t>tqxrulrmwj1qsbadtqxrusilpv2lleb8</t>
  </si>
  <si>
    <t>Võ Văn Chí Thuận</t>
  </si>
  <si>
    <t>vthuanlaman@gmail.com</t>
  </si>
  <si>
    <t>+84793302504</t>
  </si>
  <si>
    <t>I have been following SUN.RISER and the products for a while, and I am interested by what you create. I believe this company is the perfect environment for me to further develop my career. More importantly, it is a place where I want to fully dedicate my skills and contribute to the team's future success.</t>
  </si>
  <si>
    <t>I think this role is the central bridge of the development process. A game designer job involves not only creating the rules and content of the game but also ensuring that everyone from artists to developers can shares the exact same vision.</t>
  </si>
  <si>
    <t>DUT - Đại học Bách Khoa - Đại học Đà Nẵng</t>
  </si>
  <si>
    <t>In one of my previous project (an education game), my job is analysis the requirement of the customer, and then design the function for each of it. My second project is made game from scratch, begin with find new idea, design UI, find music, and testing the game.</t>
  </si>
  <si>
    <t>https://thuangd.short.gy/kFiK6z</t>
  </si>
  <si>
    <t>Just I truly passion about creating games. I see SUN.STUDIO as an ideal environment where I can dedicate myself, acting as a reliable bridge between creative concepts and technical execution. I am ready to give my best to ensure that make team can deliver polished experiences for our players. Hope to see you in an interview soon</t>
  </si>
  <si>
    <t>tyiohcdli6j7r992510kxpn3tyiohc8l</t>
  </si>
  <si>
    <t>Tô Trần Nhã Uyên</t>
  </si>
  <si>
    <t>uyenuyen02082005@gmail.com</t>
  </si>
  <si>
    <t>+84931472928</t>
  </si>
  <si>
    <t>Em chọn vị trí này vì em hứng thú với việc phân tích dữ liệu nhằm tìm insight và hỗ trợ đưa ra quyết định. Em cũng thích môi trường game vì dữ liệu phản ánh rõ hành vi người dùng và thay đổi liên tục. Ngoài ra, định hướng xây dựng hệ thống dữ liệu và dashboard của SUN.STUDIO cũng rất phù hợp với định hướng phát triển Data Analyst của em.</t>
  </si>
  <si>
    <t>Theo em, vị trí này sẽ phân tích dữ liệu game để tìm insight, theo dõi các chỉ số và hỗ trợ team đưa ra quyết định qua dashboard hoặc báo cáo. Em thấy bản thân phù hợp vì em thích làm việc với dữ liệu, thích tìm hiểu insight từ số liệu và đang phát triển theo định hướng Data Analyst.</t>
  </si>
  <si>
    <t>Em là Team Leader phụ trách data processing và exploratory analysis trong dự án DATATHON 2026 – The Gridbreakers. Vai trò chính của em gồm data cleaning, EDA, feature engineering và visualization để tìm business insights từ dữ liệu e-commerce thời trang. Dự án đã xây dựng thành công mô hình dự báo doanh thu bằng XGBoost kết hợp Optuna, đạt kết quả forecasting tốt và đưa ra các đề xuất tối ưu inventory, promotion và customer behavior cho doanh nghiệp.</t>
  </si>
  <si>
    <t>Vanguora Vintelligence Datathon 2026 (https://github.com/totrannhauyen/vanguora-vintelligence-datathon-2026.git)</t>
  </si>
  <si>
    <t>Trường đại học, SUN.STUDIO LinkedIn</t>
  </si>
  <si>
    <t>Em rất mong có cơ hội được học hỏi và phát triển tại một môi trường năng động, sáng tạo và gắn liền với sản phẩm thực tế như SUN.STUDIO. Em hy vọng có thể đóng góp khả năng phân tích dữ liệu, tinh thần chủ động và sự ham học hỏi của mình để hỗ trợ team tạo ra những insight có giá trị cho sản phẩm game. Đồng thời, em cũng mong được trải nghiệm quy trình làm việc chuyên nghiệp và phát triển bản thân nhiều hơn trong lĩnh vực Game Data Analytics.</t>
  </si>
  <si>
    <t>o59q8zsi9jifopulg8uo59q8zstia6ye</t>
  </si>
  <si>
    <t>Bùi Bách Nguyên</t>
  </si>
  <si>
    <t>bbn.uit.k18@gmail.com</t>
  </si>
  <si>
    <t>+84905283353</t>
  </si>
  <si>
    <t>Mong muốn được học hỏi và tích lũy kinh nghiệm trong môi trường phát triển game chuyên nghiệp, đồng thời phát triển thêm kỹ năng thiết kế game của bản thân. Niềm yêu thích với công việc của một Game Designer, phân tích, thiết kế các cơ chế trò chơi, màn chơi, các thành phần của trò chơi,... mang lại những sản phẩm chất lượng.</t>
  </si>
  <si>
    <t>GDer tại Sun sẽ tập trung nghiên cứu thị trường game Casual/Puzzle, thiết kế gameplay systems, level balancing, UI/UX flow và tối ưu sản phẩm dựa trên phản hồi người dùng. 
Em nghĩ bản thân phù hợp là vì em có nền tảng Dev+Design từ các môn học/CLB, Nắm được quy trình sản xuất game, biết sử dụng các công cụ hỗ trợ và Open to learn new tech/tool</t>
  </si>
  <si>
    <t>Kỹ thuật phần mềm - Software Engineering</t>
  </si>
  <si>
    <t>Từng tham gia các cuộc thi Game Jams (DEV-GD)
Có kết quả tốt trong các môn học về game (&gt;=9.0)
Đạt top 3 game xuất sắc nhất trong Môn học đồng đào tạo với VNGxUIT</t>
  </si>
  <si>
    <t>https://tranbin848.itch.io/foxy</t>
  </si>
  <si>
    <t>Trường đại học, Bạn bè và Forum trường</t>
  </si>
  <si>
    <t>Hi vọng sẽ có cơ hội được làm việc cùng các anh chị. 
Chúc Studio ngày càng phát triển ạ !</t>
  </si>
  <si>
    <t>zi8x1ad5hdhro4r2w5zi8xhcq9hs8idk</t>
  </si>
  <si>
    <t>Phạm Ngọc Yến Nhi</t>
  </si>
  <si>
    <t>nhipham232.contact@gmail.com</t>
  </si>
  <si>
    <t>+84934232644</t>
  </si>
  <si>
    <t>Em chọn vị trí này với mong muốn phát triển lâu dài theo hướng UA/Performance Marketing. Tuy đã có 1 năm kinh nghiệm, nhưng do em là sinh viên trái ngành Marketing nên em vẫn mong muốn có cơ hội được học lại từ đầu một cách bài bản hơn, đặc biệt về User Acquisition và tư duy performance chuyên sâu.</t>
  </si>
  <si>
    <t>Vị trí này sẽ hỗ trợ vận hành và tối ưu campaign quảng cáo, theo dõi performance và phối hợp với team creative để cải thiện kết quả. Em nghĩ mình phù hợp vì đã có kinh nghiệm chạy ads trong ngành game, quen cách làm việc với data, creative cũng như các nền tảng như Facebook, TikTok, Google. Đồng thời, em sẵn sàng học hỏi kiến thức &amp; công nghệ mới.</t>
  </si>
  <si>
    <t>Đã tốt nghiệp</t>
  </si>
  <si>
    <t>International Finance</t>
  </si>
  <si>
    <t>6.3</t>
  </si>
  <si>
    <t>Em có khoảng 1 năm kinh nghiệm ở vị trí UA Marketing trong ngành game mobile. Công việc chính của em là triển khai và tối ưu campaign trên Facebook, TikTok, Google, Unity cho thị trường global; theo dõi data qua Adjust và Looker để tối ưu ngân sách, creative và audience.
Em từng quản lý ngân sách khoảng 500–700 triệu/tháng, sản phẩm thành công nhất đạt khoảng ~5 triệu reach, 50K lượt cài đặt và ROAS khoảng 180–200% trong tháng đầu open beta sản phẩm.</t>
  </si>
  <si>
    <t>Hiện tại các document liên quan đến dự án không available do em không còn là nhân sự của công ty.</t>
  </si>
  <si>
    <t>Em thật sự rất thích được làm việc trong ngành game và mong muốn phát triển lâu dài với Marketing/Game UA. Đây là lĩnh vực khiến em có nhiều động lực học hỏi và theo đuổi nghiêm túc. Em hy vọng sẽ có cơ hội được đồng hành cùng SUN.STUDIO để vừa phát triển chuyên môn, vừa đóng góp giá trị cho sản phẩm và team trong tương lai.</t>
  </si>
  <si>
    <t>gpkfvm08httjzb9wai3gpkfv1lzfpyhx</t>
  </si>
  <si>
    <t>Lê Hoàng Như</t>
  </si>
  <si>
    <t>leehnhu@gmail.com</t>
  </si>
  <si>
    <t>+84938848701</t>
  </si>
  <si>
    <t>Mục tiêu nghề nghiệp và định hướng phát triển của bản thân, đồng thời công việc này là niềm yêu thích tôi theo đuổi từ đại học đến nay</t>
  </si>
  <si>
    <t>Vị trí Data Analysis là vị trí quan trọng, nắm giữ các thông tin hầu như là cốt lõi (tùy thuộc vào vị trí phòng ban). Công việc này đòi hỏi sự chăm chỉ, tỉ mỉ, luôn biết cách chủ động đặt câu hỏi và giải quyết vấn đề. Là người nắm bắt xu hướng phát triển của dữ liệu của bộ phận/doanh nghiệp để từ đó, đưa ra insights và chiến dịch phù hợp.</t>
  </si>
  <si>
    <t>Toán Ứng Dụng</t>
  </si>
  <si>
    <t>7.76</t>
  </si>
  <si>
    <t>Tôi từng làm Sales Data Analyst cho công ty mảng tech insurance. Công việc của tôi gồm có: Fix data hệ thống; clean data thô do lỗi nhập liệu còn thô sơ; tinh chỉnh hệ thống nhập liệu; xử lý dữ liệu và push lên report hàng ngày cho các phòng ban/khách hàng/manager; xử lý data và lập bảng lương, thưởng theo tuần/tháng/quý cho team sales; chạy demo bảng data khi có bảng kế hoạch mới để xem thử hiệu suất và lợi nhuận để điều chỉnh kế hoạch cho phù hợp; hỗ trợ team AI, dev, HR, Marketing xây dựng luồng hệ thống; khác</t>
  </si>
  <si>
    <t>https://canva.link/9m7jy6z3lvvuuo0</t>
  </si>
  <si>
    <t>Trình độ giao tiếng bằng tiếng anh của tôi còn hạn chế, không biết JD công việc có yêu cầu cao về tiếng anh không? Nếu có, hy vọng hãy cho tôi một cơ hội để tôi được học tập, trau dồi không chỉ về kĩ năng nghề nghiệp mà còn cải thiện trình độ giao tiếp ngoại ngữ của bản thân</t>
  </si>
  <si>
    <t>p4av81nth4y8h29iip4av834ws8oaaor</t>
  </si>
  <si>
    <t>Huỳnh Chơn Thành Nhân</t>
  </si>
  <si>
    <t>huynhchonthanhnhan@gmail.com</t>
  </si>
  <si>
    <t>+84559772760</t>
  </si>
  <si>
    <t>Trong quá trình học tập tại trường cùng với các hoạt động ngoại khóa như các cuộc thi học thuật và các dự án cá nhân, em đã được học các công cụ như Excel, SQL và PowerBI cùng với các kỹ năng phân tích dữ liệu, và em đang tìm kiếm một vị trí DA Intern để em có thể ứng dụng các kỹ năng này và tham gia đẩy nhanh quá trình ra quyết định.</t>
  </si>
  <si>
    <t>A Data Analyst Intern bridges technical execution and business communication, and I believe I'm a strong fit thanks to complex data experience and stakeholder communication capabilities.</t>
  </si>
  <si>
    <t>https://drive.google.com/drive/folders/1oIpIbSBkI9PujwFj-RsO_-5Nav4Taghu?usp=sharing</t>
  </si>
  <si>
    <t>gyxv6fire93prhkgyx2uh5fy88kosstu</t>
  </si>
  <si>
    <t>Võ Công Khanh</t>
  </si>
  <si>
    <t>vocongkhanhhg2004@gmail.com</t>
  </si>
  <si>
    <t>+84706390156</t>
  </si>
  <si>
    <t>Em chọn vị trí này trong SUN.RISER vì em muốn được làm việc trong môi trường thực tế, học hỏi từ các anh chị có kinh nghiệm và phát triển kỹ năng chuyên môn thông qua các dự án thật. Em tin chương trình sẽ giúp em tích lũy nhiều kinh nghiệm và phù hợp với định hướng phát triển của bản thân trong lĩnh vực công nghệ.</t>
  </si>
  <si>
    <t>Theo em, AI Engineer sẽ phát triển và tối ưu các hệ thống AI để hỗ trợ sản phẩm và xử lý dữ liệu. Em phù hợp với vị trí này vì em yêu thích AI, có nền tảng công nghệ và thường chủ động thực hành qua các project cá nhân có áp dụng AI để nâng cao kỹ năng.</t>
  </si>
  <si>
    <t>Đại học Cần Thơ</t>
  </si>
  <si>
    <t>9.3</t>
  </si>
  <si>
    <t>/</t>
  </si>
  <si>
    <t>j5yjwgykefo1jikodfsxj5yjwgyk3a8l</t>
  </si>
  <si>
    <t>Nguyễn Thanh Vũ</t>
  </si>
  <si>
    <t>thanhvunguyen.work@gmail.com</t>
  </si>
  <si>
    <t>+84917033929</t>
  </si>
  <si>
    <t>Tôi luôn có một niềm đam mê với việc lập trình game, đặt biệt là các tựa game mobile casual, puzzle, . . .
Tôi đã tìm hiểu và thấy công ty rất hợp với đam mê của bản thân nên tôi hi vọng khi chọn vị trí này tôi sẽ có cơ hội được hỏi hỏi kinh nghiệm, được tham gia vào các dự án thực tế, cùng team lập trình và xây dựng nên các tựa game thú vị.</t>
  </si>
  <si>
    <t>Vị trí này sẽ cùng team tham gia vào dự án thực tế của công ty, lập trình, phát triển tính năng, sửa lỗi . . . và phối hợp với các team khác (artist, designer, . . .)
Tôi phù hợp với vị trí này vì tôi đã có kĩ năng, kiến thức nền tảng phát triển game với Unity, có tinh thần học hỏi và nghiêm túc khi làm việc nhóm, có trách nhiệm với task được giao.</t>
  </si>
  <si>
    <t>Trong suốt quá trình học tập ở trường tôi đã tham gia phát triển một số dự án game bằng Unity với vai trò là một game developer, hầu hết là các dự án làm với team bên cạnh đó cũng có một số dự án cá nhân.
Các game thành phẩm đều được đánh giá tích cực bởi giảng viên và được tham dự các cuộc thi của trường.
Một số kết quả các sản phẩm game đã đạt được:
- Distant Planets (Cá nhân): Đạt giải ba cuộc thi SeApp 2025 do khoa Công nghệ Phần mềm trường Đại học Công nghệ Thông tin tổ chức.
- Monster Is Cooked (Team): Đạt giải khuyến khích cuộc thi SeApp 2025 do khoa Công nghệ Phần mềm trường Đại học Công nghệ Thông tin tổ chức.
- Foxy Adventure: Elementals (Team): Sản phẩm của chương trình đồng đào tạo giữa VNG và UIT, lọt top 3 sản phẩm được đánh giá cao của chương trình.</t>
  </si>
  <si>
    <t>Link gihub cá nhân: https://github.com/NguyenThanhVu028</t>
  </si>
  <si>
    <t>Tôi rất mong có thể được đồng hành cùng công ty, phát triển sự nghiệp, cùng team tạo nên các tựa game chất lượng và gặt hái thành công.</t>
  </si>
  <si>
    <t>wvrhron5gxtlowhtlg4izwvrhrq5bjfx</t>
  </si>
  <si>
    <t>Huỳnh Phước Tài</t>
  </si>
  <si>
    <t>huynhphuoctai2602@gmail.com</t>
  </si>
  <si>
    <t>+84978375609</t>
  </si>
  <si>
    <t>I've spent the past year designing and balancing game features at two studios, and Casual/Puzzle is the genre I find most compelling — the challenge of making simple mechanics feel fair, satisfying, and replayable is something I want to go deeper on.</t>
  </si>
  <si>
    <t>This role is about understanding what makes Casual/Puzzle games work — researching the market, analysing existing products, designing and balancing systems, and documenting everything clearly enough for a team to build from.</t>
  </si>
  <si>
    <t>I worked as a level designer so I joined for around 6 different games and designed more than 300 levels</t>
  </si>
  <si>
    <t>I dont have one</t>
  </si>
  <si>
    <t>qj7c10cqct8j7duqj7cojaf0rof4gyty</t>
  </si>
  <si>
    <t>Võ Nguyễn Lan Nhi</t>
  </si>
  <si>
    <t>lannhivon@gmail.com</t>
  </si>
  <si>
    <t>+84938890100</t>
  </si>
  <si>
    <t>Mình muốn được tham gia vào quy trình tạo nên các Game thật đang vận hành và học hỏi từ team giỏi, nhiệt huyết với nghề</t>
  </si>
  <si>
    <t>With years of independent research in the digital creator economy and hands-on experience in organic content growth, I believe I can contribute positively to the team</t>
  </si>
  <si>
    <t>Multimedia Communication</t>
  </si>
  <si>
    <t>independent research, content optimization</t>
  </si>
  <si>
    <t>https://drive.google.com/drive/folders/1Rszuhfr7yToEVqbru9Ny8ZlFbekKrBNB?usp=drive_link</t>
  </si>
  <si>
    <t>I want to make games/apps that are #cute , #healing, #stunning visuals. is it possible at SUN.STUDIO?</t>
  </si>
  <si>
    <t>4t82vsc6bv9f9tg14t82v1cx9q2lbgy5</t>
  </si>
  <si>
    <t>Trần Quốc Bảo</t>
  </si>
  <si>
    <t>bao.tran2352110@hcmut.edu.vn</t>
  </si>
  <si>
    <t>+84857206090</t>
  </si>
  <si>
    <t>“Em thích Unity vì nó cho em cảm giác nhìn thấy kết quả trực tiếp từ code của mình. Khi làm gameplay, animation hay UI, em thấy rất thú vị vì mình tạo ra thứ người chơi có thể tương tác ngay lập tức.</t>
  </si>
  <si>
    <t>“Em nghĩ vị trí này sẽ bao gồm việc phát triển và cải thiện các tính năng game bằng Unity và C#, xử lý gameplay, UI, sửa lỗi và phối hợp với các bộ phận khác như design hoặc art để mang lại trải nghiệm tốt hơn cho người chơi.</t>
  </si>
  <si>
    <t>6.0</t>
  </si>
  <si>
    <t>Mình có làm dự án cá nhân về việc phát triển ứng dụng weather app, hay trò chơi đo tốc độ gõ chữ mình tự học tìm tòi và là project. Từ việc lên ý tưởng cũng như code và deploy lên github(vercel)</t>
  </si>
  <si>
    <t>https://github.com/talchil/Typing-game</t>
  </si>
  <si>
    <t>Em cảm ơn SUN.STUDIO đã dành thời gian xem hồ sơ và phỏng vấn em. Dù em còn nhiều điều cần học, nhưng em có tinh thần học hỏi và thật sự muốn phát triển lâu dài trong lĩnh vực game development. Em hy vọng sẽ có cơ hội được tham gia và đóng góp cho team trong tương lai.</t>
  </si>
  <si>
    <t>j5x4i38nj5tb1gy9td8sqsj5x4i38ceq</t>
  </si>
  <si>
    <t>Trần Ngọc Hải Trân</t>
  </si>
  <si>
    <t>tptamyss@gmail.com</t>
  </si>
  <si>
    <t>+84877168117</t>
  </si>
  <si>
    <t>I am currently a Data Science and AI major student, and I want to gain more experience about this field. I have also interned in the same position previously and loved it, so I want to try it out in another settings to see how it works differently.</t>
  </si>
  <si>
    <t>For Data Analysis position in a game company, I believe the main role is to analyze the marketing data. I believe to be suitable since I have had experience in data analysis in both work and projects.</t>
  </si>
  <si>
    <t>Year 3 and also Last year</t>
  </si>
  <si>
    <t>Data Science and Artificial Intelligence</t>
  </si>
  <si>
    <t>eh838syihe3kt2tqdgjeh838sgbhhjxu</t>
  </si>
  <si>
    <t>COUNTUNIQUE of *Địa chỉ email của bạn là gì?*</t>
  </si>
  <si>
    <t>Grand Total</t>
  </si>
  <si>
    <t>Number</t>
  </si>
  <si>
    <t>UA</t>
  </si>
  <si>
    <t>Total</t>
  </si>
  <si>
    <t>HCMUS – Trường Đại học Khoa học Tự nhiên</t>
  </si>
  <si>
    <t>UIT – Trường Đại học Công nghệ Thông tin</t>
  </si>
  <si>
    <t>HCMUT – Trường Đại học Bách Khoa</t>
  </si>
  <si>
    <t>IU – Trường Đại học Quốc tế</t>
  </si>
  <si>
    <t>Khác</t>
  </si>
  <si>
    <t>Họ và tên</t>
  </si>
  <si>
    <t>Ngày sinh</t>
  </si>
  <si>
    <t>Email</t>
  </si>
  <si>
    <t>SĐT</t>
  </si>
  <si>
    <t>Nguyện vọng 1</t>
  </si>
  <si>
    <t>Nguyện vọng 2</t>
  </si>
  <si>
    <t>Lý do ứng tuyển vị trí</t>
  </si>
  <si>
    <t>Hiểu role ứng tuyển làm gì? Vì sao bạn phù hợp?</t>
  </si>
  <si>
    <t>Đại học</t>
  </si>
  <si>
    <t>Đại học - Khác</t>
  </si>
  <si>
    <t>SV năm mấy?</t>
  </si>
  <si>
    <t>Chuyên ngành</t>
  </si>
  <si>
    <t>Thời gian tốt nghiệp (dự kiến nếu chưa tốt nghiệp)</t>
  </si>
  <si>
    <t>GPA</t>
  </si>
  <si>
    <t>Bảng điểm</t>
  </si>
  <si>
    <t>Have you had any game-related or job-related experience before (personal project/coursework/competition…)?</t>
  </si>
  <si>
    <t>If yes, please briefly describe your roles and the project outcomes</t>
  </si>
  <si>
    <t>Porfolio</t>
  </si>
  <si>
    <t>Are you willing to work full-time at least 3,5 days/week and commit to at least 3 months, starting from June 2026?</t>
  </si>
  <si>
    <t>Sau thời gian thực tập, bạn sẽ có cơ hội được review để thăng tiến vị trí chính thức. Bạn có thể đi làm full-time tối thiểu 3,5 ngày/tuần không?</t>
  </si>
  <si>
    <t>CV</t>
  </si>
  <si>
    <t>Round 1 - CV Result</t>
  </si>
  <si>
    <t xml:space="preserve">Round 1 - Nhận xét </t>
  </si>
  <si>
    <t>Round 2 - Test result</t>
  </si>
  <si>
    <r>
      <rPr>
        <rFont val="Arial"/>
        <b/>
        <color theme="1"/>
        <sz val="11.0"/>
      </rPr>
      <t xml:space="preserve">Round 2 - HR Assignee
</t>
    </r>
    <r>
      <rPr>
        <rFont val="Arial"/>
        <b val="0"/>
        <color theme="1"/>
        <sz val="11.0"/>
      </rPr>
      <t>- Tổng hợp &amp; gửi chấm bài làm
- HR Intern: Email book lịch + Thực hiện Online Interview 30 phút</t>
    </r>
  </si>
  <si>
    <t>Round 2 - Test Reviewer</t>
  </si>
  <si>
    <t>Round 2 - Link bài test</t>
  </si>
  <si>
    <t>Round 2 - Nhận xét</t>
  </si>
  <si>
    <t>Column 1</t>
  </si>
  <si>
    <t>Failed</t>
  </si>
  <si>
    <t>Passed</t>
  </si>
  <si>
    <t xml:space="preserve">Có làm BI, n8n ở 2 job Intern. GPA cao. Có project về Social Media Ads: data pipeline, SQL, performance metrics khá match với SOW </t>
  </si>
  <si>
    <t>Test</t>
  </si>
  <si>
    <t>Có kinh nghiệm làm công ty game, có 3 dự án làm chung với bạn về game 2D,3D trên Unity, học FPT, điểm tổng không cao nhưng các môn Giải thuật, lập trìng C# Unity điểm cao, có IELTS 6.5. Đã ra trường thì có thể consider Fresher</t>
  </si>
  <si>
    <t>Nhiên Lâm Chu Diệu</t>
  </si>
  <si>
    <t>https://drive.google.com/open?id=1LdKpOj8j36KWtPE5LEU6sthrq33AjC9s</t>
  </si>
  <si>
    <t>Làm 2 dự án game được vài demo. Từng làm giảng dạy game Teky Technology Academy 10 tháng đến 04/2026 (chưa biết bạn dạy gì trong này). Điểm lập trình C#, giải thuật around 7-8, OOP thì được 9. Có thể thử cho bài test</t>
  </si>
  <si>
    <t>Các môn học Lập trình/Game điểm không cao, khoảng 6-7</t>
  </si>
  <si>
    <t>Học FPT - Lập trình game, điểm &gt;8 khá cao. Concern: Năm 2???</t>
  </si>
  <si>
    <t>1. Skill: có biết black-box testing, viết report, có làm qua domain game nhưng CV không trình bày kĩ task bạn làm, chỉ là list ra -&gt; 1 
2. Dự án, cuộc thi: có dự án game, testing -&gt; 2
3. Full-time availability -&gt; 4
4. GPA: không nhớ -&gt; 1
5. Điểm môn học: không nhớ -&gt; 1
6. Ngành - trường học -&gt; 1
7. Chất lượng CV: không tốt -&gt; 1
8. English -&gt; 1
-&gt; Score: 1.5</t>
  </si>
  <si>
    <t>WL -&gt; Fail. Không có gì đặc biệt, chỉ có làm 1 project cá nhân hơi liên quan thôi. Nhưng objectives có muốn làm BI</t>
  </si>
  <si>
    <t>Waiting list</t>
  </si>
  <si>
    <t>Bạn này chuyển qua Fresher/Junior</t>
  </si>
  <si>
    <t>Có làm dự án Indie Flappy Bird riêng và cũng như 2 dự án trên trường. 5 lần Đạt sinh viên giỏi, xuất sắc của trường. Học điểm cũng cao, lập trình 8-9</t>
  </si>
  <si>
    <t>Không làm gì liên quan hết</t>
  </si>
  <si>
    <t>khá tốt nhưng mới năm 2, hẹn năm sau</t>
  </si>
  <si>
    <t>https://drive.google.com/open?id=1KStk9KD8dD53rbnRUz3I8xpmFIRvi-Df</t>
  </si>
  <si>
    <t>Consider NV2 của bạn. CV toàn Web Developer, không có project liên quan đến Data, BI. Điểm XSTT không cao</t>
  </si>
  <si>
    <t>hctuankiet243@gmail.com</t>
  </si>
  <si>
    <t>◦ Recipient of three merit-based academic scholarships, awarded to top-performing students each term based
on GPA.
◦ 1st Place, Mastering IT Academic Competition, HCMUTE (2025) – team-based CS problem-solving contest.
◦ 2nd Place, Mastering IT Academic Competition, HCMUTE (2024).
◦ 3rd Place among 90 teams, Thach Thuc Academic Challenge, University of Science (2025).
◦ 3rd Place among 101 teams, Thach Thuc Academic Challenge, University of Science (2024).
◦ 2nd Place, University Coding Challenge, HCMUS (2023).</t>
  </si>
  <si>
    <t>Withdraw</t>
  </si>
  <si>
    <t>1. Skill: có intern tester, có dự án game, nắm hiểu sâu các nghiệp vụ về testing, motivation cũng rõ ràng và thể hiện được cụ thể position/industry game -&gt; 4
2. Dự án, cuộc thi: có 2 dự án -&gt; 3
3. Full-time availability -&gt; 4
4. GPA: 2.8 -&gt; 1
5. Điểm môn học: 5—6 -&gt; 1
6. Ngành - trường học -&gt; 3
7. Chất lượng CV: không tốt -&gt; 4
8. English -&gt; 4
-&gt; Score: 3.1</t>
  </si>
  <si>
    <t>artist</t>
  </si>
  <si>
    <t>Có thể cân nhắc NV2 - Game QA</t>
  </si>
  <si>
    <t>WL -&gt; Fail. Consider NV2 của bạn. Có kinh nghiệm làm AI Intern, chương trình học cũng thiên về AI hình ảnh</t>
  </si>
  <si>
    <t>Obj liên quan BI. Học XSTK điểm cao 9.2. Đi học và đi thi liên quan Data Analysis nhiều</t>
  </si>
  <si>
    <t>Chờ test</t>
  </si>
  <si>
    <t>2
nd Prize – IT Hackathon: SOLANA PRAGMATIC</t>
  </si>
  <si>
    <t>https://drive.google.com/open?id=17PbsI9KmxYrsZNyGj00AsUp7naCbvGy9</t>
  </si>
  <si>
    <t>Có kinh nghiệm làm Game trên Unity, chủ yếu làm game 3D. Tốt nghiệp rồi nên test thử cho Fresher</t>
  </si>
  <si>
    <t xml:space="preserve">• Top 25%, LotusHacks 2026 (Hackathon, International) Mar 2026
• Top 19/83, UIT Data Science Challenge 2025 (AI Challenge, University) Oct 2025
• Preliminary Round, HCMC AI Challenge 2025 (Division A, AI Challenge, City) Aug 2025
• Elimination Round, HCMUS Thach Thuc 2025 (Academic Competition, University) Mar 2025
• Third Place, HSG Regional Round in Informatics (Informatics Olympiad, Provincial) Dec 2020
• Finalist, Youth IT Competition (Tin Hoc Tre) (Division B, Informatics Olympiad, National) </t>
  </si>
  <si>
    <t>https://drive.google.com/open?id=1m6ud-X7j8W6NGecfDLirrJe4a2fPCQek</t>
  </si>
  <si>
    <t>https://drive.google.com/open?id=1FtluDRpUDaMvQovF0uDnw9_vt9CRY4wv</t>
  </si>
  <si>
    <t>Nothing special</t>
  </si>
  <si>
    <t>Chuyên Long An</t>
  </si>
  <si>
    <t>https://drive.google.com/open?id=1G2yvpcHSXI8vR0LEXg2sqciNlsTmBxos</t>
  </si>
  <si>
    <t>Chuyên Nguyễn Thịnh Thành- Trà Vinh</t>
  </si>
  <si>
    <t>https://drive.google.com/open?id=1d4DVyTrtBPSA45LRAkdp9YY04jCMRVWw</t>
  </si>
  <si>
    <t>https://drive.google.com/open?id=12PmJEvO3w3Mj9CIW9yp6m2UNKJlPtE6G</t>
  </si>
  <si>
    <t>GPA cao</t>
  </si>
  <si>
    <t>https://drive.google.com/open?id=18Fb1AFzpIc4MCCRBcSYVvAeGiDsqjHPV</t>
  </si>
  <si>
    <t>Waiting list vì những gì bạn làm thiên về DE, vẫn có thể match yêu cầu bên mình nhưng bạn không thể hiện rõ ràng được lý do muốn qua DA</t>
  </si>
  <si>
    <t>Nữ, điểm GPA rất cao, có 2 lần học bổng. Từng làm Data Intern tại Galaxy Joy về visualize PowerBI</t>
  </si>
  <si>
    <t xml:space="preserve">Vớt vì là con gái, viết có self-awareness và thành thật. Học cũng giỏi do có 2 học bổng </t>
  </si>
  <si>
    <t>WL -&gt; Fail. CV không có gì đặc biệt trừ việc bạn đang làm game Casual và phân tích data người dùng của thể loại game này</t>
  </si>
  <si>
    <t>GPA cao
' Top 2 Finalist EVENTA - ACM Multimedia 2025 (Track 2): Participation Certificate, Ranking
• Top 2 Finalist ROOMELSA - SHREC 2025: Participation Certificate, Ranking</t>
  </si>
  <si>
    <t>https://drive.google.com/open?id=1dJhSwl24HAbcNETc_UTjYBsZLN1mv-1b</t>
  </si>
  <si>
    <t>Yen</t>
  </si>
  <si>
    <t>IELTS 7.5, exp game</t>
  </si>
  <si>
    <t>https://drive.google.com/open?id=1lixqYZ3V6-0d6B7PqtzeqQrwjWcjkjo8</t>
  </si>
  <si>
    <t xml:space="preserve">thiên hướng AI research </t>
  </si>
  <si>
    <t>GPA cao, Dean’s List (Academic Year 2024 – 2025) – Ranked in the Top 5% of the Regular Program for
outstanding academic excellence.</t>
  </si>
  <si>
    <t>Đạt giải Final Prize ấn tượng ở giải Game Việt</t>
  </si>
  <si>
    <t xml:space="preserve">1. Skill: chỉ có kinh nghiệm frontend, cũng chưa thể hiện được nhiều mong muốn làm trong lĩnh vực testing và game -&gt; 1
2. Dự án, cuộc thi: chưa có -&gt; 1
3. Full-time availability -&gt; 4
4. GPA: 2.8 -&gt; 1
5. Điểm môn học: trung bình 7-8 -&gt;3
6. Ngành - trường học -&gt; 3
7. Chất lượng CV: không tốt -&gt; 2
8. English -&gt; 2
-&gt; Score: 1.8
</t>
  </si>
  <si>
    <t>nothing special</t>
  </si>
  <si>
    <t>Không học về Kỹ thuật phần mềm hay Lập trình. Lớn quá cho Fresher luôn rồi</t>
  </si>
  <si>
    <t>CV chỉ có công việc BI ở Ninja Van là có liên quan. Điểm học tập không quá tốt ở môn XSTT. Lớn quá cho Intern/Fresher</t>
  </si>
  <si>
    <t>WL -&gt; Fail. Chỉ làm 1 project về BI thôi, điểm ok là học cấp 3 trường chuyên, chuyên lý</t>
  </si>
  <si>
    <t>Bạn cũng làm 2 project game solo 2D và 3D. Trình bày Porfolio trên Notion cũng gọn gàng, sạch sẽ, đầu tư. Cho vào test coi Greenwich dạy sao và có được Fresher</t>
  </si>
  <si>
    <t>1. Skill: có thể hiện được knowledge về testing, có project apply vào nhưng chưa cụ thể lắm project về gì -&gt; 3
2. Dự án, cuộc thi: chưa có -&gt; 1
3. Full-time availability -&gt; 4
4. GPA: 8.3 -&gt; 3
5. Điểm môn học: trung bình 7-8 -&gt; 3
6. Ngành - trường học -&gt; 4
7. Chất lượng CV: tốt -&gt; 4
8. English -&gt; 4
-&gt; Score: 2.85</t>
  </si>
  <si>
    <t>https://drive.google.com/open?id=150h8dRv4QTAzl4L5Z7qwWo3zhtt4gx27</t>
  </si>
  <si>
    <t>có thể gửi qua teqm QA. LotusHack Hackathon 2026 | Top 30</t>
  </si>
  <si>
    <t>Won 3rd prize in the 2023 Binh Dinh Provincial Excellent Student Mathematics Competition.</t>
  </si>
  <si>
    <t>https://drive.google.com/open?id=1MKr0yHNOp9qi6rAd8tvWcDa4lbs211oH</t>
  </si>
  <si>
    <t>Vớt. Nữ, điểm XSTT không quá xuất sắc. Có từng đi Intern DE và BI</t>
  </si>
  <si>
    <t>đam mê game</t>
  </si>
  <si>
    <t>CV không mở được luôn. Điểm không có gì xuất sắc dù bạn học bên nhóm Kinh tế</t>
  </si>
  <si>
    <t>Công việc Data Labelling không liên quan</t>
  </si>
  <si>
    <t>1st Prize - 2025 HCMUS Capture The Flag Cybersecurity Contest
Honorable Mention - 2023 ICPC Vietnam National Programming Contest
Top 18 teams - 2024, 2025, 2026 The Thach Thuc Academic Competition
2nd Prize - Can Tho City Youth Informatics Contest (Competitive Programming)
Silver Medal - HSGS Olympiad
2nd Prize - Can Tho City Excellent Student Competition (Competitive Programming)</t>
  </si>
  <si>
    <t>https://drive.google.com/open?id=1_acLQaa0xg3TMtlKQ0CPjyycVYS39gtY</t>
  </si>
  <si>
    <t>UIT, học các môn Lập trình, OOP điểm bình thường around 7-8, có làm game nhưng mà chỉ 1 game nhỏ và không chơi được. Hiện đang làm thêm 1 game nữa nên vớt coi thử bạn làm ra sao</t>
  </si>
  <si>
    <t>WL -&gt; Fail. Công việc cũ là DS Research nên các tool của bạn không quá match. Điểm XSTT 8</t>
  </si>
  <si>
    <t>Bạn này từng làm level design ở Lihuhu, đi học GPA cao 3.6 nhưng code thì không ngon -&gt; Consider chuyển qua NV2 của bạn. Bạn quyết định chọn NV1 Unity và rất quyết tâm vì side project riêng của bạn. Vì cũng đã có kinh nghiệm công ty game nên cho bạn thử</t>
  </si>
  <si>
    <t>Học ở Đà Nẵng. Đạt giải nhì Cuộc thi Thách thức Tư duy Thuật toán</t>
  </si>
  <si>
    <t>Nothing special ngoại từ cái tên</t>
  </si>
  <si>
    <t>Điểm cao</t>
  </si>
  <si>
    <t>Chuyên LQĐ- Khánh hOÀ</t>
  </si>
  <si>
    <t>https://drive.google.com/open?id=1IL5Vr6Q7fOoltQA6w8mXzMkufdE-8oZc</t>
  </si>
  <si>
    <t>Certificate of Academic Achievement for the 7 Semesters of the School 2022 - 2026
Full Scholarship from Sacombank for 3 years of studying 2023 - 2025
NVIDIA – Applications of AI for Anomaly Detection Certificate 03/2025 - 04/2025
A Better Vietnam – English Course Completion Certificate</t>
  </si>
  <si>
    <t>https://drive.google.com/open?id=14hsUiJmrSQqMTJTqy-_EsDgeseHTx7Yf</t>
  </si>
  <si>
    <t>Chưa có làm gì liên quan hết, con game duy nhất bạn làm chỉ đang ở bước prototye. Học điểm cũng không cao</t>
  </si>
  <si>
    <t>Điểm XSTT cao &gt;9. Chưa có kinh nghiệm đi làm. Có các project về SQL cho business</t>
  </si>
  <si>
    <t>https://drive.google.com/open?id=16yk5xRZ_aPK0VhW7s8pvADpIWCbK4VGm</t>
  </si>
  <si>
    <t>⭐</t>
  </si>
  <si>
    <t>haoduy0525@gmail.com</t>
  </si>
  <si>
    <t>Bạn đặt obj cho QA career rõ ràng, mà bạn có thể hợp cả 2 NV. Hiểu biết nhiều dòng game, biết về Jira track bug, project cá nhân có làm QA làm test case (Mà thấy bạn thích các game của Game Publisher như VNG, VTC hơn)</t>
  </si>
  <si>
    <t>https://drive.google.com/open?id=1vMHpEteYBC53Tz8O5CCf-H_b3Eph6ZGw</t>
  </si>
  <si>
    <t>Có thể vớt tại bạn này bày tỏ enjoy công việc QA</t>
  </si>
  <si>
    <t>Có thể cân nhắc NV2-DA</t>
  </si>
  <si>
    <t>Bạn này từng apply GD, nhưng khá yếu về kiến thức, midset cũng không quá sáng =&gt; reject</t>
  </si>
  <si>
    <t>https://drive.google.com/open?id=1N__i_0BtoHgbxcuwxxCok62D246P9jHR</t>
  </si>
  <si>
    <t>Có project làm QA dù không liên quan ngành game lắm. Trình bày động lực cũng rõ ràng</t>
  </si>
  <si>
    <t>nothing special, cân nhắc qua team DA</t>
  </si>
  <si>
    <t>đam mê game, thành thực</t>
  </si>
  <si>
    <t>https://drive.google.com/open?id=11R-oKXkeDz0Zhs3c7srtksLsKRAgeAm2</t>
  </si>
  <si>
    <t>Nothing special, nữ nên vớt</t>
  </si>
  <si>
    <t>https://drive.google.com/open?id=1IBIglNsPX_IEJG-l0bz12SOULbuG9iGz</t>
  </si>
  <si>
    <t>IELTS 8.0. Điểm GPA cao. Học cấp 3 trường Top thành phố (Trung học Thực hành Sư phạm). Kêu có tìm hiểu về game Casual</t>
  </si>
  <si>
    <t>Dời 11/05</t>
  </si>
  <si>
    <t>Có ghi skill QA về manual/auto nhưng không thấy thể hiện cụ thể. Không thể hiện động lực ứng tuyển rõ ràng</t>
  </si>
  <si>
    <t>Có kinh nghiệm lấy data theo requirement cho start-up. Điểm XSTK 8.7. Có làm nhiều project BI</t>
  </si>
  <si>
    <r>
      <rPr/>
      <t xml:space="preserve">Em đã làm game cờ thú trên nên web (html/js/css) là project cuối môn AI. Thì trong đó em đã thiết kế giao diện và thuật toán cho AI của game bằng thuật toán Iterative Deepening Alpha-Beta trong vòng 2 tuần. Project này là hoàn toàn from scratch không xài thư viện gì cả, hình ảnh và âm thanh đều do team members làm ra. Kết quả là nhóm em đạt 10/10 vì viết from scratch game có thể chơi trên trình duyệt điện thoại không như các nhóm khác dùng game engine build lên web load rất lâu. Có thể chơi tại đây: 
https://htuanphong.github.io/Animal-Chess/
Ngoài ra vừa rồi em cũng mới viết solo 1 game trên web (html/js/css) trong vòng 24h làm project cuối môn đồ họa ứng dụng. Thì trong đó em đã dùng lại thư viện matter.js, katex để làm một game dựa trên game Suika giúp người chơi hiểu thêm về các hình học đa giác do khi hover lên các hình học, người chơi sẽ thấy công thức toán học và fun fact về các hình học này. Có thể chơi tại đây:
https://htuanphong.github.io/Euclidean-tessellation-game/
Ngoài ra cũng liên quan đến game thì em đã làm một demo trên  engine roblox về inverse kinematic và root motion cho hình người. Ở thời điểm này là chưa có ai làm vậy trên cái engine này vì phải viết from scratch rất nhiều thứ nên mục comment hầu hết rất là bất ngờ:
</t>
    </r>
    <r>
      <rPr>
        <color rgb="FF1155CC"/>
        <u/>
      </rPr>
      <t>https://www.youtube.com/watch?v=T1pwFHTb3Ao</t>
    </r>
  </si>
  <si>
    <t>Chuyên ngành thực tế không match</t>
  </si>
  <si>
    <t>Có học bổng 2 lần. Nhưng mà chủ yếu kinh nghiệm là ML. Điểm cao</t>
  </si>
  <si>
    <t>Test Review</t>
  </si>
  <si>
    <t>https://drive.google.com/open?id=1cwvR1ER1vWcpfQuwrcYeLapgrgk7ZHKl</t>
  </si>
  <si>
    <t>Background Lập trình game FPT nên vớt vào Waiting list Các dự án bạn làm về Game điểm hơi thấp, các môn lập trình điểm cũng &lt;7</t>
  </si>
  <si>
    <t>COUNTUNIQUE of Email</t>
  </si>
  <si>
    <t>Passed CV/Total Rate</t>
  </si>
  <si>
    <t>Round 2 - HR Assignee
- Tổng hợp &amp; gửi chấm bài làm
- HR Intern: Email book lịch + Thực hiện Online Interview 30 phút</t>
  </si>
  <si>
    <t/>
  </si>
  <si>
    <t>Round 2 - Test</t>
  </si>
  <si>
    <r>
      <rPr>
        <rFont val="Arial"/>
        <b/>
        <color theme="1"/>
        <sz val="11.0"/>
      </rPr>
      <t xml:space="preserve">Round 2 - HR Assignee
</t>
    </r>
    <r>
      <rPr>
        <rFont val="Arial"/>
        <b val="0"/>
        <color theme="1"/>
        <sz val="8.0"/>
      </rPr>
      <t>- Tổng hợp &amp; gửi chấm bài làm
- HR Intern: Email book lịch + Thực hiện Online Interview 30 phút</t>
    </r>
  </si>
  <si>
    <t>nothing special, năm 4-2k1?</t>
  </si>
  <si>
    <t>GPA cao, có thể cân nhắc team DA</t>
  </si>
  <si>
    <t>bạn này học nghiêng về data</t>
  </si>
  <si>
    <t>Có khả năng vẽ</t>
  </si>
  <si>
    <t>Điểm cao, nhưng profile thuần làm backend, mong muốn chưa rõ ràng trong CV</t>
  </si>
  <si>
    <t>Bạn có kinh nghiệm tuyển dụng, L&amp;D, EB</t>
  </si>
  <si>
    <t>First prize IT Consultant Challenge - Netcompany &amp; Code Mely, 2025
• Top 15 best teams in UIT Data Science Challenge hold by VNUHCM - UIT, 2025
• Top 18 best teams in academic competition Thach Thuc - FIT VNUHCM - University of Science, 2025
• Second Prize – Ho Chi Minh City Excellent Student Competition in Physics (Grade 12)
• First Prize – Ho Chi Minh City Excellent Student Competition in Physics (Grade 9)</t>
  </si>
  <si>
    <t>2002 đã tốt nghiệp. Từng làm 4 tháng CTV Game Tester cho MetaDOS. Điểm cũng bình thường, kỹ thuật lập trình 9, kiểm thử phần mềm 7.1. Consider cho Fresher. Concern động lực chưa rõ ràng</t>
  </si>
  <si>
    <t xml:space="preserve">- Học được: cải thiện giao tiếp + sắp xếp công việc
- Thấy cũng thật thà, chia sẻ thành thật
- Chịu khó tìm hiểu, nhưng còn nhác
- lý do chọn: học môn Quản lý nhân sự trên trường =&gt; tìm hiểu và mong muốn làm HR (TA/LD)
- Làm TA của golden gate, tuyển LĐPT là chủ yếu, muốn quay lại tuyển tech
</t>
  </si>
  <si>
    <t>- Top 10 highest GPA students in class (3 consecutive semesters).
- 2 Academic Scholarships.</t>
  </si>
  <si>
    <t xml:space="preserve">Tham gia kì thi ICPC Việt Nam vòng National Top 8 
ICPC PTITHCM 2023 - 2024, 2024 - 2025
Top 3 ICPC PTITHCM 2025 - 2026 
Đạt 2/4 học bổng KKHT - Xuất sắc </t>
  </si>
  <si>
    <t>ICPC 2025: Participated in National Contests</t>
  </si>
  <si>
    <t>Đã cho fail bên Lever</t>
  </si>
  <si>
    <t>Profile vậy sao không apply Unity nhỉ (chắc do điểm các môn OOP, Giải thuật không quá cao, nhưng điểm C# Unity 9.6 cao nha) Bạn có làm 2 project game, có 1 con được vào Top GameVerse. Có rất nhiều certificate của các công ty game, công nghệ về Unity.</t>
  </si>
  <si>
    <t>Fresher</t>
  </si>
  <si>
    <t>cân nhắc cho team QA</t>
  </si>
  <si>
    <t>Điểm cao mà chẳng có project game nào đáng kể vậy</t>
  </si>
  <si>
    <t>Consider Fresher</t>
  </si>
  <si>
    <t>1 type gặp khá nhiều ở VNG. Gamer hardcore nhưng không có insight gì về làm game</t>
  </si>
  <si>
    <t>Tom &amp; Jerry: Cheesy Runner is in the Top 10 of SE Apps.</t>
  </si>
  <si>
    <r>
      <rPr/>
      <t xml:space="preserve">- Triển khai toàn bộ Gameplay mechanic
- Triển khai UI (UI Toolkit)
- Triển khai Sound, Effect, Animation.
- Tối ưu hiệu xuất cho android
- Manual test, Debug và build/release sản phẩm.
- Upload sản phẩm lên </t>
    </r>
    <r>
      <rPr>
        <color rgb="FF1155CC"/>
        <u/>
      </rPr>
      <t>Itch.io</t>
    </r>
  </si>
  <si>
    <t>Consider NV2 của bạn. Thực tập Game Design Gihot Studio (22/12/2025 - 06/02/2026). Giải 2 Tìm kiếm tài năng lập trình viên
triển vọng năm học 2022 - 2023</t>
  </si>
  <si>
    <t>Có kinh nghiệm làm Intern Indiez nhưng mà làm PlayableAds Apdapt thôi</t>
  </si>
  <si>
    <t>Junior</t>
  </si>
  <si>
    <r>
      <rPr/>
      <t xml:space="preserve">I completed a Game Design and Development course from Michigan State University (Coursera), where I built a 2D top-down shooter in Unity — implementing player movement, enemy AI, and collision detection. I also independently developed a 3D Solar System simulation in Unity, both published on </t>
    </r>
    <r>
      <rPr>
        <color rgb="FF1155CC"/>
        <u/>
      </rPr>
      <t>itch.io</t>
    </r>
  </si>
  <si>
    <r>
      <rPr/>
      <t xml:space="preserve">2D Shooter (Unity): https://utan0710.itch.io/2d-shooter 2D Space Adventure (Unity): https://utan0710.itch.io/2d-space-adventure 3D Solar System (Unity): https://utan0710.itch.io/solar-system GitHub: </t>
    </r>
    <r>
      <rPr>
        <color rgb="FF1155CC"/>
        <u/>
      </rPr>
      <t>https://github.com/Otcuan</t>
    </r>
  </si>
  <si>
    <t>Có làm project về testing mà làm web. Điểm GPA cao nhưng mà cao các môn về Toán chứ bình thường ở các môn Lập trình</t>
  </si>
  <si>
    <t>Third Prize – KMS Hackathon, Apr 2026</t>
  </si>
  <si>
    <t>LEVEL CONTRIBUTOR Lihuhu</t>
  </si>
  <si>
    <t>Điểm cao, Top 3/117 – MIS Talent Competition – Faculty of Information Systems, NEU (2025), porfolio không có gì</t>
  </si>
  <si>
    <t>2023 Second Prize - National Olympiad in Informatics for Students (Non-IT Major Block)</t>
  </si>
  <si>
    <t>đang intern ở Viettel</t>
  </si>
  <si>
    <t>cân nhắc cho NV2 QA</t>
  </si>
  <si>
    <t>Chuyên Toán Lê Khiết QNgai</t>
  </si>
  <si>
    <r>
      <rPr/>
      <t xml:space="preserve">1. Dự án nhóm: PuzzleStepper (3D Logic Puzzle)  Github: https://github.com/letai1854/PuzzleStepper  Demo: https://youtu.be/_TSHY_yE0CU  2. Dự án cá nhân: Sort Animal Puzzle (Casual)  Github: https://github.com/letai1854/Sort-Animal  Demo: https://youtube.com/shorts/_JD5KUUdjwg  3. Dự án nhóm: Farmy Days (Farming Game)  Github: </t>
    </r>
    <r>
      <rPr>
        <color rgb="FF1155CC"/>
        <u/>
      </rPr>
      <t>https://github.com/letai1854/Farmy-Days</t>
    </r>
  </si>
  <si>
    <t>Fresher. Ton Duc Thang University Academic Excellence Scholarship – Semester 1 &amp; 2 (2024-2025). Có đi Intern Game</t>
  </si>
  <si>
    <t>Đang học ở Đài Loan?</t>
  </si>
  <si>
    <t>Chuyên LQĐ-Khánh hoà, Cân nhắc GD</t>
  </si>
  <si>
    <t>Encourage Academic Scholarship 2023 -2024, 2024-2025. Vietnamese Student of Five Merits 2023-2024. Competions: AngelHack VietNam 2024, UIT Data Science Challenge 2024.</t>
  </si>
  <si>
    <t>Bạn này học IoT</t>
  </si>
  <si>
    <t>Bạn này học IOT và thiên hướng research</t>
  </si>
  <si>
    <t>Điểm GPA cao, Kỹ thuật lập trình 9.6</t>
  </si>
  <si>
    <t>Dời test sang 11/05</t>
  </si>
  <si>
    <t>AI for IoT</t>
  </si>
  <si>
    <t>Second Prize - BKAI-NAVER Hackathon Challenge - Member ◦ Legal Document Retrieval 2024 Consolation Prize - UIT Data Science Challenge - Member ◦ LLM Hallucination Detection</t>
  </si>
  <si>
    <r>
      <rPr/>
      <t xml:space="preserve">I completed a 3-month internship at VGames Studio, where I worked as a developer in a cross-functional team with Game Designers, UI artists, 3D artists, and other programmers to build a 3D casual smashing game for mobile. My role involved implementing gameplay features and collaborating closely with the team. Our project got a 9 from both our mentor and teacher.
Link: </t>
    </r>
    <r>
      <rPr>
        <color rgb="FF1155CC"/>
        <u/>
      </rPr>
      <t>https://drive.google.com/drive/folders/1xsdxp6hN_pLSFANEmjNvQ0g0GTm7KroU?usp=sharing</t>
    </r>
  </si>
  <si>
    <t>Khả năng chưa tìm hiểu cty</t>
  </si>
  <si>
    <t>Academic Encouragement Scholarship – Awarded by UIT to the top 8% of students in each faculty with the highest GPA and exemplary conduct</t>
  </si>
  <si>
    <t>Nguyễn Duy Huân</t>
  </si>
  <si>
    <r>
      <rPr/>
      <t xml:space="preserve">Em là Đoàn Minh Đức, sinh viên năm 4 ngành Công nghệ Thông tin tại Đại học Sài Gòn.
Em chọn apply vị trí này ở SUN.RISER vì em muốn trở thành một Unity Developer chuyên sâu, đồng thời phát triển thêm kỹ năng Game Design.
Em đã tự phát triển 4 dự án game hoàn chỉnh bằng Unity xin hãy xem qua Portfolio:  </t>
    </r>
    <r>
      <rPr>
        <color rgb="FF1155CC"/>
        <u/>
      </rPr>
      <t>https://senseiikuiku.github.io/</t>
    </r>
  </si>
  <si>
    <t>Đam mê game, làm game từ năm 11</t>
  </si>
  <si>
    <t>Hình như có học lại nhiều môn toán. Mathematical Modeling Challenge - Faculty of Mathematics
2025 Mathematical Science Conference
Final round - 3MT(Three Minute Thesis) competition</t>
  </si>
  <si>
    <t>Vietnam Datathon - DataStorm 2025: 1st Place</t>
  </si>
  <si>
    <t xml:space="preserve">GameDev Club at HCMUT </t>
  </si>
  <si>
    <t xml:space="preserve">Luong Van Chanh High School for the Gifted </t>
  </si>
  <si>
    <t>Cân nhắc cho QA</t>
  </si>
  <si>
    <t>trùng</t>
  </si>
  <si>
    <t>Trùng email nên chưa gửi</t>
  </si>
  <si>
    <t>- Có 2 tháng TA Intern tại FPT Software
- Lý do chọn HR: đã làm nhiều thứ trước đó marketing, content, event,... thấy làm Nhân sự phù hợp hơn =&gt; xin intern TA bên Fsoft 
- Sourcer bên fsoft, biết dùng linkedIn, call ứng viên</t>
  </si>
  <si>
    <r>
      <rPr/>
      <t xml:space="preserve">Hotel Management System (C#, WinForms, SQL Server) Role: Development &amp; Manual Testing (test case design, business logic validation) GitHub: https://github.com/vkkhanh/QLyKhachSanRomanceHotel;  Cinema Management System (C#, WinForms, SQL Server) Role: Development &amp; Manual Testing, GitHub: </t>
    </r>
    <r>
      <rPr>
        <color rgb="FF1155CC"/>
        <u/>
      </rPr>
      <t>https://github.com/vkkhanh/QLyRapPhimMegaGS</t>
    </r>
  </si>
  <si>
    <t>Awards: LotusHacks 2026: Achieved Top 30 placement in
the competition; Achieved top 1% in national university entrance exam for Computer Science.</t>
  </si>
  <si>
    <t>Có vẻ thành thật</t>
  </si>
  <si>
    <t>Chỉ thích làm automated testing thôi</t>
  </si>
  <si>
    <t>Cân nhắc QA</t>
  </si>
  <si>
    <t>hướng nghiên cứu</t>
  </si>
  <si>
    <t>Winner – Explainable AI for Educational QA (XAI Challenge) IJCNN 2025
Winner – ROOMELSA Challenge VNUHCM-US 2025
3rd Place – CoverGo Hackathon Oct 2025
Bronze Medal – MABe Challenge (Social Action Recognition in Mice) Kaggle, Dec 2025</t>
  </si>
  <si>
    <t>Có thể cân nhắc qua QA</t>
  </si>
  <si>
    <t>Background ko ấn tượng, chưa có dự án thực tế nào apply Unity</t>
  </si>
  <si>
    <t>trái ngành, GPA thấp, chưa thấy được motivation</t>
  </si>
  <si>
    <t xml:space="preserve">Cân nhắc cho HR </t>
  </si>
  <si>
    <t>- Người SG
- Chủ động tìm hiểu công việc, công ty
- Có cơ duyên vào ban HR của CLB nên quyết định đi theo ngành nhân sự
- Giữa các funtion của HR, chọn TA vì nghĩ bản thân hướng ngoại nên phù hợp
- Homework: TA # recuiter?</t>
  </si>
  <si>
    <t>Tran Minh Tai</t>
  </si>
  <si>
    <t>cần check Eng</t>
  </si>
  <si>
    <t>Cần check Eng</t>
  </si>
  <si>
    <t>bạn này switch qua role Game Designer match hơn</t>
  </si>
  <si>
    <t>cân nhắc case này cho Fresher/junior</t>
  </si>
  <si>
    <t>COUNTA of Email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</si>
</sst>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quot;-&quot;mm&quot;-&quot;yyyy"/>
    <numFmt numFmtId="166" formatCode="m/d/yyyy h:mm:ss"/>
  </numFmts>
  <fonts count="48">
    <font>
      <sz val="10.0"/>
      <color rgb="FF000000"/>
      <name val="Arial"/>
      <scheme val="minor"/>
    </font>
    <font>
      <color theme="1"/>
      <name val="Arial"/>
      <scheme val="minor"/>
    </font>
    <font>
      <b/>
      <color theme="1"/>
      <name val="Arial"/>
      <scheme val="minor"/>
    </font>
    <font>
      <u/>
      <color rgb="FF0000FF"/>
      <name val="Roboto"/>
    </font>
    <font>
      <u/>
      <color rgb="FF0000FF"/>
      <name val="Roboto"/>
    </font>
    <font>
      <u/>
      <color rgb="FF0000FF"/>
      <name val="Roboto"/>
    </font>
    <font>
      <u/>
      <color rgb="FF0000FF"/>
    </font>
    <font>
      <b/>
      <sz val="11.0"/>
      <color theme="1"/>
      <name val="Arial"/>
      <scheme val="minor"/>
    </font>
    <font>
      <sz val="11.0"/>
      <color theme="1"/>
      <name val="Arial"/>
      <scheme val="minor"/>
    </font>
    <font>
      <u/>
      <color theme="1"/>
      <name val="Arial"/>
      <scheme val="minor"/>
    </font>
    <font>
      <u/>
      <color rgb="FF0000FF"/>
      <name val="Roboto"/>
    </font>
    <font>
      <u/>
      <color rgb="FF0000FF"/>
      <name val="Roboto"/>
    </font>
    <font>
      <u/>
      <color theme="1"/>
      <name val="Arial"/>
      <scheme val="minor"/>
    </font>
    <font>
      <u/>
      <color rgb="FF0000FF"/>
      <name val="Roboto"/>
    </font>
    <font>
      <u/>
      <color theme="1"/>
      <name val="Arial"/>
      <scheme val="minor"/>
    </font>
    <font>
      <u/>
      <color rgb="FF0000FF"/>
      <name val="Roboto"/>
    </font>
    <font>
      <u/>
      <color theme="1"/>
      <name val="Arial"/>
      <scheme val="minor"/>
    </font>
    <font>
      <color rgb="FF4285F4"/>
      <name val="Arial"/>
      <scheme val="minor"/>
    </font>
    <font>
      <u/>
      <color rgb="FF0000FF"/>
      <name val="Roboto"/>
    </font>
    <font>
      <color rgb="FF0000FF"/>
      <name val="Arial"/>
      <scheme val="minor"/>
    </font>
    <font>
      <u/>
      <color rgb="FF0000FF"/>
      <name val="Roboto"/>
    </font>
    <font>
      <sz val="11.0"/>
      <color rgb="FF081B3A"/>
      <name val="Arial"/>
    </font>
    <font>
      <b/>
      <color rgb="FFFF0000"/>
      <name val="Arial"/>
      <scheme val="minor"/>
    </font>
    <font>
      <u/>
      <color rgb="FF0000FF"/>
    </font>
    <font>
      <u/>
      <color theme="1"/>
      <name val="Arial"/>
      <scheme val="minor"/>
    </font>
    <font>
      <u/>
      <color rgb="FF0000FF"/>
    </font>
    <font>
      <u/>
      <color theme="1"/>
      <name val="Arial"/>
      <scheme val="minor"/>
    </font>
    <font>
      <u/>
      <color rgb="FF0000FF"/>
    </font>
    <font>
      <u/>
      <color theme="1"/>
      <name val="Arial"/>
      <scheme val="minor"/>
    </font>
    <font>
      <color rgb="FFFF0000"/>
      <name val="Arial"/>
      <scheme val="minor"/>
    </font>
    <font>
      <u/>
      <color rgb="FFFF0000"/>
    </font>
    <font>
      <u/>
      <color rgb="FFFF0000"/>
      <name val="Arial"/>
      <scheme val="minor"/>
    </font>
    <font>
      <u/>
      <color rgb="FF0000FF"/>
    </font>
    <font>
      <color theme="4"/>
      <name val="Arial"/>
      <scheme val="minor"/>
    </font>
    <font>
      <u/>
      <color rgb="FF0000FF"/>
    </font>
    <font>
      <u/>
      <color rgb="FFFF0000"/>
    </font>
    <font>
      <u/>
      <color rgb="FF0000FF"/>
    </font>
    <font>
      <u/>
      <color rgb="FF0000FF"/>
    </font>
    <font>
      <u/>
      <color rgb="FFFF0000"/>
    </font>
    <font>
      <u/>
      <color rgb="FF0000FF"/>
    </font>
    <font>
      <u/>
      <color rgb="FF0000FF"/>
    </font>
    <font>
      <u/>
      <color rgb="FF0000FF"/>
    </font>
    <font>
      <u/>
      <color rgb="FFFF0000"/>
    </font>
    <font>
      <u/>
      <color rgb="FFFF0000"/>
    </font>
    <font>
      <u/>
      <color rgb="FF0000FF"/>
      <name val="Roboto"/>
    </font>
    <font>
      <u/>
      <color rgb="FF0000FF"/>
      <name val="Roboto"/>
    </font>
    <font>
      <u/>
      <color rgb="FFFF0000"/>
      <name val="Roboto"/>
    </font>
    <font>
      <u/>
      <color rgb="FFFF0000"/>
      <name val="Roboto"/>
    </font>
  </fonts>
  <fills count="12">
    <fill>
      <patternFill patternType="none"/>
    </fill>
    <fill>
      <patternFill patternType="lightGray"/>
    </fill>
    <fill>
      <patternFill patternType="solid">
        <fgColor rgb="FFCCCCCC"/>
        <bgColor rgb="FFCCCCCC"/>
      </patternFill>
    </fill>
    <fill>
      <patternFill patternType="solid">
        <fgColor rgb="FFFFE599"/>
        <bgColor rgb="FFFFE599"/>
      </patternFill>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9FC5E8"/>
        <bgColor rgb="FF9FC5E8"/>
      </patternFill>
    </fill>
    <fill>
      <patternFill patternType="solid">
        <fgColor rgb="FFF6F8F9"/>
        <bgColor rgb="FFF6F8F9"/>
      </patternFill>
    </fill>
    <fill>
      <patternFill patternType="solid">
        <fgColor rgb="FF356854"/>
        <bgColor rgb="FF356854"/>
      </patternFill>
    </fill>
    <fill>
      <patternFill patternType="solid">
        <fgColor rgb="FFB7E1CD"/>
        <bgColor rgb="FFB7E1CD"/>
      </patternFill>
    </fill>
    <fill>
      <patternFill patternType="solid">
        <fgColor rgb="FFD9D9D9"/>
        <bgColor rgb="FFD9D9D9"/>
      </patternFill>
    </fill>
  </fills>
  <borders count="1">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1" numFmtId="0" xfId="0" applyAlignment="1" applyFont="1">
      <alignment shrinkToFit="0" vertical="center" wrapText="1"/>
    </xf>
    <xf borderId="0" fillId="0" fontId="1" numFmtId="165" xfId="0" applyAlignment="1" applyFont="1" applyNumberFormat="1">
      <alignment shrinkToFit="0" vertical="center" wrapText="1"/>
    </xf>
    <xf quotePrefix="1" borderId="0" fillId="0" fontId="1" numFmtId="0" xfId="0" applyAlignment="1" applyFont="1">
      <alignment shrinkToFit="0" vertical="center" wrapText="1"/>
    </xf>
    <xf borderId="0" fillId="0" fontId="4" numFmtId="0" xfId="0" applyAlignment="1" applyFont="1">
      <alignment shrinkToFit="0" vertical="center" wrapText="0"/>
    </xf>
    <xf borderId="0" fillId="0" fontId="1" numFmtId="14" xfId="0" applyAlignment="1" applyFont="1" applyNumberFormat="1">
      <alignment shrinkToFit="0" vertical="center" wrapText="1"/>
    </xf>
    <xf borderId="0" fillId="0" fontId="1" numFmtId="0" xfId="0" applyAlignment="1" applyFont="1">
      <alignment shrinkToFit="0" vertical="center" wrapText="0"/>
    </xf>
    <xf borderId="0" fillId="0" fontId="1" numFmtId="166" xfId="0" applyAlignment="1" applyFont="1" applyNumberForma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165" xfId="0" applyAlignment="1" applyFont="1" applyNumberFormat="1">
      <alignment shrinkToFit="0" vertical="center" wrapText="0"/>
    </xf>
    <xf quotePrefix="1" borderId="0" fillId="0" fontId="1" numFmtId="0" xfId="0" applyAlignment="1" applyFont="1">
      <alignment shrinkToFit="0" vertical="center" wrapText="0"/>
    </xf>
    <xf borderId="0" fillId="0" fontId="5" numFmtId="0" xfId="0" applyAlignment="1" applyFont="1">
      <alignment shrinkToFit="0" vertical="center" wrapText="0"/>
    </xf>
    <xf borderId="0" fillId="0" fontId="1" numFmtId="14"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0" xfId="0" applyAlignment="1" applyFont="1">
      <alignment vertical="center"/>
    </xf>
    <xf borderId="0" fillId="0" fontId="1" numFmtId="0" xfId="0" applyFont="1"/>
    <xf borderId="0" fillId="0" fontId="1" numFmtId="14" xfId="0" applyFont="1" applyNumberFormat="1"/>
    <xf quotePrefix="1" borderId="0" fillId="0" fontId="1" numFmtId="0" xfId="0" applyFont="1"/>
    <xf borderId="0" fillId="0" fontId="6" numFmtId="0" xfId="0" applyFont="1"/>
    <xf borderId="0" fillId="0" fontId="1" numFmtId="166" xfId="0" applyFont="1" applyNumberFormat="1"/>
    <xf borderId="0" fillId="0" fontId="1" numFmtId="0" xfId="0" applyAlignment="1" applyFont="1">
      <alignment horizontal="center"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center" readingOrder="0" shrinkToFit="0" vertical="center" wrapText="1"/>
    </xf>
    <xf borderId="0" fillId="0" fontId="7" numFmtId="0" xfId="0" applyAlignment="1" applyFont="1">
      <alignment horizontal="center" readingOrder="0" shrinkToFit="0" vertical="center" wrapText="0"/>
    </xf>
    <xf borderId="0" fillId="0" fontId="7" numFmtId="0" xfId="0" applyAlignment="1" applyFont="1">
      <alignment horizontal="left" readingOrder="0" shrinkToFit="0" vertical="center" wrapText="1"/>
    </xf>
    <xf borderId="0" fillId="0" fontId="7"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2" fontId="1" numFmtId="0" xfId="0" applyAlignment="1" applyFill="1" applyFont="1">
      <alignment shrinkToFit="0" vertical="center" wrapText="1"/>
    </xf>
    <xf borderId="0" fillId="2" fontId="1" numFmtId="165" xfId="0" applyAlignment="1" applyFont="1" applyNumberFormat="1">
      <alignment shrinkToFit="0" vertical="center" wrapText="1"/>
    </xf>
    <xf borderId="0" fillId="2" fontId="1" numFmtId="0" xfId="0" applyAlignment="1" applyFont="1">
      <alignment readingOrder="0" shrinkToFit="0" vertical="center" wrapText="1"/>
    </xf>
    <xf quotePrefix="1" borderId="0" fillId="2" fontId="1" numFmtId="0" xfId="0" applyAlignment="1" applyFont="1">
      <alignment shrinkToFit="0" vertical="center" wrapText="1"/>
    </xf>
    <xf borderId="0" fillId="2" fontId="1" numFmtId="14" xfId="0" applyAlignment="1" applyFont="1" applyNumberFormat="1">
      <alignment shrinkToFit="0" vertical="center" wrapText="1"/>
    </xf>
    <xf borderId="0" fillId="2" fontId="11" numFmtId="0" xfId="0" applyAlignment="1" applyFont="1">
      <alignment shrinkToFit="0" vertical="center" wrapText="0"/>
    </xf>
    <xf borderId="0" fillId="2" fontId="1" numFmtId="0" xfId="0" applyAlignment="1" applyFont="1">
      <alignment shrinkToFit="0" vertical="center" wrapText="0"/>
    </xf>
    <xf borderId="0" fillId="2" fontId="1" numFmtId="166" xfId="0" applyAlignment="1" applyFont="1" applyNumberFormat="1">
      <alignment shrinkToFit="0" vertical="center" wrapText="1"/>
    </xf>
    <xf borderId="0" fillId="2" fontId="1" numFmtId="0" xfId="0" applyAlignment="1" applyFont="1">
      <alignment horizontal="center" readingOrder="0" shrinkToFit="0" vertical="center" wrapText="1"/>
    </xf>
    <xf borderId="0" fillId="2" fontId="12" numFmtId="0" xfId="0" applyAlignment="1" applyFont="1">
      <alignment readingOrder="0" shrinkToFit="0" vertical="center" wrapText="1"/>
    </xf>
    <xf borderId="0" fillId="2" fontId="1"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shrinkToFit="0" vertical="center" wrapText="1"/>
    </xf>
    <xf borderId="0" fillId="3" fontId="1" numFmtId="165" xfId="0" applyAlignment="1" applyFont="1" applyNumberFormat="1">
      <alignment shrinkToFit="0" vertical="center" wrapText="1"/>
    </xf>
    <xf borderId="0" fillId="3" fontId="1" numFmtId="0" xfId="0" applyAlignment="1" applyFont="1">
      <alignment readingOrder="0" shrinkToFit="0" vertical="center" wrapText="1"/>
    </xf>
    <xf quotePrefix="1" borderId="0" fillId="3" fontId="1" numFmtId="0" xfId="0" applyAlignment="1" applyFont="1">
      <alignment shrinkToFit="0" vertical="center" wrapText="1"/>
    </xf>
    <xf borderId="0" fillId="3" fontId="1" numFmtId="14" xfId="0" applyAlignment="1" applyFont="1" applyNumberFormat="1">
      <alignment shrinkToFit="0" vertical="center" wrapText="1"/>
    </xf>
    <xf borderId="0" fillId="3" fontId="13" numFmtId="0" xfId="0" applyAlignment="1" applyFont="1">
      <alignment shrinkToFit="0" vertical="center" wrapText="0"/>
    </xf>
    <xf borderId="0" fillId="3" fontId="1" numFmtId="0" xfId="0" applyAlignment="1" applyFont="1">
      <alignment shrinkToFit="0" vertical="center" wrapText="0"/>
    </xf>
    <xf borderId="0" fillId="3" fontId="1" numFmtId="166" xfId="0" applyAlignment="1" applyFont="1" applyNumberFormat="1">
      <alignment shrinkToFit="0" vertical="center" wrapText="1"/>
    </xf>
    <xf borderId="0" fillId="3" fontId="1" numFmtId="0" xfId="0" applyAlignment="1" applyFont="1">
      <alignment horizontal="center" readingOrder="0" shrinkToFit="0" vertical="center" wrapText="1"/>
    </xf>
    <xf borderId="0" fillId="3" fontId="14" numFmtId="0" xfId="0" applyAlignment="1" applyFont="1">
      <alignment readingOrder="0" shrinkToFit="0" vertical="center" wrapText="1"/>
    </xf>
    <xf borderId="0" fillId="3" fontId="1" numFmtId="0" xfId="0" applyAlignment="1" applyFont="1">
      <alignment readingOrder="0" shrinkToFit="0" vertical="center" wrapText="1"/>
    </xf>
    <xf borderId="0" fillId="4" fontId="1" numFmtId="0" xfId="0" applyAlignment="1" applyFill="1" applyFont="1">
      <alignment shrinkToFit="0" vertical="center" wrapText="0"/>
    </xf>
    <xf borderId="0" fillId="4" fontId="1" numFmtId="165" xfId="0" applyAlignment="1" applyFont="1" applyNumberFormat="1">
      <alignment shrinkToFit="0" vertical="center" wrapText="0"/>
    </xf>
    <xf borderId="0" fillId="4" fontId="1" numFmtId="0" xfId="0" applyAlignment="1" applyFont="1">
      <alignment readingOrder="0" shrinkToFit="0" vertical="center" wrapText="1"/>
    </xf>
    <xf quotePrefix="1" borderId="0" fillId="4" fontId="1" numFmtId="0" xfId="0" applyAlignment="1" applyFont="1">
      <alignment shrinkToFit="0" vertical="center" wrapText="0"/>
    </xf>
    <xf borderId="0" fillId="4" fontId="1" numFmtId="14" xfId="0" applyAlignment="1" applyFont="1" applyNumberFormat="1">
      <alignment shrinkToFit="0" vertical="center" wrapText="0"/>
    </xf>
    <xf borderId="0" fillId="4" fontId="15" numFmtId="0" xfId="0" applyAlignment="1" applyFont="1">
      <alignment shrinkToFit="0" vertical="center" wrapText="0"/>
    </xf>
    <xf borderId="0" fillId="4" fontId="1" numFmtId="166" xfId="0" applyAlignment="1" applyFont="1" applyNumberFormat="1">
      <alignment shrinkToFit="0" vertical="center" wrapText="0"/>
    </xf>
    <xf borderId="0" fillId="4" fontId="1" numFmtId="0" xfId="0" applyAlignment="1" applyFont="1">
      <alignment horizontal="center" readingOrder="0" shrinkToFit="0" vertical="center" wrapText="1"/>
    </xf>
    <xf borderId="0" fillId="4" fontId="16"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shrinkToFit="0" vertical="center" wrapText="1"/>
    </xf>
    <xf borderId="0" fillId="0" fontId="17" numFmtId="0" xfId="0" applyAlignment="1" applyFont="1">
      <alignment readingOrder="0" shrinkToFit="0" vertical="center" wrapText="1"/>
    </xf>
    <xf quotePrefix="1" borderId="0" fillId="0"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shrinkToFit="0" vertical="center" wrapText="0"/>
    </xf>
    <xf borderId="0" fillId="2" fontId="1" numFmtId="165" xfId="0" applyAlignment="1" applyFont="1" applyNumberFormat="1">
      <alignment shrinkToFit="0" vertical="center" wrapText="0"/>
    </xf>
    <xf quotePrefix="1" borderId="0" fillId="2" fontId="1" numFmtId="0" xfId="0" applyAlignment="1" applyFont="1">
      <alignment shrinkToFit="0" vertical="center" wrapText="0"/>
    </xf>
    <xf borderId="0" fillId="2" fontId="1" numFmtId="14" xfId="0" applyAlignment="1" applyFont="1" applyNumberFormat="1">
      <alignment shrinkToFit="0" vertical="center" wrapText="0"/>
    </xf>
    <xf borderId="0" fillId="2" fontId="18" numFmtId="0" xfId="0" applyAlignment="1" applyFont="1">
      <alignment shrinkToFit="0" vertical="center" wrapText="0"/>
    </xf>
    <xf borderId="0" fillId="2" fontId="1" numFmtId="166" xfId="0" applyAlignment="1" applyFont="1" applyNumberFormat="1">
      <alignment shrinkToFit="0" vertical="center" wrapText="0"/>
    </xf>
    <xf borderId="0" fillId="0" fontId="19" numFmtId="0" xfId="0" applyAlignment="1" applyFont="1">
      <alignment readingOrder="0" shrinkToFit="0" vertical="center" wrapText="0"/>
    </xf>
    <xf borderId="0" fillId="0" fontId="19" numFmtId="0" xfId="0" applyAlignment="1" applyFon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readingOrder="0" shrinkToFit="0" vertical="center" wrapText="1"/>
    </xf>
    <xf quotePrefix="1" borderId="0" fillId="0" fontId="19" numFmtId="0" xfId="0" applyAlignment="1" applyFont="1">
      <alignment shrinkToFit="0" vertical="center" wrapText="0"/>
    </xf>
    <xf borderId="0" fillId="0" fontId="19" numFmtId="14" xfId="0" applyAlignment="1" applyFont="1" applyNumberFormat="1">
      <alignment shrinkToFit="0" vertical="center" wrapText="0"/>
    </xf>
    <xf borderId="0" fillId="0" fontId="19" numFmtId="166" xfId="0" applyAlignment="1" applyFont="1" applyNumberFormat="1">
      <alignment shrinkToFit="0" vertical="center" wrapText="0"/>
    </xf>
    <xf borderId="0" fillId="0" fontId="19" numFmtId="0" xfId="0" applyAlignment="1" applyFont="1">
      <alignment horizontal="center" readingOrder="0" shrinkToFit="0" vertical="center" wrapText="1"/>
    </xf>
    <xf borderId="0" fillId="0" fontId="19" numFmtId="0" xfId="0" applyAlignment="1" applyFont="1">
      <alignment readingOrder="0" shrinkToFit="0" vertical="center" wrapText="1"/>
    </xf>
    <xf borderId="0" fillId="4" fontId="1" numFmtId="0" xfId="0" applyAlignment="1" applyFont="1">
      <alignment shrinkToFit="0" vertical="center" wrapText="1"/>
    </xf>
    <xf borderId="0" fillId="4" fontId="1" numFmtId="165" xfId="0" applyAlignment="1" applyFont="1" applyNumberFormat="1">
      <alignment shrinkToFit="0" vertical="center" wrapText="1"/>
    </xf>
    <xf quotePrefix="1" borderId="0" fillId="4" fontId="1" numFmtId="0" xfId="0" applyAlignment="1" applyFont="1">
      <alignment shrinkToFit="0" vertical="center" wrapText="1"/>
    </xf>
    <xf borderId="0" fillId="4" fontId="1" numFmtId="14" xfId="0" applyAlignment="1" applyFont="1" applyNumberFormat="1">
      <alignment shrinkToFit="0" vertical="center" wrapText="1"/>
    </xf>
    <xf borderId="0" fillId="4" fontId="20" numFmtId="0" xfId="0" applyAlignment="1" applyFont="1">
      <alignment shrinkToFit="0" vertical="center" wrapText="0"/>
    </xf>
    <xf borderId="0" fillId="4" fontId="1" numFmtId="0" xfId="0" applyAlignment="1" applyFont="1">
      <alignment shrinkToFit="0" vertical="center" wrapText="0"/>
    </xf>
    <xf borderId="0" fillId="4" fontId="1" numFmtId="166" xfId="0" applyAlignment="1" applyFont="1" applyNumberFormat="1">
      <alignment shrinkToFit="0" vertical="center" wrapText="1"/>
    </xf>
    <xf borderId="0" fillId="0" fontId="1" numFmtId="0" xfId="0" applyAlignment="1" applyFont="1">
      <alignment readingOrder="0" shrinkToFit="0" vertical="center" wrapText="0"/>
    </xf>
    <xf borderId="0" fillId="5" fontId="2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1"/>
    </xf>
    <xf borderId="0" fillId="6" fontId="22" numFmtId="10" xfId="0" applyFill="1" applyFont="1" applyNumberFormat="1"/>
    <xf borderId="0" fillId="7" fontId="2" numFmtId="0" xfId="0" applyAlignment="1" applyFill="1" applyFont="1">
      <alignment horizontal="center" readingOrder="0" shrinkToFit="0" vertical="center" wrapText="1"/>
    </xf>
    <xf borderId="0" fillId="7" fontId="2" numFmtId="0" xfId="0" applyAlignment="1" applyFont="1">
      <alignment horizontal="center" shrinkToFit="0" vertical="center" wrapText="0"/>
    </xf>
    <xf borderId="0" fillId="7" fontId="2" numFmtId="0" xfId="0" applyAlignment="1" applyFont="1">
      <alignment horizontal="center" shrinkToFit="0" vertical="center" wrapText="1"/>
    </xf>
    <xf borderId="0" fillId="6" fontId="2" numFmtId="0" xfId="0" applyAlignment="1" applyFont="1">
      <alignment horizontal="center" readingOrder="0" shrinkToFit="0" vertical="center" wrapText="1"/>
    </xf>
    <xf borderId="0" fillId="7" fontId="7" numFmtId="0" xfId="0" applyAlignment="1" applyFont="1">
      <alignment horizontal="center" readingOrder="0" shrinkToFit="0" vertical="center" wrapText="1"/>
    </xf>
    <xf borderId="0" fillId="7" fontId="7" numFmtId="0" xfId="0" applyAlignment="1" applyFont="1">
      <alignment horizontal="left" readingOrder="0" shrinkToFit="0" vertical="center" wrapText="1"/>
    </xf>
    <xf borderId="0" fillId="0" fontId="1" numFmtId="165" xfId="0" applyAlignment="1" applyFont="1" applyNumberFormat="1">
      <alignment vertical="center"/>
    </xf>
    <xf quotePrefix="1" borderId="0" fillId="0" fontId="1" numFmtId="0" xfId="0" applyAlignment="1" applyFont="1">
      <alignment vertical="center"/>
    </xf>
    <xf borderId="0" fillId="0" fontId="1" numFmtId="14" xfId="0" applyAlignment="1" applyFont="1" applyNumberFormat="1">
      <alignment vertical="center"/>
    </xf>
    <xf borderId="0" fillId="0" fontId="23" numFmtId="0" xfId="0" applyAlignment="1" applyFont="1">
      <alignment vertical="center"/>
    </xf>
    <xf borderId="0" fillId="0" fontId="1" numFmtId="166" xfId="0" applyAlignment="1" applyFont="1" applyNumberFormat="1">
      <alignment vertical="center"/>
    </xf>
    <xf borderId="0" fillId="0" fontId="1" numFmtId="0" xfId="0" applyAlignment="1" applyFont="1">
      <alignment horizontal="center" readingOrder="0" shrinkToFit="0" vertical="center" wrapText="1"/>
    </xf>
    <xf borderId="0" fillId="0" fontId="1" numFmtId="0" xfId="0" applyAlignment="1" applyFont="1">
      <alignment shrinkToFit="0" vertical="center" wrapText="0"/>
    </xf>
    <xf borderId="0" fillId="0" fontId="24" numFmtId="0" xfId="0" applyAlignment="1" applyFont="1">
      <alignment horizontal="center" readingOrder="0" shrinkToFit="0" vertical="center" wrapText="1"/>
    </xf>
    <xf borderId="0" fillId="2" fontId="1" numFmtId="0" xfId="0" applyAlignment="1" applyFont="1">
      <alignment vertical="center"/>
    </xf>
    <xf borderId="0" fillId="2" fontId="1" numFmtId="165" xfId="0" applyAlignment="1" applyFont="1" applyNumberFormat="1">
      <alignment vertical="center"/>
    </xf>
    <xf quotePrefix="1" borderId="0" fillId="2" fontId="1" numFmtId="0" xfId="0" applyAlignment="1" applyFont="1">
      <alignment vertical="center"/>
    </xf>
    <xf borderId="0" fillId="2" fontId="1" numFmtId="14" xfId="0" applyAlignment="1" applyFont="1" applyNumberFormat="1">
      <alignment vertical="center"/>
    </xf>
    <xf borderId="0" fillId="2" fontId="25" numFmtId="0" xfId="0" applyAlignment="1" applyFont="1">
      <alignment vertical="center"/>
    </xf>
    <xf borderId="0" fillId="2" fontId="1" numFmtId="166" xfId="0" applyAlignment="1" applyFont="1" applyNumberFormat="1">
      <alignment vertical="center"/>
    </xf>
    <xf borderId="0" fillId="2" fontId="1" numFmtId="0" xfId="0" applyAlignment="1" applyFont="1">
      <alignment horizontal="center" readingOrder="0" shrinkToFit="0" vertical="center" wrapText="1"/>
    </xf>
    <xf borderId="0" fillId="2" fontId="26" numFmtId="0" xfId="0" applyAlignment="1" applyFont="1">
      <alignment readingOrder="0" vertical="center"/>
    </xf>
    <xf borderId="0" fillId="2" fontId="1" numFmtId="0" xfId="0" applyAlignment="1" applyFont="1">
      <alignment shrinkToFit="0" vertical="center" wrapText="1"/>
    </xf>
    <xf borderId="0" fillId="4" fontId="1" numFmtId="0" xfId="0" applyAlignment="1" applyFont="1">
      <alignment vertical="center"/>
    </xf>
    <xf borderId="0" fillId="4" fontId="1" numFmtId="165" xfId="0" applyAlignment="1" applyFont="1" applyNumberFormat="1">
      <alignment vertical="center"/>
    </xf>
    <xf quotePrefix="1" borderId="0" fillId="4" fontId="1" numFmtId="0" xfId="0" applyAlignment="1" applyFont="1">
      <alignment vertical="center"/>
    </xf>
    <xf borderId="0" fillId="4" fontId="1" numFmtId="14" xfId="0" applyAlignment="1" applyFont="1" applyNumberFormat="1">
      <alignment vertical="center"/>
    </xf>
    <xf borderId="0" fillId="4" fontId="27" numFmtId="0" xfId="0" applyAlignment="1" applyFont="1">
      <alignment vertical="center"/>
    </xf>
    <xf borderId="0" fillId="4" fontId="1" numFmtId="0" xfId="0" applyAlignment="1" applyFont="1">
      <alignment shrinkToFit="0" vertical="center" wrapText="0"/>
    </xf>
    <xf borderId="0" fillId="4" fontId="1" numFmtId="166" xfId="0" applyAlignment="1" applyFont="1" applyNumberFormat="1">
      <alignment vertical="center"/>
    </xf>
    <xf borderId="0" fillId="4" fontId="1" numFmtId="0" xfId="0" applyAlignment="1" applyFont="1">
      <alignment horizontal="center" readingOrder="0" shrinkToFit="0" vertical="center" wrapText="1"/>
    </xf>
    <xf borderId="0" fillId="4" fontId="28" numFmtId="0" xfId="0" applyAlignment="1" applyFont="1">
      <alignment horizontal="center" readingOrder="0" shrinkToFit="0" vertical="center" wrapText="1"/>
    </xf>
    <xf borderId="0" fillId="4" fontId="1" numFmtId="0" xfId="0" applyAlignment="1" applyFont="1">
      <alignment shrinkToFit="0" vertical="center" wrapText="1"/>
    </xf>
    <xf borderId="0" fillId="0" fontId="1" numFmtId="0" xfId="0" applyAlignment="1" applyFont="1">
      <alignment readingOrder="0" vertical="center"/>
    </xf>
    <xf quotePrefix="1" borderId="0" fillId="0" fontId="1" numFmtId="0" xfId="0" applyAlignment="1" applyFont="1">
      <alignment readingOrder="0" shrinkToFit="0" vertical="center" wrapText="1"/>
    </xf>
    <xf borderId="0" fillId="2" fontId="1" numFmtId="0" xfId="0" applyAlignment="1" applyFont="1">
      <alignment shrinkToFit="0" vertical="center" wrapText="0"/>
    </xf>
    <xf borderId="0" fillId="0" fontId="19" numFmtId="0" xfId="0" applyAlignment="1" applyFont="1">
      <alignment vertical="center"/>
    </xf>
    <xf borderId="0" fillId="0" fontId="19" numFmtId="165" xfId="0" applyAlignment="1" applyFont="1" applyNumberFormat="1">
      <alignment vertical="center"/>
    </xf>
    <xf quotePrefix="1" borderId="0" fillId="0" fontId="19" numFmtId="0" xfId="0" applyAlignment="1" applyFont="1">
      <alignment vertical="center"/>
    </xf>
    <xf borderId="0" fillId="0" fontId="19" numFmtId="14" xfId="0" applyAlignment="1" applyFont="1" applyNumberFormat="1">
      <alignment vertical="center"/>
    </xf>
    <xf borderId="0" fillId="0" fontId="19" numFmtId="0" xfId="0" applyAlignment="1" applyFont="1">
      <alignment shrinkToFit="0" vertical="center" wrapText="0"/>
    </xf>
    <xf borderId="0" fillId="0" fontId="19" numFmtId="166" xfId="0" applyAlignment="1" applyFont="1" applyNumberFormat="1">
      <alignment vertical="center"/>
    </xf>
    <xf borderId="0" fillId="0" fontId="19" numFmtId="0" xfId="0" applyAlignment="1" applyFont="1">
      <alignment horizontal="center" readingOrder="0" shrinkToFit="0" vertical="center" wrapText="1"/>
    </xf>
    <xf borderId="0" fillId="4" fontId="29" numFmtId="0" xfId="0" applyAlignment="1" applyFont="1">
      <alignment vertical="center"/>
    </xf>
    <xf borderId="0" fillId="4" fontId="29" numFmtId="165" xfId="0" applyAlignment="1" applyFont="1" applyNumberFormat="1">
      <alignment vertical="center"/>
    </xf>
    <xf quotePrefix="1" borderId="0" fillId="4" fontId="29" numFmtId="0" xfId="0" applyAlignment="1" applyFont="1">
      <alignment vertical="center"/>
    </xf>
    <xf borderId="0" fillId="4" fontId="29" numFmtId="14" xfId="0" applyAlignment="1" applyFont="1" applyNumberFormat="1">
      <alignment vertical="center"/>
    </xf>
    <xf borderId="0" fillId="4" fontId="30" numFmtId="0" xfId="0" applyAlignment="1" applyFont="1">
      <alignment vertical="center"/>
    </xf>
    <xf borderId="0" fillId="4" fontId="29" numFmtId="0" xfId="0" applyAlignment="1" applyFont="1">
      <alignment shrinkToFit="0" vertical="center" wrapText="0"/>
    </xf>
    <xf borderId="0" fillId="4" fontId="29" numFmtId="166" xfId="0" applyAlignment="1" applyFont="1" applyNumberFormat="1">
      <alignment vertical="center"/>
    </xf>
    <xf borderId="0" fillId="4" fontId="29" numFmtId="0" xfId="0" applyAlignment="1" applyFont="1">
      <alignment horizontal="center" readingOrder="0" shrinkToFit="0" vertical="center" wrapText="1"/>
    </xf>
    <xf borderId="0" fillId="4" fontId="31" numFmtId="0" xfId="0" applyAlignment="1" applyFont="1">
      <alignment horizontal="center" readingOrder="0" shrinkToFit="0" vertical="center" wrapText="1"/>
    </xf>
    <xf borderId="0" fillId="4" fontId="29" numFmtId="0" xfId="0" applyAlignment="1" applyFont="1">
      <alignment readingOrder="0" shrinkToFit="0" vertical="center" wrapText="1"/>
    </xf>
    <xf borderId="0" fillId="0" fontId="32" numFmtId="0" xfId="0" applyAlignment="1" applyFont="1">
      <alignment readingOrder="0" shrinkToFit="0" vertical="center" wrapText="0"/>
    </xf>
    <xf borderId="0" fillId="0" fontId="33" numFmtId="0" xfId="0" applyAlignment="1" applyFont="1">
      <alignment readingOrder="0" shrinkToFit="0" vertical="center" wrapText="1"/>
    </xf>
    <xf borderId="0" fillId="0" fontId="29" numFmtId="0" xfId="0" applyAlignment="1" applyFont="1">
      <alignment shrinkToFit="0" vertical="center" wrapText="0"/>
    </xf>
    <xf borderId="0" fillId="0" fontId="34" numFmtId="0" xfId="0" applyAlignment="1" applyFont="1">
      <alignment readingOrder="0" vertical="center"/>
    </xf>
    <xf borderId="0" fillId="0" fontId="29" numFmtId="0" xfId="0" applyAlignment="1" applyFont="1">
      <alignment vertical="center"/>
    </xf>
    <xf borderId="0" fillId="0" fontId="29" numFmtId="165" xfId="0" applyAlignment="1" applyFont="1" applyNumberFormat="1">
      <alignment vertical="center"/>
    </xf>
    <xf quotePrefix="1" borderId="0" fillId="0" fontId="29" numFmtId="0" xfId="0" applyAlignment="1" applyFont="1">
      <alignment vertical="center"/>
    </xf>
    <xf borderId="0" fillId="0" fontId="29" numFmtId="14" xfId="0" applyAlignment="1" applyFont="1" applyNumberFormat="1">
      <alignment vertical="center"/>
    </xf>
    <xf borderId="0" fillId="0" fontId="35" numFmtId="0" xfId="0" applyAlignment="1" applyFont="1">
      <alignment vertical="center"/>
    </xf>
    <xf borderId="0" fillId="0" fontId="29" numFmtId="0" xfId="0" applyAlignment="1" applyFont="1">
      <alignment shrinkToFit="0" vertical="center" wrapText="0"/>
    </xf>
    <xf borderId="0" fillId="0" fontId="29" numFmtId="166" xfId="0" applyAlignment="1" applyFont="1" applyNumberFormat="1">
      <alignment vertical="center"/>
    </xf>
    <xf borderId="0" fillId="0" fontId="29" numFmtId="0" xfId="0" applyAlignment="1" applyFont="1">
      <alignment horizontal="center" readingOrder="0" shrinkToFit="0" vertical="center" wrapText="1"/>
    </xf>
    <xf borderId="0" fillId="0" fontId="29" numFmtId="0" xfId="0" applyAlignment="1" applyFont="1">
      <alignment readingOrder="0" shrinkToFit="0" vertical="center" wrapText="1"/>
    </xf>
    <xf borderId="0" fillId="8" fontId="1" numFmtId="0" xfId="0" applyAlignment="1" applyFill="1" applyFont="1">
      <alignment vertical="center"/>
    </xf>
    <xf borderId="0" fillId="8" fontId="1" numFmtId="165" xfId="0" applyAlignment="1" applyFont="1" applyNumberFormat="1">
      <alignment vertical="center"/>
    </xf>
    <xf quotePrefix="1" borderId="0" fillId="8" fontId="1" numFmtId="0" xfId="0" applyAlignment="1" applyFont="1">
      <alignment vertical="center"/>
    </xf>
    <xf borderId="0" fillId="8" fontId="36" numFmtId="0" xfId="0" applyAlignment="1" applyFont="1">
      <alignment vertical="center"/>
    </xf>
    <xf borderId="0" fillId="8" fontId="1" numFmtId="166" xfId="0" applyAlignment="1" applyFont="1" applyNumberFormat="1">
      <alignment vertical="center"/>
    </xf>
    <xf borderId="0" fillId="5" fontId="1" numFmtId="0" xfId="0" applyAlignment="1" applyFont="1">
      <alignment vertical="center"/>
    </xf>
    <xf borderId="0" fillId="5" fontId="1" numFmtId="165" xfId="0" applyAlignment="1" applyFont="1" applyNumberFormat="1">
      <alignment vertical="center"/>
    </xf>
    <xf quotePrefix="1" borderId="0" fillId="5" fontId="1" numFmtId="0" xfId="0" applyAlignment="1" applyFont="1">
      <alignment vertical="center"/>
    </xf>
    <xf borderId="0" fillId="5" fontId="37" numFmtId="0" xfId="0" applyAlignment="1" applyFont="1">
      <alignment vertical="center"/>
    </xf>
    <xf borderId="0" fillId="5" fontId="1" numFmtId="166" xfId="0" applyAlignment="1" applyFont="1" applyNumberFormat="1">
      <alignment vertical="center"/>
    </xf>
    <xf borderId="0" fillId="5" fontId="1" numFmtId="0" xfId="0" applyAlignment="1" applyFont="1">
      <alignment readingOrder="0" vertical="center"/>
    </xf>
    <xf borderId="0" fillId="0" fontId="1" numFmtId="0" xfId="0" applyAlignment="1" applyFont="1">
      <alignment horizontal="center" readingOrder="0" vertical="center"/>
    </xf>
    <xf borderId="0" fillId="2" fontId="1" numFmtId="0" xfId="0" applyAlignment="1" applyFont="1">
      <alignment shrinkToFit="0" vertical="center" wrapText="0"/>
    </xf>
    <xf borderId="0" fillId="5" fontId="19" numFmtId="0" xfId="0" applyAlignment="1" applyFont="1">
      <alignment vertical="center"/>
    </xf>
    <xf borderId="0" fillId="5" fontId="19" numFmtId="165" xfId="0" applyAlignment="1" applyFont="1" applyNumberFormat="1">
      <alignment vertical="center"/>
    </xf>
    <xf quotePrefix="1" borderId="0" fillId="5" fontId="19" numFmtId="0" xfId="0" applyAlignment="1" applyFont="1">
      <alignment vertical="center"/>
    </xf>
    <xf borderId="0" fillId="5" fontId="19" numFmtId="166" xfId="0" applyAlignment="1" applyFont="1" applyNumberFormat="1">
      <alignment vertical="center"/>
    </xf>
    <xf borderId="0" fillId="0" fontId="19" numFmtId="0" xfId="0" applyAlignment="1" applyFont="1">
      <alignment horizontal="center" readingOrder="0" vertical="center"/>
    </xf>
    <xf borderId="0" fillId="8" fontId="29" numFmtId="0" xfId="0" applyAlignment="1" applyFont="1">
      <alignment vertical="center"/>
    </xf>
    <xf borderId="0" fillId="8" fontId="29" numFmtId="165" xfId="0" applyAlignment="1" applyFont="1" applyNumberFormat="1">
      <alignment vertical="center"/>
    </xf>
    <xf quotePrefix="1" borderId="0" fillId="8" fontId="29" numFmtId="0" xfId="0" applyAlignment="1" applyFont="1">
      <alignment vertical="center"/>
    </xf>
    <xf borderId="0" fillId="8" fontId="38" numFmtId="0" xfId="0" applyAlignment="1" applyFont="1">
      <alignment vertical="center"/>
    </xf>
    <xf borderId="0" fillId="8" fontId="29" numFmtId="166" xfId="0" applyAlignment="1" applyFont="1" applyNumberFormat="1">
      <alignment vertical="center"/>
    </xf>
    <xf borderId="0" fillId="0" fontId="1" numFmtId="0" xfId="0" applyAlignment="1" applyFont="1">
      <alignment vertical="center"/>
    </xf>
    <xf borderId="0" fillId="0" fontId="1" numFmtId="165" xfId="0" applyAlignment="1" applyFont="1" applyNumberFormat="1">
      <alignment vertical="center"/>
    </xf>
    <xf borderId="0" fillId="5" fontId="39" numFmtId="0" xfId="0" applyFont="1"/>
    <xf borderId="0" fillId="0" fontId="1" numFmtId="0" xfId="0" applyAlignment="1" applyFont="1">
      <alignment horizontal="center" vertical="center"/>
    </xf>
    <xf borderId="0" fillId="2" fontId="40" numFmtId="0" xfId="0" applyFont="1"/>
    <xf borderId="0" fillId="2" fontId="1" numFmtId="0" xfId="0" applyAlignment="1" applyFont="1">
      <alignment horizontal="center" readingOrder="0" vertical="center"/>
    </xf>
    <xf borderId="0" fillId="8" fontId="41" numFmtId="0" xfId="0" applyFont="1"/>
    <xf borderId="0" fillId="0" fontId="29" numFmtId="0" xfId="0" applyAlignment="1" applyFont="1">
      <alignment vertical="center"/>
    </xf>
    <xf borderId="0" fillId="0" fontId="29" numFmtId="165" xfId="0" applyAlignment="1" applyFont="1" applyNumberFormat="1">
      <alignment vertical="center"/>
    </xf>
    <xf borderId="0" fillId="5" fontId="42" numFmtId="0" xfId="0" applyFont="1"/>
    <xf borderId="0" fillId="5" fontId="43" numFmtId="0" xfId="0" applyAlignment="1" applyFont="1">
      <alignment vertical="center"/>
    </xf>
    <xf borderId="0" fillId="2" fontId="1" numFmtId="0" xfId="0" applyAlignment="1" applyFont="1">
      <alignment readingOrder="0" vertical="center"/>
    </xf>
    <xf borderId="0" fillId="9" fontId="2" numFmtId="0" xfId="0" applyAlignment="1" applyFill="1" applyFont="1">
      <alignment horizontal="center" readingOrder="0" shrinkToFit="0" vertical="center" wrapText="0"/>
    </xf>
    <xf borderId="0" fillId="9" fontId="2" numFmtId="0" xfId="0" applyAlignment="1" applyFont="1">
      <alignment horizontal="center" readingOrder="0" shrinkToFit="0" vertical="center" wrapText="0"/>
    </xf>
    <xf borderId="0" fillId="9" fontId="7" numFmtId="0" xfId="0" applyAlignment="1" applyFont="1">
      <alignment horizontal="center" readingOrder="0" shrinkToFit="0" vertical="center" wrapText="0"/>
    </xf>
    <xf borderId="0" fillId="9" fontId="7" numFmtId="0" xfId="0" applyAlignment="1" applyFont="1">
      <alignment horizontal="left" readingOrder="0" shrinkToFit="0" vertical="center" wrapText="0"/>
    </xf>
    <xf borderId="0" fillId="10" fontId="44" numFmtId="0" xfId="0" applyAlignment="1" applyFill="1" applyFont="1">
      <alignment shrinkToFit="0" vertical="center" wrapText="0"/>
    </xf>
    <xf borderId="0" fillId="11" fontId="1" numFmtId="0" xfId="0" applyAlignment="1" applyFill="1" applyFont="1">
      <alignment shrinkToFit="0" vertical="center" wrapText="0"/>
    </xf>
    <xf borderId="0" fillId="11" fontId="1" numFmtId="165" xfId="0" applyAlignment="1" applyFont="1" applyNumberFormat="1">
      <alignment shrinkToFit="0" vertical="center" wrapText="0"/>
    </xf>
    <xf quotePrefix="1" borderId="0" fillId="11" fontId="1" numFmtId="0" xfId="0" applyAlignment="1" applyFont="1">
      <alignment shrinkToFit="0" vertical="center" wrapText="0"/>
    </xf>
    <xf borderId="0" fillId="11" fontId="1" numFmtId="14" xfId="0" applyAlignment="1" applyFont="1" applyNumberFormat="1">
      <alignment shrinkToFit="0" vertical="center" wrapText="0"/>
    </xf>
    <xf borderId="0" fillId="11" fontId="45" numFmtId="0" xfId="0" applyAlignment="1" applyFont="1">
      <alignment shrinkToFit="0" vertical="center" wrapText="0"/>
    </xf>
    <xf borderId="0" fillId="11" fontId="1" numFmtId="166" xfId="0" applyAlignment="1" applyFont="1" applyNumberFormat="1">
      <alignment shrinkToFit="0" vertical="center" wrapText="0"/>
    </xf>
    <xf borderId="0" fillId="11" fontId="1" numFmtId="0" xfId="0" applyAlignment="1" applyFont="1">
      <alignment horizontal="center" readingOrder="0" shrinkToFit="0" vertical="center" wrapText="1"/>
    </xf>
    <xf borderId="0" fillId="11" fontId="1" numFmtId="0" xfId="0" applyAlignment="1" applyFont="1">
      <alignment readingOrder="0" shrinkToFit="0" vertical="center" wrapText="1"/>
    </xf>
    <xf borderId="0" fillId="11" fontId="1" numFmtId="0" xfId="0" applyAlignment="1" applyFont="1">
      <alignment shrinkToFit="0" vertical="center" wrapText="1"/>
    </xf>
    <xf quotePrefix="1" borderId="0" fillId="0" fontId="19" numFmtId="0" xfId="0" applyAlignment="1" applyFont="1">
      <alignment readingOrder="0" shrinkToFit="0" vertical="center" wrapText="1"/>
    </xf>
    <xf borderId="0" fillId="0" fontId="29" numFmtId="0" xfId="0" applyAlignment="1" applyFont="1">
      <alignment shrinkToFit="0" vertical="center" wrapText="0"/>
    </xf>
    <xf borderId="0" fillId="0" fontId="29" numFmtId="165" xfId="0" applyAlignment="1" applyFont="1" applyNumberFormat="1">
      <alignment shrinkToFit="0" vertical="center" wrapText="0"/>
    </xf>
    <xf quotePrefix="1" borderId="0" fillId="0" fontId="29" numFmtId="0" xfId="0" applyAlignment="1" applyFont="1">
      <alignment shrinkToFit="0" vertical="center" wrapText="0"/>
    </xf>
    <xf borderId="0" fillId="0" fontId="29" numFmtId="14" xfId="0" applyAlignment="1" applyFont="1" applyNumberFormat="1">
      <alignment shrinkToFit="0" vertical="center" wrapText="0"/>
    </xf>
    <xf borderId="0" fillId="0" fontId="46" numFmtId="0" xfId="0" applyAlignment="1" applyFont="1">
      <alignment shrinkToFit="0" vertical="center" wrapText="0"/>
    </xf>
    <xf borderId="0" fillId="10" fontId="47" numFmtId="0" xfId="0" applyAlignment="1" applyFont="1">
      <alignment shrinkToFit="0" vertical="center" wrapText="0"/>
    </xf>
    <xf borderId="0" fillId="0" fontId="29" numFmtId="166" xfId="0" applyAlignment="1" applyFont="1" applyNumberFormat="1">
      <alignment shrinkToFit="0" vertical="center" wrapText="0"/>
    </xf>
    <xf borderId="0" fillId="0" fontId="29" numFmtId="0" xfId="0" applyAlignment="1" applyFont="1">
      <alignment horizontal="center" readingOrder="0" shrinkToFit="0" vertical="center" wrapText="1"/>
    </xf>
    <xf borderId="0" fillId="0" fontId="29" numFmtId="0" xfId="0" applyAlignment="1" applyFont="1">
      <alignment readingOrder="0" shrinkToFit="0" vertical="center" wrapText="1"/>
    </xf>
  </cellXfs>
  <cellStyles count="1">
    <cellStyle xfId="0" name="Normal" builtinId="0"/>
  </cellStyles>
  <dxfs count="7">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
      <font/>
      <fill>
        <patternFill patternType="solid">
          <fgColor rgb="FF356854"/>
          <bgColor rgb="FF356854"/>
        </patternFill>
      </fill>
      <border/>
    </dxf>
    <dxf>
      <font/>
      <fill>
        <patternFill patternType="solid">
          <fgColor rgb="FFB7E1CD"/>
          <bgColor rgb="FFB7E1CD"/>
        </patternFill>
      </fill>
      <border/>
    </dxf>
  </dxfs>
  <tableStyles count="5">
    <tableStyle count="4" pivot="0" name="Working Timeline -style">
      <tableStyleElement dxfId="1" type="headerRow"/>
      <tableStyleElement dxfId="2" type="firstRowStripe"/>
      <tableStyleElement dxfId="3" type="secondRowStripe"/>
      <tableStyleElement dxfId="4" size="0" type="wholeTable"/>
    </tableStyle>
    <tableStyle count="4" pivot="0" name="Working Timeline -style 2">
      <tableStyleElement dxfId="5" type="headerRow"/>
      <tableStyleElement dxfId="2" type="firstRowStripe"/>
      <tableStyleElement dxfId="3" type="secondRowStripe"/>
      <tableStyleElement dxfId="4" size="0" type="wholeTable"/>
    </tableStyle>
    <tableStyle count="4" pivot="0" name="SUN.RISER 2026-style">
      <tableStyleElement dxfId="5" type="headerRow"/>
      <tableStyleElement dxfId="2" type="firstRowStripe"/>
      <tableStyleElement dxfId="3" type="secondRowStripe"/>
      <tableStyleElement dxfId="4" size="0" type="wholeTable"/>
    </tableStyle>
    <tableStyle count="4" pivot="0" name="1.1. Batch 1 - 20260423 - 1945-style">
      <tableStyleElement dxfId="5" type="headerRow"/>
      <tableStyleElement dxfId="2" type="firstRowStripe"/>
      <tableStyleElement dxfId="3" type="secondRowStripe"/>
      <tableStyleElement dxfId="4" size="0" type="wholeTable"/>
    </tableStyle>
    <tableStyle count="4" pivot="0" name="3.1. Batch 3 - 20260509-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rgbClr val="4285F4"/>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 All'!$F$26:$F$32</c:f>
            </c:strRef>
          </c:cat>
          <c:val>
            <c:numRef>
              <c:f>'Pivot All'!$G$26:$G$32</c:f>
              <c:numCache/>
            </c:numRef>
          </c:val>
        </c:ser>
        <c:axId val="1404268786"/>
        <c:axId val="992061048"/>
      </c:barChart>
      <c:catAx>
        <c:axId val="14042687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2061048"/>
      </c:catAx>
      <c:valAx>
        <c:axId val="9920610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426878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274E13"/>
              </a:solidFill>
              <a:ln cmpd="sng" w="9525">
                <a:solidFill>
                  <a:srgbClr val="CCCCCC"/>
                </a:solidFill>
              </a:ln>
            </c:spPr>
          </c:dPt>
          <c:dPt>
            <c:idx val="1"/>
            <c:spPr>
              <a:solidFill>
                <a:srgbClr val="38761D"/>
              </a:solidFill>
              <a:ln cmpd="sng" w="9525">
                <a:solidFill>
                  <a:srgbClr val="CCCCCC"/>
                </a:solidFill>
              </a:ln>
            </c:spPr>
          </c:dPt>
          <c:dPt>
            <c:idx val="2"/>
            <c:spPr>
              <a:solidFill>
                <a:srgbClr val="6AA84F"/>
              </a:solidFill>
              <a:ln cmpd="sng" w="9525">
                <a:solidFill>
                  <a:srgbClr val="CCCCCC"/>
                </a:solidFill>
              </a:ln>
            </c:spPr>
          </c:dPt>
          <c:dPt>
            <c:idx val="3"/>
            <c:spPr>
              <a:solidFill>
                <a:srgbClr val="93C47D"/>
              </a:solidFill>
              <a:ln cmpd="sng" w="9525">
                <a:solidFill>
                  <a:srgbClr val="CCCCCC"/>
                </a:solidFill>
              </a:ln>
            </c:spPr>
          </c:dPt>
          <c:dPt>
            <c:idx val="4"/>
            <c:spPr>
              <a:solidFill>
                <a:srgbClr val="93C47D"/>
              </a:solidFill>
              <a:ln cmpd="sng" w="9525">
                <a:solidFill>
                  <a:srgbClr val="CCCCCC"/>
                </a:solidFill>
              </a:ln>
            </c:spPr>
          </c:dPt>
          <c:dPt>
            <c:idx val="5"/>
            <c:spPr>
              <a:solidFill>
                <a:srgbClr val="93C47D"/>
              </a:solidFill>
              <a:ln cmpd="sng" w="9525">
                <a:solidFill>
                  <a:srgbClr val="CCCCCC"/>
                </a:solidFill>
              </a:ln>
            </c:spPr>
          </c:dPt>
          <c:dPt>
            <c:idx val="6"/>
            <c:spPr>
              <a:solidFill>
                <a:srgbClr val="D9EAD3"/>
              </a:solidFill>
              <a:ln cmpd="sng" w="9525">
                <a:solidFill>
                  <a:srgbClr val="CCCCCC"/>
                </a:solidFill>
              </a:ln>
            </c:spPr>
          </c:dPt>
          <c:dPt>
            <c:idx val="7"/>
            <c:spPr>
              <a:solidFill>
                <a:srgbClr val="D9EAD3"/>
              </a:solidFill>
              <a:ln cmpd="sng" w="9525">
                <a:solidFill>
                  <a:srgbClr val="CCCCCC"/>
                </a:solidFill>
              </a:ln>
            </c:spPr>
          </c:dPt>
          <c:dPt>
            <c:idx val="8"/>
            <c:spPr>
              <a:solidFill>
                <a:srgbClr val="D9EAD3"/>
              </a:solidFill>
              <a:ln cmpd="sng" w="9525">
                <a:solidFill>
                  <a:srgbClr val="CCCCCC"/>
                </a:solidFill>
              </a:ln>
            </c:spPr>
          </c:dPt>
          <c:dPt>
            <c:idx val="9"/>
            <c:spPr>
              <a:solidFill>
                <a:srgbClr val="D9EAD3"/>
              </a:solidFill>
              <a:ln cmpd="sng" w="9525">
                <a:solidFill>
                  <a:srgbClr val="CCCCCC"/>
                </a:solidFill>
              </a:ln>
            </c:spPr>
          </c:dPt>
          <c:dPt>
            <c:idx val="10"/>
            <c:spPr>
              <a:solidFill>
                <a:srgbClr val="D9EAD3"/>
              </a:solidFill>
              <a:ln cmpd="sng" w="9525">
                <a:solidFill>
                  <a:srgbClr val="CCCCCC"/>
                </a:solidFill>
              </a:ln>
            </c:spPr>
          </c:dPt>
          <c:dPt>
            <c:idx val="11"/>
            <c:spPr>
              <a:solidFill>
                <a:srgbClr val="EFEFEF"/>
              </a:solidFill>
              <a:ln cmpd="sng" w="9525">
                <a:solidFill>
                  <a:srgbClr val="CCCCCC"/>
                </a:solidFill>
              </a:ln>
            </c:spPr>
          </c:dPt>
          <c:dLbls>
            <c:showLegendKey val="0"/>
            <c:showVal val="0"/>
            <c:showCatName val="0"/>
            <c:showSerName val="0"/>
            <c:showPercent val="0"/>
            <c:showBubbleSize val="0"/>
            <c:showLeaderLines val="1"/>
          </c:dLbls>
          <c:cat>
            <c:strRef>
              <c:f>'Pivot All'!$H$37:$H$48</c:f>
            </c:strRef>
          </c:cat>
          <c:val>
            <c:numRef>
              <c:f>'Pivot All'!$I$37:$I$48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15</xdr:row>
      <xdr:rowOff>47625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47625</xdr:colOff>
      <xdr:row>29</xdr:row>
      <xdr:rowOff>57150</xdr:rowOff>
    </xdr:from>
    <xdr:ext cx="11029950" cy="5257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161925</xdr:colOff>
      <xdr:row>0</xdr:row>
      <xdr:rowOff>133350</xdr:rowOff>
    </xdr:from>
    <xdr:ext cx="7239000" cy="38481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645" sheet="SUN.RISER 2026"/>
  </cacheSource>
  <cacheFields>
    <cacheField name="*Vui lòng cung cấp họ và tên đầy đủ của bạn.*" numFmtId="0">
      <sharedItems>
        <s v="Đặng Nguyễn Duy Khanh"/>
        <s v="Phạm Ngọc Trí"/>
        <s v="Nguyễn Trọng Nghĩa"/>
        <s v="Đặng Thế An"/>
        <s v="Nguyễn Công Trung"/>
        <s v="Trần Đỗ Hoàng Tân"/>
        <s v="Nguyễn Minh Khôi"/>
        <s v="Nguyễn Mạnh Hoài Bảo"/>
        <s v="Nguyễn Đức Hoàng"/>
        <s v="Trần Quốc Đạt"/>
        <s v="Trần Quốc An"/>
        <s v="Phạm Minh Ngân"/>
        <s v="Võ Nguyễn Hưng"/>
        <s v="Trần Đông Khang"/>
        <s v="Trần Duy Hải Đăng"/>
        <s v="Nguyễn Phương Nam"/>
        <s v="Phan Đình Thái"/>
        <s v="Ngô Trung Thiện"/>
        <s v="Trần Danh Vinh"/>
        <s v="Nguyễn Hùng Phát"/>
        <s v="Lê Hữu Tài"/>
        <s v="Nguyễn Quốc Anh"/>
        <s v="Trần Phương Anh"/>
        <s v="Trần Lập Nhân"/>
        <s v="Dương Thế Khải"/>
        <s v="Tạ Ngọc  Minh"/>
        <s v="Đỗ Phú Duy"/>
        <s v="Nguyễn Bình Minh Quân"/>
        <s v="Nguyễn Đình Quân"/>
        <s v="Nguyễn Trương Trọng Hiếu"/>
        <s v="Nguyễn Khắc Kỳ"/>
        <s v="Phạm Thanh Phong"/>
        <s v="Nguyễn Thanh Hiền"/>
        <s v="VŨ TRƯỜNG HÙNG"/>
        <s v="Lê Đình Thiện"/>
        <s v="Trương Lê Thụy Vy"/>
        <s v="Nguyễn Anh Tường"/>
        <s v="Võ Ngọc Duy"/>
        <s v="Đinh Thanh Tùng"/>
        <s v="Trịnh Võ Nam Kiệt"/>
        <s v="Huỳnh Cao Tuấn Kiệt"/>
        <s v="Nguyễn Lê Sơn"/>
        <s v="Phan Đức Anh"/>
        <s v="Lưu Thượng Hồng"/>
        <s v="Nguyễn Hoàng Vũ"/>
        <s v="Tăng Thị Vân"/>
        <s v="Hoàng Võ Ngọc Nguyên"/>
        <s v="Hoàng Đôn Thiện Hòa"/>
        <s v="Phạm Anh Huy"/>
        <s v="Trần Tường Vi"/>
        <s v="Trần Bảo Phúc"/>
        <s v="Trần Châu Phú"/>
        <s v="Nguyễn Bích Khuê"/>
        <s v="Nguyễn Duy Tâm"/>
        <s v="Nguyễn Thành Đạt"/>
        <s v="Hoàng Đình Ngọc Quang"/>
        <s v="Lê Huỳnh Nhật Hưng"/>
        <s v="Trần Thiện Thuật"/>
        <s v="Bùi Thị Thanh"/>
        <s v="Phan Thị Ngọc Linh"/>
        <s v="Trần Quang Anh Thuận"/>
        <s v="Nguyễn Lâm Nhã Uyên"/>
        <s v="Bùi Trương Thái Sơn"/>
        <s v="Trần Minh Tâm"/>
        <s v="Võ Thanh Trọng"/>
        <s v="Nguyễn Như Hoàng Tiến"/>
        <s v="Trương Trí Khải"/>
        <s v="Nguyễn Ngọc Anh Thư"/>
        <s v="Lê Hoàng Minh Huy"/>
        <s v="Nguyễn Tân Niên"/>
        <s v="Lê Quốc Đạt"/>
        <s v="Bùi Hữu Hoàng"/>
        <s v="Trương Bình Ba"/>
        <s v="Ngô Quang Thắng"/>
        <s v="Nguyễn Hoàng Nhựt Minh"/>
        <s v="Nguyễn Đỗ Bảo"/>
        <s v="Lê Đức Ngọc Bảo"/>
        <s v="Trần Duy Anh Khoa"/>
        <s v="Trần Gia Bảo Anh"/>
        <s v="Trần Thị Cẩm Tú"/>
        <s v="Đào Thiên Phú"/>
        <s v="Nguyễn Hoàng Anh Tuấn"/>
        <s v="Nguyễn Hiếu Thuận"/>
        <s v="Trần Thanh Thảo"/>
        <s v="Lê Thượng Đế"/>
        <s v="Nguyễn Tấn Lộc"/>
        <s v="Ngô Thế Đạt"/>
        <s v="Âu Gia Quốc"/>
        <s v="Ho Sy Kien"/>
        <s v="Nguyễn Trọng Tín"/>
        <s v="Dương Gia Huy"/>
        <s v="Tô Duy Hào"/>
        <s v="Trần Thiên Phúc"/>
        <s v="Nguyễn Hoàng Quân"/>
        <s v="Phạm Nam Huyên"/>
        <s v="Lê Thanh Hải"/>
        <s v="Nguyễn Thành Khang"/>
        <s v="TRƯƠNG QUANG HUY"/>
        <s v="Từ Thế Phong"/>
        <s v="Nguyễn Vũ Tường Vy"/>
        <s v="Trần Thị Minh Vi"/>
        <s v="Nguyễn Phúc Nhân"/>
        <s v="Mai Xuân Hưng"/>
        <s v="Dương Khánh Nguyên"/>
        <s v="Lê Quốc Anh"/>
        <s v="Nguyễn Minh Trí"/>
        <s v="Trần Khôn Chí"/>
        <s v="Hà Tuấn Anh"/>
        <s v="Nguyễn Trần Phúc Đạt"/>
        <s v="Dương Văn Thắng"/>
        <s v="Võ Nguyễn Thảo Uyên"/>
        <s v="Nguyễn Thanh Owen"/>
        <s v="THÁI HỮU THỌ"/>
        <s v="Huỳnh Tuấn Phong"/>
        <s v="Trầm Hữu Nhân"/>
        <s v="Đỗ Nhật Hạ"/>
        <s v="Trương Việt Hoàng"/>
        <s v="Ngô Gia Thịnh"/>
        <s v="Trầ Đạt"/>
        <s v="Nguyễn Thị Minh Thư"/>
        <s v="Nguyễn Minh Đạt"/>
        <s v="Trần Trí Đức"/>
        <s v="La Nguyễn Quốc Thịnh"/>
        <s v="Trần Duy Khang"/>
        <s v="Trần Thị Yến Nhi"/>
        <s v="Nguyễn Tấn Thắng"/>
        <s v="Lê Huy Toàn"/>
        <s v="Tiêu Thị Kim Cương"/>
        <s v="Trần Thị Thu Hoài"/>
        <s v="Phạm Nguyễn Tài Tuệ"/>
        <s v="Lê Minh Quang"/>
        <s v="Vũ Hoàng Minh"/>
        <s v="Nguyễn Trọng Nhân"/>
        <s v="Huỳnh Thành Tài"/>
        <s v="Trần Vĩnh Trường"/>
        <s v="Nguyễn Minh Quang"/>
        <s v="Đinh Hoàng Nam"/>
        <s v="Trần Ngọc Yến Vy"/>
        <s v="Nguyễn Mạc Gia Huy"/>
        <s v="Trần Văn Trường"/>
        <s v="Bùi Đoàn Thúy Vy"/>
        <s v="Nguyễn Gia Huy"/>
        <s v="Bùi Hà Bảo Khanh"/>
        <s v="Trần Xuân Lộc"/>
        <s v="Đoàn Nguyễn Minh Thư"/>
        <s v="Lê Trọng Thiện"/>
        <s v="Nguyễn Hoàng Minh"/>
        <s v="Nguyễn Trần Nhựt Nam"/>
        <s v="Vũ Ngọc Sơn"/>
        <s v="Lương Nguyệt Thuý"/>
        <s v="Hoàng Kim Tùng"/>
        <s v="Trương Vĩnh An"/>
        <s v="TRẦN THỊ THU LƯƠNG"/>
        <s v="Đoàn Thị Minh Anh"/>
        <s v="Nguyễn Nhật Quang"/>
        <s v="Hồ Trọng Nghĩa"/>
        <s v="Vũ Minh Chiến"/>
        <s v="Đinh Thị Thanh Hằng"/>
        <s v="Bùi Khánh Duy"/>
        <s v="Nguyễn Trương Hoàng"/>
        <s v="Phạm Cao Trí"/>
        <s v="Tuan Anh Tran"/>
        <s v="Lê Nguyên Khang"/>
        <s v="Đặng Hoàng Như Thuỷ"/>
        <s v="Châu Mỹ Phương"/>
        <s v="Nguyễn Vạn Xuân"/>
        <s v="Đoàn Hồng Bảo"/>
        <s v="Phạm Huỳnh Tấn"/>
        <s v="Nguyễn Thế Anh"/>
        <s v="Nguyễn Đặng Minh Duy"/>
        <s v="Nguyễn Quốc Anh Quân"/>
        <s v="Minh"/>
        <s v="Nguyễn Võ Ngọc Bảo"/>
        <s v="Bùi Đình An Lộc"/>
        <s v="Lê Thành Công"/>
        <s v="Nguyễn Vũ Thuỳ Trâm"/>
        <s v="Nguyễn Tấn Thành"/>
        <s v="Nguyễn Mai Phương"/>
        <s v="Nguyễn Hồng Luân"/>
        <s v="Phạm Anh Đức"/>
        <s v="Hoàng Thanh Lâm"/>
        <s v="Nguyễn Hữu Tuấn Tú"/>
        <s v="Truong Quang Nghia"/>
        <s v="NGO QUANG MINH"/>
        <s v="Nguyễn Thị Như Quỳnh"/>
        <s v="Nguyễn Khải"/>
        <s v="Trần Ngọc Khánh Huy"/>
        <s v="Trần Tấn Tài"/>
        <s v="Nguyễn Đức Phúc"/>
        <s v="Phạm Thành Đạt"/>
        <s v="Nguyễn Đăng Khôi"/>
        <s v="Huỳnh Quốc Huy"/>
        <s v="Nguyễn Thị Bình Minh"/>
        <s v="Nguyễn Khắc Tùng Dương"/>
        <s v="Trần Nguyễn Khắc Duy"/>
        <s v="Mai Hoàng Hưng"/>
        <s v="Nguyễn Thị Thu Trang"/>
        <s v="Huỳnh Nguyễn Minh Khang"/>
        <s v="Tôn Thất Minh Toàn"/>
        <s v="Hoàng Nhân Khánh"/>
        <s v="Nguyễn Xuân Hoài"/>
        <s v="Ngô Thị Ánh Dương"/>
        <s v="Đoàn Mạnh Tất"/>
        <s v="Tôn Võ Hoài Khiêm"/>
        <s v="Nguyễn Nhật Hiệu"/>
        <s v="Vũ Quốc Bảo"/>
        <s v="Trần Lê Hoàng Huy"/>
        <s v="Nguyễn Đình Minh Nhật"/>
        <s v="Trần Hoàng Phúc"/>
        <s v="Nguyen Tien Thinh"/>
        <s v="Nguyễn Thị Huyền Trang"/>
        <s v="Nguyễn Thanh Bình"/>
        <s v="Dương Triệu Vy"/>
        <s v="Lâm Thành Trung"/>
        <s v="Nguyễn Võ Minh Quân"/>
        <s v="Đỗ Việt Hùng"/>
        <s v="Trần Lê Đông Anh"/>
        <s v="Thái Thanh Kha"/>
        <s v="Hoàng Hải Yến"/>
        <s v="Nguyễn Thái Diễm Quỳnh"/>
        <s v="Lê Quốc Việt"/>
        <s v="Mai Quỳnh Châu"/>
        <s v="Nguyễn Quốc Tiến"/>
        <s v="Trần Như Phú Quang"/>
        <s v="Lê Thanh Phát"/>
        <s v="Nguyễn Thắng Lợi"/>
        <s v="Lê Công Tuấn"/>
        <s v="Nguyễn Vy Thảo"/>
        <s v="Lê Minh Chiến"/>
        <s v="Ngụy Thành Đạt"/>
        <s v="Nguyễn Phi Long"/>
        <s v="Lê Nguyễn Nhật Trường"/>
        <s v="Hoàng Hữu Nhân"/>
        <s v="Trần Khánh An"/>
        <s v="Trần Tiến Cường"/>
        <s v="Võ Anh KHải"/>
        <s v="Trần Tấn Vạn"/>
        <s v="Tran Gia Hy"/>
        <s v="Nguyễn Xuân Duy"/>
        <s v="Phạm Nguyễn Quang Thoại"/>
        <s v="Trần Thị Thanh Vi"/>
        <s v="Trần Nhật Duy"/>
        <s v="Trương Gia Hào"/>
        <s v="Võ Văn Giang"/>
        <s v="Phạm Tấn Đạt"/>
        <s v="Nguyễn Anh Minh"/>
        <s v="Lê Bảo Quốc"/>
        <s v="Lại Ngọc Phương Nam"/>
        <s v="Mai Anh Sơn"/>
        <s v="Nguyễn Xuân Đăng Trình"/>
        <s v="Mai Xuân Thường"/>
        <s v="Trần Tiến Lực"/>
        <s v="Thạch Nhựt Hào"/>
        <s v="Võ Thị Tiên Phước"/>
        <s v="Lê Thị Bích Trà"/>
        <s v="Châu Gia Bảo"/>
        <s v="Phùng Trung Bắc"/>
        <s v="Nguyễn Thị Ngọc Minh"/>
        <s v="Phan Thảo Vy"/>
        <s v="AN NGUYỄN QUỐC"/>
        <s v="Tô Võ Yến Thơ"/>
        <s v="Nguyễn Nam Huy"/>
        <s v="Bui Thien Phuc"/>
        <s v="Đặng Quỳnh Châu"/>
        <s v="Nguyễn Hoàng Long"/>
        <s v="Nguyễn Khoa Quang Duy"/>
        <s v="Trần Tiến Đạt"/>
        <s v="Nguyễn Thành Danh"/>
        <s v="Bùi Tuấn Hùng"/>
        <s v="Lê Quân Đạt"/>
        <s v="Lê Hoàng Việt"/>
        <s v="Lê Võ Xuân Hưng"/>
        <s v="Võ Đức Cao Thượng"/>
        <s v="Lê Văn Tài"/>
        <s v="Nguyễn Thanh Tùng"/>
        <s v="Phạm Minh Phát"/>
        <s v="Phạm Anh Văn"/>
        <s v="Trần Phan Đăng Khôi"/>
        <s v="Đặng Quốc Viêt"/>
        <s v="Phạm Thanh Tùng"/>
        <s v="Đoàn Nguyễn Đan Quỳnh"/>
        <s v="Võ Thị Ngọc Chi"/>
        <s v="CAO HUYỀN MY"/>
        <s v="Trịnh Tấn Hào"/>
        <s v="Dụng Lan Anh"/>
        <s v="Nguyễn Văn Lam"/>
        <s v="Nguyễn Tất Kiên"/>
        <s v="Bùi Nam Việt"/>
        <s v="Trần Khánh Linh"/>
        <s v="Phùng Ngọc Tuấn"/>
        <s v="Nguyễn Việt Hùng"/>
        <s v="Dat Do Van"/>
        <s v="Lê Cường Thịnh"/>
        <s v="Nguyễn Thúy Thương"/>
        <s v="Nguyễn Đồng Thanh"/>
        <s v="Vũ Hoàng Long"/>
        <s v="Nguyễn"/>
        <s v="Lê Thái Khánh Ngân"/>
        <s v="Nguyễn Mạnh Hùng"/>
        <s v="Nguyễn Trần Phước Lộc"/>
        <s v="Trần Trung Tuấn Hưng"/>
        <s v="Nguyễn Minh Trung"/>
        <s v="Nguyễn Phú Thịnh"/>
        <s v="Nguyễn Trần Mạnh Thắng"/>
        <s v="Nguyễn Thanh Quân"/>
        <s v="Tran Dinh Phu"/>
        <s v="Nguyễn Trọng Khôi"/>
        <s v="Trần Anh Huy"/>
        <s v="Nguyễn Đức Thắng"/>
        <s v="Nguyễn Nhân Quỳnh Như"/>
        <s v="Triệu Đoan Kỳ"/>
        <s v="Nguyễn Văn Quốc"/>
        <s v="Lê Phước Thái"/>
        <s v="Lê Phan Xuân Dũng"/>
        <s v="Biện Hữu Khang"/>
        <s v="Ngô Nguyên Thảo"/>
        <s v="Tiêu Trí Bằng"/>
        <s v="Võ Nguyễn Bảo Ngọc"/>
        <s v="Trần Anh Thái"/>
        <s v="Nguyễn Hạnh Bảo Ân"/>
        <s v="Đoàn Minh Đức"/>
        <s v="Xuan Hoang Ha"/>
        <s v="Trần Doãn Thanh Quý"/>
        <s v="Nguyễn Trần Xuân Nhi"/>
        <s v="Phạm Đỗ Quang Long"/>
        <s v="Nguyễn Duy"/>
        <s v="Lê Hà Bảo Khanh"/>
        <s v="Hung Nguyen"/>
        <s v="Nguyễn Ngọc Phương"/>
        <s v="Nguyễn Toàn Phúc"/>
        <s v="Huỳnh Duy Khanh"/>
        <s v="Nguyễn Thanh Trúc"/>
        <s v="Bùi Bình Nguyên"/>
        <s v="Hồng Chung Lâm"/>
        <s v="Cù Thanh Tường"/>
        <s v="Nguyễn Thị Khánh Đoan"/>
        <s v="Lê Minh Kha"/>
        <s v="Vũ Quang Huy"/>
        <s v="Phan Thế Hoàng"/>
        <s v="Trần Đại Hải"/>
        <s v="Nguyễn Thị Quỳnh Tâm"/>
        <s v="Trần Tiến Dũng"/>
        <s v="Lê Nguyễn Kiều Oanh"/>
        <s v="Nguyen Hong Yen"/>
        <s v="Phạm Tuấn Đăng Khoa"/>
        <s v="Nguyễn Trung Tín"/>
        <s v="Trương Vạn Niên"/>
        <s v="Đỗ Tuấn Trực"/>
        <s v="Nguyễn Hoàng Phúc"/>
        <s v="Đinh Bảo Thy"/>
        <s v="Dương Thị Bảo Trân"/>
        <s v="Huy Nguyễn Quốc"/>
        <s v="Nguyễn Thanh Phong"/>
        <s v="Vũ Đỗ Bình An"/>
        <s v="Phan Tấn Lộc"/>
        <s v="Lê Tấn"/>
        <s v="Lê Tuấn Khôi"/>
        <s v="Lâm The Rin"/>
        <s v="Tran Truong Lan Anh"/>
        <s v="Nguyễn Hoàng Tùng Linh"/>
        <s v="Huỳnh Thái Bảo"/>
        <s v="Thái Thị Mỹ Quyên"/>
        <s v="Võ Phạm Gia Long"/>
        <s v="HỒ NGỌC NHUNG"/>
        <s v="Vĩnh Bảo Phúc"/>
        <s v="Nguyễn Thảo Ly"/>
        <s v="Nguyễn Quốc Duy"/>
        <s v="Hồ Tài Liên Vy Kha"/>
        <s v="Phạm Nguyễn Khánh Minh"/>
        <s v="Bùi Tuấn Cường"/>
        <s v="Đặng Thị Thúy Vi"/>
        <s v="VŨ BÍCH VI"/>
        <s v="Nguyễn Võ Vân Anh"/>
        <s v="Lê Trương Thiên Bảo"/>
        <s v="Vũ Kim Khanh"/>
        <s v="Trần Hữu Kim Quý"/>
        <s v="Hoàng Nguyên Hương"/>
        <s v="Nguyễn Văn Trí"/>
        <s v="Nguyễn Văn Đăng"/>
        <s v="Trần Thị Cát Tường"/>
        <s v="Nguyễn Tiểu Anh"/>
        <s v="Phạm Hồng Nhân"/>
        <s v="Trương Dương Thùy Trang"/>
        <s v="Trần Duy Phát"/>
        <s v="Quách Thảo Vy"/>
        <s v="Nguyen Phuong Nhi"/>
        <s v="Ngô Chí Cường"/>
        <s v="Lê Nhật Hào"/>
        <s v="Nguyễn Phúc Loan"/>
        <s v="Cao Thiên Quang"/>
        <s v="Lâm Minh Tùng Quân"/>
        <s v="Nguyễn Phương Tùng"/>
        <s v="Nguyen Thi Hong Nhung"/>
        <s v="Nguyễn Đình Việt Hoàng"/>
        <s v="Nguyễn Ngọc Thắng"/>
        <s v="Nguyễn Phú Toàn"/>
        <s v="Nguyễn Thị Yến Linh"/>
        <s v="Phạm Hồng Phát"/>
        <s v="Nguyễn Đức Toàn"/>
        <s v="Nguyễn Nguyên Bảo Phú"/>
        <s v="Nguyễn Thị Hồng Nhung"/>
        <s v="Nguyễn Lâm Thao"/>
        <s v="Vòng Nguyên Hy"/>
        <s v="Lục Minh Phú"/>
        <s v="Triệu Hoàng Duy"/>
        <s v="Vũ Trần Khánh Như"/>
        <s v="Ngô Trương Thiên"/>
        <s v="Lê Anh Khôi"/>
        <s v="Duong Khanh Trang"/>
        <s v="NGUYỄN PHẠM UYÊN UYÊN"/>
        <s v="NGUYEN LE YEN NHI"/>
        <s v="Lê Bình Nguyên"/>
        <s v="Phan Huỳnh Châu Thịnh"/>
        <s v="Trần Duy Anh Dũng"/>
        <s v="Lương Nguyễn Anh Quân"/>
        <s v="Lê Thế Vinh"/>
        <s v="Trương Hoài Phong"/>
        <s v="Triệu Tấn Huy"/>
        <s v="Lê Minh Nhật"/>
        <s v="Ngô Thế Kiệt"/>
        <s v="Nguyễn Thi Anh Thành"/>
        <s v="Nguyễn Thị Tuyết Nữ"/>
        <s v="Lê Đức Long"/>
        <s v="Huỳnh Thị Kim Ngọc"/>
        <s v="HOÀNG HUY TỚI"/>
        <s v="Đỗ Nguyễn Khoa Duy"/>
        <s v="Hồ Nhật Tiến"/>
        <s v="Châu Văn Minh Khoa"/>
        <s v="Trần Đắc Thịnh"/>
        <s v="Nguyễn Trần Thị Phi Yến"/>
        <s v="Nguyễn Thế Luân"/>
        <s v="Lê Ngọc Hiền"/>
        <s v="Trần Đắc Phú"/>
        <s v="Nguyễn Lưu Anh Huy"/>
        <s v="Nguyễn Hà Viết Thống"/>
        <s v="Lê Hà Chức"/>
        <s v="Võ Đức Thiện"/>
        <s v="Trịnh Quang Hiên"/>
        <s v="Lê Thành Đạt"/>
        <s v="Lê Nguyễn Trung Vĩnh"/>
        <s v="Nguyễn Huỳnh Hạnh Nguyên"/>
        <s v="Nguyen Bui Duy Anh"/>
        <s v="Tsằn Cá Thành"/>
        <s v="Lâm Tấn Phát"/>
        <s v="Nguyễn Đăng Khoa"/>
        <s v="Trương Phúc Trường"/>
        <s v="Lê Minh Kiệt"/>
        <s v="Nguyễn Quyết Giang Sơn"/>
        <s v="Dương Quốc Thành"/>
        <s v="Nguyễn Hoàng Trang"/>
        <s v="Phan Nguyễn Trung Hiếu"/>
        <s v="Nguyễn Đặng Thanh Duy"/>
        <s v="Võ Nhân Hồng Phúc"/>
        <s v="Lê Bá Đoàn"/>
        <s v="Phan Ngưng"/>
        <s v="Nguyễn Trường Thịnh"/>
        <s v="Nguyễn Hoài Như"/>
        <s v="Nguyễn Xuân Lộc"/>
        <s v="Trương Quỳnh Như"/>
        <s v="Lê Quốc Vương"/>
        <s v="BUI TRAN THY THY"/>
        <s v="Nguyễn Hoàn Báu"/>
        <s v="Lương Nguyễn Xuân Minh"/>
        <s v="Bùi Lê Hồng Tâm"/>
        <s v="Lê Hoàng Châu Anh"/>
        <s v="Trương Tấn Phát"/>
        <s v="Nguyễn Lâm Đức Hòa"/>
        <s v="Nguyễn Trần Gia"/>
        <s v="Nguyễn Tú Như"/>
        <s v="Lê Thị Thu Hiệp"/>
        <s v="Nguyễn Thành Vinh"/>
        <s v="Ngô Phương Nam"/>
        <s v="Lâm Minh Khang"/>
        <s v="Trần Thị Kim Anh"/>
        <s v="Võ Hoàng Phúc"/>
        <s v="Vũ Đỗ Trung Quốc"/>
        <s v="Phạm Quang Duy"/>
        <s v="Phạm Hồng Phương Anh"/>
        <s v="Lê Nguyễn Minh Thư"/>
        <s v="Ngô Tùng Khải"/>
        <s v="Nguyễn Việt Kỳ Quân"/>
        <s v="Ngô Minh Hải Yến"/>
        <s v="Nguyễn Thiên Ấn"/>
        <s v="Trần Phước Đại"/>
        <s v="Nguyễn Hoàng Nhật Thiên"/>
        <s v="Nguyễn Mai Hân"/>
        <s v="Nguyen Thi Thanh Hao"/>
        <s v="Bùi Đặng Quỳnh Như"/>
        <s v="Nguyễn Đắc Thành"/>
        <s v="Đặng Trí Nguyễn"/>
        <s v="Đường Xuân Thành Tài"/>
        <s v="Nguyễn Phú Trọng"/>
        <s v="Nguyễn Kim Hằng"/>
        <s v="Phạm Thị Cẩm Nhung"/>
        <s v="Đào Hương Giang"/>
        <s v="Trần Thị Thanh Nga"/>
        <s v="Đặng Trần Anh Hào"/>
        <s v="Phạm Ngọc Thiện"/>
        <s v="Lê Phạm Hoàng Hà"/>
        <s v="Lê Bảo Ngọc"/>
        <s v="Nguyễn Tấn Dũng"/>
        <s v="Lê Quang Long"/>
        <s v="Nguyễn Phạm Chí Bảo"/>
        <s v="Trần Ngọc Biên"/>
        <s v="Nguyễn Phan Bình Nguyên"/>
        <s v="Lê Tấn Lợi"/>
        <s v="Hồ Nguyễn Thành Trung"/>
        <s v="Đoàn Minh Trí"/>
        <s v="Đặng Hiểu Hòa"/>
        <s v="Lê Tấn Xuân Khang"/>
        <s v="Lê Phạm Quỳnh Duyên"/>
        <s v="Trương Quốc Bảo"/>
        <s v="Lai Mộc Huy"/>
        <s v="Nguyễn Duy Tân"/>
        <s v="Kiều Tấn Anh Minh"/>
        <s v="Nguyễn Trần Đức Hoàng"/>
        <s v="Ngo Anh Kiet"/>
        <s v="Nguyễn Mai Xuân Linh"/>
        <s v="Phạm Tiến Hùng"/>
        <s v="Huỳnh Thị Kim  Quỳnh"/>
        <s v="Phạm Trần Dạ Thảo"/>
        <s v="Hoàng Thị Thanh Tâm"/>
        <s v="Ngô Trường Định"/>
        <s v="Nguyễn Thị Viên"/>
        <s v="Nguyễn Duy Nhất"/>
        <s v="Lê Nguyễn Tấn Thịnh"/>
        <s v="Phạm Ngọc Quỳnh Hương"/>
        <s v="Phạm Thị Ái Ngân"/>
        <s v="Huỳnh Tấn Đạt"/>
        <s v="Nguyễn Lê Thiên Kim"/>
        <s v="Lê Minh Hoàng"/>
        <s v="Nguyễn Đỗ Minh Quân"/>
        <s v="Nguyễn Ngọc"/>
        <s v="Bùi Thái Hoàng"/>
        <s v="Vũ Đức Việt Anh"/>
        <s v="Hoàng Đức Hiếu Anh"/>
        <s v="Dương Thị Quỳnh Giang"/>
        <s v="Trần Hùng Sơn"/>
        <s v="Hà Quang Đại"/>
        <s v="Nguyễn Văn Anh Quân"/>
        <s v="Hồ Kim Ngọc"/>
        <s v="Nguyễn Thị Mỹ Nữ"/>
        <s v="Trần Ngọc Tuyền Vy"/>
        <s v="Phạm Nguyễn Thế Hào"/>
        <s v="Bế Trương Dương"/>
        <s v="Đinh Quốc Tiến"/>
        <s v="Lê Hoàng Tâm"/>
        <s v="Giao Thái Bảo"/>
        <s v="Triệu Phước Minh Long"/>
        <s v="Nguyễn Huy Quang"/>
        <s v="Nguyễn Văn Minh Quân"/>
        <s v="Lâm Vũ Bội Nhi"/>
        <s v="Huỳnh Anh Quốc"/>
        <s v="Trương Lê Đán Phúc Nguyên"/>
        <s v="taitm410@gmail.com"/>
        <s v="Trương Lâm Gia Vỹ"/>
        <s v="Tô Gia Lợi"/>
        <s v="Lê Thị Hoa"/>
        <s v="Phan Vũ Trường An"/>
        <s v="Nguyễn Cang Trường"/>
        <s v="Hồ Ngọc Hiếu"/>
        <s v="Trần Cẩm Tú"/>
        <s v="Trần Thị Trúc Linh"/>
        <s v="Trần Nguyễn Hạnh Trang"/>
        <s v="Nguyễn Trần Phương Mai"/>
        <s v="NGUYỄN NGỌC DUY MINH"/>
        <s v="Phạm Quang Vinh"/>
        <s v="Nguyễn Thị Anh Thư"/>
        <s v="Nguyen Quoc Lap"/>
        <s v="Nguyễn Lê Đăng Khoa"/>
        <s v="Trần Gia Huy"/>
        <s v="Dương Thanh Phụng"/>
        <s v="Thi Kiều Thơ"/>
        <s v="Tiền Minh Dương"/>
        <s v="Lê Hồ Nhật Tân"/>
        <s v="Lữ Nguyễn Duy Đức"/>
        <s v="Nguyễn Đức Hiệp"/>
        <s v="Trần Gia Hân"/>
        <s v="Nguyễn Thế Văn"/>
        <s v="Nguyễn Hữu Thiện"/>
        <s v="Võ Duy Anh"/>
        <s v="Nguyen Le Diem Ngoc"/>
        <s v="Diệp Thái Phong"/>
        <s v="Lâm Tấn Vũ"/>
        <s v="Lương Linh Khôi"/>
        <s v="Trương Quốc Cường"/>
        <s v="Bùi Trọng Tín"/>
        <s v="LAM MAI HUONG GIANG"/>
        <s v="Nguyễn Nhật Huy"/>
        <s v="Huỳnh Ngọc Anh Thư"/>
        <s v="Hoàng Văn Minh"/>
        <s v="Nhơn Minh Kiệt"/>
        <s v="Nguyễn Phước Thành Tâm"/>
        <s v="Nguyễn Bùi Quang"/>
        <s v="Phạm Thị Thùy Dương"/>
        <s v="Trần Ngọc Nhi"/>
        <s v="Nguyễn Thị Khánh Ly"/>
        <s v="Hà Ngọc Tuyết Như"/>
        <s v="Trần Xuân Mai"/>
        <s v="Võ Thị Đông Nghi"/>
        <s v="LÊ HIẾU NGÂN"/>
        <s v="Nguyễn Thị Ngọc Hân"/>
        <s v="Phan Văn Hoàng"/>
        <s v="NGUYỄN ĐÌNH SINH QUẢNG"/>
        <s v="PHAN THỊ THÙY TRANG"/>
        <s v="Phùng Nguyễn Khánh Trâm"/>
        <s v="Nguyễn Lợi Thanh Dũng"/>
        <s v="Nguyễn Gia Bảo Danh"/>
        <s v="Lâm Nhật Minh"/>
        <s v="Lê Đức Mạnh"/>
        <s v="LÊ MINH TRƯỜNG"/>
        <s v="Nguyễn Hữu Sang"/>
        <s v="Nguyễn Công Minh"/>
        <s v="Võ Văn Chí Thuận"/>
        <s v="Tô Trần Nhã Uyên"/>
        <s v="Bùi Bách Nguyên"/>
        <s v="Phạm Ngọc Yến Nhi"/>
        <s v="Lê Hoàng Như"/>
        <s v="Huỳnh Chơn Thành Nhân"/>
        <s v="Võ Công Khanh"/>
        <s v="Nguyễn Thanh Vũ"/>
        <s v="Huỳnh Phước Tài"/>
        <s v="Võ Nguyễn Lan Nhi"/>
      </sharedItems>
    </cacheField>
    <cacheField name="*Ngày tháng năm sinh*" numFmtId="165">
      <sharedItems containsSemiMixedTypes="0" containsDate="1" containsString="0">
        <d v="2005-02-04T00:00:00Z"/>
        <d v="2004-03-12T00:00:00Z"/>
        <d v="2003-03-06T00:00:00Z"/>
        <d v="2004-07-30T00:00:00Z"/>
        <d v="2004-07-16T00:00:00Z"/>
        <d v="2006-08-02T00:00:00Z"/>
        <d v="2003-07-24T00:00:00Z"/>
        <d v="2006-03-23T00:00:00Z"/>
        <d v="2000-07-26T00:00:00Z"/>
        <d v="2000-08-27T00:00:00Z"/>
        <d v="2003-10-21T00:00:00Z"/>
        <d v="2005-02-28T00:00:00Z"/>
        <d v="1996-04-10T00:00:00Z"/>
        <d v="2000-10-16T00:00:00Z"/>
        <d v="2005-01-02T00:00:00Z"/>
        <d v="2005-02-14T00:00:00Z"/>
        <d v="2003-01-02T00:00:00Z"/>
        <d v="2003-12-21T00:00:00Z"/>
        <d v="2004-10-16T00:00:00Z"/>
        <d v="2004-08-09T00:00:00Z"/>
        <d v="2003-10-23T00:00:00Z"/>
        <d v="2003-06-05T00:00:00Z"/>
        <d v="2003-10-19T00:00:00Z"/>
        <d v="2003-01-06T00:00:00Z"/>
        <d v="2003-11-11T00:00:00Z"/>
        <d v="2002-01-04T00:00:00Z"/>
        <d v="2003-07-13T00:00:00Z"/>
        <d v="2004-11-28T00:00:00Z"/>
        <d v="2004-01-31T00:00:00Z"/>
        <d v="2004-10-05T00:00:00Z"/>
        <d v="2003-07-09T00:00:00Z"/>
        <d v="2003-03-27T00:00:00Z"/>
        <d v="2004-08-16T00:00:00Z"/>
        <d v="2005-08-07T00:00:00Z"/>
        <d v="2003-09-27T00:00:00Z"/>
        <d v="2003-11-03T00:00:00Z"/>
        <d v="2004-09-06T00:00:00Z"/>
        <d v="2004-01-15T00:00:00Z"/>
        <d v="2005-12-03T00:00:00Z"/>
        <d v="2006-02-04T00:00:00Z"/>
        <d v="2004-03-24T00:00:00Z"/>
        <d v="2002-03-01T00:00:00Z"/>
        <d v="2005-03-08T00:00:00Z"/>
        <d v="2004-09-03T00:00:00Z"/>
        <d v="2004-10-13T00:00:00Z"/>
        <d v="2003-08-17T00:00:00Z"/>
        <d v="2005-03-16T00:00:00Z"/>
        <d v="2003-02-05T00:00:00Z"/>
        <d v="2005-09-05T00:00:00Z"/>
        <d v="2003-02-18T00:00:00Z"/>
        <d v="2004-03-22T00:00:00Z"/>
        <d v="2003-03-02T00:00:00Z"/>
        <d v="2004-04-20T00:00:00Z"/>
        <d v="2003-01-30T00:00:00Z"/>
        <d v="2002-12-01T00:00:00Z"/>
        <d v="2004-07-05T00:00:00Z"/>
        <d v="2001-11-17T00:00:00Z"/>
        <d v="2002-03-30T00:00:00Z"/>
        <d v="2004-07-18T00:00:00Z"/>
        <d v="2003-09-02T00:00:00Z"/>
        <d v="2004-04-15T00:00:00Z"/>
        <d v="2005-05-13T00:00:00Z"/>
        <d v="2001-04-03T00:00:00Z"/>
        <d v="2003-09-10T00:00:00Z"/>
        <d v="2004-04-09T00:00:00Z"/>
        <d v="2005-01-24T00:00:00Z"/>
        <d v="2004-12-06T00:00:00Z"/>
        <d v="2005-01-31T00:00:00Z"/>
        <d v="2003-02-07T00:00:00Z"/>
        <d v="2003-10-22T00:00:00Z"/>
        <d v="2003-05-01T00:00:00Z"/>
        <d v="2004-06-18T00:00:00Z"/>
        <d v="2005-11-18T00:00:00Z"/>
        <d v="2005-03-31T00:00:00Z"/>
        <d v="2005-05-14T00:00:00Z"/>
        <d v="2005-01-14T00:00:00Z"/>
        <d v="2005-09-07T00:00:00Z"/>
        <d v="2005-08-26T00:00:00Z"/>
        <d v="2001-11-20T00:00:00Z"/>
        <d v="2002-07-05T00:00:00Z"/>
        <d v="2005-10-31T00:00:00Z"/>
        <d v="2004-11-12T00:00:00Z"/>
        <d v="2005-06-29T00:00:00Z"/>
        <d v="2005-01-21T00:00:00Z"/>
        <d v="2005-07-14T00:00:00Z"/>
        <d v="2005-08-17T00:00:00Z"/>
        <d v="2003-06-02T00:00:00Z"/>
        <d v="2005-06-07T00:00:00Z"/>
        <d v="2005-06-06T00:00:00Z"/>
        <d v="2004-05-25T00:00:00Z"/>
        <d v="2003-08-15T00:00:00Z"/>
        <d v="2004-04-27T00:00:00Z"/>
        <d v="2005-10-29T00:00:00Z"/>
        <d v="2005-07-17T00:00:00Z"/>
        <d v="2005-03-20T00:00:00Z"/>
        <d v="2005-03-12T00:00:00Z"/>
        <d v="2005-04-03T00:00:00Z"/>
        <d v="2003-09-24T00:00:00Z"/>
        <d v="2004-12-11T00:00:00Z"/>
        <d v="2005-09-28T00:00:00Z"/>
        <d v="2005-04-13T00:00:00Z"/>
        <d v="2004-11-15T00:00:00Z"/>
        <d v="2005-01-17T00:00:00Z"/>
        <d v="2005-10-25T00:00:00Z"/>
        <d v="2005-05-06T00:00:00Z"/>
        <d v="2005-10-17T00:00:00Z"/>
        <d v="2004-02-14T00:00:00Z"/>
        <d v="2005-01-22T00:00:00Z"/>
        <d v="2005-01-01T00:00:00Z"/>
        <d v="2004-12-14T00:00:00Z"/>
        <d v="2005-03-14T00:00:00Z"/>
        <d v="2005-04-26T00:00:00Z"/>
        <d v="2005-06-04T00:00:00Z"/>
        <d v="2004-01-14T00:00:00Z"/>
        <d v="2006-08-31T00:00:00Z"/>
        <d v="2005-07-07T00:00:00Z"/>
        <d v="2004-08-03T00:00:00Z"/>
        <d v="2004-05-28T00:00:00Z"/>
        <d v="2003-09-05T00:00:00Z"/>
        <d v="2004-02-09T00:00:00Z"/>
        <d v="2005-04-21T00:00:00Z"/>
        <d v="2005-02-23T00:00:00Z"/>
        <d v="2005-06-25T00:00:00Z"/>
        <d v="2005-10-26T00:00:00Z"/>
        <d v="2005-07-16T00:00:00Z"/>
        <d v="2004-10-26T00:00:00Z"/>
        <d v="1993-05-11T00:00:00Z"/>
        <d v="2005-11-12T00:00:00Z"/>
        <d v="2005-07-27T00:00:00Z"/>
        <d v="2003-03-03T00:00:00Z"/>
        <d v="2005-07-06T00:00:00Z"/>
        <d v="2005-04-17T00:00:00Z"/>
        <d v="2005-05-21T00:00:00Z"/>
        <d v="2004-01-06T00:00:00Z"/>
        <d v="2005-06-26T00:00:00Z"/>
        <d v="2004-09-26T00:00:00Z"/>
        <d v="2004-03-29T00:00:00Z"/>
        <d v="2004-11-18T00:00:00Z"/>
        <d v="2005-06-08T00:00:00Z"/>
        <d v="2002-09-04T00:00:00Z"/>
        <d v="2006-09-04T00:00:00Z"/>
        <d v="2005-02-06T00:00:00Z"/>
        <d v="2005-07-24T00:00:00Z"/>
        <d v="2004-03-20T00:00:00Z"/>
        <d v="2004-09-18T00:00:00Z"/>
        <d v="2004-05-16T00:00:00Z"/>
        <d v="2005-12-23T00:00:00Z"/>
        <d v="2004-08-18T00:00:00Z"/>
        <d v="2004-08-20T00:00:00Z"/>
        <d v="2004-02-12T00:00:00Z"/>
        <d v="2000-05-14T00:00:00Z"/>
        <d v="2004-03-10T00:00:00Z"/>
        <d v="2004-01-01T00:00:00Z"/>
        <d v="2003-05-22T00:00:00Z"/>
        <d v="2003-08-13T00:00:00Z"/>
        <d v="2004-01-17T00:00:00Z"/>
        <d v="2002-04-11T00:00:00Z"/>
        <d v="2003-06-25T00:00:00Z"/>
        <d v="2005-02-15T00:00:00Z"/>
        <d v="2006-03-12T00:00:00Z"/>
        <d v="2005-06-18T00:00:00Z"/>
        <d v="2005-08-13T00:00:00Z"/>
        <d v="2005-03-05T00:00:00Z"/>
        <d v="2003-10-17T00:00:00Z"/>
        <d v="2004-08-25T00:00:00Z"/>
        <d v="2005-10-02T00:00:00Z"/>
        <d v="2004-10-17T00:00:00Z"/>
        <d v="2004-06-15T00:00:00Z"/>
        <d v="2005-10-10T00:00:00Z"/>
        <d v="2007-07-06T00:00:00Z"/>
        <d v="2004-04-24T00:00:00Z"/>
        <d v="2002-08-20T00:00:00Z"/>
        <d v="2002-10-16T00:00:00Z"/>
        <d v="2003-01-04T00:00:00Z"/>
        <d v="2004-01-24T00:00:00Z"/>
        <d v="2004-09-05T00:00:00Z"/>
        <d v="2004-09-07T00:00:00Z"/>
        <d v="2003-11-14T00:00:00Z"/>
        <d v="2004-02-20T00:00:00Z"/>
        <d v="2004-01-05T00:00:00Z"/>
        <d v="2004-09-21T00:00:00Z"/>
        <d v="2005-12-07T00:00:00Z"/>
        <d v="2004-09-12T00:00:00Z"/>
        <d v="2003-05-19T00:00:00Z"/>
        <d v="2004-03-13T00:00:00Z"/>
        <d v="2006-02-15T00:00:00Z"/>
        <d v="2004-11-08T00:00:00Z"/>
        <d v="1998-06-18T00:00:00Z"/>
        <d v="2003-01-03T00:00:00Z"/>
        <d v="2005-12-04T00:00:00Z"/>
        <d v="2005-11-17T00:00:00Z"/>
        <d v="2005-12-26T00:00:00Z"/>
        <d v="2004-03-31T00:00:00Z"/>
        <d v="2004-02-18T00:00:00Z"/>
        <d v="2002-03-29T00:00:00Z"/>
        <d v="2004-11-22T00:00:00Z"/>
        <d v="2004-07-21T00:00:00Z"/>
        <d v="2005-07-15T00:00:00Z"/>
        <d v="2003-02-13T00:00:00Z"/>
        <d v="2003-11-30T00:00:00Z"/>
        <d v="2004-02-28T00:00:00Z"/>
        <d v="2005-12-16T00:00:00Z"/>
        <d v="2004-10-23T00:00:00Z"/>
        <d v="2005-11-30T00:00:00Z"/>
        <d v="2003-10-14T00:00:00Z"/>
        <d v="2006-02-16T00:00:00Z"/>
        <d v="2004-05-21T00:00:00Z"/>
        <d v="2005-08-09T00:00:00Z"/>
        <d v="2003-01-17T00:00:00Z"/>
        <d v="2003-07-19T00:00:00Z"/>
        <d v="2004-05-19T00:00:00Z"/>
        <d v="2005-10-07T00:00:00Z"/>
        <d v="2005-10-18T00:00:00Z"/>
        <d v="1998-10-12T00:00:00Z"/>
        <d v="2004-07-01T00:00:00Z"/>
        <d v="2005-08-19T00:00:00Z"/>
        <d v="2005-05-10T00:00:00Z"/>
        <d v="2005-01-05T00:00:00Z"/>
        <d v="2005-06-30T00:00:00Z"/>
        <d v="2002-12-13T00:00:00Z"/>
        <d v="2004-08-31T00:00:00Z"/>
        <d v="2004-02-23T00:00:00Z"/>
        <d v="2004-07-31T00:00:00Z"/>
        <d v="2005-11-04T00:00:00Z"/>
        <d v="2001-11-18T00:00:00Z"/>
        <d v="2006-08-22T00:00:00Z"/>
        <d v="2005-05-03T00:00:00Z"/>
        <d v="2005-11-28T00:00:00Z"/>
        <d v="2005-04-25T00:00:00Z"/>
        <d v="2004-12-23T00:00:00Z"/>
        <d v="2001-06-02T00:00:00Z"/>
        <d v="2003-11-18T00:00:00Z"/>
        <d v="2004-12-04T00:00:00Z"/>
        <d v="2001-09-15T00:00:00Z"/>
        <d v="2004-11-03T00:00:00Z"/>
        <d v="2005-11-08T00:00:00Z"/>
        <d v="2005-01-12T00:00:00Z"/>
        <d v="2004-05-30T00:00:00Z"/>
        <d v="2003-10-07T00:00:00Z"/>
        <d v="2003-06-11T00:00:00Z"/>
        <d v="2005-08-20T00:00:00Z"/>
        <d v="2004-06-24T00:00:00Z"/>
        <d v="2005-02-13T00:00:00Z"/>
        <d v="1997-11-07T00:00:00Z"/>
        <d v="2003-01-11T00:00:00Z"/>
        <d v="2004-12-02T00:00:00Z"/>
        <d v="2005-11-06T00:00:00Z"/>
        <d v="2004-10-09T00:00:00Z"/>
        <d v="2002-02-19T00:00:00Z"/>
        <d v="2004-08-28T00:00:00Z"/>
        <d v="2005-05-16T00:00:00Z"/>
        <d v="2004-05-18T00:00:00Z"/>
        <d v="2005-12-19T00:00:00Z"/>
        <d v="1994-09-02T00:00:00Z"/>
        <d v="2005-08-21T00:00:00Z"/>
        <d v="2004-10-01T00:00:00Z"/>
        <d v="2004-03-17T00:00:00Z"/>
        <d v="2005-08-06T00:00:00Z"/>
        <d v="2003-04-14T00:00:00Z"/>
        <d v="2005-11-14T00:00:00Z"/>
        <d v="2004-05-22T00:00:00Z"/>
        <d v="2004-01-26T00:00:00Z"/>
        <d v="2004-01-10T00:00:00Z"/>
        <d v="2005-08-30T00:00:00Z"/>
        <d v="2000-03-28T00:00:00Z"/>
        <d v="2004-06-28T00:00:00Z"/>
        <d v="2004-09-04T00:00:00Z"/>
        <d v="2002-04-07T00:00:00Z"/>
        <d v="2003-06-09T00:00:00Z"/>
        <d v="2003-03-20T00:00:00Z"/>
        <d v="2003-11-13T00:00:00Z"/>
        <d v="2003-11-01T00:00:00Z"/>
        <d v="2005-04-14T00:00:00Z"/>
        <d v="2004-01-02T00:00:00Z"/>
        <d v="2005-03-24T00:00:00Z"/>
        <d v="2003-11-15T00:00:00Z"/>
        <d v="2003-01-01T00:00:00Z"/>
        <d v="2005-10-28T00:00:00Z"/>
        <d v="2004-08-11T00:00:00Z"/>
        <d v="2005-03-15T00:00:00Z"/>
        <d v="2003-02-25T00:00:00Z"/>
        <d v="2003-12-10T00:00:00Z"/>
        <d v="2005-01-04T00:00:00Z"/>
        <d v="2002-09-16T00:00:00Z"/>
        <d v="2004-03-18T00:00:00Z"/>
        <d v="2004-05-17T00:00:00Z"/>
        <d v="2004-09-01T00:00:00Z"/>
        <d v="2002-05-04T00:00:00Z"/>
        <d v="2003-04-05T00:00:00Z"/>
        <d v="2005-09-23T00:00:00Z"/>
        <d v="2004-06-16T00:00:00Z"/>
        <d v="2004-08-29T00:00:00Z"/>
        <d v="2004-02-10T00:00:00Z"/>
        <d v="2004-07-09T00:00:00Z"/>
        <d v="2004-07-12T00:00:00Z"/>
        <d v="2005-05-08T00:00:00Z"/>
        <d v="2003-12-25T00:00:00Z"/>
        <d v="2003-02-28T00:00:00Z"/>
        <d v="2002-02-03T00:00:00Z"/>
        <d v="2004-03-07T00:00:00Z"/>
        <d v="2004-04-04T00:00:00Z"/>
        <d v="2003-03-09T00:00:00Z"/>
        <d v="2006-11-10T00:00:00Z"/>
        <d v="2005-12-22T00:00:00Z"/>
        <d v="2000-01-05T00:00:00Z"/>
        <d v="2005-09-22T00:00:00Z"/>
        <d v="2005-07-21T00:00:00Z"/>
        <d v="2005-04-30T00:00:00Z"/>
        <d v="2005-03-03T00:00:00Z"/>
        <d v="2003-02-19T00:00:00Z"/>
        <d v="2003-10-04T00:00:00Z"/>
        <d v="2005-02-21T00:00:00Z"/>
        <d v="2004-01-22T00:00:00Z"/>
        <d v="2004-10-11T00:00:00Z"/>
        <d v="2005-02-16T00:00:00Z"/>
        <d v="2005-05-19T00:00:00Z"/>
        <d v="2004-12-29T00:00:00Z"/>
        <d v="2005-07-12T00:00:00Z"/>
        <d v="2005-03-26T00:00:00Z"/>
        <d v="2001-08-04T00:00:00Z"/>
        <d v="1996-02-27T00:00:00Z"/>
        <d v="2004-07-25T00:00:00Z"/>
        <d v="2003-08-28T00:00:00Z"/>
        <d v="2005-06-05T00:00:00Z"/>
        <d v="2005-10-27T00:00:00Z"/>
        <d v="2003-06-06T00:00:00Z"/>
        <d v="2005-09-13T00:00:00Z"/>
        <d v="2004-04-19T00:00:00Z"/>
        <d v="2002-01-16T00:00:00Z"/>
        <d v="2006-10-31T00:00:00Z"/>
        <d v="2005-06-27T00:00:00Z"/>
        <d v="2004-10-31T00:00:00Z"/>
        <d v="2005-05-12T00:00:00Z"/>
        <d v="2004-02-02T00:00:00Z"/>
        <d v="2005-11-01T00:00:00Z"/>
        <d v="2004-10-07T00:00:00Z"/>
        <d v="2003-07-15T00:00:00Z"/>
        <d v="2003-06-29T00:00:00Z"/>
        <d v="2005-02-09T00:00:00Z"/>
        <d v="1999-05-22T00:00:00Z"/>
        <d v="2004-07-28T00:00:00Z"/>
        <d v="2003-06-10T00:00:00Z"/>
        <d v="2005-04-15T00:00:00Z"/>
        <d v="2003-10-29T00:00:00Z"/>
        <d v="2006-07-03T00:00:00Z"/>
        <d v="2005-07-02T00:00:00Z"/>
        <d v="2003-04-03T00:00:00Z"/>
        <d v="2004-10-25T00:00:00Z"/>
        <d v="2004-11-13T00:00:00Z"/>
        <d v="2005-10-30T00:00:00Z"/>
        <d v="2003-10-06T00:00:00Z"/>
        <d v="2003-10-20T00:00:00Z"/>
        <d v="2004-10-30T00:00:00Z"/>
        <d v="2006-06-17T00:00:00Z"/>
        <d v="2003-05-27T00:00:00Z"/>
        <d v="2000-09-13T00:00:00Z"/>
        <d v="2000-11-13T00:00:00Z"/>
        <d v="2004-12-18T00:00:00Z"/>
        <d v="2006-01-02T00:00:00Z"/>
        <d v="2004-11-04T00:00:00Z"/>
        <d v="2003-06-26T00:00:00Z"/>
        <d v="2006-07-05T00:00:00Z"/>
        <d v="2003-04-09T00:00:00Z"/>
        <d v="2004-04-01T00:00:00Z"/>
        <d v="2006-12-23T00:00:00Z"/>
        <d v="2003-10-15T00:00:00Z"/>
        <d v="2002-10-26T00:00:00Z"/>
        <d v="2004-01-16T00:00:00Z"/>
        <d v="2005-06-10T00:00:00Z"/>
        <d v="2004-12-10T00:00:00Z"/>
        <d v="2005-10-13T00:00:00Z"/>
        <d v="2005-05-27T00:00:00Z"/>
        <d v="2005-04-22T00:00:00Z"/>
        <d v="2004-11-07T00:00:00Z"/>
        <d v="2004-04-23T00:00:00Z"/>
        <d v="2000-12-13T00:00:00Z"/>
        <d v="2003-10-08T00:00:00Z"/>
        <d v="2004-04-13T00:00:00Z"/>
        <d v="2004-02-11T00:00:00Z"/>
        <d v="2004-06-02T00:00:00Z"/>
        <d v="2004-11-27T00:00:00Z"/>
        <d v="2006-12-25T00:00:00Z"/>
        <d v="2003-11-23T00:00:00Z"/>
        <d v="2006-10-10T00:00:00Z"/>
        <d v="2005-09-09T00:00:00Z"/>
        <d v="2004-10-10T00:00:00Z"/>
        <d v="2004-01-04T00:00:00Z"/>
        <d v="2004-04-28T00:00:00Z"/>
        <d v="2004-11-24T00:00:00Z"/>
        <d v="2004-12-15T00:00:00Z"/>
        <d v="2005-03-19T00:00:00Z"/>
        <d v="2004-06-09T00:00:00Z"/>
        <d v="2004-10-28T00:00:00Z"/>
        <d v="2005-06-17T00:00:00Z"/>
        <d v="2002-03-06T00:00:00Z"/>
        <d v="2004-01-03T00:00:00Z"/>
        <d v="2002-03-27T00:00:00Z"/>
        <d v="2005-01-16T00:00:00Z"/>
        <d v="2005-12-10T00:00:00Z"/>
        <d v="2003-08-27T00:00:00Z"/>
        <d v="2002-08-05T00:00:00Z"/>
        <d v="2005-04-28T00:00:00Z"/>
        <d v="2005-06-03T00:00:00Z"/>
        <d v="2006-03-16T00:00:00Z"/>
        <d v="2005-01-08T00:00:00Z"/>
        <d v="2005-02-05T00:00:00Z"/>
        <d v="2004-08-10T00:00:00Z"/>
        <d v="2001-04-04T00:00:00Z"/>
        <d v="1999-01-26T00:00:00Z"/>
        <d v="2003-05-16T00:00:00Z"/>
        <d v="2003-02-12T00:00:00Z"/>
        <d v="2002-01-25T00:00:00Z"/>
        <d v="2004-07-07T00:00:00Z"/>
        <d v="2005-09-19T00:00:00Z"/>
        <d v="2005-10-21T00:00:00Z"/>
        <d v="2005-08-01T00:00:00Z"/>
        <d v="2003-05-09T00:00:00Z"/>
        <d v="2005-03-04T00:00:00Z"/>
        <d v="2005-09-01T00:00:00Z"/>
        <d v="2004-12-22T00:00:00Z"/>
        <d v="2003-06-30T00:00:00Z"/>
        <d v="2002-05-30T00:00:00Z"/>
        <d v="2005-08-22T00:00:00Z"/>
        <d v="2006-10-09T00:00:00Z"/>
        <d v="2005-01-15T00:00:00Z"/>
        <d v="2004-09-22T00:00:00Z"/>
        <d v="2003-05-20T00:00:00Z"/>
        <d v="1998-08-21T00:00:00Z"/>
        <d v="2003-09-29T00:00:00Z"/>
        <d v="2004-05-12T00:00:00Z"/>
        <d v="2005-05-25T00:00:00Z"/>
        <d v="2003-02-03T00:00:00Z"/>
        <d v="2003-08-07T00:00:00Z"/>
        <d v="2004-08-19T00:00:00Z"/>
        <d v="1994-04-05T00:00:00Z"/>
        <d v="2005-07-20T00:00:00Z"/>
        <d v="2005-02-01T00:00:00Z"/>
        <d v="2004-07-26T00:00:00Z"/>
        <d v="2005-02-18T00:00:00Z"/>
        <d v="2005-02-03T00:00:00Z"/>
        <d v="2005-12-20T00:00:00Z"/>
        <d v="2003-09-12T00:00:00Z"/>
        <d v="2002-08-02T00:00:00Z"/>
        <d v="2003-04-13T00:00:00Z"/>
        <d v="2003-09-06T00:00:00Z"/>
        <d v="2004-03-27T00:00:00Z"/>
        <d v="2004-04-07T00:00:00Z"/>
        <d v="2005-08-24T00:00:00Z"/>
        <d v="2000-02-09T00:00:00Z"/>
        <d v="2002-03-12T00:00:00Z"/>
        <d v="2004-06-03T00:00:00Z"/>
        <d v="2002-01-23T00:00:00Z"/>
        <d v="2003-04-04T00:00:00Z"/>
        <d v="2003-04-10T00:00:00Z"/>
        <d v="2004-09-14T00:00:00Z"/>
        <d v="2004-08-23T00:00:00Z"/>
        <d v="2003-11-27T00:00:00Z"/>
        <d v="2002-09-29T00:00:00Z"/>
        <d v="2005-09-26T00:00:00Z"/>
        <d v="2007-04-19T00:00:00Z"/>
        <d v="2003-11-22T00:00:00Z"/>
        <d v="2003-03-18T00:00:00Z"/>
        <d v="2006-04-29T00:00:00Z"/>
        <d v="2006-04-13T00:00:00Z"/>
        <d v="2002-04-03T00:00:00Z"/>
        <d v="2003-09-23T00:00:00Z"/>
        <d v="2002-10-19T00:00:00Z"/>
        <d v="2005-04-24T00:00:00Z"/>
        <d v="2005-10-19T00:00:00Z"/>
        <d v="2004-10-02T00:00:00Z"/>
        <d v="2004-02-03T00:00:00Z"/>
        <d v="2005-06-11T00:00:00Z"/>
        <d v="2005-03-21T00:00:00Z"/>
        <d v="2002-07-17T00:00:00Z"/>
        <d v="2004-04-30T00:00:00Z"/>
        <d v="2005-11-21T00:00:00Z"/>
        <d v="1999-07-20T00:00:00Z"/>
        <d v="2003-12-20T00:00:00Z"/>
        <d v="2005-07-18T00:00:00Z"/>
        <d v="2001-06-24T00:00:00Z"/>
        <d v="2005-03-01T00:00:00Z"/>
        <d v="2005-08-10T00:00:00Z"/>
        <d v="2005-03-09T00:00:00Z"/>
        <d v="2005-04-19T00:00:00Z"/>
        <d v="2004-12-16T00:00:00Z"/>
        <d v="2001-10-15T00:00:00Z"/>
        <d v="2005-02-07T00:00:00Z"/>
        <d v="2002-12-28T00:00:00Z"/>
        <d v="2004-08-06T00:00:00Z"/>
        <d v="2004-07-03T00:00:00Z"/>
        <d v="2002-04-25T00:00:00Z"/>
        <d v="2005-08-02T00:00:00Z"/>
        <d v="2000-02-23T00:00:00Z"/>
        <d v="2003-03-17T00:00:00Z"/>
        <d v="2005-01-27T00:00:00Z"/>
        <d v="2003-02-26T00:00:00Z"/>
        <d v="2001-06-11T00:00:00Z"/>
      </sharedItems>
    </cacheField>
    <cacheField name="*Địa chỉ email của bạn là gì?*" numFmtId="0">
      <sharedItems>
        <s v="dangnguyenduykhanh42@gmail.com"/>
        <s v="phamtri1232004@gmail.com"/>
        <s v="nguyentrongnghia2003@gmail.com"/>
        <s v="thean0704@gmail.com"/>
        <s v="nguyencongtrung13@gmail.com"/>
        <s v="tantran282006@gmail.com"/>
        <s v="khoinmdev1@gmail.com"/>
        <s v="hoaibao200611423@gmail.com"/>
        <s v="hoangndgcs18383@gmail.com"/>
        <s v="dat723457@gmail.com"/>
        <s v="tranquocan2102003@gmail.com"/>
        <s v="minhnganpham2005@gmail.com"/>
        <s v="vonguyenhung96@gmail.com"/>
        <s v="trandongkhang2000@gmail.com"/>
        <s v="trandang200521@gmail.com"/>
        <s v="phuongnammm142@gmail.com"/>
        <s v="phandinhthai012@gmail.com"/>
        <s v="Thienngo21122003@gmail.com"/>
        <s v="danhvinh1610@gmail.com"/>
        <s v="nhphat9824@gmail.com"/>
        <s v="huutaile.work@gmail.com"/>
        <s v="quocanhnguyen874@gmail.com"/>
        <s v="trph.anhne@gmail.com"/>
        <s v="tranlapnhan412@gmail.com"/>
        <s v="khaiduong11112003@gmail.com"/>
        <s v="tangocminh2002@gmail.com"/>
        <s v="duyynhdo13@gmail.com"/>
        <s v="quannguyen3122811@gmail.com"/>
        <s v="quannguyendinh.221204@gmail.com"/>
        <s v="tronghieutruong5102004@gmail.com"/>
        <s v="nguyenkhacky625@gmail.com"/>
        <s v="pphong0907@gmail.com"/>
        <s v="nguyen1608thien@gmail.com"/>
        <s v="vhung9955@gmail.com"/>
        <s v="Ledinhthien3344@gmail.com"/>
        <s v="truongvy.03112004@gmail.com"/>
        <s v="anh.tuong.dev@gmail.com"/>
        <s v="vndnetwork@gmail.com"/>
        <s v="dinhthanhtung0312@gmail.com"/>
        <s v="kiettrinh4206@gmail.com"/>
        <s v="hctuankiet243@gmail.con"/>
        <s v="nguyenleson666@gmail.com"/>
        <s v="ducanhphan835@gmail.com"/>
        <s v="luuthuonghong@gmail.com"/>
        <s v="vulocninh1@gmail.com"/>
        <s v="vantang1310@gmail.com"/>
        <s v="nh027471@gmail.com"/>
        <s v="hoangdonthienhoa@gmail.com"/>
        <s v="anh.huy.5203@gmail.com"/>
        <s v="trantuongvi595@gmail.com"/>
        <s v="baophuc.itds.hcmiu@gmail.com"/>
        <s v="phutc04@gmail.com"/>
        <s v="nguyenbichkhue2323@gmail.com"/>
        <s v="ndtam04@gmail.com"/>
        <s v="dat798239@gmail.com"/>
        <s v="quanghoang112@gmail.com"/>
        <s v="lhnhung2505@gmail.com"/>
        <s v="tranthienthuat981@gmail.com"/>
        <s v="buithithanh3322@gmail.com"/>
        <s v="ngoclinhpt.work@gmail.com"/>
        <s v="tranquanganhthuan@gmail.com"/>
        <s v="nhauyenkg05@gmail.com"/>
        <s v="thaisoncbq@gmail.com"/>
        <s v="tmtam2001@gmail.com"/>
        <s v="votrong1471@gmail.com"/>
        <s v="hoangtien94huee@gmail.com"/>
        <s v="truongkhai603@gmail.com"/>
        <s v="ngocanhthugialai@gmail.com"/>
        <s v="minhhuy31012005@gmail.com"/>
        <s v="nguyentnien7203@gmail.com"/>
        <s v="lequocdat221003@gmail.com"/>
        <s v="huuhoang2o22vn@gmail.com"/>
        <s v="binh66522@gmail.com"/>
        <s v="quangthangngo181@gmail.com"/>
        <s v="hnim3107@gmail.com"/>
        <s v="nguyendobao.hcm@gmail.com"/>
        <s v="himagito@gmail.com"/>
        <s v="tdakhoa14012005@gmail.com"/>
        <s v="baoanhtrangia2005@gmail.com"/>
        <s v="camtutran2608@gmail.com"/>
        <s v="phuthiendao.11@gmail.com"/>
        <s v="hoanganhtuan050702@gmail.com"/>
        <s v="thuanhieu72@gmail.com"/>
        <s v="ttthaor2312@gmail.com"/>
        <s v="lethuongde290605@gmail.com"/>
        <s v="ntloc210105@gmail.com"/>
        <s v="thedatngo@gmail.com"/>
        <s v="kouhaiku.dot@gmail.com"/>
        <s v="kienforwork0206@gmail.com"/>
        <s v="nguyentrongtin2807@gmail.com"/>
        <s v="dghuy6625@gmail.com"/>
        <s v="haoduy0525@student.ptithcm.edu.vn"/>
        <s v="tranthienphuck81@gmail.com"/>
        <s v="work.nguyenquan@gmail.com"/>
        <s v="itsmenamhuyen@gmail.com"/>
        <s v="lethanhhai177@gmail.com"/>
        <s v="thanhkhang346@gmail.com"/>
        <s v="qnnghi120305@gmail.com"/>
        <s v="tuthephong4629@gmail.com"/>
        <s v="nguyenvutuongvy7@gmail.com"/>
        <s v="ttmv1112@gmail.com"/>
        <s v="nhan.nguyen2005phuyen@hcmut.edu.vn"/>
        <s v="xmaihung13@gmail.com"/>
        <s v="nd2004lk13@gmail.com"/>
        <s v="anhle1712005@gmail.com"/>
        <s v="tri21723@gmail.com"/>
        <s v="chitrankhon@gmail.com"/>
        <s v="tuananhha1710@gmail.com"/>
        <s v="Phucdat2005@gmail.com"/>
        <s v="dthangcopy@gmail.com"/>
        <s v="vonguyenthaouyen2201@gmail.com"/>
        <s v="thanhowen2005@gmail.com"/>
        <s v="huutho1412ak@gmail.com"/>
        <s v="tuanphongwithau@gmail.com"/>
        <s v="huunhan2005@gmail.com"/>
        <s v="donhatha314314@gmail.com"/>
        <s v="hoangtruong04.works@gmail.com"/>
        <s v="ngogiathinh1@gmail.com"/>
        <s v="thu.nguyenminh070705@gmail.com"/>
        <s v="minhdat18061999.ag@gmail.com"/>
        <s v="triducst285@gmail.com"/>
        <s v="thinhlanguyenquoc@gmail.com"/>
        <s v="khangduytran2610@gmail.com"/>
        <s v="yennhi.ataraxia@gmail.com"/>
        <s v="thangak18@gmail.com"/>
        <s v="huytoan709@gmail.com"/>
        <s v="ttkimcuong2610@gmail.com"/>
        <s v="kasahoaitran1609@gmail.com"/>
        <s v="taitue04@gmail.com"/>
        <s v="quanglm.1993@hotmail.com"/>
        <s v="crossmanger1330@gmail.com"/>
        <s v="nhannguyen2772005@gmail.com"/>
        <s v="htt032003@gmail.com"/>
        <s v="vinhtruong060705@gmail.com"/>
        <s v="quangng170@gmail.com"/>
        <s v="dhnam23@clc.fitus.edu.vn"/>
        <s v="yenvy.tny@gmail.com"/>
        <s v="hayden.nmacgiahuy@gmail.com"/>
        <s v="truongvtrpaul@gmail.com"/>
        <s v="thuyvy29032004@gmail.com"/>
        <s v="giahuynguyen9700@gmail.com"/>
        <s v="khanhbao0806@gmail.com"/>
        <s v="xuanloc492002@gmail.com"/>
        <s v="24521725@gm.uit.edu.vn"/>
        <s v="thien.lee@hcmut.edu.vn"/>
        <s v="hoangminhnguyen2407@gmail.com"/>
        <s v="namnhut1426@gmail.com"/>
        <s v="vungocson189204@gmail.com"/>
        <s v="luongnguyetthuy@gmail.com"/>
        <s v="hktung.work@gmail.com"/>
        <s v="vinhan188@gmail.com"/>
        <s v="tranthithuluongarmy@gmail.com"/>
        <s v="minhanh120204@gmail.com"/>
        <s v="quang.nguyen1452000vn@gmail.com"/>
        <s v="hotrongnghia310@gmail.com"/>
        <s v="chienvuminhk22us@gmail.com"/>
        <s v="hangthanhdinhthi@gmail.com"/>
        <s v="buikhanhduy13082003@gmail.com"/>
        <s v="hoangmcd@gmail.com"/>
        <s v="caotripham2004@gmail.com"/>
        <s v="trantuananhk4x6@gmail.com"/>
        <s v="nguyenkhang170104@gmail.com"/>
        <s v="thuybm02@gmail.com"/>
        <s v="chmfuong@gmail.com"/>
        <s v="xuan.nguyenvanxuaniq2@hcmut.edu.vn"/>
        <s v="doanhongbao9a@gmail.com"/>
        <s v="phamhuynh.tan04@gmail.com"/>
        <s v="ngtanh1308@gmail.com"/>
        <s v="mduy88201010@gmail.com"/>
        <s v="nguyenquocanhquangl@gmail.com"/>
        <s v="minh2508tv@gmail.com"/>
        <s v="contact.adamnguyen@gmail.com"/>
        <s v="locbuidinhan@gmail.com"/>
        <s v="lethanhcong.work@gmail.com"/>
        <s v="tram10102005@gmail.com"/>
        <s v="nguyentanthanh06072007@gmail.com"/>
        <s v="phuongnmp24419@gmail.com"/>
        <s v="hongluan208@gmail.com"/>
        <s v="hsganh1508@gmail.com"/>
        <s v="lamhoang16102002@gmail.com"/>
        <s v="tuantuhuunguyen.work@gmail.com"/>
        <s v="nghiatruong1.dev@gmail.com"/>
        <s v="quangminh.it.59@gmail.com"/>
        <s v="nhuquynhnguyenthi709@gmail.com"/>
        <s v="nguyenkhai1470@gmail.com"/>
        <s v="huybacdau123@gmail.com"/>
        <s v="22521287@gm.uit.edu.vn"/>
        <s v="nducphuc04219@gmail.com"/>
        <s v="ptdat1225@gmail.com"/>
        <s v="ndkhoi.gdsciu@gmail.com"/>
        <s v="quochuyhuynh.120204@gmail.com"/>
        <s v="thanyminminh@gmail.com"/>
        <s v="tungduong.g2004@gmail.com"/>
        <s v="duytnk.dev@gmail.com"/>
        <s v="mhhung0811@gmail.com"/>
        <s v="ngthutrang0806@gmail.com"/>
        <s v="hnmkhang11@gmail.com"/>
        <s v="tonhat.minhtoan1998@gmail.com"/>
        <s v="hoangkhanh11223@gmail.com"/>
        <s v="hoainx.work@gmail.com"/>
        <s v="naduong.gdsciu@gmail.com"/>
        <s v="doanmanhtat05@gmail.com"/>
        <s v="khiem.ton19406@hcmut.edu.vn"/>
        <s v="hieu180230@gmail.com"/>
        <s v="vuquocbao2903@gmail.com"/>
        <s v="hoanghuytranle48@gmail.com"/>
        <s v="nhat2004hcm@gmail.com"/>
        <s v="trhoangphuc1572005@gmail.com"/>
        <s v="thinhnt.uit@gmail.com"/>
        <s v="21520488@gm.uit.edu.vn"/>
        <s v="iambinhage17@gmail.com"/>
        <s v="duongtrieuvygr@gmail.com"/>
        <s v="trungdevil3@gmail.com"/>
        <s v="quannguyen16122004@gmail.com"/>
        <s v="doviethung.5409@gmail.com"/>
        <s v="tranledonganhtth@gmail.com"/>
        <s v="thaikha14102003@gmail.com"/>
        <s v="hoanghaiyencbm@gmail.com"/>
        <s v="nguyenthaidiemquynh162.work@gmail.com"/>
        <s v="vietlq7721900@gmail.com"/>
        <s v="mqchaufw@gmail.com"/>
        <s v="nqttqnmk@gmail.com"/>
        <s v="trnhphquang190703@gmail.com"/>
        <s v="ltphatt2709@gmail.com"/>
        <s v="winnguyen1905.work@gmail.com"/>
        <s v="letuancong37@gmail.com"/>
        <s v="nguyenvythao1810@gmail.com"/>
        <s v="leminhchienvt121098@gmail.com"/>
        <s v="thanhdat06112004@gmail.com"/>
        <s v="philongnguyen1704@gmail.com"/>
        <s v="lnnt190805@gmail.com"/>
        <s v="nhan.hoanghenrykaka@hcmut.edu.vn"/>
        <s v="khanhan501@gmail.com"/>
        <s v="trantcuong2312@gmail.com"/>
        <s v="khaivo300605@gmail.com"/>
        <s v="vajn.tt@gmail.com"/>
        <s v="trangiahy31082004@gmail.com"/>
        <s v="xuanduy2302@gmail.com"/>
        <s v="quangthoai31072004@gmail.com"/>
        <s v="thanhvi041105@gmail.com"/>
        <s v="trannhatd1811@gmail.com"/>
        <s v="truonggiahao2208@gmail.com"/>
        <s v="vangiang24112020@gmail.com"/>
        <s v="dat519825@gmail.com"/>
        <s v="nguyenanhminh2005cantho@gmail.com"/>
        <s v="quoclb23416@st.uel.edu.vn"/>
        <s v="phuongnam23122004@gmail.com"/>
        <s v="sonanhmai0206@gmail.com"/>
        <s v="dangtrinh1811@gmail.com"/>
        <s v="maithuong.dev@gmail.com"/>
        <s v="luctr1509@gmail.com"/>
        <s v="haonhut.thach@gmail.com"/>
        <s v="vothitienphuoc2005@gmail.com"/>
        <s v="medenn5240@gmail.com"/>
        <s v="chgiabao36925@gmail.com"/>
        <s v="phungtrungbac.cv@gmail.com"/>
        <s v="nguyenthingocminh0710@gmail.com"/>
        <s v="phanthaovy31082004@gmail.com"/>
        <s v="an0981806943@gmail.com"/>
        <s v="tovoyentho@gmail.com"/>
        <s v="work.nguyennamhuy@gmail.com"/>
        <s v="thienphuc13022005@gmial.com"/>
        <s v="chaudq71@gmail.com"/>
        <s v="longnguyenhoang1101.work@gmail.com"/>
        <s v="duy.nguyenkhoaquang@gmail.com"/>
        <s v="11a2trantiendat@gmail.com"/>
        <s v="dnpdanhqn25@gmail.com"/>
        <s v="buituanhung1234@gmail.com"/>
        <s v="dongquanpro2014@gmail.com"/>
        <s v="viet2004kb@gmail.com"/>
        <s v="hunglecrkh2k5@gmail.com"/>
        <s v="thuong.voduccao2313@hcmut.edu.vn"/>
        <s v="letai1854@gmail.com"/>
        <s v="thanhtungnguyennnn@gmail.com"/>
        <s v="phathideptrai2k5@gmail.com"/>
        <s v="vanphamanh2303@gmail.com"/>
        <s v="khoi.tranphandang@hcmut.edu.vn"/>
        <s v="dqviet2994.as@gmail.com"/>
        <s v="tungfphamj2108@gmail.com"/>
        <s v="quynhdoannguyendan0110@gmail.com"/>
        <s v="chi.vtn.lly@gmail.com"/>
        <s v="huyenmyqtqb@gmail.com"/>
        <s v="trinhtanhao@gmail.com"/>
        <s v="lananh310305@gmail.com"/>
        <s v="nguyenlam261005@gmail.com"/>
        <s v="kien.nguyen06082005@hcmut.edu.vn"/>
        <s v="bnviet05@gmail.com"/>
        <s v="trankhanhlinh.devgame.contact@gmail.com"/>
        <s v="pntuan23@clc.fitus.edu.vn"/>
        <s v="viethungng2205@gmail.com"/>
        <s v="dovandat2614@gmail.com"/>
        <s v="cthinhh890@gmail.com"/>
        <s v="nguyenthuythuong179@gmail.com"/>
        <s v="ndthanh308@gmail.com"/>
        <s v="Vhlong2013@gmail.com"/>
        <s v="duyhuan10a15@gmail.com"/>
        <s v="khanhnganle12.2@gmail.com"/>
        <s v="hnm142758@gmail.com"/>
        <s v="phuocloc742@gmail.com"/>
        <s v="animetmn@gmail.com"/>
        <s v="nguyenminhtrung2120@gmail.com"/>
        <s v="nguyenphuthinh.dev@gmail.com"/>
        <s v="thangmanhnguyen.w@gmail.com"/>
        <s v="quannguyen.14042005@gmail.com"/>
        <s v="phutd0212@gmail.com"/>
        <s v="trongkhoi2432005@gmail.com"/>
        <s v="anhhuyrubic@gmail.com"/>
        <s v="ngduc.thang031@gmail.com"/>
        <s v="nnqnhu12@gmail.com"/>
        <s v="kid14190@gmail.com"/>
        <s v="vanquoc11082004@gmail.com"/>
        <s v="wuannhoang153@gmail.com"/>
        <s v="lephuocthai860@gmail.com"/>
        <s v="lephanxuandung1012@gmail.com"/>
        <s v="bhkhang0401@gmail.com"/>
        <s v="nnthao02@gmail.com"/>
        <s v="Daryntribang@gmail.com"/>
        <s v="vonguyenbaongoc0504@gmail.com"/>
        <s v="trananhthai01092004@gmail.com"/>
        <s v="tqdat.it@gmail.com"/>
        <s v="nguyenan542003@gmail.com"/>
        <s v="dduc1171@gmail.com"/>
        <s v="hoangdh2392005@gmail.com"/>
        <s v="tdtq1606@gmail.com"/>
        <s v="xuannhi.work298@gmail.com"/>
        <s v="phamquanglong085@gmail.com"/>
        <s v="nddevgame@gmail.com"/>
        <s v="lehabaokhanh972004@gmail.com"/>
        <s v="nguyenhung.9a5.nbk@gmail.com"/>
        <s v="nguyenngocphuong0147@gmail.com"/>
        <s v="toanphuc02@gmail.com"/>
        <s v="duykhanh280220039a9@gmail.com"/>
        <s v="thanhtrucn35@gmail.com"/>
        <s v="anhnguyen.732004@gmail.com"/>
        <s v="hongchunglam.work@gmail.com"/>
        <s v="cuthanhtuong0903@gmail.com"/>
        <s v="doanam10@gmail.com"/>
        <s v="leminhkha1412@gmail.com"/>
        <s v="vuquanghuy0916@gmail.com"/>
        <s v="hoangphancbl2005@gmail.com"/>
        <s v="tdaihai.work@gmail.com"/>
        <s v="quynhtam0302@gmail.com"/>
        <s v="tiendungtns81@gmail.com"/>
        <s v="lnkoanh2003@gmail.com"/>
        <s v="yennguyen140205@gmail.com"/>
        <s v="ititiu22087@student.hcmiu.edu.vn"/>
        <s v="tin.nguyen210205@hcmut.edu.vn"/>
        <s v="vannientruong2505@gmail.com"/>
        <s v="trucdt.gl@gmail.com"/>
        <s v="phucnguyen2716@gmail.com"/>
        <s v="dbthy.cathy@gmail.com"/>
        <s v="baotrand636@gmail.com"/>
        <s v="trantiendat8124@gmail.com"/>
        <s v="nguyenquochuy291204@gmail.com"/>
        <s v="phonggnguyen9@gmail.com"/>
        <s v="vudobinhan1207@gmail.com"/>
        <s v="locphantan26@gmail.com"/>
        <s v="letan261201@gmail.com"/>
        <s v="letuankhoi96@gmail.com"/>
        <s v="lamtherin25072004@gmail.com"/>
        <s v="anhtran240903@gmail.com"/>
        <s v="linhnht23413b@st.uel.edu.vn"/>
        <s v="23520105@gm.uit.edu.vn"/>
        <s v="nguyenthanhdanh2001230095@gmail.com"/>
        <s v="quyenthai.060603@gmail.com"/>
        <s v="gialong13092005@gmail.com"/>
        <s v="ngocnhung151104@gmail.com"/>
        <s v="22520818@gm.uit.edu.vn"/>
        <s v="kevinphuc.work@gmail.com"/>
        <s v="nguyenthaoly.bl2@gmail.com"/>
        <s v="duynguyenquoc276@gmail.com"/>
        <s v="cybersecvykha@gmail.com"/>
        <s v="minhjohn4@gmail.com"/>
        <s v="cuong.bui789tuan@hcmut.edu.vn"/>
        <s v="dangthithuyvi120505@gmail.com"/>
        <s v="vubi8266@gmail.com"/>
        <s v="nvvananh11@gmail.com"/>
        <s v="lebaott514@gmail.com"/>
        <s v="kvu5066@gmail.com"/>
        <s v="tranhuukimquy05092005@gmail.com"/>
        <s v="hnhuong1507@gmail.com"/>
        <s v="trivannguyen94@gmail.com"/>
        <s v="nguyendangdh1@gmail.com"/>
        <s v="cattuongtran9@gmail.com"/>
        <s v="anh.nguyen.ta22@gmail.com"/>
        <s v="nhanphamhong2k5@gmail.com"/>
        <s v="tdttrang1401@gmail.com"/>
        <s v="duyphatS2.digital@gmail.com"/>
        <s v="vyquachfor.work@gmail.com"/>
        <s v="mosynhi@gmail.com"/>
        <s v="cuongngochi12@gmail.com"/>
        <s v="lenhathao010181@gmail.con"/>
        <s v="nguyenphucloan29102003@gmail.com"/>
        <s v="caothienquang248@gmail.com"/>
        <s v="tungquanforwork0207@gmail.com"/>
        <s v="nguyenphuongtung222@gmail.com"/>
        <s v="nhung13042005@gmail.com"/>
        <s v="viethoang251004@gmail.com"/>
        <s v="thangnguyen13112004@gmail.com"/>
        <s v="leggotoan@gmail.com"/>
        <s v="yenlinhnguyen1267@gmail.com"/>
        <s v="phat.phamhong@hcmut.edu.vn"/>
        <s v="nductoan1815@gmail.com"/>
        <s v="phunguyen_vn2003@yahoo.com"/>
        <s v="ngthihongnhung3010@gmail.com"/>
        <s v="lamthao17062006@gmail.com"/>
        <s v="vnghy14@gmail.com"/>
        <s v="lucminhphu2705@gmail.com"/>
        <s v="trieuhoangduy1309@gmail.com"/>
        <s v="vtkhanhnhu@gmail.com"/>
        <s v="tngo2505@gmail.com"/>
        <s v="leanhkhoibk@gmail.com"/>
        <s v="trang.dk2823@gmail.com"/>
        <s v="uyenuyennguyen81@gmail.com"/>
        <s v="nhinguyenw05@gmail.com"/>
        <s v="lebinhnguyen2004@gmail.com"/>
        <s v="chauthinh59@gmail.com"/>
        <s v="tdadung23@apcs.fitus.edu.vn"/>
        <s v="luongnguyenanhquan@gmail.com"/>
        <s v="lethevinh123457@gmail.com"/>
        <s v="windy09042003@gmail.com"/>
        <s v="huytrieutan@gmail.com"/>
        <s v="nhatminhle.sd2019@gmail.com"/>
        <s v="ngothekiet2003@gmail.com"/>
        <s v="anhthanhnguyenthi202@gmail.com"/>
        <s v="tuyetnu25122003@gmail.com"/>
        <s v="long.leduc.work@gmail.com"/>
        <s v="huynhkimngoc1601@gmail.com"/>
        <s v="hoanghuytoi03@gmail.com"/>
        <s v="khoaduy.work@gmail.com"/>
        <s v="honhattien4@gmail.com"/>
        <s v="23122035@student.hcmus.edu.vn"/>
        <s v="tdthinh0904@gmail.com"/>
        <s v="nguyentranthiphiyen96.1920@gmail.com"/>
        <s v="23520899@gm.uit.edu.vn"/>
        <s v="lehien6601@gmail.com"/>
        <s v="trandacphu321@gmail.com"/>
        <s v="nguyenluuanhhuy@gmail.com"/>
        <s v="thong.nguyen1476@hcmut.edu.vn"/>
        <s v="lechuc508@gmail.com"/>
        <s v="ducthienvo2205@gmail.com"/>
        <s v="trinhquanghien.iuh@gmail.com"/>
        <s v="ltd.bqlda7112004@gmail.com"/>
        <s v="lntrungvinhds@gmail.com"/>
        <s v="nguyenhuynhhanhnguyen208@gmail.com"/>
        <s v="duyanhnguyenbui2004@gmail.com"/>
        <s v="cathanh1312@gmail.com"/>
        <s v="lamtanphat08@gmail.com"/>
        <s v="ngdangkhoa.2023@gmail.com"/>
        <s v="tpt044@gmail.com"/>
        <s v="leminhkiet1102@gmail.com"/>
        <s v="giangson140403@gmail.com"/>
        <s v="thanh02062004@gmail.com"/>
        <s v="hoanggtrang12345@gmail.com"/>
        <s v="trunghieuy2006@gmail.com"/>
        <s v="thanhdyy23@gmai.com"/>
        <s v="phucvnhpk04087@gmail.com"/>
        <s v="23520292@gm.uit.edu.vn"/>
        <s v="phanngung77x17@gmail.com"/>
        <s v="truongthinhbte@gmail.com"/>
        <s v="nhoainhu733@gmail.com"/>
        <s v="nxloc.2004@gmail.com"/>
        <s v="ntruongquynh2411@gmail.com"/>
        <s v="lequocvuong.work@gmail.com"/>
        <s v="thybui1903qn@gmail.com"/>
        <s v="nguyenhoanbau2004@gmail.com"/>
        <s v="luongxuanminh102@gmail.com"/>
        <s v="buitamta176@gmail.com"/>
        <s v="w.chauanh@gmail.com"/>
        <s v="truongtanphat6302@gmail.com"/>
        <s v="duchoa3032002@gmail.com"/>
        <s v="ntgiainfo@gmail.com"/>
        <s v="phunguyen_vn2010@yahoo.com"/>
        <s v="nguyentunhu0886@gmail.com"/>
        <s v="lethuhiep27032002@gmail.com"/>
        <s v="vinh.thanhnguyen26@gmail.com"/>
        <s v="ngonam1601@gmail.com"/>
        <s v="lmkhang2005@gmail.com"/>
        <s v="ashleytranworkspace@gmail.com"/>
        <s v="hoangphuc141204@gmail.com"/>
        <s v="quocvuuu582@gmail.com"/>
        <s v="monluette@gmail.com"/>
        <s v="23006260@student.westernsydney.edu.vn"/>
        <s v="minhthulnnn@gmail.com"/>
        <s v="khaingotung3@gmail.com"/>
        <s v="nguyenvietkyquan2022@gmail.com"/>
        <s v="ngominhhaiyen1905@gmail.com"/>
        <s v="ngthienaans@gmail.com"/>
        <s v="tpdai108@gmail.com"/>
        <s v="thien.nguyenhn@hcmut.edu.vn"/>
        <s v="maihannguyen100124@gmail.com"/>
        <s v="ahaoinp212@gmail.com"/>
        <s v="buidangquynhnhu.work@gmail.com"/>
        <s v="ndthanh.work@gmail.com"/>
        <s v="nguyendang1653@gmail.com"/>
        <s v="xuanthanhtai873@gmail.com"/>
        <s v="phutrong.ltv@gmail.com"/>
        <s v="nguyenkimhang2501@gmail.com"/>
        <s v="ptcnhung99tn@gmail.com"/>
        <s v="huonggiangdao19092k5@gmail.com"/>
        <s v="tranthithanhnga3101@gmail.com"/>
        <s v="noobz2110@gmail.com"/>
        <s v="phamngocthienpy2005@gmail.com"/>
        <s v="lp.hoangha03@gmail.com"/>
        <s v="lebaongoc86cm@gmail.com"/>
        <s v="nguyentandung037@gmail.com"/>
        <s v="long48800@gmail.com"/>
        <s v="nguyenphamchibao757@gmail.com"/>
        <s v="bientran.dev@gmail.com"/>
        <s v="n.p.binhnguyenkrp2025@gmail.com"/>
        <s v="loiletan0412@gmail.com"/>
        <s v="thanhtrung30062003@gmail.com"/>
        <s v="tri26842684@gmail.com"/>
        <s v="hoaemail1305@gmail.com"/>
        <s v="letanxuankhang1003@gmail.com"/>
        <s v="duyenle30052@gmail.com"/>
        <s v="quocbaoo2005@gmail.com"/>
        <s v="laimochuy@gmail.com"/>
        <s v="tannd1008@gmail.com"/>
        <s v="minh.kieutananh@hcmut.edu.vn"/>
        <s v="hoangdelima0905@gmail.com"/>
        <s v="kietngo.work@gmail.com"/>
        <s v="xuanlinhnguyenmai@gmail.com"/>
        <s v="hungphamtien101@gmail.com"/>
        <s v="10421053@student.vgu.edu.vn"/>
        <s v="thaopham3128@gmail.com"/>
        <s v="hoangthithanhtam12052004@gmail.com"/>
        <s v="ngodinh2339@gmail.com"/>
        <s v="vi12091994@gmail.com"/>
        <s v="nguyenduynhat.250505@gmail.com"/>
        <s v="minh.kieutananh@gmail.com"/>
        <s v="tanthinh030203@gmail.com"/>
        <s v="huongpham7803@gmail.com"/>
        <s v="phamthiaingan1205@gmail.com"/>
        <s v="huynhdat.contact@gmail.com"/>
        <s v="nguyenlethienkim10a1@gmail.com"/>
        <s v="hoanglm.124010123034@vtc.edu.vn"/>
        <s v="minhquan.nguyendo.0705@gmail.com"/>
        <s v="nguyenanh6290@gmail.com"/>
        <s v="buithaihoang04gl@gmail.com"/>
        <s v="vuducvietanh1802@gmail.com"/>
        <s v="anh.hoangduchieu815@hcmut.edu.vn"/>
        <s v="gamegiang123@gmail.com"/>
        <s v="tranhungson322005@gmail.com"/>
        <s v="daiha.work@gmail.com"/>
        <s v="nppanhquan129@gmail.com"/>
        <s v="thanhu0108@gmail.com"/>
        <s v="nguyenthimynu13042003@gmail.com"/>
        <s v="tranvy060903@gmail.com"/>
        <s v="phamnguyen.thehao2703@gmail.com"/>
        <s v="duongw0103@gmail.com"/>
        <s v="dinhquoctien1980@gmail.com"/>
        <s v="chibaolam2000@gmail.com"/>
        <s v="giaobao2kk5@gmail.com"/>
        <s v="trieuminhlong2000@gmail.com"/>
        <s v="nguyenhuyquangvt@gmail.com"/>
        <s v="quan030604@gmail.com"/>
        <s v="lamnhi232002@gmail.com"/>
        <s v="huynhanhquoc.c3@gmail.com"/>
        <s v="tldpn4@gmail.com"/>
        <s v="taitm410@gmail.com"/>
        <s v="nhathao15101998@gmail.com"/>
        <s v="togialoi000@gmail.com"/>
        <s v="hoalevn6245@gmail.com"/>
        <s v="truongan.271103@gmail.com"/>
        <s v="nctnhue95@gmail.com"/>
        <s v="fantastichaha11@gmail.com"/>
        <s v="trancamtu3518@gmail.com"/>
        <s v="truclinh.lttt@gmail.com"/>
        <s v="tnhtrang.work@gmail.com"/>
        <s v="ntphuongmai111@gmail.com"/>
        <s v="nndminh03@gmail.com"/>
        <s v="phamquangvinh853@gmail.com"/>
        <s v="nguyenthu12042006@gmail.com"/>
        <s v="nguyenquoclap159@gmail.com"/>
        <s v="khoanld2609@gmail.com"/>
        <s v="huy.0977907282@gmail.com"/>
        <s v="thphung2@gmail.com"/>
        <s v="kieutho4416@gmail.com"/>
        <s v="tmd31052005@gmail.com"/>
        <s v="zasure112@gmail.com"/>
        <s v="duclnd.t1.2023@gmail.com"/>
        <s v="nguyenduchiep13dn@gmail.com"/>
        <s v="trangiahankrb@gmail.com"/>
        <s v="thevan3204@gmail.com"/>
        <s v="huuthien180204@gmail.com"/>
        <s v="nguyenminhthuvcst@gmail.com"/>
        <s v="duyanh.vo2103@gmail.com"/>
        <s v="nguyenlediemngoc213xt@gmail.com"/>
        <s v="diepthaiphong15@gmail.com"/>
        <s v="vulamtan2005@gmail.com"/>
        <s v="linhkhoiluong@gmail.com"/>
        <s v="cuongtr341@gmail.com"/>
        <s v="trbuitin0423@gmail.com"/>
        <s v="huonggiang03012004@gmail.com"/>
        <s v="nguyennhathuy21112005@gmail.com"/>
        <s v="thu.2374802010492@vanlanguni.vn"/>
        <s v="minh.2374802010309@vanlanguni.vn"/>
        <s v="kynenhon@gmail.com"/>
        <s v="npthanhtam2012@gmail.com"/>
        <s v="qbnguyen0718@gmail.com"/>
        <s v="duongpham246.work@gmail.com"/>
        <s v="tnnhi01035@gmail.com"/>
        <s v="khanhly2852005@gmail.com"/>
        <s v="yuki16072004@gmail.com"/>
        <s v="txmai.935@gmail.com"/>
        <s v="contact.nghivo@gmail.com"/>
        <s v="lehieungan1904@gmail.com"/>
        <s v="nguyentngochan1612@gmail.com"/>
        <s v="hoanganh172424@gmail.com"/>
        <s v="pikachuahihi123@gmail.com"/>
        <s v="trangquynhyen@gmail.com"/>
        <s v="khanhtrampn@gmail.com"/>
        <s v="dungnguyenbo@gmail.com"/>
        <s v="ngbdanh239@gmail.com"/>
        <s v="manhducl2812@gmail.com"/>
        <s v="truong32787@gmail.com"/>
        <s v="24huusang6a2@gmail.com"/>
        <s v="minhnguyen29p304@gmail.com"/>
        <s v="vthuanlaman@gmail.com"/>
        <s v="uyenuyen02082005@gmail.com"/>
        <s v="bbn.uit.k18@gmail.com"/>
        <s v="nhipham232.contact@gmail.com"/>
        <s v="leehnhu@gmail.com"/>
        <s v="huynhchonthanhnhan@gmail.com"/>
        <s v="vocongkhanhhg2004@gmail.com"/>
        <s v="thanhvunguyen.work@gmail.com"/>
        <s v="huynhphuoctai2602@gmail.com"/>
        <s v="lannhivon@gmail.com"/>
      </sharedItems>
    </cacheField>
    <cacheField name="*Số điện thoại bạn đang sử dụng?*" numFmtId="0">
      <sharedItems>
        <s v="+84949263705"/>
        <s v="+84799874428"/>
        <s v="+84903673621"/>
        <s v="+84344157918"/>
        <s v="+84966421165"/>
        <s v="+84332422436"/>
        <s v="+84987929502"/>
        <s v="+84379317150"/>
        <s v="+84965280940"/>
        <s v="+84329343938"/>
        <s v="+84867579810"/>
        <s v="+84347791808"/>
        <s v="+84779883368"/>
        <s v="+84913372563"/>
        <s v="+84564216013"/>
        <s v="+84377168615"/>
        <s v="+84866952340"/>
        <s v="+84379399146"/>
        <s v="+84823538227"/>
        <s v="+84976427104"/>
        <s v="+84355215025"/>
        <s v="+84358246459"/>
        <s v="+84962819981"/>
        <s v="+84907940467"/>
        <s v="+84774628711"/>
        <s v="+84794587665"/>
        <s v="+84708537329"/>
        <s v="+84364673753"/>
        <s v="+84899545888"/>
        <s v="+84931465835"/>
        <s v="+84916740603"/>
        <s v="+84907024817"/>
        <s v="+84364360804"/>
        <s v="+84977257379"/>
        <s v="+84898082709"/>
        <s v="+84783613674"/>
        <s v="+84382891837"/>
        <s v="+84399517566"/>
        <s v="+84904599204"/>
        <s v="+84787571406"/>
        <s v="+84905171069"/>
        <s v="+84898471302"/>
        <s v="+84829726852"/>
        <s v="+84335560809"/>
        <s v="+84386323603"/>
        <s v="+84373985445"/>
        <s v="+84333468370"/>
        <s v="+84914135861"/>
        <s v="+84989249973"/>
        <s v="+84943077944"/>
        <s v="+84846866299"/>
        <s v="+84961867854"/>
        <s v="+84932557323"/>
        <s v="+84369231746"/>
        <s v="+84338854386"/>
        <s v="+84819273442"/>
        <s v="+84986280644"/>
        <s v="+84941782510"/>
        <s v="+84365491057"/>
        <s v="+84374186907"/>
        <s v="+84942135864"/>
        <s v="+84706415459"/>
        <s v="+84902860127"/>
        <s v="+84903150934"/>
        <s v="+84375030373"/>
        <s v="+84707973847"/>
        <s v="+84919381229"/>
        <s v="+84905002438"/>
        <s v="+84938811069"/>
        <s v="+84395016072"/>
        <s v="+84345727629"/>
        <s v="+84907454285"/>
        <s v="+84353372428"/>
        <s v="+84786378421"/>
        <s v="+84397799659"/>
        <s v="+84969597735"/>
        <s v="+84777608368"/>
        <s v="+84869570934"/>
        <s v="+84846157500"/>
        <s v="+84328380797"/>
        <s v="+84326528294"/>
        <s v="+84902797237"/>
        <s v="+84869250402"/>
        <s v="+84384056423"/>
        <s v="+84978261707"/>
        <s v="+84914805849"/>
        <s v="+84923104570"/>
        <s v="+84357640598"/>
        <s v="+84349677343"/>
        <s v="+84913540803"/>
        <s v="+84838438053"/>
        <s v="+84848012384"/>
        <s v="+84918393101"/>
        <s v="+84941149777"/>
        <s v="+84823578106"/>
        <s v="+84935239709"/>
        <s v="+84923250852"/>
        <s v="+84965308445"/>
        <s v="+84365691421"/>
        <s v="+84987002527"/>
        <s v="+84796514476"/>
        <s v="+84816283456"/>
        <s v="+84943052453"/>
        <s v="+84799722822"/>
        <s v="+84942557281"/>
        <s v="+84924165845"/>
        <s v="+84825568788"/>
        <s v="+84396498920"/>
        <s v="+84919492020"/>
        <s v="+84967660861"/>
        <s v="+84364712980"/>
        <s v="+84909626746"/>
        <s v="+84339432608"/>
        <s v="+84378099887"/>
        <s v="+84559517421"/>
        <s v="+84918245973"/>
        <s v="+84347108123"/>
        <s v="+84879530458"/>
        <s v="+84906706289"/>
        <s v="+84382943515"/>
        <s v="+84343811836"/>
        <s v="+84707072966"/>
        <s v="+84774030157"/>
        <s v="+84819309989"/>
        <s v="+84396177323"/>
        <s v="+84902660321"/>
        <s v="+84948485519"/>
        <s v="+84865116067"/>
        <s v="+84357008034"/>
        <s v="+84934197743"/>
        <s v="+84902429999"/>
        <s v="+84816352781"/>
        <s v="+84706732140"/>
        <s v="+84901484575"/>
        <s v="+84338539450"/>
        <s v="+84369280305"/>
        <s v="+84899893168"/>
        <s v="+84373569734"/>
        <s v="+84852864102"/>
        <s v="+84971014978"/>
        <s v="+84393424052"/>
        <s v="+84918960090"/>
        <s v="+84706169918"/>
        <s v="+84859361633"/>
        <s v="+84345754672"/>
        <s v="+821021816197"/>
        <s v="+84799443204"/>
        <s v="+84985214127"/>
        <s v="+84888738201"/>
        <s v="+84923107814"/>
        <s v="+84867911513"/>
        <s v="+84926083260"/>
        <s v="+84941665470"/>
        <s v="+84933376639"/>
        <s v="+84966404344"/>
        <s v="+84387649640"/>
        <s v="+84933519727"/>
        <s v="+84585089691"/>
        <s v="+84913421855"/>
        <s v="+84342871816"/>
        <s v="+84368757916"/>
        <s v="+84902944859"/>
        <s v="+84768114665"/>
        <s v="+84783555097"/>
        <s v="+84944386941"/>
        <s v="+84814474321"/>
        <s v="+84943402253"/>
        <s v="+84356147177"/>
        <s v="+84886432119"/>
        <s v="+84336437356"/>
        <s v="+84345383575"/>
        <s v="+84329501759"/>
        <s v="+84367937626"/>
        <s v="+84772017159"/>
        <s v="+84914832707"/>
        <s v="+84906433607"/>
        <s v="+84869123103"/>
        <s v="+84325958250"/>
        <s v="+84823083259"/>
        <s v="+84772731783"/>
        <s v="+84376261382"/>
        <s v="+84918428711"/>
        <s v="+84384194364"/>
        <s v="+84707982939"/>
        <s v="+84858561490"/>
        <s v="+84395224204"/>
        <s v="+84944884531"/>
        <s v="+84902908542"/>
        <s v="+84705800474"/>
        <s v="+84767009955"/>
        <s v="+84335538025"/>
        <s v="+84328452607"/>
        <s v="+84348720082"/>
        <s v="+84389264839"/>
        <s v="+84917157785"/>
        <s v="+84965023726"/>
        <s v="+84852214104"/>
        <s v="+84705862279"/>
        <s v="+84797879129"/>
        <s v="+84989522125"/>
        <s v="+84366024073"/>
        <s v="+84822203534"/>
        <s v="+84858951424"/>
        <s v="+84359772230"/>
        <s v="+84938043751"/>
        <s v="+84382896246"/>
        <s v="+84868389329"/>
        <s v="+84369889062"/>
        <s v="+84925674684"/>
        <s v="+84767367435"/>
        <s v="+84961682107"/>
        <s v="+84866788164"/>
        <s v="+84375865352"/>
        <s v="+84862741773"/>
        <s v="+84387834332"/>
        <s v="+84383502327"/>
        <s v="+84967685601"/>
        <s v="+84908003798"/>
        <s v="+84901734187"/>
        <s v="+84528815642"/>
        <s v="+84847046049"/>
        <s v="+84388585995"/>
        <s v="+84902561608"/>
        <s v="+84973643001"/>
        <s v="+84375359048"/>
        <s v="+84986914970"/>
        <s v="+84795076141"/>
        <s v="+84334422117"/>
        <s v="+84764914166"/>
        <s v="+84914749064"/>
        <s v="+84704671908"/>
        <s v="+84355510082"/>
        <s v="+84789430105"/>
        <s v="+84338486018"/>
        <s v="+84902316248"/>
        <s v="+84384077279"/>
        <s v="+84798766186"/>
        <s v="+84985052900"/>
        <s v="+84368835294"/>
        <s v="+84365043675"/>
        <s v="+84774421452"/>
        <s v="+84909462208"/>
        <s v="+84906623426"/>
        <s v="+84363539478"/>
        <s v="+84394762745"/>
        <s v="+84337163704"/>
        <s v="+84981959775"/>
        <s v="+84966838756"/>
        <s v="+84981312709"/>
        <s v="+84349373249"/>
        <s v="+84796853563"/>
        <s v="+84369377060"/>
        <s v="+84825478182"/>
        <s v="+84378462570"/>
        <s v="+84948017324"/>
        <s v="+84356936568"/>
        <s v="+84961788948"/>
        <s v="+84944449487"/>
        <s v="+84359933524"/>
        <s v="+84941584575"/>
        <s v="+84898406809"/>
        <s v="+84375734990"/>
        <s v="+84356539038"/>
        <s v="+84908561071"/>
        <s v="+84355749461"/>
        <s v="+84365405525"/>
        <s v="+84583973996"/>
        <s v="+84333434629"/>
        <s v="+84914092549"/>
        <s v="+84325553400"/>
        <s v="+84817995925"/>
        <s v="+84395470613"/>
        <s v="+84928567592"/>
        <s v="+84389832755"/>
        <s v="+84355785209"/>
        <s v="+84872721473"/>
        <s v="+84812002998"/>
        <s v="+84344026945"/>
        <s v="+84395953421"/>
        <s v="+84909940436"/>
        <s v="+84359387036"/>
        <s v="+84867853867"/>
        <s v="+84812297178"/>
        <s v="+84775470336"/>
        <s v="+84869293053"/>
        <s v="+84386658478"/>
        <s v="+84909978708"/>
        <s v="+84843866788"/>
        <s v="+84931332285"/>
        <s v="+84329782205"/>
        <s v="+84356708642"/>
        <s v="+84901162143"/>
        <s v="+84854870179"/>
        <s v="+84978702454"/>
        <s v="+84363553536"/>
        <s v="+84946827825"/>
        <s v="+84358522978"/>
        <s v="+84946855825"/>
        <s v="+84944090450"/>
        <s v="+84922117580"/>
        <s v="+84356787352"/>
        <s v="+84917199533"/>
        <s v="+84941655089"/>
        <s v="+84703435034"/>
        <s v="+84385470580"/>
        <s v="+84989836733"/>
        <s v="+84337686257"/>
        <s v="+84327644031"/>
        <s v="+84388637259"/>
        <s v="+84767265062"/>
        <s v="+84799494849"/>
        <s v="+84981893696"/>
        <s v="+84354724412"/>
        <s v="+84384340684"/>
        <s v="+84977568817"/>
        <s v="+84981883419"/>
        <s v="+84899771436"/>
        <s v="+84918199338"/>
        <s v="+84775122980"/>
        <s v="+84707721611"/>
        <s v="+84379683151"/>
        <s v="+84836099465"/>
        <s v="+84838065505"/>
        <s v="+84839160604"/>
        <s v="+84785567806"/>
        <s v="+84896647885"/>
        <s v="+84969984144"/>
        <s v="+84944144560"/>
        <s v="+84985659398"/>
        <s v="+84819860373"/>
        <s v="+84943352368"/>
        <s v="+84947733481"/>
        <s v="+84564520610"/>
        <s v="+84344898294"/>
        <s v="+84345378032"/>
        <s v="+84379522232"/>
        <s v="+84984283445"/>
        <s v="+84938210020"/>
        <s v="+84916811897"/>
        <s v="+84948795154"/>
        <s v="+84906517865"/>
        <s v="+84941521447"/>
        <s v="+84384205428"/>
        <s v="+84985824457"/>
        <s v="+84387018309"/>
        <s v="+84768191431"/>
        <s v="+84354304881"/>
        <s v="+84946490224"/>
        <s v="+84935866252"/>
        <s v="+84938537347"/>
        <s v="+84763238572"/>
        <s v="+84399396164"/>
        <s v="+84385328124"/>
        <s v="+84852299711"/>
        <s v="+84902941212"/>
        <s v="+84397938536"/>
        <s v="+84981228657"/>
        <s v="+84938730581"/>
        <s v="+84945645996"/>
        <s v="+84566853255"/>
        <s v="+84362572875"/>
        <s v="+84961361214"/>
        <s v="+84983631443"/>
        <s v="+84979712043"/>
        <s v="+84386036132"/>
        <s v="+84919399209"/>
        <s v="+84834904537"/>
        <s v="+84388493610"/>
        <s v="+84707182711"/>
        <s v="+84366074770"/>
        <s v="+84326735507"/>
        <s v="+84386783066"/>
        <s v="+84909212394"/>
        <s v="+84918303751"/>
        <s v="+84382567569"/>
        <s v="+84398606281"/>
        <s v="+84949452527"/>
        <s v="+84906862986"/>
        <s v="+84797784766"/>
        <s v="+84948843864"/>
        <s v="+84762590023"/>
        <s v="+84911777488"/>
        <s v="+84342488229"/>
        <s v="+84906648217"/>
        <s v="+84911296046"/>
        <s v="+84329181856"/>
        <s v="+84868204505"/>
        <s v="+84383638934"/>
        <s v="+84325608801"/>
        <s v="+84389459715"/>
        <s v="+84764884258"/>
        <s v="+84888553944"/>
        <s v="+84833052952"/>
        <s v="+84707969308"/>
        <s v="+84854936613"/>
        <s v="+84783771091"/>
        <s v="+84918923200"/>
        <s v="+84764251004"/>
        <s v="+84985384224"/>
        <s v="+84345138026"/>
        <s v="+84969443263"/>
        <s v="+84918234000"/>
        <s v="+84942901405"/>
        <s v="+84931822658"/>
        <s v="+84932850236"/>
        <s v="+84988214583"/>
        <s v="+84818183667"/>
        <s v="+84868232031"/>
        <s v="+84938129556"/>
        <s v="+84395506568"/>
        <s v="+84963870759"/>
        <s v="+84399347360"/>
        <s v="+84815006825"/>
        <s v="+84932199527"/>
        <s v="+84335441261"/>
        <s v="+84971911342"/>
        <s v="+84944734659"/>
        <s v="+84903500049"/>
        <s v="+84348860520"/>
        <s v="+84966013783"/>
        <s v="+84764818891"/>
        <s v="+84918925902"/>
        <s v="+84858098054"/>
        <s v="+84367664855"/>
        <s v="+84911535377"/>
        <s v="+84364568103"/>
        <s v="+84966343508"/>
        <s v="+84849600023"/>
        <s v="+84985484725"/>
        <s v="+84357457257"/>
        <s v="+84915751200"/>
        <s v="+84916158557"/>
        <s v="+84949422609"/>
        <s v="+84395992792"/>
        <s v="+84334521530"/>
        <s v="+84974796601"/>
        <s v="+84982618700"/>
        <s v="+84793515516"/>
        <s v="+84918748454"/>
        <s v="+84969796314"/>
        <s v="+84379572270"/>
        <s v="+84375435837"/>
        <s v="+84329951538"/>
        <s v="+84786885375"/>
        <s v="+84983838961"/>
        <s v="+84765635067"/>
        <s v="+84931951036"/>
        <s v="+84774121743"/>
        <s v="+84886782422"/>
        <s v="+84396154134"/>
        <s v="+84398363952"/>
        <s v="+84704140403"/>
        <s v="+84984762140"/>
        <s v="+84989431140"/>
        <s v="+94945661917"/>
        <s v="+84373792380"/>
        <s v="+84854452626"/>
        <s v="+84819070163"/>
        <s v="+84708099262"/>
        <s v="+84838592692"/>
        <s v="+84367672694"/>
        <s v="+84961786249"/>
        <s v="+84706070821"/>
        <s v="+84767615124"/>
        <s v="+84344731226"/>
        <s v="+84375981616"/>
        <s v="+84366750106"/>
        <s v="+84768965596"/>
        <s v="+84396717580"/>
        <s v="+84933540827"/>
        <s v="+84868433581"/>
        <s v="+84394359278"/>
        <s v="+84924780886"/>
        <s v="+84327528330"/>
        <s v="+84582915056"/>
        <s v="+84867852519"/>
        <s v="+84938368316"/>
        <s v="+84376195921"/>
        <s v="+84868612497"/>
        <s v="+84938320564"/>
        <s v="+84767098134"/>
        <s v="+84969271271"/>
        <s v="+84343422716"/>
        <s v="+84787499136"/>
        <s v="+84921124475"/>
        <s v="+84906688799"/>
        <s v="+84911105675"/>
        <s v="+84901956202"/>
        <s v="+84963877559"/>
        <s v="+84367063277"/>
        <s v="+84854197352"/>
        <s v="+84707628369"/>
        <s v="+84937159395"/>
        <s v="+84942678894"/>
        <s v="+84968186482"/>
        <s v="+84357345434"/>
        <s v="+84933977855"/>
        <s v="+84901906334"/>
        <s v="+84334570359"/>
        <s v="+84838244506"/>
        <s v="+84946074322"/>
        <s v="+84823727385"/>
        <s v="+84773021504"/>
        <s v="+84915702727"/>
        <s v="+84394996425"/>
        <s v="+84768843039"/>
        <s v="+84379439757"/>
        <s v="+84374383707"/>
        <s v="+84347281081"/>
        <s v="+84931479174"/>
        <s v="+84906281336"/>
        <s v="+84785406202"/>
        <s v="+84843208288"/>
        <s v="+84373708308"/>
        <s v="+84842094192"/>
        <s v="+84942406392"/>
        <s v="+84375037830"/>
        <s v="+84918790709"/>
        <s v="+84936560552"/>
        <s v="+84817002407"/>
        <s v="+84933484531"/>
        <s v="+84388653120"/>
        <s v="+84963733570"/>
        <s v="+84944499310"/>
        <s v="+84947346557"/>
        <s v="+84335212458"/>
        <s v="+84356763136"/>
        <s v="+84377976509"/>
        <s v="+84911366562"/>
        <s v="+84934025703"/>
        <s v="+84896546111"/>
        <s v="+84767026352"/>
        <s v="+84981885030"/>
        <s v="+84935769791"/>
        <s v="+84384956604"/>
        <s v="+84938984732"/>
        <s v="+84398866290"/>
        <s v="+84984251589"/>
        <s v="+84797598184"/>
        <s v="+84931792129"/>
        <s v="+84965351817"/>
        <s v="+84784345079"/>
        <s v="+84862586678"/>
        <s v="+84905902489"/>
        <s v="+84944859735"/>
        <s v="+84397569676"/>
        <s v="+84898162396"/>
        <s v="+84334191487"/>
        <s v="+84989712496"/>
        <s v="+84945766746"/>
        <s v="+84385800144"/>
        <s v="+84976973831"/>
        <s v="+84794408658"/>
        <s v="+84854624879"/>
        <s v="+84393995405"/>
        <s v="+84869910467"/>
        <s v="+84388710603"/>
        <s v="+84362494249"/>
        <s v="+84777576435"/>
        <s v="+84586500581"/>
        <s v="+84963422608"/>
        <s v="+84358697673"/>
        <s v="+84393589643"/>
        <s v="+84971605817"/>
        <s v="+84395736440"/>
        <s v="+84799513518"/>
        <s v="+84988402767"/>
        <s v="+84903856791"/>
        <s v="+84367117346"/>
        <s v="+84396982813"/>
        <s v="+84388056429"/>
        <s v="+84376580052"/>
        <s v="+84903094915"/>
        <s v="+84393824024"/>
        <s v="+84392227658"/>
        <s v="+84368948121"/>
        <s v="+84347776422"/>
        <s v="+84826245431"/>
        <s v="+84966191734"/>
        <s v="+84332718397"/>
        <s v="+84386962089"/>
        <s v="+84379801319"/>
        <s v="+84797472852"/>
        <s v="+84979531499"/>
        <s v="+84849362717"/>
        <s v="+84705783596"/>
        <s v="+84857726404"/>
        <s v="+84988634825"/>
        <s v="+84829334908"/>
        <s v="+84779130905"/>
        <s v="+84962213194"/>
        <s v="+84934866294"/>
        <s v="+84852367703"/>
        <s v="+84818953935"/>
        <s v="+84847457689"/>
        <s v="+84898261388"/>
        <s v="+84764440624"/>
        <s v="+84905272537"/>
        <s v="+84394111920"/>
        <s v="+84708197069"/>
        <s v="+84942981375"/>
        <s v="+84911616518"/>
        <s v="+84867926064"/>
        <s v="+84846112731"/>
        <s v="+84916913866"/>
        <s v="+84364817555"/>
        <s v="+84915046248"/>
        <s v="+84914891650"/>
        <s v="+84868595305"/>
        <s v="+84399723484"/>
        <s v="+84908947286"/>
        <s v="+84915765079"/>
        <s v="+84837437886"/>
        <s v="+84842442368"/>
        <s v="+84399347445"/>
        <s v="+84942594875"/>
        <s v="+84865530244"/>
        <s v="+84793302504"/>
        <s v="+84931472928"/>
        <s v="+84905283353"/>
        <s v="+84934232644"/>
        <s v="+84938848701"/>
        <s v="+84559772760"/>
        <s v="+84706390156"/>
        <s v="+84917033929"/>
        <s v="+84978375609"/>
        <s v="+84938890100"/>
      </sharedItems>
    </cacheField>
    <cacheField name="*1st choice / Nguyện vọng 1*" numFmtId="0">
      <sharedItems>
        <s v="Unity Development Intern"/>
        <s v="Data Analysis Intern"/>
        <s v="Game Design Intern"/>
        <s v="Game Quality Assurance Intern"/>
        <s v="AI Engineering Intern"/>
        <s v="Human Resources Intern"/>
        <s v="Game User Acquisition Intern"/>
      </sharedItems>
    </cacheField>
    <cacheField name="*2nd choice / Nguyện vọng 2*" numFmtId="0">
      <sharedItems containsBlank="1">
        <s v="AI Engineering Intern"/>
        <s v="Game Design Intern"/>
        <s v="Unity Development Intern"/>
        <s v="Game Quality Assurance Intern"/>
        <s v="Data Analysis Intern"/>
        <m/>
        <s v="Game User Acquisition Intern"/>
        <s v="Human Resources Intern"/>
      </sharedItems>
    </cacheField>
    <cacheField name="*Please submit your CV here *" numFmtId="0">
      <sharedItems>
        <s v="https://api.typeform.com/responses/files/af59c765842d256a6b19dda5f36acaede0803e973d05a7cc2225ee13e186418a/cv_intern.pdf"/>
        <s v="https://api.typeform.com/responses/files/04f57b802dfab7bc41f81802d0af17d1f919e526e6ab815fe4a53518b4ad2d10/CV___Data_Analysis_Intern___Phạm_Ngọc_Trí.pdf"/>
        <s v="https://api.typeform.com/responses/files/f8137e009d217a437ef2a22054dc0e91e60489c8858d10d0e02dad6f76d32896/CV_NguyenTrongNghia_UnityDeveloper.pdf"/>
        <s v="https://api.typeform.com/responses/files/e3d7fa588d5228d6f0f01b823d437afdccf75b2682b96418f290011392e551b5/CV_Game_Design_Intern_Đặng_Thế_An.pdf"/>
        <s v="https://api.typeform.com/responses/files/2625f62526c8aabc839b37a2620f1a9db363d6f1b09e54e94e7efd0890126ea6/CV___Unity_Development_Intern___Nguyễn_Công_Trung.pdf"/>
        <s v="https://api.typeform.com/responses/files/a7521ca33a5886955e0aa8cff0afd19aa2203e2a911d21f5940a315b68e2b12b/CV_UnityDevelopment_TranDoHoangTan.pdf"/>
        <s v="https://api.typeform.com/responses/files/4daf05074df1b4a5024a18ade40bd22c037f262114c891e5abdb3a44b916211e/CV_Game_Designer_Intern_Nguyễn_Minh_Khôi.pdf"/>
        <s v="https://api.typeform.com/responses/files/577976c1e3cc6d1fdc2886d246aa5060c9d02d3ceec1c8020127397cf8a58028/CV.pdf"/>
        <s v="https://api.typeform.com/responses/files/7e3eb98ce253cd0705271e5498eb8bab9be2346bd2cfe685da3d12c6e8d03d47/CV_Nguyen_Duc_Hoang_Unity_Developer__30_3_2026_.pdf"/>
        <s v="https://api.typeform.com/responses/files/8c921e90f409e99278ce56cdee988c0cffd9d215d52a29a9f835ccedc62ddb86/Dat_Tran_TopCV.vn_090426.223435__1___3_.pdf"/>
        <s v="https://api.typeform.com/responses/files/6e0e59b4dd4066f42f455ba97e234fdfbc43839efe05ad178dfce3296ca192b8/CV_GameDesignerIntern_Trần_Quốc_An.pdf"/>
        <s v="https://api.typeform.com/responses/files/9cd376e0d75c562169274163998ef74115cca7b0436aecb1c2fb0a2316338a9d/CV_Data_Analysis_Intern_PhamMinhNgan.pdf"/>
        <s v="https://api.typeform.com/responses/files/28b24fda5028b13ccff8413d5b49e1fdadfdc61a4424a7c0f17240565425da2f/CV_GameDesignerIntern_VoNguyenHung.pdf"/>
        <s v="https://api.typeform.com/responses/files/192ac2dc50e0468553f108dd56105e1e10a17de450dcd0a21fd9b39b520639e7/CV_GameDesignerIntern_TranDongKhang.pdf"/>
        <s v="https://api.typeform.com/responses/files/64ce4da0b6fb67d925246efc5d6f1308072613bfabbaa4886021db7d16f540ad/Intern_Unity_Developer_Game.pdf"/>
        <s v="https://api.typeform.com/responses/files/6535733ae0fdc68a2223741c52df68917bfbc7518ad1f173357ec356df59aacc/CV___Unity_Development_Intern___Nguyễn_Phương_Nam.pdf"/>
        <s v="https://api.typeform.com/responses/files/ee0dd682bb1d771392c8eb91ba1ed3cfe9f368026e14433af0d78829e461f8dc/CV___AI_Engineering_Intern___Phan_Đình_Thái.pdf"/>
        <s v="https://api.typeform.com/responses/files/9640816c8fdd41b05a71a130941a72079f2532834fcad2cdaa68cbde0712c77f/CV___Game_Designer_Intern___NgoTrungThien.pdf"/>
        <s v="https://api.typeform.com/responses/files/49a9e551024e1fc3a04bac70d2dea38da51a0f60c8635a20913ffc3613a41f93/CV_Tran_Danh_Vinh.pdf"/>
        <s v="https://api.typeform.com/responses/files/3c6a52aa01e5a74e1c7916912deed381030556df188e16cb493301cc5c04b70c/CV_Nguyen_Hung_Phat.pdf"/>
        <s v="https://api.typeform.com/responses/files/27b0e36878d8b5425437b1ec7bc7fa4ed0228ba7fd4ac3187a3fdf5733ceb5e6/CV___Data_Analysis_Intern___Lê_Hữu_Tài.pdf"/>
        <s v="https://api.typeform.com/responses/files/5ee87f8f2d3247b5a468e15d31b1fca98926d1b9dd584158ab5d9a5dd93c13e7/Nguyễn_Quốc_Anh.pdf"/>
        <s v="https://api.typeform.com/responses/files/070b9a437fbc83ce78ea18fea8be84117aacdbf91e396aef2e76913d6d16d7be/CV_Game_Design_Intern_Tran_Phuong_Anh.pdf"/>
        <s v="https://api.typeform.com/responses/files/88a085aed49d56d77e5f3182079cbae43cf34584583722ea9d2a3523b2c872f0/TranLap_Nhan__Game_Designer.pdf"/>
        <s v="https://api.typeform.com/responses/files/17d2ad1e85b7684c949ba556f594153d5cbf4161272655214fd0929e43505402/CV_DuongTheKhai_GameDesignerIntern.pdf"/>
        <s v="https://api.typeform.com/responses/files/ed22fb6dc0590a518076fd642725fb4deb69e39610c1e81897dd15ceb6e8320c/CV___Unity_Development_Intern___Tạ_Ngọc_Minh.pdf"/>
        <s v="https://api.typeform.com/responses/files/1b237672126ea08d8483a1c307f9d2ebd25c09af7bc4ebfb9028ed3e4f3aeb71/CV___Data_Analysis_Intern___Đỗ_Phú_Duy.pdf"/>
        <s v="https://api.typeform.com/responses/files/e08a3f9c1c63e15a724e0698f5dfe2ea199f57a4c35751f48908eb4c799d3cf4/CV___Data_Analysis_Intern___Lê_Hữu_Tài.pdf"/>
        <s v="https://api.typeform.com/responses/files/a1942272df9d15a4a3ed1ffefc3aeba52f22eb8709bdf6af7f5c9d5c03178d0e/CV___Data_Analysis_Intern___Nguyễn_Bình_Minh_Quân.pdf"/>
        <s v="https://api.typeform.com/responses/files/f5bf755277ab2ea133a66c36a4d97eb480b102d604bca6e2509ef5b40d82a528/CV___AI_Engineer_Intern___Nguyễn_Đình_Quân.pdf"/>
        <s v="https://api.typeform.com/responses/files/8b05c5501e635ba28fae083a6363af0c3953606e85e3c00435c6673e00ec97e0/CV___Game_Design_Intern___Nguyễn_Trương_Trọng_Hiếu.pdf"/>
        <s v="https://api.typeform.com/responses/files/fa1b15a05f5a9a637d8311a003ee947cbf5e2cbdf8cf31df14c2811c1769ae86/CV_GameDesigner_Intern_NguyenKhacKy.pdf"/>
        <s v="https://api.typeform.com/responses/files/afa1622ddb3fedbe9cc6effde4bfbb8f4eb14b1760b6b17321430f04d043059a/CV___Unity_Developer_Intern__Phạm_Thanh_Phong.pdf"/>
        <s v="https://api.typeform.com/responses/files/2fdffa75de17aa16a8fe240047e8508a7042e2e7cc5a196e8da76e94f91ef4b1/NguyenThanhHien.pdf"/>
        <s v="https://api.typeform.com/responses/files/00e4398db24a73fd2c58ca0cb2897d491ca8ed70f3c66d903e2b55344e695f72/CV___Game_Design_Intern___Vũ_Trường_Hùng.pdf"/>
        <s v="https://api.typeform.com/responses/files/26321aec4288e6e5e6b66a5a410af01356498bc768af76316192413e3ef5a791/CV___Unity_Developer_Intern___Lê_Đình_Thiện.pdf"/>
        <s v="https://api.typeform.com/responses/files/122d52c5bc08c500f19cd8caa7d4410c0454c6b1cd5146f19975607c1a8087cd/Cv.pdf"/>
        <s v="https://api.typeform.com/responses/files/a2712d76e0a6340a8747f44b67c0ccb542e2c993557b5ea321e52cf750b47418/CV___Game_Development_Intern___Nguyễn_Anh_Tường.pdf"/>
        <s v="https://api.typeform.com/responses/files/cbff5534cc3b2e0025b9480516547d65b020ba3f79473917fa1bbf65567763b4/CV___Data_Analysis_Intern___Võ_Ngọc_Duy.pdf"/>
        <s v="https://api.typeform.com/responses/files/07a99ccdb8398dbd6eafa8a72d0489ae9d3c4eaf2139e3241422268a5d51cee9/DinhThanhTung_CV_en_GameDesign.pdf"/>
        <s v="https://api.typeform.com/responses/files/325a572c62882f7c0c56fec8f7042ee4997f259f608a3992d151c24b0527ef6b/KietTrinh_CV.pdf"/>
        <s v="https://api.typeform.com/responses/files/5f7eac26ce7d1cbe704b1fe99586b7985924abda4647d6ebea0735ad7ed22139/CV___AI_Engineer_Intern___Huỳnh_Cao_Tuấn_Kiệt.pdf"/>
        <s v="https://api.typeform.com/responses/files/d93aa58561292d0ae9161191c5d412fcc6723e8227878a2b0045b9a78ed1875e/CV_Son_ENG.pdf"/>
        <s v="https://api.typeform.com/responses/files/0ba3d4016feebbfded743f5ec0b0d122b935a33de8f731f54ea23da8ecded209/CV___AI_Engineering_Intern___Phan_Đức_Anh.pdf"/>
        <s v="https://api.typeform.com/responses/files/7b7232dff254e35815a10437c391022d2aa2772abdf0d0b0994574c5bf008565/CV___AI_Engineer_Intern___Luu_Thuong_Hong.pdf"/>
        <s v="https://api.typeform.com/responses/files/51978201fbd73caf36fa7569a5e49fabddce41a7fe129938d7f366190f818773/CV___Data_Analysis_Intern___Nguyễn_Hoàng_Vũ.pdf"/>
        <s v="https://api.typeform.com/responses/files/fe49c1215d88cda299c1fae7b1b00f72a205be6b86a134e8e5814bde4c3d65ce/CV_Data_Analyst_Intern_Tang_Thi_Van.pdf"/>
        <s v="https://api.typeform.com/responses/files/6afb456be1ae90bf17ea2b627a06972f118a821868a18fe73e66d125e43b4a28/CV___Unity_Development_Intern___Hoàng_Võ_Ngọc_Nguyên.pdf"/>
        <s v="https://api.typeform.com/responses/files/69a382b14fe3d1beff1f534018860474017cfe6d5844b20326edde33aba1e49d/CV___Data_Analysis_Intern___Hoàng_Đôn_Thiện_Hòa.pdf"/>
        <s v="https://api.typeform.com/responses/files/1216a8acc2c4d79fe949167e880b1faabf4615e4c4dc0cf49ba35b1fd1b31ccf/CV___AI_Engineer_Intern___Phạm_Anh_Huy.pdf"/>
        <s v="https://api.typeform.com/responses/files/1a18997f6512b37b45535bdc5867b79369906360da49e91633221911cf34e1d8/Tran_Tuong_Vi___Human_Resources_Intern.pdf"/>
        <s v="https://api.typeform.com/responses/files/e9c62ce0a86826510e7d79f55ca1d628853b21a1e1c710ea3f51667d73b90ac1/CV___AI_Engineering__Data_Analysis___Trần_Bảo_Phúc.pdf"/>
        <s v="https://api.typeform.com/responses/files/a7e5e7ee3c242d865764ce22dd88e380b32805a768acefe8d8dc49374de3b09b/CV__AI_Engineering_Intern___Tran_Chau_Phu.pdf"/>
        <s v="https://api.typeform.com/responses/files/41b9c362b3d996aa30d0cf4ff590953b4043814d32686707123ee5677c3bb46e/CV___AI_Engineer_Intern___Nguyễn_Bích_Khuê.pdf"/>
        <s v="https://api.typeform.com/responses/files/49995bdf4a8f02ba96d24d8f7be9e294d1ed22a4fb142cc0b2e3ad38e792268e/CV__Unity_Development_Intern_Nguyen_Duy_Tam.pdf"/>
        <s v="https://api.typeform.com/responses/files/466950a48ead7c1cebe67525b70331b25c7084c3d9d9bf7a330f04c8965dea56/NguyenThanhDat_CV_FE.pdf"/>
        <s v="https://api.typeform.com/responses/files/913a9844eb0d0cfb1ae0c26fd6a1caf74a015ab7792709f4b3311cd20d6c6050/CV___Unity_Development_Intern___Hoàng_Đình_Ngọc_Quang.pdf"/>
        <s v="https://api.typeform.com/responses/files/c082a25d5847ac6afe84941809691831cec07785b03ed5814f9f567dac054704/CV___AI_Engineering_Intern___Lê_Huỳnh_Nhật_Hưng_.pdf"/>
        <s v="https://api.typeform.com/responses/files/f450780c1f800b2a08270cda5b1a49e500431947ff5903b2ef01d3c000e5a2c2/CV___Unity_Development_Intern___Trần_Thiện_Thuật.pdf"/>
        <s v="https://api.typeform.com/responses/files/55ae2bf19e92aba997f01186ab6d7c0afbc476e5d9e3e02a13fdc450c74e3666/CV___Data_Analysis_Intern___Bui_Thi_Thanh.pdf"/>
        <s v="https://api.typeform.com/responses/files/e436ba5505db080cded0e76331bb1219c9c3eb09ec21cf048a1d4581fd4dfb15/CV___Data_Analysis_Intern___Phan_Thị_Ngọc_Linh.pdf"/>
        <s v="https://api.typeform.com/responses/files/2756897ff35cc01e54ccd247a332af1cd4936df8a9f5649a2575ae0b17318ebd/CV_UnityDevelopmentIntern_TrầnQuangAnhThuận.pdf"/>
        <s v="https://api.typeform.com/responses/files/d7ccb550fb196ca2f07156fea9eee62a8523a116e7634b54c1cf1e26839ae92a/CV_UnityDevelopmentIntern_TrầnQuangAnhThuận.pdf"/>
        <s v="https://api.typeform.com/responses/files/ab0fcb15ceb6a2d22635d729a28cba208409937025a6f2014006d56079d8e6ec/CV___Game_Quality_Assurance_Intern___Nguyễn_Lâm_Nhã_Uyên.pdf"/>
        <s v="https://api.typeform.com/responses/files/33b5ec23244c33f18529037b24f433283cb2fcee03255e79ae604e6862b5fff9/CV___AI_Engineering_Intern___Bùi_Trương_Thái_Sơn.pdf"/>
        <s v="https://api.typeform.com/responses/files/9db784c49df225d52ff3b4115379a148cd369806c5636ecc49aa8eb1a0dbe8f5/CV___UA_Intern___Trần_Minh_Tâm.pdf"/>
        <s v="https://api.typeform.com/responses/files/3e5433edeb53e30a22b0325115766c61021b3610b1091288709f9335eed5e2fb/resume.pdf"/>
        <s v="https://api.typeform.com/responses/files/1a94eb35f04f92e9c435cd2b3226af21c8d29d300e63893f531e986985a407f8/CV___Data_Analysis_Intern___Nguyễn_Như_Hoàng_Tiến.pdf"/>
        <s v="https://api.typeform.com/responses/files/9986ed293f7f1a8879e63037690e6095c8e4bb60a0abd1364d5d0db64835031e/CV___AI_Engineer_Intern___Trương_Trí_Khải.pdf"/>
        <s v="https://api.typeform.com/responses/files/2fffe136de9f5b906fd23d09092e8d4567853ffa591c1ce3f988f7fce539c937/CV___Data_Analysis_Intern___Nguyễn_Ngọc_Anh_.pdf"/>
        <s v="https://api.typeform.com/responses/files/0e80c5146b919565afa7a640844aac47e7324536f9bec95713427c5909165e0d/CV___AI_Engineering_Intern___Lê_Hoàng_Minh_Huy.pdf"/>
        <s v="https://api.typeform.com/responses/files/e585125ecfd69f5a7e95eb54452bea045138b07b338bd298099ccf75a6dcda62/CV___Data_Analysis_Intern___Nguyễn_Tân_Niên.pdf"/>
        <s v="https://api.typeform.com/responses/files/1f736557a29312c6c137020feae6d2f476cd583cf46334a419b7b0f27358df7c/CV___Data_Analysis_Intern___Lê_Quốc_Đạt.pdf"/>
        <s v="https://api.typeform.com/responses/files/2de0c188b99fb08f9574efd35b5a69d718f391ff738650e8490d6cc642170ffb/CV_BuiHuuHoang_GameDesignerIntern.pdf"/>
        <s v="https://api.typeform.com/responses/files/f91e2e00e580532c8fb45251c8b78b51291a7f010a3005381ee1b15e7b59eba5/inbound5323035336007774194.pdf"/>
        <s v="https://api.typeform.com/responses/files/d33197ef617e2a04f5469121f98f7c529a7fafd018233673286bf2c57eeafb62/Ngo_Quang_Thang___AI_Intern_CV.pdf"/>
        <s v="https://api.typeform.com/responses/files/d914454b06e295b1494f5751301f86f65c896e259443a1516a3df3f18cf4b925/CV___Game_Development_Intern___Nguyễn_Hoàng_Nhựt_Minh.pdf"/>
        <s v="https://api.typeform.com/responses/files/df74df34cce58e0508bbfaf80b7b0c65b0befd6e4c7bc95b76218b1bd4320916/CV___Data_Analysis_Intern___Nguyễn_Đỗ_Bảo.pdf"/>
        <s v="https://api.typeform.com/responses/files/c71055fd22a8a3aed3133a94e1fa1d02abc143b273777e1ee54743c876bfb166/CV___Unity_Development_Intern___Lê_Đức_Ngọc_Bảo.pdf"/>
        <s v="https://api.typeform.com/responses/files/83f68021392f2dfec9c4ed45da9356bea5c83c8f9d1203f1242e51e15034d923/CV___Unity_Development___Trần_Duy_Anh_Khoa.pdf"/>
        <s v="https://api.typeform.com/responses/files/5fbac08faa6986638bbdaa77be3362f395b7a5432f0b5f0f7dc9af7098525994/CV___Data_Analysis_Intern___Trần_Gia_Bảo_Anh.pdf"/>
        <s v="https://api.typeform.com/responses/files/c5080d11f4e19ba5fded75a8d5709c8b111aa5f0a28985b843fdcca32becb287/CV___AI_Engineer_Intern___Trần_Thị_Cẩm_Tú.pdf"/>
        <s v="https://api.typeform.com/responses/files/aae55abbea7bf75350732bbe216baa464ca0009241a3fea1fb0551d4d08944d5/CV_AI_Engineer_Intern_Đào_Thiên_Phú.pdf"/>
        <s v="https://api.typeform.com/responses/files/2f89cded93fd97744b80dd6ac511ca22cfd52eda910d93696bcb30beb2f11a1d/CV___AI_Engineering_Intern___Nguyễn_Hoàng_Anh_Tuấn.pdf"/>
        <s v="https://api.typeform.com/responses/files/13ce1c138308c19e310ea2f0e1b72e024da1faca71de2034d5f5855655e7f4de/CV___Unity_Development_Intern___Nguyễn_Hiếu_Thuận.pdf"/>
        <s v="https://api.typeform.com/responses/files/315a712f04491fb9709779bd6bbd3d94d46fb1bfc745cb8d9ba733cad569c785/cv.pdf"/>
        <s v="https://api.typeform.com/responses/files/47e336659677080dc6b9ac08aca17651a8d5ce4b2229b649c0e781e8dae0e234/CV___AI_Engineering_Intern___Lê_Thượng_Đế.pdf"/>
        <s v="https://api.typeform.com/responses/files/c20af2aa1fd8654cb219f60432c95ae7b4c156b0c8d51e699155027729d80177/CV___AI_Engineer_Intern___Nguyễn_Tấn_Lộc.pdf"/>
        <s v="https://api.typeform.com/responses/files/595deea966c478bd9aa0278e4b89a07d0d466ff734da064ecc46364c044d03e3/CV___Quality_Assurance_Intern___Ngô_Thế_Đạt.pdf"/>
        <s v="https://api.typeform.com/responses/files/842c0863455320e109ac433218682c262ea07b21c249d8e0f2330ad5bab3d5c1/CV___Unity_Devolopment_Intern___Âu_Gia_Quốc.pdf"/>
        <s v="https://api.typeform.com/responses/files/0d4d5686a239a28813bcfe7058dbab979db88faf416caae9a78d2262ff2b4420/CV___Data_Analysis_Intern___Hồ_Sỹ_Kiên.pdf"/>
        <s v="https://api.typeform.com/responses/files/e6571cb60e20ddab94c5b18644fb3f3d9665fc71536be8324341e07f09873f2b/CV___Game_Design_Intern___Nguyễn_Trọng_Tín.pdf"/>
        <s v="https://api.typeform.com/responses/files/9145a98dbead25c9c7392f20b4dceb14aebe27481534db4732d8e5e54ec4ea07/CV___Game_Design_Intern___Lê_Đức_Ngọc_Bảo.pdf"/>
        <s v="https://api.typeform.com/responses/files/b22b62d34cf4248ceb57a2c17b614e85489e4e40a05eb76403846505e5e5364f/CV___Unity_Development_Intern___Dương_Gia_Huy.pdf"/>
        <s v="https://api.typeform.com/responses/files/2f23e7ae5d672b69707c0992cb576fbac8809937fc2b281696a9df38d70b0522/CV_Tester_game_Tô_Duy_Hào.pdf"/>
        <s v="https://api.typeform.com/responses/files/fa66bd29b491a695e3932e14f6aaa53631a00ad5f142b7912fd101e452396121/CV___Game_Quality_Assurance_Intern___Tran_Thien_Phuc.pdf"/>
        <s v="https://api.typeform.com/responses/files/64328656a3584ca322f0b5b8fd476272db2fdf18cc02663d4c57a60f8d682d1c/CV___Game_User_Acquisition_Intern___Nguyen_Hoang_Quan.pdf"/>
        <s v="https://api.typeform.com/responses/files/33b80cc0fce962c044c2de751057b7dc15bf5b9263d18d45f96b58cdf3ac606c/CV___AI_Engineer_Intern___Pham_Nam_Huyen.pdf"/>
        <s v="https://api.typeform.com/responses/files/39dc45b2d6992ec65df1265ec3929705877f63942dd9ffb9db922ff7f448b4cf/CV___AI_Engineering_Intern___Lê_Thanh_Hải.pdf"/>
        <s v="https://api.typeform.com/responses/files/fcd7000484a6deb72868beb7bc4acea848208ab3a93704720eac1f387ad9fe6d/CV_NguyenThanhKhang_Game_QA_Intern.pdf"/>
        <s v="https://api.typeform.com/responses/files/f17fde5ed2b5519b66aefc220a7efb429aa3d89216388717c8e495f7915fabfd/CV_TruongQuangHuy_AI_Intern.pdf"/>
        <s v="https://api.typeform.com/responses/files/f91d3b6d05bb1cf5873b04cd9e4d8a02b6a45de2dd14c6a956a3aa72b633570d/CV_AI_Engineer_Intern_Từ_Thế_Phong.pdf"/>
        <s v="https://api.typeform.com/responses/files/bf2d490301046f5e6f1e73c8a33218e53bfd19b313c37dbdae7d0bcf11aa8edd/CV___Human_Resources_Intern___Nguyen_Vu_Tuong_Vy.pdf"/>
        <s v="https://api.typeform.com/responses/files/20dbbc50732985f275a0db419b876ad77048b86b80f9c7a9af01fc8c79357836/CV___Game_Designer___Trần_Thị_Minh_Vi.docx"/>
        <s v="https://api.typeform.com/responses/files/d7ef40376f3826cc31e6ec7cc59d299e8af13fe3a65ec5f6226cb2229d5fa39f/NhanNguyenPhuc_CS.pdf"/>
        <s v="https://api.typeform.com/responses/files/4d2b2b03c284c150b8f5da63e2ca951c723a4bd843368806105c03f36b704011/CV___Unity_Development_Intern___Mai_Xuân_Hưng.pdf"/>
        <s v="https://api.typeform.com/responses/files/7a41119c7f4c86f3b5ec7e32dee7b7e0663cac3cad0c740ddbb2cafd069903ef/CV_Unity_Developer_Intern_Duong_Khanh_Nguyen.pdf"/>
        <s v="https://api.typeform.com/responses/files/bd8837fc08d2de6a717f6ea596ee2c18c009fe995ade8cdffee7846b2ef92f5a/CV___AI_Engineering_Intern___Lê_Quốc_Anh.pdf"/>
        <s v="https://api.typeform.com/responses/files/74f482e6b44b10e47dd02d72cf2ee37ccd2f0c8fb5eeb0c410bef9c91f4107e5/NGUYENMINHTRI.pdf"/>
        <s v="https://api.typeform.com/responses/files/fdeea48f0463bc538f70c9fedc14231d27cbe66daadf47ddfebf47b4011ac4cd/CV___Unity_Developer___Trần_Khôn_Chí.pdf"/>
        <s v="https://api.typeform.com/responses/files/201cfda18c6a2ac7481ac727cbfbf9acea0695e9e49e491c71b7787bfa4b484d/CV___AI_Engineer_Intern___HaTuanAnh.pdf"/>
        <s v="https://api.typeform.com/responses/files/b51f4ec9358635c435a9a5c5a2eeaa734b32ffb79377d970d22809f098c7deda/CV_Data_Analysis_Intern__Nguyen_Tran_Phuc_Dat.pdf"/>
        <s v="https://api.typeform.com/responses/files/04d0e28c7c2ddf19174613b7075285e7f063efbc803d6a72cf480c06efb7c35b/CV_Dương_Văn_Thắng.pdf"/>
        <s v="https://api.typeform.com/responses/files/413b29ffd4b9d0b3f21a6386888fe160c827d20a97f85cbf3415e5f68a9724ad/CV___AI_Engineering_Intern___Võ_Nguyễn_Thảo_Uyên.pdf"/>
        <s v="https://api.typeform.com/responses/files/3a6acd6d4f4767f4f6e166c2c181a8ddce7024092f9202d14549ab84bd7a9bd0/CV___AI_Engineer_Intern___Nguyen_Thanh_Owen.pdf"/>
        <s v="https://api.typeform.com/responses/files/ab110afc40f529ec549d8fbe6678499da6f7d6c4047c9b6b7b83a6c7390b401c/CV___Data_Analysis_Intern_Thái_Hữu_Thọ.pdf"/>
        <s v="https://api.typeform.com/responses/files/e2326b473e1be32b654514880e04d28215e5f53125da715bce15369512545631/CV___Unity_Development_Intern___Huỳnh_Tuấn_Phong.pdf"/>
        <s v="https://api.typeform.com/responses/files/661863035197d304d4272fe0afb8f8157ebef657234b0163d91d7dc79ff0bbc5/CV___Data_Analysis_Intern___Trầm_Hữu_Nhân.pdf"/>
        <s v="https://api.typeform.com/responses/files/6c11db3b4c640e216e7515f62cd183e2617c8aed44ace68039439e835c1b4617/Game_User_Acquisition_Intern___Đỗ_Nhật_Hạ___CV.pdf"/>
        <s v="https://api.typeform.com/responses/files/a2a2073eec66d25db15213a06aa0cfe20345eb74097f75dcef66c8764966038c/CV___Game_User_Acquisition_Intern___Trương_Việt_Hoàng.pdf"/>
        <s v="https://api.typeform.com/responses/files/deb0977cd7ddb16f71d904453014dad93696f905376635add85e8b5a402ee77c/CV__Unity_Developer_Intern_Ngô_Gia_Thịnh.docx"/>
        <s v="https://api.typeform.com/responses/files/9a0bfc22be986e7fdb98c945486b99c8a94178aecae3e5098bf247c960601368/Tester_Tran_Dat.pdf"/>
        <s v="https://api.typeform.com/responses/files/b5bbd37b3a8f9de90b21199cedc9f35c1fc9d382261e152268075da3a0462f61/_ENGLISH_RESUME__Nguyễn_Thị_Minh_Thư___1_.pdf"/>
        <s v="https://api.typeform.com/responses/files/abc92ae32804306d23a9ffcbfd69b9fc12902f1a4dba594467030cf410f81e43/CV___Data_Analysis_Intern___Nguyễn_Minh_Đạt.pdf"/>
        <s v="https://api.typeform.com/responses/files/8e854a713d1ac7e6f3b0364385fa75f82f181de03f82c59f11266f43eaea1b86/CV___AI_Engineering_Intern___Trần_Trí_Đức.pdf"/>
        <s v="https://api.typeform.com/responses/files/03e1463949ac53cc1771740fad979d578511e3510695eddc264b8b344c9eef55/CV___AI_Engineer_Intern___La_Nguyễn_Quốc_Thịnh.pdf"/>
        <s v="https://api.typeform.com/responses/files/d6ec7fb30a25c3be9f0ffc7b41c32157ce5ae07026eb2e57a019cc82a32cb843/tran_duy_khang_CV.pdf"/>
        <s v="https://api.typeform.com/responses/files/4e92cb6d605636c752ae7b692a37749452435c0e3aad2afd9c794780965766d9/CV___Game_Designer_Intern___Trần_Thị_Yến_Nhi.pdf"/>
        <s v="https://api.typeform.com/responses/files/8d6a07f9f61d13feafb40be948be93b8b3d4dd1b6c4aebe974bd3ac21c857675/CV___Game_Unity_Intern___Nguyễn_Tấn_Thắng.pdf"/>
        <s v="https://api.typeform.com/responses/files/55bc18b3f1040dd3fbeb97fa738464898f83a0786e1f9dc99e5787074a2e3c62/CV___Unity_Development_Intern___Lê_Huy_Toàn.pdf"/>
        <s v="https://api.typeform.com/responses/files/ade457ce64618d580aea00c2bcbc72d1adb861c56dc3f0044eb2c7b2391188e9/CV_Tieu_Thi_Kim_Cuong.pdf"/>
        <s v="https://api.typeform.com/responses/files/ed05f9a3db23af97e080e52354b66adb5591dce86e349593c3daf0de8f093218/CV___GameDesigner____TranThiThuHoai.pdf"/>
        <s v="https://api.typeform.com/responses/files/7665bf1841e317ce192121e52a5ac9e48932801058b623dc344d6f7b06e31d0a/CV___Human_Resources_intern___Phạm_Nguyễn_Tài_Tuệ.pdf"/>
        <s v="https://api.typeform.com/responses/files/1729e3ff9155ca27d81777ca57f7a0a74e225c72be0201e5681c4f0be9e12a94/CV___Game_Designer___LeMinhQuang.docx"/>
        <s v="https://api.typeform.com/responses/files/85f384f890703ea88d4770880907b86e635157ef3a083ef8988e56f6069d52f4/CV___AI_Engineering_Intern___Vũ_Hoàng_Minh.pdf"/>
        <s v="https://api.typeform.com/responses/files/ea1c418fe43be38fbf6fc0f12f4d1bf80a5808ee5e6e527f5def228a75fa8923/CV___Game_Design_Intern___Nguyễn_Trọng_Nhân.pdf"/>
        <s v="https://api.typeform.com/responses/files/37ccd85556a7f1316ff3e945f4a0fbf44302eb3ac7b9c7ba971e0592720992c8/CV_Data_Analyst_Huynh_Thanh_Tai.pdf"/>
        <s v="https://api.typeform.com/responses/files/5fbe794f20915ce09017c139353c5a6da07bb0a2df929121c9aa677a97bf96b2/CV___Data_Analysis__Intern___Trần_Vĩnh_Trường.pdf"/>
        <s v="https://api.typeform.com/responses/files/c98def87ea6ea03b08a6f1d6f61b79afa2580ca40264ea4ae474ffecef7414f0/CV___Game_User_Acquisition_Intern___Nguyễn_Minh_Quang.pdf"/>
        <s v="https://api.typeform.com/responses/files/c33a105c480592c0acfeed82a8ee5ecd3662459c91475cd4d727e3a088d6585d/CV___Game_Quality_Assurance_Intern___Đinh_Hoàng_Nam.pdf"/>
        <s v="https://api.typeform.com/responses/files/3a79d17052c343fb7bf3cb50140f3347cca8ff494030897c24fc76eb3e4d3a04/Human_Resources_Intern___Trần_Ngọc_Yến_Vy.pdf"/>
        <s v="https://api.typeform.com/responses/files/8b01658af8a1256653185dd3e453f03153632696b2f75b14c02ae932cee6725a/Nguyen_Mac_Gia_Huy_CV.pdf"/>
        <s v="https://api.typeform.com/responses/files/1afc47bfebd8ac72a62f3112dec57cbf34658f1dd36411edc8f03497e8159d83/CV___AI_Engineering_Intern___Trần_Văn_Trường.pdf"/>
        <s v="https://api.typeform.com/responses/files/dd322ebf5adfe048cb37e06dfb7b4f606b9e0ec9a3546d66552142376e221292/CV___Data_Analysis_Intern___Bùi_Đoàn_Thúy_Vy.pdf"/>
        <s v="https://api.typeform.com/responses/files/18f1a5b8965e8431845ae05ef68b8e8e8bdf9f72c9b3c1124666baeae56e8182/CV___Unity_Developmet_Intern___Nguyễn_Gia_Huy.pdf"/>
        <s v="https://api.typeform.com/responses/files/79295053935289dd9da03964968497f6a2f474a98fe4aa938beb745bebb63b56/CV___Data_Analysis_Intern___Bui_Ha_Bao_Khanh.pdf"/>
        <s v="https://api.typeform.com/responses/files/cb63645e800d86e6294ee66d856b27e6071d32ed4ec002ba4be943bb46c8ea4f/CV___Game_QA_Intern___Trần_Xuân_Lộc.pdf"/>
        <s v="https://api.typeform.com/responses/files/e091337e56583642ecd443a76be55e0f3aed8b0bb47ecf3d06a06d4bd0edad26/CV___AI_Engineering___Đoàn_Nguyễn_Minh_Thư.pdf"/>
        <s v="https://api.typeform.com/responses/files/6bbcf7fa805bde1e13fac793f8f3d11287b529e5ac038ece7c108d7ae5f9be49/CV___Unity_Development_Intern___Lê_Trọng_Thiện.pdf"/>
        <s v="https://api.typeform.com/responses/files/64a2560b044836b404a193ed5e753735fc8cb52361273c613a5bde0f457587ae/Transcript___UA_Marketing___Nguyễn_Hoàng_Minh.pdf"/>
        <s v="https://api.typeform.com/responses/files/4e49a5e0859e72688b6b88789db0b045157c5af7aeb8bd2200a3f2d2d95c7d6e/Nguyen_Tran_Nhut_Nam_CV__2___1_.pdf"/>
        <s v="https://api.typeform.com/responses/files/3be080eab9ffd027e8bab69b25c6581c005889aa72aebe8ef309a5423dd7c652/CV__AI_Engineering_Intern___Vũ_Ngọc_Sơn.pdf"/>
        <s v="https://api.typeform.com/responses/files/6bd3714e7b6965587c535bc2fe4ab68546cec9a70f734546cbf3099daab383e0/CV_LUONG_NGUYET_THUY.pdf"/>
        <s v="https://api.typeform.com/responses/files/cf66b5a0dbef6b5eb79dd81e5a045092e7837d78de1a0decffd781439879b434/CV___Human_Resources_Intern___Hoàng_Kim_Tùng.pdf"/>
        <s v="https://api.typeform.com/responses/files/3311c68a79628b5f562c201625a63c38c9c1d0ba2287a3149a2d85369becf6af/CV___AI_Engineer_Intern___Trương_Vĩnh_An.pdf"/>
        <s v="https://api.typeform.com/responses/files/f3b6b33923de782a59f02ff23413ef9752f08150250d5d417e46544b5568e948/CV___HR_INTERN___TRAN_THI_THU_LUONG.pdf"/>
        <s v="https://api.typeform.com/responses/files/0904a9097011fff4b57075fea06f2dc24c599ba15d2000da99a7743040ff3321/CV___AI_Engineering_Intern___Đoàn_Thị_Minh_Anh.pdf"/>
        <s v="https://api.typeform.com/responses/files/6ad56dfb03cbc18270ad30d8f5d21b92d1a114ca2116a84405f5ac980dba0cd9/CV___NQN.pdf"/>
        <s v="https://api.typeform.com/responses/files/d714c4a52e4bf8dbfae5bc9421a3ce56ebbcb3365dc17a415328beac3009ccc5/CV___Unity_Development_Intern___Hồ_Trọng_Nghĩa.pdf"/>
        <s v="https://api.typeform.com/responses/files/1b4a4ef49b3d10abda786f19e92a976a050a37c5cb140ceb81153621f3f357f7/Vũ_Minh_Chiến_CV.pdf"/>
        <s v="https://api.typeform.com/responses/files/6f0448d32fcb6a1b82a42c3675f36ae3a83b2e66a81f9bbdc0ce0669168f501e/Dinh_Thi_Thanh_Hang__Data_Analyst_Intern.pdf"/>
        <s v="https://api.typeform.com/responses/files/a122fcef4700e4c370e1e6e5952de9a136a6de491c1e0b8bdeee746b99e82c88/CV___Unity_Development_Intern___Bui_Khanh_Duy.pdf"/>
        <s v="https://api.typeform.com/responses/files/5047292b162aa55a487e727ddba9cf14629bd292d60ffe987c7673fb9f3ac88e/CV___Data_Analysis_Intern___Nguyễn_Trương_Hoàng.pdf"/>
        <s v="https://api.typeform.com/responses/files/de281c3a41f7bfef656239176b4b1bab1abdfcb588265f4469634939b246b3fb/CV___Data_Analysis_Intern___Phạm_Cao_Trí.pdf"/>
        <s v="https://api.typeform.com/responses/files/cf48a5443514676098912afc851e26ae5a366cbe4eaa3f72759608730371ca3a/CV_AI_Engineer__TUAN_ANH_TRAN.pdf"/>
        <s v="https://api.typeform.com/responses/files/1d0425a0a1e0cca1fbf7d821afaa8c3ce02049955a21b8ccb2e9cb76af9f8621/CV_UnityDevelopmentIntern_LeNguyenKhang.pdf"/>
        <s v="https://api.typeform.com/responses/files/2f34efcafbb797967b51d58a35cb0609cedb535e3c59599f222374fbbb88e273/DHNT___GD.pdf"/>
        <s v="https://api.typeform.com/responses/files/39df4a5846dca1c7bb9e2d6af98bcd1dfd4aa8f736cbb7802630ede2b3395ec0/CV__Data_Analysis_Intern___Game_QA_Intern___Chau_My_Phuong.pdf"/>
        <s v="https://api.typeform.com/responses/files/27aeec639985f7ea3c57b1ad1182995701f0515e4f1d3dbc1874535177cc3248/CV_Unity_Development_Intern_Nguyễn_Vạn_Xuân.pdf"/>
        <s v="https://api.typeform.com/responses/files/7003080f7e09e0c2ed1be45925b4bb60f68aa71a183f5d0f45f127b63d1b1c86/CV.pdf"/>
        <s v="https://api.typeform.com/responses/files/ff42b2a5e62fc6977be2750eaf20ac21fc92d4bdd5b62acd742c7a9a983da1b4/CV_English.pdf"/>
        <s v="https://api.typeform.com/responses/files/22eef717f49843147f0b83095d5338bf389a06de53e0ed72639f724719b3e23e/CV___Unity_Development_Intern___Nguyễn_Thế_Anh.pdf"/>
        <s v="https://api.typeform.com/responses/files/2f6bac863db106576f2115281a826d2d666817ba948a470f6e0cbe1b227ec6f7/CV___AI_Engineer___Nguyễn_Đặng_Minh_Duy.pdf"/>
        <s v="https://api.typeform.com/responses/files/9568a81a5135a921775336fedb5a8672c18977908b41bd017bac05916c87c5a6/CV___Game_Design_Intern___Nguyễn_Quốc_Anh_Quân.pdf"/>
        <s v="https://api.typeform.com/responses/files/5c5e1215b929a9dac40c66d0d43a04af7013ae352505e610621f3f1fcf78eb8f/LamNhatMinh_AI_Intern_CV.pdf"/>
        <s v="https://api.typeform.com/responses/files/6fe800b2b1e34aecdbc5fbb93f3931848b3c34993a6f4277afecb8e8ba97b8b3/CV___Unity_Development_Intern___Game_Design_Intern___Nguyễn_Võ_Ngọc_Bảo.pdf"/>
        <s v="https://api.typeform.com/responses/files/cfdb7ea3485d356b18aecf1fadc5ba4825cb0b3c5fbd962d3343ecb697e665b7/CV___Game_Quality_Assurance___Bui_Dinh_An_Loc.pdf"/>
        <s v="https://api.typeform.com/responses/files/3de2ff45629517cb53afa44320f437c3060824726e2dadcb2e55fee329faf8c4/CV___Game_Quality_Assurance_Intern___Lê_Thành_Công.pdf"/>
        <s v="https://api.typeform.com/responses/files/87c29df6cdae6296199a6d2870f23bd1a2b24c9c6412e5003bb43dc37400bd12/CV___Data_Analysis_Intern___Nguyễn_Vũ_Thuỳ_Trâm.pdf"/>
        <s v="https://api.typeform.com/responses/files/ddc50a01be8397f407d65479254922bc5dd1a3e227b35cb52821931304652d58/cv_nguyentanthanh_compressed.pdf"/>
        <s v="https://api.typeform.com/responses/files/77f65b69612debff73a8e4e0c654e22560abba65d81e63b187fdaee8db7a434b/CV___Game_User_Acquisition_Intern___Nguyễn_Mai_Phương.pdf"/>
        <s v="https://api.typeform.com/responses/files/dd5cc6382b90a6982bd9fb894e15d23b5ad18b13fb1a3da89ce4969771857807/CV___Game_QA_Intern___Nguyễn_Hồng_Luân.pdf"/>
        <s v="https://api.typeform.com/responses/files/263f5303c93dfd73af231f4a388b247c2d13728422b584d6f7bee390e020e553/CV___Game_User_Acquisition_and_Game_Design_Intern___Phạm_Anh_Đức_.pdf"/>
        <s v="https://api.typeform.com/responses/files/3644b02b007f257358dcf0b77c47fa4282638f12a0e5ec904fd4f1367660b2a8/HoangThanhLam_AI.pdf"/>
        <s v="https://api.typeform.com/responses/files/39246f473991932515e06c4f2bedd55cd43f1bcfb2cfa7cb3ed9efdbcb0ac886/CV___Unity_Development_Intern___Nguyễn_Hũu_Tuấn_Tú.pdf"/>
        <s v="https://api.typeform.com/responses/files/884f7664314ab1485462fce768c3bf9e45e4b0bddf47fc19e5384a8f3cdd412f/CV___Game_Design_Intern___Trương_Quang_Nghĩa.pdf"/>
        <s v="https://api.typeform.com/responses/files/d000a9351138af1e1162ba320edfade993daf3434fbd3422112f2c5940ee5a36/CV_AIEngineer_NgoQuangMinh.pdf"/>
        <s v="https://api.typeform.com/responses/files/248a6c5a13c3812531d5b9b01697e7b35c5d6decbddde34cf4ff993a1a7ed113/CV___Game_Quality_Assurance_Intern___Nguyễn_Thị_Như_Quỳnh.pdf"/>
        <s v="https://api.typeform.com/responses/files/54d6563b0dbb68dd27ae84b6822142f7ce45c85f07e8e544dce9fed7eb496eb6/Nguyen_Khai_Resume_Unity_Developer.pdf"/>
        <s v="https://api.typeform.com/responses/files/e6fa2621a868c4b0c2763181784a0078294ff895cc65ebd74d525b6e865cce7f/CV___Game_Design_Intern___Trần_Ngọc_Khánh_Huy.pdf"/>
        <s v="https://api.typeform.com/responses/files/0ff4e76862ab310c05dd711baea026025a84fb073eee3d42652d6cd4cfa26eb6/CV___AI_Engineer_Intern___Trần_Tấn_Tài.pdf"/>
        <s v="https://api.typeform.com/responses/files/8f8754802964975d835db760d648d2e930c52185783da368697e17fa871e30f5/CV___AI_Engineering_Intern___Nguyễn_Đức_Phúc.pdf"/>
        <s v="https://api.typeform.com/responses/files/ff2f315b86ab6d1e20c3f4de7e77530bf11f5c8a84b22b319ffb4c2ebe8e6c66/CV___Unity_Development_Intern___Phạm_Thành_Đạt.pdf"/>
        <s v="https://api.typeform.com/responses/files/4b3cf3e4628cb3d23cdbcfa003186aebfc4f3688e9f9f1ed9bc2a48e6b8e6d1a/CV___Game_Design_Intern___Nguyễn_Đăng_Khôi.pdf"/>
        <s v="https://api.typeform.com/responses/files/fa4da333baa7a7326548cba5f18314a77aabef364a7a039f9475e0ee9914cf44/CV___AI_Engineering_Intern___Huỳnh_Quốc_Huy.pdf"/>
        <s v="https://api.typeform.com/responses/files/ff10dabb425ee3c6c4d7bf642d083f8104d2afee023cb9a2488f3da8b8603896/inbound2870604163729616293.pdf"/>
        <s v="https://api.typeform.com/responses/files/0ee3ce4f4457dcf2efb8a318dad4b45113c41f8f2cc5d1e332f8eb19ba3ac588/CV___AI_Engineering_Intern___Nguyễn_Khắc_Tùng_Dương.pdf"/>
        <s v="https://api.typeform.com/responses/files/0a0827c8537b5c310fee9d8b9e42631767d56b1167d891946bf181b4b09e2e84/CV___Unity_Development_Intern___Trần_Nguyễn_Khắc_Duy.pdf"/>
        <s v="https://api.typeform.com/responses/files/d9217378a5bf01270ada4620453e50e9ba6854ac0e5294571a4ee1c77f393bd6/CV___Game_Developer_Intern___Mai_Hoàng_Hưng.pdf"/>
        <s v="https://api.typeform.com/responses/files/17aa4aa51f228628b94ec03d547e72ca01745a09c94e2ff5d0f5642eaeac8185/inbound5372708082611676721.pdf"/>
        <s v="https://api.typeform.com/responses/files/37abed34f4972e76fab29030f022a1b594c77f6c2c065e1c640325e6fb93ae76/CV___Unity_Development_Intern___Huỳnh_Nguyễn_Minh_Khang.pdf"/>
        <s v="https://api.typeform.com/responses/files/74929b6f0a1955b0b5de0e73a2a81ca216a9aef0f3221f93788ba649b1303f39/CV___Game_Quality_Assurance_Intern___TON_THAT_MINH_TOAN.pdf"/>
        <s v="https://api.typeform.com/responses/files/b94716b02d3a2cc50efdbcd21c79fc1de9d264a0c8e69cbd3bcdadb29c54aad8/CV___Unity_Developer_Intern___Hoàng_Nhân_Khánh.pdf"/>
        <s v="https://api.typeform.com/responses/files/976f9b2bf8ec0f9090ecee13b0e1995ca593b17f11824b5fca311dc56c2dc603/CV_UnityDevelopment_NguyễnXuânHoài.pdf"/>
        <s v="https://api.typeform.com/responses/files/54f657c0d1e7f0f8157bc8b6496f68e0428eba0bfea7ece38bc58a79ecfa44df/AI_Engineer_intern_Ngô_Thị_Ánh_Dương.pdf"/>
        <s v="https://api.typeform.com/responses/files/bcae51823f6c85fc63c8874ce2fe480b8ff83d20709eead2c98a71700760464b/CV___AI_Engineer_intern__Data_Analysis_intern___Đoàn_Mạnh_Tất.pdf"/>
        <s v="https://api.typeform.com/responses/files/ec94a34a2f04f95f732ad8afc50ad38b411eee39895c56fee6321900f22599af/CV_AI_Engineering_Intern_Tôn_Võ_Hoài_Khiêm.pdf"/>
        <s v="https://api.typeform.com/responses/files/fc1876af3166874f97d8dc1046f8f5dc9d2c304af19adfd784a95fd5343196b1/CV___SunRiserIntern___NguyenNhatHieu.pdf"/>
        <s v="https://api.typeform.com/responses/files/c21288ffa1b5326c7540c29ec8f003162bb3490de1a6f5088b73ba6b1dd35e22/CV___Intern_Game_Designer___Vũ_Quốc_Bảo.pdf"/>
        <s v="https://api.typeform.com/responses/files/cd945cff5f19ffb57d7ec45b5e2f970c7f8a3f0f8808473059b739b2f6352f55/CV_TranLeHoangHuy_UnityDevelopmentIntern.pdf"/>
        <s v="https://api.typeform.com/responses/files/a668c62eb99d2ac5d74b7dff30d17c49f28d515c1009916b7982c9e33a8d8da3/CV___Game_Developer_Intern___Nguyễn_Đình_Minh_Nhật.pdf"/>
        <s v="https://api.typeform.com/responses/files/a094a8c5c107ffedd6b6e9c0d2ec30292a0bac28c00afc0c8fa328276a37ce69/Tran_Hoang_Phuc_TopCV.vn_250426.124259.pdf"/>
        <s v="https://api.typeform.com/responses/files/c56df336e0a918048c26520948dc97aee04e97be8d48c620d2ac20a54a48e20e/CV_DA_NguyenTienThinh.pdf"/>
        <s v="https://api.typeform.com/responses/files/75eca038af4975fca224bbd5129f4c99722e0c7eb446693364107ddff813a768/CV___Data_Analysis_Intern___Nguyen_Thi_Huyen_Trang.pdf"/>
        <s v="https://api.typeform.com/responses/files/1723de9dcb9b04053dea33bfb8f51ab301c632a91254b7e4b99cdfee32c6d781/CV_AI_Engineering_Intern_Nguyen_Thanh_Binh.pdf"/>
        <s v="https://api.typeform.com/responses/files/35213bd0db7d1617602f14aaf33c219d68780b9277122d2cfaca8562c833dbfd/CV___Game_Design_Intern___Dương_Triệu_Vy..png"/>
        <s v="https://api.typeform.com/responses/files/396395c45680a0e8187303509957c4f407520960b832cbef9571305cec30319e/CV___Game_Developer__Game_Designer___Lâm_Thành_Trung.pdf"/>
        <s v="https://api.typeform.com/responses/files/78205681fad92fbaec452b3297de250c1f2f999c97b997c413eaae5bde54e7d1/CV_NVMQ.pdf"/>
        <s v="https://api.typeform.com/responses/files/7cec12f3eeb8428454647de3a284e45740d3c7fd876e8cfdc5528178c59a6348/CV___AI_Engineer_Intern___Đỗ_Việt_Hùng.pdf"/>
        <s v="https://api.typeform.com/responses/files/e573ce840a3a20b6ae99c190a42ee6745a7c73e86e9122bfaa00742c92c0315c/CV___Data_Analyst_Intern___Tran_Le_Dong_Anh.pdf"/>
        <s v="https://api.typeform.com/responses/files/64dbc8edddb344fdae13a0c72e7de7f201d19bbec65530c1b985817f34064967/CV_Thái_Thanh_Kha.pdf"/>
        <s v="https://api.typeform.com/responses/files/bbcc2641421bbb593a6347a140ed752bd5a0d9791d5f6879d4994d0ec02ff9c3/Unity_Development_Intern___Hoàng_Hải_Yến.pdf"/>
        <s v="https://api.typeform.com/responses/files/690795ef7738e9fd30bd491188faf87ea867618d5abb5e85f708c5c545c85743/CV___Human_Resources_Intern___Nguyễn_Thái_Diễm_Quỳnh.pdf"/>
        <s v="https://api.typeform.com/responses/files/968469b4c7c1d73cc153c9da181ab22a191bf8f468915b1bf624e307e3458cc2/CV__Unity_Development_Intern___Lê_Quốc_Viêt.pdf"/>
        <s v="https://api.typeform.com/responses/files/ba09e09e722c8e5e30caeca9ea3844e7731151ff344fb07bf3f68ea24cd18670/CV___Game_Quality_Assurance_Intern___Mai_Quỳnh_Châu.pdf"/>
        <s v="https://api.typeform.com/responses/files/7441aba87699e7da6010fe421d5ae08703b733f697cc48931033cd9aa4d6bea8/CV___Unity_Development_Intern___Nguyễn_Quốc_Tiến.pdf"/>
        <s v="https://api.typeform.com/responses/files/4303a000e456246244620fa678852d7773327b01676a3af0fe571f3e26bd4897/CV___Unity_Development_Intern___Trần_Như_Phú_Quang.pdf"/>
        <s v="https://api.typeform.com/responses/files/ab651f3ac3e81e9183575f87cc4ba7a85361a66900c5e3c979c3aa18ebfde276/CV___Unity_Development_Intern___Lê_Thanh_Phát.pdf"/>
        <s v="https://api.typeform.com/responses/files/d383c8c74a6ed143db5cab7cd368019cd7de55e5d037b7006c61c99f41da9ee5/MYCV__4_.pdf"/>
        <s v="https://api.typeform.com/responses/files/c9a83abbc4e5be1b2d6a1147068d5cad6cfa458f92c37e7c0fe2111751bc3308/CV___Unity_Development_Intern___Lê_Công_Tuấn.pdf"/>
        <s v="https://api.typeform.com/responses/files/22118bf1b12d3163d0c3018c948cbaad9fbb1c697f6739c53102b4c352afdd07/CV___Human_Resources_Intern___Nguyễn_Vy_Thảo.pdf"/>
        <s v="https://api.typeform.com/responses/files/f16c5c6b277399f3d8fc4d9ef4b6b2d4ff2476b98c7201a801d9953cfe01e8a9/CV_IT.pdf"/>
        <s v="https://api.typeform.com/responses/files/fb9eaee8d8f3a7dd135e45ab694d23c4bb2313f2f7d9ca4b8a980d354ad152b8/NguyThanhDat_CV_Tester.pdf"/>
        <s v="https://api.typeform.com/responses/files/2a72add1e00ea0a993249cf6cfb00292d381ad4f7835381fd70f4e105c5c72f8/CV___Unity_Developer_Intern___Nguyen_Phi_Long"/>
        <s v="https://api.typeform.com/responses/files/e3f1a89f4965ca2cae7ed9c88c44df2986febfdf5988acd60244306923b31a4e/CV___Unity_Developer_Intern___Lê_Nguyễn_Nhật_Trường.pdf"/>
        <s v="https://api.typeform.com/responses/files/189fd0bcb6db50cd7511926601665cbe3572b046e4791afe3bbd6a288bd77db6/CV___Game_Design_Intern___Hoàng_Hữu_Nhân.pdf"/>
        <s v="https://api.typeform.com/responses/files/52c68ec8be38cd62f7bcf84bdea68c516ff993f55954b7ad4b74368fc7fca156/CV___Unity_Development_Intern___Trần_Khánh_An.pdf"/>
        <s v="https://api.typeform.com/responses/files/a26369c808a556bd4bf96a84d4eee6becedf6be00b0c210df5984714b2473790/CV___Game_Design_Intern___Trần_Tiến_Cường.pdf"/>
        <s v="https://api.typeform.com/responses/files/083140d9954080659f330e9804ec412b89412c2289ae22a67b1a6c3dbe4616b2/CV___Game_Design_Intern___Võ_Anh_Khải.pdf"/>
        <s v="https://api.typeform.com/responses/files/5213fdb460af39f703b9ba43ed43a3691a2c1a37b7cd097ec2dc8f0de8d4b924/CV___Unity_Development_Intern___Trần_Tấn_Vạn.pdf"/>
        <s v="https://api.typeform.com/responses/files/3c7c11e92b5df2357cdae867f6469a6e2aabaa06c8c59f714c0210e5d9511ad2/CV_AI_Engineer_Intern_TranGiaHy.pdf"/>
        <s v="https://api.typeform.com/responses/files/4d4a97d2df444a5575d2900d633803c4f0711498a935869a099080786f4ba35c/CV___Game_Design_Intern___Nguyễn_Xuân_Duy.pdf"/>
        <s v="https://api.typeform.com/responses/files/188c9453c76d9e2d2e36e578bb23715065269138300e90536e37b9ea69ccf521/CV___AI_Engineering_Intern___Phạm_Nguyễn_Quang_Thoạ.pdf"/>
        <s v="https://api.typeform.com/responses/files/bc310a4ade9a8a6e849d0947cdb06243ff3bdaa0d2fa87b4323196f46ccad487/CV___Game_Design_Intern___Trần_Thị_Thanh_Vi.pdf"/>
        <s v="https://api.typeform.com/responses/files/a180a95d9d219b315c044159366e43b0cfd3fd6c2351bcab95201dd91b44e6b3/CV___Game_Designer__TranNhatDuy.pdf"/>
        <s v="https://api.typeform.com/responses/files/17cf28b4d4a1a46fd0bc1a5b590712045838319e8192f1cfcb539e4016a69a56/Unity_Development_Intern___Trương_Gia_Hào.pdf"/>
        <s v="https://api.typeform.com/responses/files/51894bcece1f450ece2454ea0b57e60d1fe2be1a451044eb27fadd96ef6883d3/CV___Unity_Developer_Intern___Võ_Văn_Giang.pdf"/>
        <s v="https://api.typeform.com/responses/files/247682e65c80f841d60386bc3b26f8dc5f179f06caa432a0ff2ab39cc6ba7b7a/CV___Unity_Developer_Intern___Phạm_Tấn_Đạt.pdf"/>
        <s v="https://api.typeform.com/responses/files/7c54b072397e6b1f182a3f387ac0efd0223eace7d19762733342deb650e53738/MinhNguyenAnh_5.pdf"/>
        <s v="https://api.typeform.com/responses/files/f2866c6ef1746bdf6ccdde93f7cb527771e6e7a64ee512ae21b2439b163bec8c/CV___Data_Analysis_Intern___Lê_Bảo_Quốc.pdf"/>
        <s v="https://api.typeform.com/responses/files/782fd12e657afeaa5f7a63a19d27303c02044c068201e4b67ccd05fbcbef98fc/main_tex__16_.pdf"/>
        <s v="https://api.typeform.com/responses/files/2fd4c7d57f5b248de6db2c980c3dd8b42483170b29f1af8145c7f7ab4d859cca/CV___AI_Engineer_Intern___Mai_Anh_Sơn.pdf"/>
        <s v="https://api.typeform.com/responses/files/04be3b5c43c476b956fb8172b0154a0d410b29abffb086509567491a7f5c5104/CV___Unity_Development_Intern___NguyenXuanDangTrinh.pdf"/>
        <s v="https://api.typeform.com/responses/files/0462e6e49f1e3b7e21ab1fd59bcf2d2212481abf2b02b0a2882b8751c2dfc04d/CV__Unity_Developer_Intern_Ngô_Gia_Thịnh.docx"/>
        <s v="https://api.typeform.com/responses/files/c4daa3a4149d81004712def39cd1bcebba5ecc93beba62bcab0b0fa5624b34db/CV___Unity_Development_Intern___Mai_Xuân_Thường.pdf"/>
        <s v="https://api.typeform.com/responses/files/8785ab50551a31ea4415eab55c6edf1a3183a86565919034bd082dd42fe9f5fc/CV___Data_Analysis_Intern___Trần_Tiến_Lực.pdf"/>
        <s v="https://api.typeform.com/responses/files/7b610dcaa4a722a6d97480ccae7a1e8be31f03a21b9f46534a70d8de9b5fd13b/CV___AI_Engineer_Intern___Thạch_Nhựt_Hào.pdf"/>
        <s v="https://api.typeform.com/responses/files/438622fce62417b4369660adf0b46a3b018773e3a551877a316e47799644dc00/CV_UnityDevelopment_Intern_TranDoHoangTan.pdf"/>
        <s v="https://api.typeform.com/responses/files/559e2c4af90f2911ffc274ba45e513082e37d9614e0f12416179d4e67cd9d91a/CV_Data_Analysis_Intern_Võ_Thị_Tiên_Phước.pdf"/>
        <s v="https://api.typeform.com/responses/files/ae673a5934b47d0e8d18e2a86e0b8bb21b4a474a1bd723e94c307a7d2914fe69/CV___Data_Analysis_Intern___Lê_Thị_Bích_Trà.pdf"/>
        <s v="https://api.typeform.com/responses/files/3e002717a6629b6a8b46c28ce24189486792ef38b95b25c89c3d1bd24cc9db51/CV___DataAnalyst___Châu_Gia_Bảo.pdf"/>
        <s v="https://api.typeform.com/responses/files/736cfecb7989cc074e9177d88534c229fb24e2346d0e3f7df28d09b6dbc90b06/CV___Data_Analysis_Intern___Phùng_Trung_Bắc.pdf"/>
        <s v="https://api.typeform.com/responses/files/21eab4ca6e6f047df38c831e8e8b2a517192f1c93a36847d3ca69549c5faacb1/CV___Data_Analysis_Intern___Nguyễn_Thị_Ngọc_Minh.pdf"/>
        <s v="https://api.typeform.com/responses/files/c6eb1de938c3bcd00c9460c5ab60db6d96b4de6b05110054d261b9b46e86f22a/CV___Data_Analysis_Intern___Phan_Thảo_Vy.pdf"/>
        <s v="https://api.typeform.com/responses/files/1d15e3b38ee43cd691dc6082f8364ea5f7c728b1e774a0610fdc099bcb639840/CV_DA_NuyenQuocAn.pdf"/>
        <s v="https://api.typeform.com/responses/files/9d5f406bd2fb60c338fce34cf9a95ab5b6191081609f7b6e4aba2a26cc01f452/CV___Marketing_Intern___To_Vo_Yen_Tho.pdf"/>
        <s v="https://api.typeform.com/responses/files/f7c8aae516d221defc9163c76516dbf9ca731976129f631832c0679f4f6fca82/CV___AI_Engineer_Intern___Nguyễn_Nam_Huy.pdf"/>
        <s v="https://api.typeform.com/responses/files/796270f2a66bf2911a91b4455691b7128b9a8e654e44673b010b6b2547fb1b4c/CV___Data_Analysis_Intern___Bui_Thien_Phuc.pdf"/>
        <s v="https://api.typeform.com/responses/files/212dcb1d9d6c4f391488bc746a8696fd43b7ab4ee3569d748fa1f86f8f93c48e/CV___Data_Analysis_Intern___Dang_Quynh_Chau.pdf"/>
        <s v="https://api.typeform.com/responses/files/e412f5025cda95d7b3991201ba795a5f7fda8605fb2cbf6bacfb69cf608540b5/CV___AI_Engineer_Intern___Nguyen_Hoang_Long.pdf"/>
        <s v="https://api.typeform.com/responses/files/01cf3652a7cf704cf0888ae4c427f3c60b6ef37f0a430be83c5b997feb4bb997/CV___Data_Analysis_Intern___NguyenKhoaQuangDuy.pdf"/>
        <s v="https://api.typeform.com/responses/files/d709563568aa0556d15da0dcb2ef7af1d79b8e500c0603da7332ed4a554fc469/CV___AI_Engineer_Intern___Trần_Tiến_Đạt.pdf"/>
        <s v="https://api.typeform.com/responses/files/81f9cf58adb7e2fd987f6a96478e28279c5994b700ac30053702497fdec07b47/NguyenThanhDanh_AIIntern_SUN.pdf"/>
        <s v="https://api.typeform.com/responses/files/9edf6aac68d3d5b2aefdf97a1a2319d19e168d98a48c27f055b85647611ef95e/CV___Portfolio___Game_Design_Intern___Bui_Tuan_Hung.pdf"/>
        <s v="https://api.typeform.com/responses/files/53834e495979bc232776a0ccc0f1e5fa8bfb7e5836c71ec87d7a7020c05d6fa8/CV___AI_Engineer_Intern___Lê_Quân_Đạt.pdf"/>
        <s v="https://api.typeform.com/responses/files/5afba7a43ae5b9360691e3999a54c4342aba5de785553f61e777cc8df37222ba/CV___AI_Engineering_Intern___Lê_Hoàng_Việt.pdf"/>
        <s v="https://api.typeform.com/responses/files/0c8b72ee6699e33050c92c01eb879238608e518eb432b8fbd2387256e7b09851/CV___AI_Engineer_Intern___Lê_Võ_Xuân_Hưng.pdf"/>
        <s v="https://api.typeform.com/responses/files/e0a3382deedab1557c705fed0f36732e21d02375144091f75575e067d301d69f/CV___Game_Design_Intern___Võ_Đức_Cao_Thượng.pdf"/>
        <s v="https://api.typeform.com/responses/files/759dadbbc1943f7a6be6dc4443872a44429792740f05307d9f28a7793791229d/CV___Unity_Development_Intern___Lê_Văn_Tài.pdf"/>
        <s v="https://api.typeform.com/responses/files/99e7104fcfe1c72adc4920b3cfc4c510080eda8abdb1338177420ee1f488b360/CV_Unity_Developer_Nguyễn_Thanh_Tùng.pdf"/>
        <s v="https://api.typeform.com/responses/files/c3d9e903be390c9dd713a5cc79ca1252f803c9d47e1b29f89deeee549af5fdf6/CV_GameDesignIntern_PhamMinhPhat.pdf"/>
        <s v="https://api.typeform.com/responses/files/d9c53c0775a8114c78f7b366c3eb620fae032e08e6bdb4a9f0036fc6f854bba3/CV___AI_Engineer_Intern___Phạm_Anh_Văn.pdf"/>
        <s v="https://api.typeform.com/responses/files/e42ad0690863ee0c0807476615fecff714dfb6072bc8d98f5312ebbb85c33e5a/CV___AI_Engineering_Intern___Trần_Phan_Đăng_Khôi.pdf"/>
        <s v="https://api.typeform.com/responses/files/a009391b92accbcc8513bff609b0f8fad28c84388d06d2ed975ccbc91761904a/CV___Data_Analysis_Intern___Dang_Quoc_Viet.pdf"/>
        <s v="https://api.typeform.com/responses/files/6a2413899bebd7adfa73a2c1dfd53d5c2d5870f423439e228ea905ec1aadda27/CV___AI_Engineer_Intern___Phạm_Thanh_Tùng.pdf"/>
        <s v="https://api.typeform.com/responses/files/a4a5136dc525001089ee88f240459dccbe2d8761dc44f62d211fcb3767385a9c/CV_Game_Desin_Intern_Đoàn_Nguyễn_Đan_Quỳnh.docx"/>
        <s v="https://api.typeform.com/responses/files/4235eb66ee30ac658eb78411d60e0ffc74a0a5ca76b0d58e8647da8ae7e094b6/CV___Data_Analysis_Intern___Vo_Thi_Ngoc_Chi.pdf"/>
        <s v="https://api.typeform.com/responses/files/57a193d4292cbeffd815cdea7810b6833423f3b4c528613ced54b0695bb253d4/CV___AI_Engineering_Intern___Cao_Huyền_My.pdf"/>
        <s v="https://api.typeform.com/responses/files/f44d7bbf01dcf39fd3aff62b87099b0c9c89ddec14316e45805cf935348cfe93/TrinhTanHao_internAI.pdf"/>
        <s v="https://api.typeform.com/responses/files/3dc1e5ef408ff62767bec385b52fc2071c1cf55c97a7502da06ad90becc0c3af/CV_Data_Analysis_Intern_Dụng_Lan_Anh.pdf"/>
        <s v="https://api.typeform.com/responses/files/07da1f1ed90e1077579ae4087398c9300aeb9652acd52691cfa163941b66a0cc/CV___Data_Analysis_Intern___Nguyễn_Văn_Lam.pdf"/>
        <s v="https://api.typeform.com/responses/files/59e5af3c95ff53a3810dfc999443fb41b90fa0e34f48f0d05dbf3765ebdc0f20/CV___AI_Engineer_Intern___Nguyễn_Tất_Kiên.pdf"/>
        <s v="https://api.typeform.com/responses/files/605fe83fdfa8901b54f088a98702fcf3dff1a73d24e8da3ee8f85cbfed1f6b62/CV___AI_Engineer_Intern___Bùi_Nam_Việt.pdf"/>
        <s v="https://api.typeform.com/responses/files/765576b759e215f4d1ebf68e9d63cb43970f761d69b43cf43f27b006ce507f16/CV_Game_Design_TranKhanhLinh.pdf"/>
        <s v="https://api.typeform.com/responses/files/4740b469bf5321b0b45603e1dd6c29cd70e1e05bf6a544f35d8dd534a01da1ac/CV___Quality_Assurance_Intern___Phùng_Ngọc_Tuấn.pdf"/>
        <s v="https://api.typeform.com/responses/files/f15df88fee1de1c86b0b4110bc89a6539851fc94770ab85ca3646600b47f2f3c/CV_AI_Engineer_Intern_Nguyễn_Việt_Hùng.pdf"/>
        <s v="https://api.typeform.com/responses/files/082b3dc6e764006e704a720707998ba7fc60690b0e87d0bbdc53ced84dd431ee/Do_Van_Dat_AI_Intern.pdf"/>
        <s v="https://api.typeform.com/responses/files/e3872ca6ef993caba288de80450969ca16c2036bda9b1924da3a84b96154c64b/CV___AI_Engineer_Intern___Lê_Cường_Thịnh.pdf"/>
        <s v="https://api.typeform.com/responses/files/deaf0b89238194c92429ecb70ccd6b8e3958dac7f7a67f424e02b9e5cb661d54/CV___Game_Design_Intern___Nguyễn_Thúy_Thương.pdf"/>
        <s v="https://api.typeform.com/responses/files/25ab38e23037137bc16de3dd62334bf293e04a363954386779d6d0c26fdeddd8/CV___AI_Engineer_Intern___Nguyễn_Đồng_Thanh.pdf"/>
        <s v="https://api.typeform.com/responses/files/7aa482b5dfd2f4b3d258f9fab9abea37c2b9f71b2798ece22f4813340cf1702c/Vu_Hoang_Long___Game_Developer.pdf"/>
        <s v="https://api.typeform.com/responses/files/99d71161ed4ecbb00915046c3fabfb2f933f6abb5b0540523508eb2bee23f076/Resume___Nguyen_Duy_Huan_.pdf"/>
        <s v="https://api.typeform.com/responses/files/de0c4f2ca04b85e6343598dbd053c24a88735017b84e754267d177169c9e8884/CV___Game_QA_Intern___Lê_Thái_Khánh_Ngân.pdf"/>
        <s v="https://api.typeform.com/responses/files/12b51474639b922550c1b1c3d0e25dca2e1f47f45dc800ec457ab37fbca86695/CV___Unity_Development_Intern___Nguyễn_Mạnh_Hùng.pdf"/>
        <s v="https://api.typeform.com/responses/files/f4e5dfeb5dc6130a920d9e084ca06253a36359d8b0e743fe15d07d92a2e30e2e/CV___Unity_Development_Intern___NguyenTranPhuocLoc.pdf"/>
        <s v="https://api.typeform.com/responses/files/dc27ea6fc253615b5599296a3a708360b90b335ecd3063587ff670fcdf80ebec/CV___Unity_Developer_Intern___Trần_Trung_Tuấn_Hưng.pdf"/>
        <s v="https://api.typeform.com/responses/files/a1005cd70a4e4817593810dd0ba50ecb31721b46fe51f56afa75e69f07f769ab/CV___AI_Engineer_Intern___Nguyễn_Minh_Trung.pdf"/>
        <s v="https://api.typeform.com/responses/files/6019859376673d0f8fffe84970bd9f96da63e7a6bed3566f9b0154c678cd1dd0/SoftwareEngineer__NguyenPhuThinh.pdf"/>
        <s v="https://api.typeform.com/responses/files/c93877eb33c528f94de13c8a894b58470372878066d63c73f2728d0ad1a2bc9c/CV__AI_engineering___Intern__Nguyễn_Trần_Mạnh_Thắng.pdf"/>
        <s v="https://api.typeform.com/responses/files/cfb3606fd962c9d53dfa9fa5d84763fceade3a4eeaa23f32a283a3830e861ecf/CV___Data_Analysis_Intern___Nguyễn_Thanh_Quân.pdf"/>
        <s v="https://api.typeform.com/responses/files/493c34e89b61ad58f6a00d439ba0d99bed21f31c5bbce827ca27c853f53bd08c/CV___Unity_Development_Intern___Tran_Dinh_Phu.pdf"/>
        <s v="https://api.typeform.com/responses/files/01ff4828982e67dad0c5dfe4cd89b12a9c1e62ca22a62e87ec23bd51047c4c76/CV___Data_Analysis_Intern___Nguyễn_Trọng_Khôi.pdf"/>
        <s v="https://api.typeform.com/responses/files/6fd11831925e8c077ba0b50b3362fbaf8a77bf834ebc2a75f7a128d5f3444a58/CV___AI_Engineering___Trần_Anh_Huy.pdf"/>
        <s v="https://api.typeform.com/responses/files/60f10a610e69684fd79d753a77ee55a500411ac0449d904baf71bf766763233e/CV_Data_Analysis_Intern_Nguyen_Duc_Thang.pdf"/>
        <s v="https://api.typeform.com/responses/files/366385b849f43cce8ba17173f185ee0a557a5ccf2717d7e8d1d7b823037067cc/CV_Game_Developer_Intern_Nguyễn_Nhân_Quỳnh_Như.pdf"/>
        <s v="https://api.typeform.com/responses/files/2b9277c5234d83ba09fd1887d85bf0430d24b70449ed4ceae071cf0432b17470/CV___DataAnalyst___Triệu_Đoan_Kỳ.pdf"/>
        <s v="https://api.typeform.com/responses/files/45f12a77ddba46f770b4660ac5d2f878e99ef2e4f19c3fc2e53c3cefbacfe839/CV_Data_Analysis_Intern___Nguyen_Van_Quoc.pdf"/>
        <s v="https://api.typeform.com/responses/files/4ff2620c66418220bd033574eab3d0c68da34d9e6af7be6bbc0ab097f7e8971e/CV_AI_Engineer_Intern_NguyenHoangQuan.pdf"/>
        <s v="https://api.typeform.com/responses/files/cd53fa376dcecae2274a86a9bbea77cfbd36d5d11776080c6dfaa03ca7037e9a/CV___AI_Engineering_Intern___Lê_Phước_Thái.pdf"/>
        <s v="https://api.typeform.com/responses/files/73dc63d4c8d26934dc624de9481bd65889888d0a873e52ef97f1cc678abe23f1/CV___Data_Analyst_Intern___Lê_Phan_Xuân_Dũng.pdf"/>
        <s v="https://api.typeform.com/responses/files/0b96e23d90d650bc4a29633ac1bd316ff1585684b19e17981280660557a3cc24/CV___Data_Analysis_Intern___Biện_Hữu_Khang.pdf"/>
        <s v="https://api.typeform.com/responses/files/122be1a3caa7f4d65332df67af7a0ea786cac3ca995ec64b37e7e5cf10059efe/CV___Data_Analysis___Ngô_Nguyên_Thảo.pdf"/>
        <s v="https://api.typeform.com/responses/files/295c3c2e962e8eb7cc2416f2d89a422600e7583508862f76a99539bfd78600db/CV___AI_Engineer_Intern___Tiêu_Trí_Bằng.pdf"/>
        <s v="https://api.typeform.com/responses/files/61c3c67b255653ca9e9fa6d15d9728fafefd34b80ecd82f274ebe44bbd5409b4/CV_DataAnalysisIntern_VoNguyenBaoNgoc.pdf"/>
        <s v="https://api.typeform.com/responses/files/69d359b729b110003d16496405f843c192e6ec2df6f2b4eaf92641d08dc42c0e/CV___AI_Engineering_Intern___Trần_Anh_Thái.pdf"/>
        <s v="https://api.typeform.com/responses/files/683cf29f3b6e6fa6aab846a91d52326dd3bed6aac5c414e3bafedd019cf98c51/CV___Unity_Developer_Intern___Trần_Quốc_Đạt.pdf"/>
        <s v="https://api.typeform.com/responses/files/47c0e2a67826e5403c1856e4816d82f5c0ebaa42fe330d3f11f61570eba0d629/CV_AI_Engineer_Intern_Nguyễn_Hạnh_Bảo_Ân.pdf"/>
        <s v="https://api.typeform.com/responses/files/f7f6191c374de9cd988c56ac2e6d127b691e484e8656da608dd91f92ab48df80/CV_Đoàn_Minh_Đức.pdf"/>
        <s v="https://api.typeform.com/responses/files/94b1876b6b3cbf11eeb597d7cf9cf7afd3013934c733282588779ba762d23995/CV_Data_Engineer_Intern_HaXuanHoang.pdf"/>
        <s v="https://api.typeform.com/responses/files/3bad88bb3211fc7ddb2b2da29e2f80e89ec1f7693db8d5046add7878257a8c7f/CV___TRAN_DOAN_THANH_QUY___TESTER.pdf"/>
        <s v="https://api.typeform.com/responses/files/518b83a9cbd646d5007c832edd4f7a5332c396e1845818892ca58eede5222fd8/CV___Game_Quality_Assurance_Intern___NguyenTranXuanNhi.pdf"/>
        <s v="https://api.typeform.com/responses/files/4af73e7e400b574bc0e088d9bacfa6ed81c2e472d12bf8c5a311e1f4e224d120/PhamDoQuangLong_InternUnityDeveloper_CV.pdf"/>
        <s v="https://api.typeform.com/responses/files/2b7c76213ae07b77dbcc8489af13a92d8975bdf251b94df2ec5ff986d72a85ed/Nguyễn_Duy__CV_updatedMay2026.pdf"/>
        <s v="https://api.typeform.com/responses/files/4e772294089ebf0bd860fb152567bfe87af601ee76c340a3db4a7aa5adc799ce/CV_LeHaBaoKhanh_Fresher.pdf"/>
        <s v="https://api.typeform.com/responses/files/e0724417490800dd8a50523074390fde2f181c09dd3c7e0940c78cb4728b1ed0/CV___AI_Engineer_Intern___Lê_Quân_Đạt.pdf"/>
        <s v="https://api.typeform.com/responses/files/0652128d676fb9d92391121b4e131f8188e2bf772a9e06fcd0ce871073292ee5/CV_Nguyen_Hung___Game_Development.pdf"/>
        <s v="https://api.typeform.com/responses/files/ff120effb801bf1b9b4087ecdd4849e4f25ba4acfaa24f4df8fbda05c13096ac/CV___Data_Analysts_Intern___Nguyen_Ngoc_Phuong.pdf"/>
        <s v="https://api.typeform.com/responses/files/524fb9bfc5222b8c104b63087f530ad506274b283c8f525d43f6a4e45545949e/ToanPhuc_CV_GameDesign.docx"/>
        <s v="https://api.typeform.com/responses/files/14ec55491914483bdf153eb4e8f3d623cd19d17300ea97e53fa4bcc64870db72/CV_Data_Analyst_Intern_Huỳnh_Duy_Khanh.pdf"/>
        <s v="https://api.typeform.com/responses/files/f7a5482d3ec3a138553a6787b80b0827b59b389f28ab7b1b76dc48d1f8cc8123/CV_QAIntern_NguyenThanhTruc.pdf"/>
        <s v="https://api.typeform.com/responses/files/4033858a0460b53a496a53b19701205315cb9c5b8b7809272ac8ce75126a3eaf/CV___Game_Development_Intern___Bùi_Bình_Nguyên.pdf"/>
        <s v="https://api.typeform.com/responses/files/7b4fb2aaf30e858ea994711ce5cb758dae1ee36ec8e8db40e1ed06a2b4011f0d/CV___Unity_Development_Intern___Hồng_Chung_Lâm.pdf"/>
        <s v="https://api.typeform.com/responses/files/fe9151fc1a562e17a5fc228c643d57ec4064fec1c3de823e2395283ce3afc94a/CuThanhTuong_AI_Engineer.pdf"/>
        <s v="https://api.typeform.com/responses/files/2676b600bee3f083f734be9ca742dfc88c3a11454b0ec748ba16704cb131ce67/CV___Data_Analysis_Intern___Nguyễn_Thị_Khánh_Đoan.pdf"/>
        <s v="https://api.typeform.com/responses/files/6e77427eded286645bccf7423e090e1d1ea41f2a1b769512ddb8e8f4c2b5fe58/CV___AI_Engineer_Intern___Lê_Minh_Kha.pdf"/>
        <s v="https://api.typeform.com/responses/files/91eb0fb0ffca9bddc561b3df876a5a51d49eddf882587f61d0cb2cc221c0b590/CV_VuQuangHuy.pdf"/>
        <s v="https://api.typeform.com/responses/files/e13f4d928def6bd9949b0ba6ddc742e17ea8d2a1acd8f651e2e5f3b4843d59b6/CV___AI_Engineering_Intern___Phan_Thế_Hoàng.pdf"/>
        <s v="https://api.typeform.com/responses/files/c0b7cb95bba05f6cd4b33daedf94d486a797fdb8f08a7138b7274b864f0b01ad/CV_Data_Analysis_Intern_TranDaiHai.pdf"/>
        <s v="https://api.typeform.com/responses/files/f52659d280663792f038a767be8dac16e5ab7ec082a5b2e3997b5ea6b29ea3bc/inbound317632735936504612.pdf"/>
        <s v="https://api.typeform.com/responses/files/b2a94487ca5d75478286d72f85782efc348e0982cc457f76c8a9287665891c22/CV___Data_Analysis_Intern___Trần_Tiến_Dũng.pdf"/>
        <s v="https://api.typeform.com/responses/files/f208e786487c8286d8e2352c666f467a934758082c47529b5c9d9fc6a3de7962/CV___AI_Engineering_Intern___Lê_Nguyễn_Kiều_Oanh.pdf"/>
        <s v="https://api.typeform.com/responses/files/00d04e3d3079dc01ccff888a32e579862e1a7841ebff37e3222e8a2b564a72fd/CV___AI_Engineering_Intern___Nguyễn_Hồng_Yến.pdf"/>
        <s v="https://api.typeform.com/responses/files/73a39a20cfdf9c1b8c35a140dacc055fb91d2c05dea4e67834ca426363f8885b/CV_Unity_Development_Intern_Phạm_Tuấn_Đăng_Khoa.pdf"/>
        <s v="https://api.typeform.com/responses/files/c60d8d5f88e4f639f3ef8259a6485ecfe2981b10029c90625f0be3e25f2f1a9f/CV___Unity_Development_Intern___Nguyễn_Trung_Tín.pdf"/>
        <s v="https://api.typeform.com/responses/files/a49c82c7306d9c565710a38e835c8dda6a7dec7b9993fbe2f383e160d2dbcc05/CV_Trương_Vạn_Niên.pdf"/>
        <s v="https://api.typeform.com/responses/files/115af0d537167c100bd1637b3f0bf415049e3025a5fa5c76a356914d77dd7a9c/CV_AI_DO_TUAN_TRUC.pdf"/>
        <s v="https://api.typeform.com/responses/files/c3f13922188a1795b829cb861449f4fb8b7f24325645ab3e3a52f14645738795/Nguyen_Hoang_Phuc_UNITY_GAME_DEVELOPER_.pdf"/>
        <s v="https://api.typeform.com/responses/files/1e9ef815db6ab3c36bffdb0b78fd99ec84e824cd2fc98863b3e34814240412a9/CV___Data_Analysis_Intern___Dinh_Bao_Thy.pdf"/>
        <s v="https://api.typeform.com/responses/files/3a8ea45b49431587d6d84ee6f39540109e8e77c6a3618bf34f2497864d4db907/CV___Unity_Development_Intern___Dương_Thị_Bảo_Trân.pdf"/>
        <s v="https://api.typeform.com/responses/files/f4ca096090e0deb44d6cd31f865c2865b1dc2710a2b6209c973486f98e952bb0/TrầnTiếnĐạt_CV_GameDeveloper_Intern.pdf"/>
        <s v="https://api.typeform.com/responses/files/ab0677562a7554faf9cc03fdd1f40749a71fda9c076fede83248b0fba552be69/CV___Data_Analysis_Intern___Nguyễn_Quốc_Huy.pdf"/>
        <s v="https://api.typeform.com/responses/files/b19946b6c647d9e736fd39ba852073f4a37d774c472758564410ca7e62b1298f/Nguyen_Thanh_Phong_CV_imaage_.pdf"/>
        <s v="https://api.typeform.com/responses/files/1fe8cf128180c1ccea0b85e05f9907d756a0f802916da93b6cc8003df880feac/_VŨ_ĐỖ_BÌNH_AN__CV_APPLY_INTERN_HR.pdf"/>
        <s v="https://api.typeform.com/responses/files/a5fc6b13f3802f22ad2536ae8a874aece613a68978c7aeb5f3ca98064e8cc1ea/CV_AI_Engineering_Intern_Phan_Tấn_Lộc.pdf"/>
        <s v="https://api.typeform.com/responses/files/15c14c9f5125d5ef58c52228dda160d740e013a43235b0fc2ffea99075ee7cc1/CV___Unity_Development_Intern___Lê_Tấn_.pdf"/>
        <s v="https://api.typeform.com/responses/files/17c42f8208fe596b6ea8a9463a6e563f36467aab6798b087a7c729c1214961fb/CV___Data_Analysis_Intern___Lê_Tuấn_Khôi.pdf"/>
        <s v="https://api.typeform.com/responses/files/992e4110c5462f01e1f46a83750f5f5481ecf02f5e03535d8c36054b112b898d/CV_GameQAIntern_LamTheRin.pdf"/>
        <s v="https://api.typeform.com/responses/files/e7fd7a5333616e04e776e3111076e9bcc00a7e40e37ec5e9cc020dfe154c4a0e/CV___Game_Quality_Assurance_Intern___Tran_Truong_Lan_Anh.pdf.pdf"/>
        <s v="https://api.typeform.com/responses/files/8ff1a06e336b94ffbe89712d670eb7a2436ea3ee0d4e763146c2d8ea2a549bb6/CV___Data_Analysis_Intern___Nguyễn_Hoàng_Tùng_Linh.pdf"/>
        <s v="https://api.typeform.com/responses/files/e84580cb3c6d7287ef93aad625172796d069469b60847830a487658bb7e614ce/CV___AI_Engineer_Intern___Data_Analysis_Intern___Huỳnh_Thái_Bảo.pdf"/>
        <s v="https://api.typeform.com/responses/files/48ab9a266ecc1f882a60e6d794e59f73029f2c78f59f38d3954364f460f2fdd0/CV___Data_Analysis_Intern___Nguyen_Thanh_Danh.pdf"/>
        <s v="https://api.typeform.com/responses/files/80dd16ca668a0fbbd79fe4292a8f7e4458aa05effc1390c5d84a56408e43bf14/CV___Data_Analysis_Intern___Thái_Thị_Mỹ_Quyên.pdf"/>
        <s v="https://api.typeform.com/responses/files/743556302d7fe191f5ae9124af2d2a767f43c739ec93bd653b1cd503d99ad6f7/CV___HR_Intern___Võ_Phạm_Gia_Long.pdf"/>
        <s v="https://api.typeform.com/responses/files/a8f9730e9aae6bf78af572cea425980cd5f8e270f11e147ef1293750f2f584e2/CV_HR_INTERN_HO_NGOC_NHUNG_SUNSTUDIO..pdf"/>
        <s v="https://api.typeform.com/responses/files/aae3bef7cf8ea98c93dc38bc596a0020259d59c920bb8dca0ff91c63208d9c32/CV___Data_Analysis_Intern___Nguyễn_Phi_Long.pdf"/>
        <s v="https://api.typeform.com/responses/files/22dc0b3949cd812c9f5f03f5eecf101c05d96dfb551f3629c10541a0aa71e804/resume_vinh_bao_phuc.pdf"/>
        <s v="https://api.typeform.com/responses/files/9d846a63c4acefa4189888978d736315a8acdfc9110e20a358cccff02bfda417/CV_Data_Analysis_Intern_Nguyen_Thao_Ly.pdf"/>
        <s v="https://api.typeform.com/responses/files/e2a2b48b08e0a69da089c5f0c3b8d7cdcf9b2d77ce5339e2f2fae26d87c9a38d/NguyenThanhHien.pdf"/>
        <s v="https://api.typeform.com/responses/files/a98dcd99e6c2945daf633b1ce56cc0bb6817c0ef2d60143de27f82de99852bd4/CV_AI_Engineering_Intern_NguyenQuocDuy.pdf"/>
        <s v="https://api.typeform.com/responses/files/8fee4c19c250388c165b45f0338c886973e5d3b20d4ce5e20b1fe8d9cbbc1553/CV___Game_Quality_Assurance_Intern___Hồ_Tài_Liên_Vy_Kha.pdf"/>
        <s v="https://api.typeform.com/responses/files/c1dbc4c91813b28b35f87f9f28d2a632a58f75b1e898838bce6891fcdb49c799/CV___AI_Engineer_intern___Pham_Nguyen_Khanh_Minh.pdf"/>
        <s v="https://api.typeform.com/responses/files/3ad58c06726848cbeb2bc57cdec2e2f69b64ca155904b6e2e316f4ccbb5af784/CV___Unity_Development_Intern___Bùi_Tuấn_Cường.pdf"/>
        <s v="https://api.typeform.com/responses/files/cdb0e3bced5d16ce309e1eb376a13ffc5ad6e980d4e77805bdf095417adf0711/DangThiThuyVi_Resume.pdf"/>
        <s v="https://api.typeform.com/responses/files/9a3d87d8710b7d68286ffc5f4902e4305588fc40b43731d0bd40de18b23dd130/Vu_Bich_Vi___CV.pdf"/>
        <s v="https://api.typeform.com/responses/files/710ca171bf1a3e7412a3ea1cb0874bc4ff48828da4c55ebd750b08e1a9e20ecf/Vu_Bich_Vi___CV.pdf"/>
        <s v="https://api.typeform.com/responses/files/195ab61c19a0702579601939a805ec60bde7c44b828dbb8287ea057b1ad03e9a/NGUYEN_VO_VAN_ANH_TA_INTERN.pdf"/>
        <s v="https://api.typeform.com/responses/files/952bb526c9fb69bf815d43b27d3bbb058fc6cf61615c3449b04d943caf0c5a25/CV_GameQAIntern_LeTruongThienBao.pdf"/>
        <s v="https://api.typeform.com/responses/files/5ad89e456a97fca45b6a112ec00abd5b9867183ed80e0f48c2a68228f9436680/CV___Game_Quality_Assurance_Intern___Vũ_Kim_Khanh.pdf"/>
        <s v="https://api.typeform.com/responses/files/4a044940dba2e2c2c586612ee189ba486babdf63a6c3862949cd258847eac32e/CV___Human_Resources_Intern___Trần_Hữu_Kim_Quý.pdf"/>
        <s v="https://api.typeform.com/responses/files/5d7cf0c7da55b1887444fa5f7c21aef16c129678f760ccff20ba97ad148ccd55/CV___Game_User_Acquisition_Intern___Hoàng_Nguyên_Hương.pdf"/>
        <s v="https://api.typeform.com/responses/files/2393332c90925568a8fcd106144d3847442b182e9d912b46525fb045ec343e8b/CV___AI_Engineering_Intern___Nguyễn_Văn_Trí.pdf"/>
        <s v="https://api.typeform.com/responses/files/d1ccf45628677460a5f783f88d92993108cabd7fccaccbd2960035bfed607c76/CV___AI_Engineering_Intern___Nguyễn_Văn_Đăng.pdf"/>
        <s v="https://api.typeform.com/responses/files/05718efe011914dba3d14fdf00f7b3091b06ce6a1763bc3a0804b967d4fdb5a5/CV_Game_User_Acquisition_Intern_Trần_Thị_Cát_Tường.pdf"/>
        <s v="https://api.typeform.com/responses/files/8b5d02d7195d649423d78b1474888ac024d9855d05686b457f8f594c1c302eb4/CV___Game_Design_Intern___Nguyen_Tieu_Anh.pdf"/>
        <s v="https://api.typeform.com/responses/files/d817dd14c9201142cf9bd328a3e0f1b7ef9ffc9f4ebb9e0adac406a9b4135390/CV___AI_Engineering_Intern___Phạm_Hồng_Nhân.pdf"/>
        <s v="https://api.typeform.com/responses/files/48312917141e7603bbafee7596e52af88a59ab17e4a9c68e294db3b593239b83/CV___Unity_Development_Intern___Trương_Dương_Thùy_Trang.pdf"/>
        <s v="https://api.typeform.com/responses/files/933b8e11c99182ee9e40889eab50ec326b7ec2f84652d685a5879bb9f486c23a/CV_USER_ACQUISITION_INTERN_Trần_Duy_Phát.pdf"/>
        <s v="https://api.typeform.com/responses/files/0b74d62dac2b2fe86da4e331e8e750669cf1612d7667a34d391d297d7636deee/CV___Game_User_Acquisition_Intern___Quach_Thao_Vy.pdf"/>
        <s v="https://api.typeform.com/responses/files/2f005f9d1ca2c67575c62ce9abd5bcb63ed64811073f814bd68b95017aa69f6b/CV___Game_User_Acquisition_Marketing_Intern___Nhi_Nguyen.pdf"/>
        <s v="https://api.typeform.com/responses/files/bb8b74df3da19cf761779b466b6339e8fe7f74ee7d23194b8159b6c8e504174e/CV_Ngo_Chi_Cuong_AI.pdf"/>
        <s v="https://api.typeform.com/responses/files/67fbee3239225c01681a7876012af0ab9fb8d4a2206abc820c517147b152baf5/Le_Nhat_Hao_Resume.pdf"/>
        <s v="https://api.typeform.com/responses/files/ffa81d373808ca4ebecb4356fae24cd12818c3a9f11c2170b2cc5fe25a07c4d7/CV___Data_Analysis_Intern___Nguyễn_Phúc_Loan.pdf"/>
        <s v="https://api.typeform.com/responses/files/b287ae7638789c4594952ee30cc4295efa793f3d6db1c9611b58848bca8c2097/CV___Data_Analysis___Cao_Thiên_Quang.pdf"/>
        <s v="https://api.typeform.com/responses/files/43f45078031a482fdd2b418a1f2d04625e9097e9cf53a37dfeb489708051d83c/CV_quality_assurance__Lâm_Minh_Tùng_Quân.pdf"/>
        <s v="https://api.typeform.com/responses/files/9c11b8b657fca81213e25c1b6c262dc94535625642aeac645a9506390753a17e/CV___Data_Analyst_Intern___Nguyễn_Phương_Tùng.pdf"/>
        <s v="https://api.typeform.com/responses/files/39a3bd88d0298c65b3530c10c7c67391b7895fd8b5571d04496a4921597a346d/CV___Data_Analysis_Intern___Nguyễn_Thị_Hồng_Nhung.pdf"/>
        <s v="https://api.typeform.com/responses/files/ab976404941f7e211205d225136058918e6301881e757faea14238fba2a55215/CV_AI_Engineering_Intern_NguyenDinhVietHoang.pdf"/>
        <s v="https://api.typeform.com/responses/files/ee012536d6fb4cc8c4de4d4d01eb196f8bcfebf90e85b442ca63cc151c3b821d/CV_AiEngineerIntern_NguyenNgocThang.docx"/>
        <s v="https://api.typeform.com/responses/files/7d5b05b60821575e970aa078453b4376edbe45a23a9fdbdbd064df12b83a0d8e/CV___Data_Analysis_Intern___Nguyễn_Phú_Toàn.pdf"/>
        <s v="https://api.typeform.com/responses/files/da41cdc3a34e7e49d80e3370ff9a5c3a0efd897aaaeda88147ede59802cfd20e/CV___AI_Engineering_Intern___NguyenThiYenLinh.pdf"/>
        <s v="https://api.typeform.com/responses/files/fad3858ae008c95d2a1dc719a5a84afc8a78e05b1b1b887a9499ec52afd3ed52/CV_AI_Intern_PhamHongPhat.pdf"/>
        <s v="https://api.typeform.com/responses/files/d4fa94e9d3a9b2611159b3e38d74ad422ceeeb5750aaa06935ec231c26f8bcdc/CV___Data_Analysis_Intern___Nguyễn_Đức_Toàn.pdf"/>
        <s v="https://api.typeform.com/responses/files/d45aafb70a9ccf02828744235ab73faf224d8cca5b4aa03a54b9e72351f83563/CV___Game_Design_Intern___Nguyễn_Nguyên_Bảo_Phú.pdf"/>
        <s v="https://api.typeform.com/responses/files/e4b8c2a5cfdb7b9fd66333821f8449cccf9743024e7242704849eb8aecd99de1/Nguyễn_Thị_Hồng_Nhung_Sun_Studio_Marketing_Intern.pdf"/>
        <s v="https://api.typeform.com/responses/files/73501665a3a2471641d60de976287d510b4d7d198704fe193d10aeeb0e025fe2/CV_NguyễnLâmThao.pdf"/>
        <s v="https://api.typeform.com/responses/files/2005593a39fde5383c49986b8d339c55806502c130633971f7d53505170dd212/CV___Human_Resource_Intern___Vòng_Nguyên_Hy.pdf"/>
        <s v="https://api.typeform.com/responses/files/72c0f66aacfa33924e1c24756bcd83c1df9f242af3ad9a5fe40c90802f4b1178/CV___Data_Analysis_Intern___Lục_Minh_Phú.pdf"/>
        <s v="https://api.typeform.com/responses/files/e6df46de2eeb91739dfe4981c17a5cd05742d2ab0c78bc6990d474e88a6b9287/CV___Game_Design_Intern___Triệu_Hoàng_Duy.pdf"/>
        <s v="https://api.typeform.com/responses/files/bb91d3a9641cea6760498d8035c5f2f44e49fa4ef09c3e5cb18480cad49c1f05/CV_HR_INTERN_VŨ_TRẦN_KHÁNH_NHƯ_.pdf"/>
        <s v="https://api.typeform.com/responses/files/2f14dc09b6169138f9e1c97adf30bca30f43594db3ecf7afeccdec22f032ad3a/CV___Game_Quality_Assurance_Intern___Ngô_Trương_Thiên.pdf"/>
        <s v="https://api.typeform.com/responses/files/9956ea841e02ac21188b70b0a1a6484a7b1f383fd9ffe6c5ed06ff4424d8a5d4/CV___Game_Quality_Assurance_Intern___Lê_Anh_Khôi.pdf"/>
        <s v="https://api.typeform.com/responses/files/6118178195514e7a74d7d8dfbb4a36438c0d215091e6797e2eea75e34f7c2fea/CV___Data_Analysis_Intern___Duong_Khanh_Trang.pdf"/>
        <s v="https://api.typeform.com/responses/files/2bdad125b1c4878d67bff6eb6143989cd44e23e796dd2c89489450051e52b92a/CV___Game_User_Acquisition_Intern___Nguyễn_Phạm_Uyên_Uyên.pdf"/>
        <s v="https://api.typeform.com/responses/files/662e16d885e161527b5359aec37737fb3a1e8e9d960ed718cdb123fb50941893/CV___Data_Analysis_Intern___Nguyễn_Lê_Yến_Nhi.pdf"/>
        <s v="https://api.typeform.com/responses/files/f7662cc72f308ba94c48dda81508cdc28f7a30418e90f47ef1a45bce581df201/Resume_for_AI_Engineer_Intern___Le_Binh_Nguyen_.pdf"/>
        <s v="https://api.typeform.com/responses/files/56b272a3d7c7d9ec19e7efd7803580f4bbe24cc8f9935b65f7e634d26ea8d94c/CV_AI_Engineering_Intern_Phan_Huynh_Chau_Thinh.pdf"/>
        <s v="https://api.typeform.com/responses/files/5ef87c18772b3673166d0cf7e19096162ff175728c1d079cf59ee43297cfad84/CV___AI_Engineer_Intern___Trần_Phan_Đăng_Khôi.pdf"/>
        <s v="https://api.typeform.com/responses/files/dbc604a831234c06158bbfa4afcb85455c2fe2bada2c089f29812b4bfa6a1641/CV_Game_Design_Intern_Trần_Duy_Anh_Dũng.pdf"/>
        <s v="https://api.typeform.com/responses/files/dfa116cd96aad4b18f7bbfa48a68e002a441e4bc4d83aefa585c100bfea2665b/Luong_Nguyen_Anh_Quan___Intern.pdf"/>
        <s v="https://api.typeform.com/responses/files/5b959ab2875fb31c399829403a835cc7c091bb91a15fd80ddce77999bf7522a3/24522014.pdf"/>
        <s v="https://api.typeform.com/responses/files/8aaf69b079573412173b571a1b15123bcd982d4feb582d0fd0bda328cee6a168/CV_AI_Engineer_Intern_Trương_Hoài_Phong.pdf"/>
        <s v="https://api.typeform.com/responses/files/774fecf463440adc873203c9a1ea1d1916717229a3608962c99124089c79ad8a/TrieuTanHuy_CV.pdf"/>
        <s v="https://api.typeform.com/responses/files/a9459d714aeb066d326ac8baa7ee454774af92cced47e9c6a82c004f23187e0c/inbound5812462044915528695.pdf"/>
        <s v="https://api.typeform.com/responses/files/efadcdbe381e552780539c0b362373e6060cd5c3798bf73f2104983c763c3cc4/CV_NgoTheKietIS.pdf"/>
        <s v="https://api.typeform.com/responses/files/61ad82d8d88c6bbf079d5576f571578c596af9dea272aea878b1d32f072da126/CV_Data_Analyst_Intern_Nguyen_Thi_Anh_Thanh.pdf"/>
        <s v="https://api.typeform.com/responses/files/49914017047ecf29aa38c89cd9c8474bb0e21155ab3d986d3d29cf806dc7ad56/CV___Game_User_Acquisition_Intern___Nguyễn_Thị_Tuyết_Nữ.pdf"/>
        <s v="https://api.typeform.com/responses/files/ba7d85aa3096688023c9b20963039d62768d888c85f5daddb4090c306569f32a/CV___AI_Engineering_Intern___Le_Duc_Long.pdf"/>
        <s v="https://api.typeform.com/responses/files/36fd2c809b26d4e6b489a8575399ff4e76c3e59258dd6c0e910acc5d8b79819a/CV_Unity_Development_Intern_Huỳnh_Thị_Kim_Ngọc.pdf"/>
        <s v="https://api.typeform.com/responses/files/1abd3ff6c86bb06949d67c3d2903fa37b028d8796a9941af006dba69c93dcc4a/CV___AI_ENGINEER___HOÀNG_HUY_TỚI.pdf"/>
        <s v="https://api.typeform.com/responses/files/baa29c84a12d250db6d69b432a9edcf991b2ef6371e92de9f276eff4f54256ef/CV___Data_Analysis_Intern___Đỗ_Nguyễn_Khoa_Duy.pdf"/>
        <s v="https://api.typeform.com/responses/files/c1bd34278f9d207f06282b1cad2ec24171686e60036405ad5282a013c3ca7280/CV___Unity_Development_Intern___Hồ_Nhật_Tiến.pdf"/>
        <s v="https://api.typeform.com/responses/files/54f3de6e685d334bab5ffd155e35e0cca7fdb91e2e338893a157633f40a18698/CV___AI_Engineer_Intern___Châu_Văn_Minh_Khoa.pdf"/>
        <s v="https://api.typeform.com/responses/files/598bf7fff1505d81b481e8cebf485eb50f425e8fe38a822666ecd595a6b8d33b/CV___AI_Engineer_Intern___Trần_Đắc_Thịnh.pdf"/>
        <s v="https://api.typeform.com/responses/files/7a981ae5d63ba9c61f91645d10d9538c291fa29d5994973b545448b9c104ef06/CV_Data_Analysis_Intern_Nguyễn_Trần_Thị_Phi_Yến.pdf"/>
        <s v="https://api.typeform.com/responses/files/315cf7de4d558a41e23ecd15e899d4d5821448597bb2aee87602937b113dfbe0/inbound1309049399635309885.pdf"/>
        <s v="https://api.typeform.com/responses/files/1170efcc3fcb712c516112ab5bcd2e95c9f7d07fedc76f1599fb1aa2250527de/CV___Unity_Developer_Intern___Lê_Ngọc_Hiền.pdf"/>
        <s v="https://api.typeform.com/responses/files/195d776be624d5a03c73c0607494e2e8b8e666e55ab2dc27e9179e75745e90e8/Tester_Intern___Trần_Đắc_Phú.pdf"/>
        <s v="https://api.typeform.com/responses/files/eb78bbcb879d3d889122844608515d4a2416074df9cab858a0d809e39777b880/CV_AI_Engineer_Intern_NguyenLuuAnhHuy.pdf"/>
        <s v="https://api.typeform.com/responses/files/7f3245b6ee2798b4d8b28ff6907cdad6f814163e6870e2261ceab067aec0d747/CV___Game_Design_Intern___Nguyễn_Hà_Viết_Thống.pdf"/>
        <s v="https://api.typeform.com/responses/files/70cd037dde0faddec65e66b115fd4c52f36ec2683713d84e941927e588aee8b8/CV___Data_Analysis_Intern___Lê_Hà_Chức.pdf"/>
        <s v="https://api.typeform.com/responses/files/df1a631ed1ed2bd64f68db108c10a176af597082f621f24162b520f4e1c5884b/CV___Game_QA_Intern___Võ_Đức_Thiện.pdf"/>
        <s v="https://api.typeform.com/responses/files/04df42fb1cdcc323c15613104ebaf5ba5a3c374019fb576142db67e9decb6276/CV_AI_Engineer_TrinhQuangHien.pdf"/>
        <s v="https://api.typeform.com/responses/files/a7461935db8dceda3d841164b1b806da142c5ba3995f77373f1650f7ddbe3082/CV_AI_engineer_intern____Lê_Thành_Đạt.pdf"/>
        <s v="https://api.typeform.com/responses/files/39d5a438fd6ba8cec9597aff3e8efb70bc76fd248d204e7372ec070d40ba8ae6/CV_AI_Engineer_intern_Lê_Nguyễn_Trung_Vĩnh.pdf"/>
        <s v="https://api.typeform.com/responses/files/eb4b39b34d24d4ffe2cd72889bab27fbbb8daf96a3210a288ced15ad9d287cc9/CV___Game_UA_Marketing_Intern___Nguyễn_Huỳnh_Hạnh_Nguyên.pdf"/>
        <s v="https://api.typeform.com/responses/files/27fc615d25dd2fef1aac03d2a95f2d40b1cc1c3c41b0b2d65b28ca66ebecbfac/CV__Data_Analyst_Intern___NGUYỄN_BÙI_DUY_ANH.pdf"/>
        <s v="https://api.typeform.com/responses/files/b4c0985982e707ebb0d43a98f1f23288b8bda30166559828143b88d218db1bc8/CV___Game_User_Acquisition_Intern___Tsằn_Cá_Thành.pdf"/>
        <s v="https://api.typeform.com/responses/files/6dea104a8cc5703b9b4be5e3a8548b51f8f1f42f443dddb72adb14b6c23b55ea/CV_AI_Engineer_LamTanPhat.pdf"/>
        <s v="https://api.typeform.com/responses/files/733c3956134e89abffbea94ae45dd1cd8869d175f6fabac5a10f038f6183a95f/CV___Human_Resources_Intern___Nguyễn_Đăng_Khoa.pdf"/>
        <s v="https://api.typeform.com/responses/files/f9dfd0ff2de73437ec21e3332068709473cb826b8bcea1ef160387c3a193af49/CV___AI_Engineering_Intern___Trương_Phúc_Trường.pdf"/>
        <s v="https://api.typeform.com/responses/files/2edac3aad6512b75c0bf2ba6c8c8494f21690316ecbd0f2b0e88714f6acebe9d/CV___Game_Quality_Assurance_Intern___Lê_Minh_Kiệt.pdf"/>
        <s v="https://api.typeform.com/responses/files/26f468b285c291f4ced752d15db8834fe19ae11d79c62b925595bfb1c92c62fe/CV_AI_Engineer_Intern_Nguyễn_Quyết_Giang_Sơn.pdf"/>
        <s v="https://api.typeform.com/responses/files/c3c91791f5aa19e5db1391d16489e4eadcb408e6e53e3a7b6e831de03e0bdee1/DUONG_QUOC_THANH.pdf"/>
        <s v="https://api.typeform.com/responses/files/f2c5a3c72630d714d9aef96527c4d564efb0a8569b7889cd73b62cb2945eb113/CV___Data_Analysis_Intern___Nguyễn_Hoàng_Trang.pdf"/>
        <s v="https://api.typeform.com/responses/files/49f91eb06244faac76355306436875548c23774bd3d0413e73efec01fd80f2b3/CV___Unity_Developoment_Intern___Phan_Nguyễn_Trung_Hiếu.pdf"/>
        <s v="https://api.typeform.com/responses/files/b738473ed7476ca2aacc5f219ff436cf8c3bffb0c34189956e45ff8219667e6a/CV___Game_design_Intern___Nguyễn_Đặng_Thanh_Duy.pdf"/>
        <s v="https://api.typeform.com/responses/files/09abc917cc345711c23c64d0f309705db51c9704b80974532a4b2f1c1fe2d422/CV___Unity_Development_Intern___Võ_Nhân_Hồng_Phúc.pdf"/>
        <s v="https://api.typeform.com/responses/files/9453de0038fae9f3c23a0dbd21106c09fae8de0872e7348f893607ed95dd1fc4/CV___Unity_Development_Intern___Lê_Bá_Đoàn.pdf"/>
        <s v="https://api.typeform.com/responses/files/9fd9c71e2c405501a9ca7db55acdac25f74be27f5b576d9df1dcab98e1edf875/CV_Game_Developer.pdf"/>
        <s v="https://api.typeform.com/responses/files/bb3adb52395ec57b759f916096fa6e1b15eead3c56c0bed20042196a683e7afd/CV___Unity_Development_Intern___Nguyễn_Trường_Thịnh.pdf"/>
        <s v="https://api.typeform.com/responses/files/c71924919374272610d7d2610268177b2759aa8ffc1931d04d8dfed322a40094/NguyenHoaiNhu_DA.pdf"/>
        <s v="https://api.typeform.com/responses/files/6b15a7d08d86fa2a249b1b96a350db3809bd582ebb5cdbcef8efe435cadf80a5/CV___AI_Engineer_Intern__Nguyễn_Xuân_Lộc.pdf"/>
        <s v="https://api.typeform.com/responses/files/f33ef764686e83ed00fb7dcdaa9522169848fa7f264ad7e38116f937a73973cd/_CV__4_.pdf"/>
        <s v="https://api.typeform.com/responses/files/0ae56c22399ad94e48f9485330c4c72f9ee53f61763946ec02b1ca2a2b3c7701/CV___AI_Engineer_Intern___Lê_Quốc_Vương.pdf"/>
        <s v="https://api.typeform.com/responses/files/93e15828f1137c97e70da051e3415706f6572123d168f86f3f9e50296186dad6/CV___Data_Analysis_Intern___Bui_Tran_Thy_Thy.pdf.pdf"/>
        <s v="https://api.typeform.com/responses/files/ae90e1003bdac1eb3b4e3f797551239e2c9375abc4788acf009235f81dc108a3/CV___Game_Quality_Assurance_Intern___Nguyễn_Hoàn_Báu.pdf"/>
        <s v="https://api.typeform.com/responses/files/fa2f2fe597b606856a24edee90ab7828fe258e98ca6100c33aeb77dc8efac84a/CV___Game_Quality_Assurance_Intern___Lương_Nguyễn_Xuân_Minh.pdf"/>
        <s v="https://api.typeform.com/responses/files/8dad546721a18f38e185fc120e8b47c794e8ea6807ee46be68f2cfbb138deb8e/CV___AI_Engineering_Intern___Bui_Le_Hong_Tam.pdf"/>
        <s v="https://api.typeform.com/responses/files/c88611e940d4999dfde026fe25da80e40325a4af726e41513da868d497d763b8/Lê_Hoàng_Châu_Anh_HR_Intern.pdf"/>
        <s v="https://api.typeform.com/responses/files/ec58cbf54a095043261e6b6a2b686e9453245c746106bf3472ee64cf34e01c2b/CV_GAME_QUALITY_ASSURANCE_INTERN_Truong_Tan_Phat.pdf"/>
        <s v="https://api.typeform.com/responses/files/d73d8300e4723fe929f6278482ae632f0d3676e837c8f186805e7ec42c73aa54/CV___Game_QA_Intern___Nguyễn_Lâm_Đức_Hòa.pdf"/>
        <s v="https://api.typeform.com/responses/files/6c4b1d01ef218d99a660f7b3278feeabc84201f6544485472ba81adf5616179d/CV___AI_Engineering_Intern___Nguyễn_Trần_Gia.pdf"/>
        <s v="https://api.typeform.com/responses/files/7499680c17becbbe2411c8f708d257fff8d0b3f7708cfa4650e1594aea832c09/CV___Game_Design_Intern___Nguyễn_Nguyên_Bảo_Phú.pdf"/>
        <s v="https://api.typeform.com/responses/files/16bdc7249d28a3381aeca137e5bb10ff3b36b1e363c3bca24a48c1e890086028/NguyenTuNhu_Resume.pdf"/>
        <s v="https://api.typeform.com/responses/files/5e3f14188f4ea96c661ff3b8b862e2e13f08732eb38ab7ab630b4ad0bdd4249c/CV___Data_Analysis_Intern___Lê_Thị_Thu_Hiệp.pdf"/>
        <s v="https://api.typeform.com/responses/files/61186d44d17b346a6e9630618ed7e3a5f87c7b427c32c665fa3a59a9bf0fe8e1/CV___AI_Engineering_Intern___Nguyen_Thanh_Vinh.pdf"/>
        <s v="https://api.typeform.com/responses/files/b3010c69da28db0c20d0353aaf30250a903167d3da4298ed937bc0c7f1749e06/NGÔ_PHƯƠNG_NAM___AI_INTERN.pdf"/>
        <s v="https://api.typeform.com/responses/files/64d1f9a16986abad338f3c9dcd6095398e72b7faefcdd0b9ee248a30787662a3/CV___Human_Resources_Intern___Lâm_Minh_Khang.pdf"/>
        <s v="https://api.typeform.com/responses/files/9d20c65dbe838aa907b01f88a1cebd7dfcf72791269f9aa20846397d1957f234/CV_DA_INTERN_TRANTHIKIMANH.pdf"/>
        <s v="https://api.typeform.com/responses/files/6513e28e1ae8bad3673a62d91bebece68c1dbf94935ab46d317a494222e47069/CV___AI_Engineering_Intern___Võ_Hoàng_Phúc.pdf"/>
        <s v="https://api.typeform.com/responses/files/9672f307ec0f3c97dc4b5601c0c349d0ec79d17e8baf5b4ea8f00454aea53288/CV___User_Acquisition_Intern___Vũ_Đỗ_Trung_Quốc.pdf"/>
        <s v="https://api.typeform.com/responses/files/78821d9b2ef58617d37be28df9e771d5fccef1d5157b6c3ef3d5e0b93b9b9332/_CV2025__Phạm_Quang_Duy.pdf"/>
        <s v="https://api.typeform.com/responses/files/59090f2c3784f1d9d8ebc481f665c9fe21a66bf5e80e66a697b19f3a9a02e031/CV___Game_User_Acquisition_Marketing_Intern___Phạm_Hồng_Phương_Anh.pdf"/>
        <s v="https://api.typeform.com/responses/files/d0abdb4990184ed9ea72a3454073482d292e873df3c9eec1708589060c846042/CV_Data_Analysis_Intern_Lê_Nguyễn_Minh_Thư.pdf"/>
        <s v="https://api.typeform.com/responses/files/df556f9a6414eb09822776211207d06811d44c5408441dd575a459f51dc4ec3d/CV___Game_Quality_Assurance_Intern___Ngô_Tùng_Khải.pdf"/>
        <s v="https://api.typeform.com/responses/files/dca375a32a8f97f51009606dd4d4ec655335561278e00a0b91e631c409915fa0/Nguyen_Viet_Ky_Quan___AI_Engineer_Intern.pdf"/>
        <s v="https://api.typeform.com/responses/files/403261feec660eb86bd27792281bcfd67c3a50da2d8e9db6e56f61266c90fbd3/CV_DATA_ANALYSIS_INTERN_NGÔ_MINH_HẢI_YẾN.pdf"/>
        <s v="https://api.typeform.com/responses/files/2031ced20c2a3a9ad3996fae57fd903e8620958ff99a8660b9a8d59163bc1b91/CV___AI_Engineering_Intern___Nguyễn_Thiên_Ấn.pdf"/>
        <s v="https://api.typeform.com/responses/files/375a6c1b1e0de0b89a4732c9f82388bdd38a044a70788cbb12777b25c85be0fa/CV___Game_Designer___Trần_Phước_Đại.pdf"/>
        <s v="https://api.typeform.com/responses/files/24e48d3ce9152217b17482f2ef89f6bff67bc73d7c5db4dff55591d050b6b03f/CV_Game_Design_Intern_Nguyễn_Hoàng_Nhật_Thiên.pdf"/>
        <s v="https://api.typeform.com/responses/files/96a8f7c0b92dc363b5afff07795c32ce608a5ed75d2fea0c3ba1f52976657629/CV___Human_Resources_Intern___Nguyen_Mai_Han.pdf"/>
        <s v="https://api.typeform.com/responses/files/4b87c78838ef589e7e3c1984799d81ae4909f28c9e6d225e0f1301ca4954e7b4/CV_AI_Intern_Unity_Intern_HaoNg.pdf"/>
        <s v="https://api.typeform.com/responses/files/29359326825c64bfb910eb5f580da14ef4f45789c88a7ab7fda46e14be598073/Bùi_Đặng_Quỳnh_Như_CV.pdf"/>
        <s v="https://api.typeform.com/responses/files/9e147a5f4c0ba1d2ca493fa1dc881cc87e92a3802d2f09062cc61f008246d1d9/CV_Nguyen_Dac_Thanh.pdf"/>
        <s v="https://api.typeform.com/responses/files/8fbc9efa2cea2727c070adf92cc9af5070d48695a6e83ff7050ce781640ec3f8/CV_GameQualityAssuranceIntern_DangTrNguyen.pdf"/>
        <s v="https://api.typeform.com/responses/files/b5a0efb36df24a43b34b38e56bb330a84da33d23a5792bbfe9fa775127482d93/CV___DuongXuanThanhTai___TTS_CNTT.pdf"/>
        <s v="https://api.typeform.com/responses/files/77c68b428e877b174e1bd8b4944ff9a9ea754945e97e7d4922391c3f2d926452/NguyenPhuTrong_DataAnalyst.pdf"/>
        <s v="https://api.typeform.com/responses/files/fd58d4928215889c40287fe0672b2c22d6274942d5eeb8b018965f1cb9c87be5/CV_Game_User_Acquisition_Intern___Nguyen_Kim_Hang.pdf"/>
        <s v="https://api.typeform.com/responses/files/566715ff6aaae1103279f5c2401ce8cf18ad9db0c423c691de30c896a0ff9117/CV___AI_Engineering_Intern___Phạm_Thị_Cẩm_Nhung.pdf"/>
        <s v="https://api.typeform.com/responses/files/677e90566ede899a1abb4e178b67616bed1ef3efa6cc65af8cbba446911ba168/CV___Human_Resources_Intern___Đào_Hương_Giang.pdf"/>
        <s v="https://api.typeform.com/responses/files/5dc891333b46b5b32f92fbb98e19aebdf5fcae62e77f9a98d4363dd9d14e13ca/CV___Game_User_Acquisition_Intern___Trần_Thị_Thanh_Nga.pdf"/>
        <s v="https://api.typeform.com/responses/files/c5be06acd5fa8bd387a920a801a684e9a4e51832a97abeaaf6e6242f56052d69/DangTranAnhHao_CV.pdf"/>
        <s v="https://api.typeform.com/responses/files/716d81538a196ca4088e2748e61c779d90698071f8ae7bdc6a77a441c91af2d0/CV___Data_Analysis_Intern___Phạm_Ngọc_Thiện.pdf"/>
        <s v="https://api.typeform.com/responses/files/b66ffb7782469233c3159069805501af56ddcbd0eb32317bb5d11d5b99240543/CV___Game_User_Acquisition_Marketing_Intern___Lê_Phạm_Hoàng_Hà.pdf"/>
        <s v="https://api.typeform.com/responses/files/1460e62047590129377fa668af87725fe2749a76f6915235977a01effcc6eed1/CV___Game_User_Acquisition_Intern___Le_Bao_Ngoc.pdf"/>
        <s v="https://api.typeform.com/responses/files/f429150985dd6104a43d69730227d87178dbed6fcf610ec658af53d3bf0a8b94/CV___AI_Engineering_Intern___Nguyễn_Tấn_Dũng.pdf"/>
        <s v="https://api.typeform.com/responses/files/3fa14a8dc662c72d513759000bc9e619b8803717d08800b7f3bd1c57a822ece7/CV_–_Le_Quang_Long.pdf"/>
        <s v="https://api.typeform.com/responses/files/890a7775089239383c5dfd41ba89d49a185c9f82afeaabb459f4970a1dd871e9/CV___Data_Analysis_Intern___Nguyễn_Phạm_Chí_Bảo.pdf"/>
        <s v="https://api.typeform.com/responses/files/499da9e9d0e9eca1475551b6e69620d84553a26d233305ee6786bb3bd539d500/CV___AI_Engineering_Intern___Trần_Ngọc_Biên.pdf"/>
        <s v="https://api.typeform.com/responses/files/99a73b03048faf44d2443f1feef8ce143efc695349327f7521ed5dd2694f8de7/CV___Game_User_Acquisition_Intern___Nguyễn_Phan_Bình_Nguyên.pdf"/>
        <s v="https://api.typeform.com/responses/files/01af29048b22c30ac97f181eea7f0a327c3950fc9cc6a2a73d2652f88bc57ac2/CV___Unity_Developer_Intern___Lê_Tấn_Lợi.pdf"/>
        <s v="https://api.typeform.com/responses/files/6fe4884982b96405938630441b0f998b17e78aba052ebf457f26703c0f6fd1c2/Ho_Nguyen_Thanh_Trung_SunRiser_RISER2026.pdf"/>
        <s v="https://api.typeform.com/responses/files/bb227bca634178f882cc1da776eb9ee879b4788f6b2bc7be01a7384da81bf1f8/CV___Game_Design_Intern___Đoàn_Minh_Trí.pdf"/>
        <s v="https://api.typeform.com/responses/files/39c5fea6d646586ea51f980c21da8fc789e83e1239a0f1c42f84fb8717e4bace/CV___Unity_Development_Intern___Đặng_Hiểu_Hòa.pdf"/>
        <s v="https://api.typeform.com/responses/files/ec4d7e5f6dda3d75de42344e779991bf97984fdc127889f5c81e10426b29cfac/cv_Le_Tan_Xuan_Khang_Data_Analyst.pdf"/>
        <s v="https://api.typeform.com/responses/files/15464f63463836aceb229fe5a1f816d4635022c08caaaa2f93ad8e85ae098147/CV___Game_Designer_Intern___Lê_Phạm_Quỳnh_Duyên.pdf"/>
        <s v="https://api.typeform.com/responses/files/6bf594917c6821514f626cce6aa67a2662feb872b59036484f4f5b6198d505b8/CV___Unity_Development_Intern___Trương_Quốc_Bảo.pdf"/>
        <s v="https://api.typeform.com/responses/files/0c0381696fcb62be8e224f2a97cd412f0f1e107d0dc3d97a6c6ca08d005420b5/CV___Data_Analysis_Intern___Lai_Mộc_Huy.pdf"/>
        <s v="https://api.typeform.com/responses/files/373d7134fdc673263e7dcb7f4499475c13d3f44538fd8a705015e9a0a5799e30/Nguyen_Duy_Tan_—_Game_Developer_CV.pdf"/>
        <s v="https://api.typeform.com/responses/files/7e9751df3682769dc199f9023a485a3fcef8919dd13092c44d5be08f0947d3b2/CV___Data_Analyst_Intern___Kiều_Tấn_Anh_Minh.pdf"/>
        <s v="https://api.typeform.com/responses/files/6f916413114a829d44187d2597682a7e5bc4651c4fd3156918dbead78d7558ea/CV___AI_Engineer_Intern___Nguyễn_Trần_Đức_Hoàng.pdf"/>
        <s v="https://api.typeform.com/responses/files/d2ab98ffe9d2d93a600dc6afdbc08e28ba81ad513c2709257a1082a1138d7a54/CV___Game_User_Acquisition_Intern___Ngo_Anh_Kiet.pdf"/>
        <s v="https://api.typeform.com/responses/files/4b0642d9437fc9d075b8688995786e153b13a6fca6fd4dc9bc3e42baeb012e1a/CV___Data_Analysis_Intern___Nguyễn_Mai_Xuân_Linh.pdf"/>
        <s v="https://api.typeform.com/responses/files/48c3894cb10d73c029b140f987ea7563acfb1864f93891eaa31baa20e4f4921a/CV___Game_Design_Intern___Phạm_Tiến_Hùng.pdf"/>
        <s v="https://api.typeform.com/responses/files/3b997507ab7c4ad043f5b77d70727f2a4f64dbebf9bde7759fd02df6554c7ec8/CV___Data_Analysis_Intern___Huỳnh_Thị_Kim_Quỳnh.pdf"/>
        <s v="https://api.typeform.com/responses/files/b704cae463df92948526f9952dc07492509d212da7c343a5116a1ccb9d206b9c/CV___Data_Analysis_Intern___Phạm_Trần_Dạ_Thảo.pdf"/>
        <s v="https://api.typeform.com/responses/files/559b3ac86a8d257553623fea7e7f50963d57ebd2afcb6a0fd546eedbbd1e2556/CV___Game_User_Acquisition_Intern___Hoàng_Thị_Thanh_Tâm.pdf"/>
        <s v="https://api.typeform.com/responses/files/af0a0f83dff2ac56e4f4605ef2a85264edeba2ed7f7f114d46b859a25cdee821/CV_AI_Engineer_Intern_NgoTruongDinh.pdf"/>
        <s v="https://api.typeform.com/responses/files/911d49cc3aea621e04dbd748580da61cd998f5a393215b8b4d37afe74eeefc2f/AI_ENGINEER_INTERN_NGUYENTHIVIEN.pdf"/>
        <s v="https://api.typeform.com/responses/files/4c8b50ee651aaca322beb884fae3be258e3e9e6be49e212838aadf0447c57a29/CV___Unity_Development_Intern___Nguyễn_Duy_Nhất.pdf"/>
        <s v="https://api.typeform.com/responses/files/b162e682cb77db2aaa64894ff5df8f21ba529e3c8a510eb4e3b72275beb0fc88/CV___Data_Analyst_Intern___Kiều_Tấn_Anh_Minh.pdf"/>
        <s v="https://api.typeform.com/responses/files/df7da03ec88e16138e011dc615d35cd1e6aae40025398aab98215183ac310657/CV___GAME_DESIGN_INTERN___Lê_Nguyễn_Tấn_Thịnh.pdf"/>
        <s v="https://api.typeform.com/responses/files/a783e42d0cfbfd0c2695f26a94b32fd229c28006f38fd4cd9a0f9ea5e36cdb45/CV___Data_Analysis_Intern___Phạm_Ngọc_Quỳnh_Hương.pdf"/>
        <s v="https://api.typeform.com/responses/files/4fbd48d6c74009cc42195d399540259dcb51be719d1a3d3721687349c1262957/CV___Quality_Assurance_Intern___PhamThiAiNgan.pdf"/>
        <s v="https://api.typeform.com/responses/files/4853978340d60f40aae95778d28a25ec46a4e778c66a7e285cb3dbf5ba78da64/CV___Data_Analysis_Intern___Huỳnh_Tấn_Đạt.pdf"/>
        <s v="https://api.typeform.com/responses/files/84c31a6d019eea66ea0a90619bed6630484f8dd4b201f6b2efaad42bfd03c98c/CV_Data_Analysis_Intern_Nguyễn_Lê_Thiên_Kim.pdf"/>
        <s v="https://api.typeform.com/responses/files/3b30aaaf6ac09b82e20ce02ad8dc450440dcdb663e7d9bb134edbc709fe75d8c/CV___Unity_Development_Intern___Lê_Minh_Hoàng.docx"/>
        <s v="https://api.typeform.com/responses/files/299198dab7cf9009b961493f839d9b29d6d2ad1ad4c3f22c480b56fceb52e005/CV___Data_Analysis_Intern___Nguyễn_Đỗ_Minh_Quân.pdf"/>
        <s v="https://api.typeform.com/responses/files/fe222c07768573624fee327757c23907774f6892edd1b6a80ca36172b0cc4c6a/CV___Thực_tập_sinh_Digital_Marketing___Nguyễn_Ngọc_Ánh.pdf"/>
        <s v="https://api.typeform.com/responses/files/bb3a054e7c2282dba1b93afacb8cee4406a782c0832e520f643b17420106dee6/Bui_Thai_Hoang_CV_GameDev.pdf"/>
        <s v="https://api.typeform.com/responses/files/5c940dd5b65a2903d7040373164ea3a30593d100a64dbff5746966a00992b32c/CV___AI_Engineering_Intern___Vũ_Đức_Việt_Anh.pdf"/>
        <s v="https://api.typeform.com/responses/files/8b0ba42288bc4be1d7775904d1eed6d8d738ddfc09c04ab5e603209d9cc550ba/CV___AI_Engineering_Intern___Hoàng_Đức_Hiếu_Anh.pdf"/>
        <s v="https://api.typeform.com/responses/files/a33f20d37765fded85d31dd6947846160ad7b6cceaed4c8c0f92d616cb6695e3/CV___Data_Analysis_Intern___Dương_Thị_Quỳnh_Giang.pdf"/>
        <s v="https://api.typeform.com/responses/files/7cc0d4985df7a249abe9f840e8141e98d8e9681e9d624a8780c98f20f7592aff/CV___Game_Design_Intern___Trần_Hùng_Sơn.pdf"/>
        <s v="https://api.typeform.com/responses/files/db95950b6f530f1564b76715d219d4308a1b869574f20c8253c894b509b36cc3/CV___Data_Analysis_Intern___Hà_Quang_Đại.pdf"/>
        <s v="https://api.typeform.com/responses/files/f8955de1f7be3fb9732e9bc76f778a2186c2f92684b69df31110a831de045883/CV___Unity_Development_Intern___Nguyen_Van_Anh_Quan.pdf"/>
        <s v="https://api.typeform.com/responses/files/bb12ef3edcfc1729cdcfb03f7b2cc77960918cdfe47e14fe4e615c99cffc09b5/CV___Game_Design_Intern___Hồ_Kim_Ngọc.jpg"/>
        <s v="https://api.typeform.com/responses/files/e3a575f8bc82df320fec21cf55e30476ae0a72da7ca530d74ba7c50d71624698/CV___Game_Design_Intern___Nguyễn_Thị_Mỹ_Nữ_.pdf"/>
        <s v="https://api.typeform.com/responses/files/754cbf4da5af4cfa417a927c7e701c994c52277975fa792fef7065245bfb1f2d/CV_Game_User_Acquisition_Intern_Trần_Ngọc_Tuyền_Vy.pdf"/>
        <s v="https://api.typeform.com/responses/files/7b5b4c71d8de87b7f617f363f9afda5112d2f352c885c26304bee1911bdc8b88/CV___Data_Analysis_Intern___Phạm_Nguyễn_Thế_Hào.pdf"/>
        <s v="https://api.typeform.com/responses/files/3129db86cc09b8aaff344cf92d2d2a0dc6b244344408547e579b9a753bf2c327/CV___Game_Quality_Assurance_Intern___Bế_Trương_Dương.pdf"/>
        <s v="https://api.typeform.com/responses/files/663d15e07c8d552f51c284c940eb7c822abad022bbc12b8175c940f0bf36f221/CV___Game_QA_Intern___Dinh_Quoc_Tien.pdf"/>
        <s v="https://api.typeform.com/responses/files/3cd572aefcd03dab2cd81ac2233398a8521cb7a5be301e89a8e23eac24189f85/Game_Designer_Inter___Lê_Hoàng_Tâm.pdf"/>
        <s v="https://api.typeform.com/responses/files/f00baf808ca1f91180a4d92a21eb5f0b8c8e5202cc3275574bc4fa2bd35835ba/CV___Game_Design_Intern___Giao_Thái_Bảo.pdf"/>
        <s v="https://api.typeform.com/responses/files/49db19975847406654afd86ae3834b9173347d83479fcde20c4e85e48c0aaa9e/CV___Unity_Developer_Intern___Trieu_Phuoc_Minh_Long.pdf"/>
        <s v="https://api.typeform.com/responses/files/5f605a1c6ce5ccbf94b2c914bde7c76bac3bd9a20b31503b1f0996616b88727b/CV___Data_Analysis_Intern___Nguyễn_Huy_Quang.pdf"/>
        <s v="https://api.typeform.com/responses/files/4ab64870071dcbf725ff84f4dbb7426c409b24651cd3cabe4bee178f38db24ea/CV_Game_User_Acquisition_Intern_Nguyễn_Văn_Minh_Quân.pdf"/>
        <s v="https://api.typeform.com/responses/files/baef268895033ae2db029378e60dd25900094a58e6d7b1b1ecfb4450e0834491/CV___Game_Design__Intern___Lâm_Vũ_Bội_Nhi.pdf"/>
        <s v="https://api.typeform.com/responses/files/6e6e85f927bef14a197f0c1bb938f4e9d531b685b27af4d261e7c9b7f9a92e0a/CV_AI_Engineer_Intern_HuynhAnhQuoc.pdf"/>
        <s v="https://api.typeform.com/responses/files/5c280975369c8f84dea110facd0dd7f7c0487aa7476b6a65a549d2b0336510ad/CV___Game_Design_Intern____Trương_Lê_Đán_Phúc_Nguyên.pdf"/>
        <s v="https://api.typeform.com/responses/files/785dbf3c71b07e9b5a0cd9be49248e6461c5a6a001c906e68935d1644ffd1e4e/CV_Game_Data_Analyst_Trần_Minh_Tài.pdf"/>
        <s v="https://api.typeform.com/responses/files/3ebe5ba92d667fa8c24e31de49ee5358537d6cd7f2f07e7dbf9514fa668fec7a/CV___Unity_Development_Intern___Trương_Lâm_Gia_Vỹ.pdf"/>
        <s v="https://api.typeform.com/responses/files/3d7a23a002b3c9383123a9c4ebf68fba8c9f3f6b9916d503b63d39853ec47f7c/CV.pdf"/>
        <s v="https://api.typeform.com/responses/files/e1bc1ad2aff25cce2636d4cdf2500285a965a1e226ae5b30945f627d362cc207/CV___Game_User_Acquisition_Intern___Lê_Thị_Hoa.pdf"/>
        <s v="https://api.typeform.com/responses/files/093ba1938d29f69e19ec3ef3d3a912e5762dc0b7afb1c3849aae38780441008c/Phan_Vu_Truong_An_Intern_Game_Designer.pdf"/>
        <s v="https://api.typeform.com/responses/files/46b363832a6d05141111b0648ca95f0d7b7c3c20351d080965614f67cf5f1d49/CV___AI_Engineering_Intern___Nguyễn_Cang_Trường.pdf"/>
        <s v="https://api.typeform.com/responses/files/d6e68cd5798ce2d15ef5be21b8c55b7affd37250c3895dd1f9d953602821e345/CV___AI_Engineer_Intern___Hồ_Ngọc_Hiếu.pdf"/>
        <s v="https://api.typeform.com/responses/files/b76c45faf6d973bf069ae312af56632e78b9cc50660109a2624417e2ae3cb953/CV_Intern_TranCamTu.pdf"/>
        <s v="https://api.typeform.com/responses/files/1062bd437edc2439b7ca92f2500bbfd57b8fab3693728598b03b324433637e28/CV___Game_User_Acquisition___Trần_Thị_Trúc_Linh.pdf"/>
        <s v="https://api.typeform.com/responses/files/65b90bb9e43f64a90c4a89df4424a1c24a881d3ed3305846233bc016702c5714/CV_Human_Resources_Intern_Trần_Nguyễn_Hạnh_Trang.pdf"/>
        <s v="https://api.typeform.com/responses/files/42e5adf1b77f525315fada848cc89bb771e2a141a7b9a768f707cb4c07bc8d76/CV___AI_Engineering_Intern___Nguyễn_Trần_Phương_Mai.pdf"/>
        <s v="https://api.typeform.com/responses/files/197a8134413b7f89d53563ddc6833231dfa4a05339ddc5c9f9e13ea34152e128/inbound8750467988551631756.pdf"/>
        <s v="https://api.typeform.com/responses/files/391becd546cef329fe2b04f86cfb4237368cfe9fa1b4ed6ae7cd730e2ccf6b9a/CV___Data_Analysis_Intern___Phạm_Quang_Vinh.pdf"/>
        <s v="https://api.typeform.com/responses/files/bad24a7bbd624b5a920a67a6bec43771857329f5e5a65364b1609956d5f23a35/CV___Data_Analysis_Intern___Nguyễn_Thị_Anh_Thư.pdf"/>
        <s v="https://api.typeform.com/responses/files/88ebbe63a569c0cf97f238cda19d72fc831c08208a0ed0dc9b9d1db82df38fc1/CV___Game_User_Acquisition_Intern___Nguyen_Quoc_Lap.pdf"/>
        <s v="https://api.typeform.com/responses/files/e0abc6e5e984dc88eb37843b80ca0add885d01416946f8519f9dec65679f9a16/CV_AI_Engineering_Intern_Nguyen_Le_Dang_Khoa.pdf"/>
        <s v="https://api.typeform.com/responses/files/38d0b041f45346de164358178a8dd163d9a5f2880e93cf99b7134baa4ee9bc60/CV_Intern_Game_Design_Tran_Gia_Huy.pdf"/>
        <s v="https://api.typeform.com/responses/files/a16d3eee286f05edd443efbf890137ca917c6759f4660199fca954f9332486df/CV___Unity_Development_Intern___Dương_Thanh_Phụng.pdf"/>
        <s v="https://api.typeform.com/responses/files/810ec574a4d2d17afaa92ff28a4855f9e72d7233512d9072e59620047eb2fa1a/CV_Game_Quality_Assurance_Intern_Thi_Kiều_Thơ.pdf"/>
        <s v="https://api.typeform.com/responses/files/c1bee8cfc88b4c9151da8d26cc5c0380754c5331bde19a1cafce02ef44719ecc/CV___Game_Development_Intern___Tiền_Minh_Dương.pdf"/>
        <s v="https://api.typeform.com/responses/files/4e78788c47b0bf479f09774d667dd118082385da1186333c35062ddc12e5478b/CV___Game_Design_Intern___Lê_Hồ_Nhật_Tân.pdf"/>
        <s v="https://api.typeform.com/responses/files/e0d546f430e71886e593eaac9077b771453245d3bd6011cabf0105730069f61e/CV___Unity_Development_Intern___Lữ_Nguyễn_Duy_Đức.pdf"/>
        <s v="https://api.typeform.com/responses/files/6dafd62ebcaeaee9802119cd006c511f68816eeacb9c8b593a0634f90160cf9a/CV_UA_Marketing_Intern_Nguyễn_Đức_Hiệp.pdf"/>
        <s v="https://api.typeform.com/responses/files/8ff95b7cf76c623c8a539db878af1bb5fad836af101433075f44bdd8a2b779aa/CV_TRAN_GIA_HAN.pdf"/>
        <s v="https://api.typeform.com/responses/files/487faf698d652b54f7fd4bb22955f5981ed55110043bd113cfd3028ef31cea13/CV_Game_User_Acquisition_Intern_Nguyễn_Thế_Văn.pdf"/>
        <s v="https://api.typeform.com/responses/files/2c8ec081c739a5bef0038d95d2ab261a8e5b0d87493da83ee76709d2ecda67c6/CV_DataAnalysisIntern_NguyenHuuThien.pdf"/>
        <s v="https://api.typeform.com/responses/files/a00f4acd912d43af5f15b1108e0d8b7c1a171cf27610d7aef4a44da1d17e22b1/CV___Game_Design_Intern___Nguyễn_Thị_Minh_Thư.pdf"/>
        <s v="https://api.typeform.com/responses/files/e33b8ced23db78a32a0f8e9eedded1504c656c0b506ad7e071fe1fdbbb740363/CV___Unity_Development_Intern___Nguyễn_Quốc_Tiến.pdf"/>
        <s v="https://api.typeform.com/responses/files/e4249dbb7bb8df64ca61af444d452a835aed6cc01642510b9ab00f1d8c260cb2/CV___AI_Engineering_Intern___Võ_Duy_Anh.pdf"/>
        <s v="https://api.typeform.com/responses/files/2ef5602885763888f54f97a82417f8b722ea3ebc41b955abef54c43ace0c26d0/CV___Data_Analysis_Intern___Nguyễn_Lê_Diễm_Ngọc.pdf"/>
        <s v="https://api.typeform.com/responses/files/d699385b5caad20aac7ad7d857f426d5b98885218d4a133cd13edf4b49d65be3/CV___GameDesignerIntern___DiepThaiPhong.pdf"/>
        <s v="https://api.typeform.com/responses/files/bf2f1005183d2128b7ad9e0547918bcaba226ecffd751e7cf9d781e17f2f50fe/CV___Game_Design_Intern___Lâm_Tấn_Vũ_.pdf"/>
        <s v="https://api.typeform.com/responses/files/5bd217639643451b7696b1dab3dd7ecb88a0138bdc2495752cf724f50c517a66/CV___Unity_Developement_Intern___Luong_Linh_Khoi.pdf"/>
        <s v="https://api.typeform.com/responses/files/80b5756537870dac321eacb10855218185aaa36346a3355618b0ac7fe5df30d9/CV_Game_Designer_Trương_Quốc_Cường_.pdf"/>
        <s v="https://api.typeform.com/responses/files/ace33cafe59cbf7138661084001a69409cad9ce77fcbf810c72e06bbbb707ff1/CV___Game_Quality_Assurance_Intern___Bui_Trong_Tin.pdf"/>
        <s v="https://api.typeform.com/responses/files/19b94fc688886f0acc6ebe358e67e11020db473886d1297151f5b72399a5f621/CV___Game_Design_Intern___Lâm_Mai_Hương_Giang.pdf"/>
        <s v="https://api.typeform.com/responses/files/bc706f04e2f7e12869711cc36e42142642c554c929d858fcad7f01562f4f6f59/CV__Unity_Development_Intern___Nguyễn_Nhật_Huy.pdf"/>
        <s v="https://api.typeform.com/responses/files/9c2181e593823d11d8bc9e2427b32cbc8ea01b991b3722f7a495cdb1d4d41621/CV___AI_Engineering_Intern___Huỳnh_Ngọc_Anh_Thư.pdf"/>
        <s v="https://api.typeform.com/responses/files/af20850e5fd50399ecd9949b8e5bb2b6ef7f86140ef64edfd5e89f5394c0001d/CV___AI_Engineering_Intern___Hoàng_Văn_Minh.pdf"/>
        <s v="https://api.typeform.com/responses/files/2991017b2221d73d00c02a055ffa037d35ea85af48020129d78ff9e2fa2919dd/CV___Game_Design_Intern___Nhơn_Minh_Kiệt.pdf"/>
        <s v="https://api.typeform.com/responses/files/24a0ac4644e4c3c2f2d526ed0f163da30480460ccc771886e12668bd80afe123/CV___AI_Engineering_Intern___Nguyễn_Phước_Thành_Tâm.pdf"/>
        <s v="https://api.typeform.com/responses/files/edea34de3b1a9d6e7c1847a51f7e3deaf3162c824d438bda02e63549af15456a/CV___Game_Design_Intern___Nguyễn_Bùi_Quang.pdf"/>
        <s v="https://api.typeform.com/responses/files/1e5239c6bbbad82941b3f86433ea2e879c6f872d795da19a9088cd3434ba0893/Phạm_Thị_Thùy_Dương__Game_User_Acquisition_Intern.pdf"/>
        <s v="https://api.typeform.com/responses/files/0aa071ecf023fd20887d17c9285a7007928a23b0e501a7e8bcc91894506082ee/NguyenThanhHien_CV.pdf"/>
        <s v="https://api.typeform.com/responses/files/b061918d3522d7b58e7ea1274bd6a4206ba73905ec7f3147806db43646b2c6f1/CV_Data_Analysis_Intern_Tran_Ngoc_Nhi.docx"/>
        <s v="https://api.typeform.com/responses/files/0a9a7fcae150d0f6e18104ddec830629cab60fdea54d2d0ee52eb6a17080a9f8/My_resume__1_.pdf"/>
        <s v="https://api.typeform.com/responses/files/1baefdedfabfecd1bfee1f4a1dd966ebf524c73cd4de6394d5d9582eb2e93867/Cv_GAME_DESIG_INTERN_Hà_Ngọc_Tuyết_Như.webp"/>
        <s v="https://api.typeform.com/responses/files/6c13068c817aa6677c606b6de4a012a529d9996eb7f79e39dba0a640ca9172e8/CV___Game_User_Acquisition_Intern___Trần_Xuân_Mai.pdf"/>
        <s v="https://api.typeform.com/responses/files/3254b64f13a27f76da14b0b61b9d7ae6afc3c572fff4557c028da7608efac33d/CV___Data_Analysis_Intern___Võ_Thị_Đông_Nghi.pdf"/>
        <s v="https://api.typeform.com/responses/files/f36563f61b681171eb61af56ee526a5f819320e770a05c21b54129beb8317b8b/CV___Data_Analyst_Intern___Nguyen_Ngoc_Phuong.pdf"/>
        <s v="https://api.typeform.com/responses/files/2931d30a800641c0c2e8734d37f5636685aaf1020732293d510cb191b38cab92/CV___Data_Analysis_Intern___Lê_Hiếu_Ngân.pdf"/>
        <s v="https://api.typeform.com/responses/files/c5b0a52ba821419c677db4c42db17744802c1c55a53a960aff1437fa41ce9979/LeMinhQuang_GameDesigner.docx"/>
        <s v="https://api.typeform.com/responses/files/f2c6a15e19edebf93e4f9e9dcb976c930de524b70fceed8b49d0e52856e7fbc3/CV_Game_Quality_Assurance_Intern_Nguyễn_Thị_Ngọc_Hânpdf.pdf"/>
        <s v="https://api.typeform.com/responses/files/707ec72d1b720e421a35a92b8c32d05d198e7a6f2ad3b84e3ba47eb41d36b137/CV_AI_Engineer_Intern_Phan_Văn_Hoàng.pdf"/>
        <s v="https://api.typeform.com/responses/files/2cd6bd7f33bdd003829874f4ee5c262f17ebd824007ef9f82dbbc72a80211330/CV___Data_Analyst_Intern___Nguyễn_Đình_Sinh_Quảng.pdf"/>
        <s v="https://api.typeform.com/responses/files/b757f7ef9a1266bae0e2fbe2a196d0a15cb06425e2d96ce6112dd5a8159e9624/Marketing_Executive___Phan_Thị_Thùy_Trang..pdf"/>
        <s v="https://api.typeform.com/responses/files/000892336c1c6e60338e2d7b6d8b1e3bf090657d648b6fc3fb1b255d0f58d640/CV___HR_Intern___Phùng_Nguyễn_Khánh_Trâm.pdf"/>
        <s v="https://api.typeform.com/responses/files/94dda5d5f494ccfafe9c8a669572d09ba3f40fbfeac1e5df049140de533e74cd/CV___Data_Analysis_Intern___Nguyễn_Lợi_Thanh_Dũng.pdf"/>
        <s v="https://api.typeform.com/responses/files/e24a1ab8e988d199b7dd0cd12e33697c8af41d830641cb5d103e7d483c390829/CV___Unity_Development_Intern___Game_Design_Intern___Nguyễn_Gia_Bảo_Danh.pdf"/>
        <s v="https://api.typeform.com/responses/files/e968c3f4b66dc8f596f5d2fe892463c79c9166c0be33f04ef6650f55b6d5aecb/CV___AI_Engineer_Intern___Lâm_Nhật_Minh.pdf"/>
        <s v="https://api.typeform.com/responses/files/68bde0fb74306f5c80cfb5b68c597c692506eac4e653c6176903c07102f09494/LeDucManh_Unity_Programer_CV.pdf"/>
        <s v="https://api.typeform.com/responses/files/cd81738f22c033d0d75580459419b76cb9c2073e73811d81152c5de2d301e9ef/Le_Minh_Truong_TopCV.vn_080526.184633.pdf"/>
        <s v="https://api.typeform.com/responses/files/0a18ddfbfccdeb9663850f88f59862cbdff924a4b94858ccaf21529d6fab670b/CV___Unity_Development_Intern___Nguyễn_Hữu_Sang.pdf"/>
        <s v="https://api.typeform.com/responses/files/79ccb9e78382cd9e540c2cea7f60daa9a67ae7f880bb660e96948090387166e0/CV___Data_Analysis_Intern___Nguyễn_Công_Minh.pdf"/>
        <s v="https://api.typeform.com/responses/files/d662685d834c56d06b684f3e6996ed8cf5c5a3d1c668e406cfcab9fc767142a3/CV___Game_Designer_Intern___Vo_Van_Chi_Thuan.pdf"/>
        <s v="https://api.typeform.com/responses/files/0dc5502dcc36e2cec5f8209e8487c141886e975da855c45aad7b6b7afff57c24/CV___Data_Analysis_Intern___Tô_Trần_Nhã_Uyên.pdf"/>
        <s v="https://api.typeform.com/responses/files/874e0551480b7cdebd5cee3899120d091d852bad18ab5297d6205ebf5f719eaf/CV___Game_Designer_Intern___Bùi_Bách_Nguyên.pdf"/>
        <s v="https://api.typeform.com/responses/files/5364ae1c58fbb72d1d704104d6a7bc8f8678feb7fbbbd7b12d765d18af023b84/CV_Game_User_Acquisition_Intern__Pham_Ngoc_Yen_Nhi.pdf"/>
        <s v="https://api.typeform.com/responses/files/6c9a6b2aefb52ddec5622b41bc30dd4e47ab80d4e2e3bedcab5e3f1706dad1b3/CV___Data_Analysis_Intern___LÊ_HOÀNG_NHƯ.pdf"/>
        <s v="https://api.typeform.com/responses/files/b0af5f8a486b8b04f208d9f9c74f8341183f4571d21fb3661efc41b754c641ed/CV___Data_Analysis_Intern___Huỳnh_Chơn_Thành_Nhân.pdf"/>
        <s v="https://api.typeform.com/responses/files/0a868a82a1ce8298a5a2737b618868b9dd5922b1c12adc8dd5ccda177f4ddb6c/CV___AI_Engineering_Intern___Võ_Công_Khanh.pdf"/>
        <s v="https://api.typeform.com/responses/files/5243664a785779e46484bf37c623f595ca4a76cb8393e7d16ad11e993aeb8e9f/CV___Unity_Development_Intern___Nguyễn_Thanh_Vũ.pdf"/>
        <s v="https://api.typeform.com/responses/files/ff2462ddc35380accb6d96feb9b1e55b27132189cf5a0615d3e3fc55c59b2fac/CV___Game_Design_Intern___Huỳnh_Phước_Tài.pdf"/>
        <s v="https://api.typeform.com/responses/files/02f5950acc28cb1d5f85f123457dbe86562bad520966b53a2630f172170ed026/CV_Game_User_Acquisition_Marketing_Intern___Data_Analysis_Intern__Võ_Nguyễn_Lan_Nhi.pdf"/>
      </sharedItems>
    </cacheField>
    <cacheField name="*Why do you want to apply for this position in SUN.riser program?*&#10;_Vì sao bạn muốn ứng tuyển vào vị trí này trong chương trình SUN.riser? _" numFmtId="0">
      <sharedItems>
        <s v="tham gia đào tạo nâng cấp bản thân học hỏi thêm và cải thiện tư duy"/>
        <s v="I’m motivated to apply for the Data Analysis Intern because it offers the chance to work with player data in a fast-paced environment where data reflects real user behavior. With my background in data pipelines and analytics, I want to deepen my ability t"/>
        <s v="Là những vị trí tạo ứng tượng lớn đối với mình"/>
        <s v="Mình chọn vị trí này vì cảm nhận được sự trẻ trung và máu lửa trong văn hóa của SUN.STUDIO. Mình tin là ở một môi trường cởi mở như vậy, những ý tưởng của mình sẽ có 'đất diễn' và mình cũng sẽ học hỏi được rất nhiều từ những cộng sự siêu ngầu tại đây."/>
        <s v="Em đam mê tạo ra những con game mang lại trải nghiệm thú vị cho người chơi. Đặc biệt em thích tạo ra những con game có độ tùy biến, tính bất ngờ cao và công bằng."/>
        <s v="Mong muốn kiếm thêm kinh nghiệm và học hỏi thêm nhiều kiến thức về chuyên nghành"/>
        <s v="Em đã tìm hiểu về SUN Studio và thực sự ấn tượng với các trò  chơi Puzzle nhanh và nhẹ nhàng . Với mong muốn phát triển chuyên sâu trong mảng Game Design, em luôn cố gắng xây dựng tư duy thiết kế thực dụng. Cụ thể, qua các dự án tự phát triển , em không c"/>
        <s v="Em khá thích và muốn được phát triển củng như học hỏi cùng với SUN"/>
        <s v="tôi là một game developer nhưng muốn có kinh nghiệm thực tế trong việc làm core-loop của gamepla"/>
        <s v="Mình mong muốn trải nghiệm và test sản phẩm,góp ý cải thiện và hoàn thiện sản phẩm tối đa hóa trò chơi tốt nhất trước khi đến tay khách hàng. &#10;Mặc dù kinh nghiệm chưa nhiều, nhưng mình muốn học hỏi phát triển thêm và đồng hành cùng với Sun phát triển mạnh"/>
        <s v="Em nhận thấy định hướng phát triển của SUN.RISER rất phù hợp với tư duy thiết kế và dòng game em đang theo đuổi. Đây là môi trường lý tưởng để em đóng góp góc nhìn mới mẻ và rèn luyện kỹ năng thiết kế hệ thống một cách bài bản."/>
        <s v="I applied for this role because I have a strong passion for turning raw data into meaningful insights. With my background in Information Systems and proficiency in tools like SQL and Python, I enjoy the challenge of solving business problems through numbe"/>
        <s v="I've spent 20+ years playing all kinds of games and studied Game Development — but I know theory isn't enough. This internship is the chance to learn how game design truly works in practice, and I'm here to grow."/>
        <s v="Điều khiến mình lựa chọn công ty cho vị trí Game Designer đó là được làm việc trong môi trường chuyên nghiệp, vừa được học hỏi và áp dụng được kỹ năng của mình vào công việc và giúp ích cho công ty. Tôi có kinh nghiệm thiết kế các hệ thống và thiết kế mec"/>
        <s v="lộ trình và quyền lời rõ ràng"/>
        <s v="Là sinh viên năm 3 với nền tảng kiến thức vững chắc qua nhiều dự án học thuật, tôi đang tìm kiếm cơ hội để thử thách bản thân trong môi trường thực tế chuyên nghiệp. SUN.RISER không chỉ là một công ty hàng đầu trong lĩnh vực làm game - đam mê lớn nhất của"/>
        <s v="Em muốn áp dụng AI vào tối ưu quy trình và tự động hóa công việc. Với nền tảng backend và kinh nghiệm tích hợp AI, em mong muốn phát triển thêm về AI workflow và system thinking tại SUN.RISER"/>
        <s v="I’m motivated by the opportunity to grow my skills in a dynamic environment and contribute to meaningful projects. I also believe this position at SUN.RISER aligns well with my career goals and interests in developing impactful solutions."/>
        <s v="I am highly motivated to apply for the SUN.RISER program because it offers a unique opportunity to directly participate in the real game development process and collaborate with cross-functional teams such as developers, designers, and data analysts. This"/>
        <s v="Tôi chọn vị trí AI Engineer Intern tại SUN.RISER vì chương trình phù hợp với định hướng theo đuổi AI ứng dụng của tôi. Tôi mong muốn được học hỏi trong môi trường có mentoring rõ ràng và tham gia vào các dự án thực tế. Đây là cơ hội tốt để tôi củng cố kỹ "/>
        <s v="Em chọn vị trí Data Analysis Intern tại SUN.RISER vì đây là cơ hội để kết hợp kỹ năng phân tích dữ liệu (SQL, Python, Power BI) của em với lĩnh vực game. Bên cạnh đó, em muốn được làm việc trong môi trường thực tế, nơi em có thể học cách chuyển dữ liệu th"/>
        <s v="I want to expand my knowledge and improve my skills in the IT field"/>
        <s v="Với một sinh viên năm cuối chuyên ngành Digital Art &amp; Design, em khao khát được học hỏi quy trình thiết kế chuyên nghiệp tại SUN.RISER từ bước lên ý tưởng (concept) đến khi tối ưu hóa trải nghiệm người chơi (UX). Em mong muốn đóng góp tư duy thẩm mỹ và kỹ"/>
        <s v="Em là 1 người rất thích chơi game, đặc biệt các dòng game puzzle mỗi khi có thời gian rảnh. Tình cờ em lại thấy công ty Sun Studio tuyển dụng và cũng là công ty làm những game em hay chơi. Nên em muốn được thử sức apply và có thể học hỏi và đóng góp cho c"/>
        <s v="Được tham gia quá trình sáng tạo, xây dựng và phát triển tựa Game tốt nhất cho Gamer"/>
        <s v="Em có sở thích chơi game và gần đây sau khi chơi một tựa game  của nước mình là Tai Ương.Em cũng mới bắt đầu có mong muốn có thể làm ra được một tựa game như Tai Ương theo em cảm thấy là rất hay có chiều sâu và mang phong cách rất Việt Nam."/>
        <s v="As a Data Science graduate, I possess the solid analytical foundation and technical skills required to excel in this role. I chose this position because it allows me to combine my academic background with my deep passion for gaming to transform data into "/>
        <s v="I chose the Data Analysis Intern position at SUN.RISER because it offers an opportunity to combine my data analysis skills (SQL, Python, Power BI) with the gaming industry. Additionally, I want to work in a real-world environment where I can learn how to "/>
        <s v="This position aligns with my career direction, so I’ve been actively improving my skills through additional learning. I completed certificates in data analytics and data science to strengthen my foundation in data and AI, and I’m eager to apply what I’ve "/>
        <s v="My goal is to become an AI Engineer, and I am looking for hands-on experience through real-world projects. I am interested in SUN.RISER because it offers a practical environment to apply and develop my AI/ML skills."/>
        <s v="Em muốn thiết kế những gameplay thú vị, thu hút người chơi."/>
        <s v="Tôi chọn vị trí này vì tôi muốn hiện thực hóa những ý tưởng thú vị thành gameplay cụ thể, đặc biệt trong thiết kế level và progression để tạo trải nghiệm hấp dẫn cho người chơi. &#10;Tôi mong muốn được phát triển tại Sun Studio trong mảng Puzzle/Casual và đón"/>
        <s v="primary motivation is the opportunity to apply my programming skills and OOP principles within the Unity environment. As a Software Engineering graduate, I am passionate about solving complex logical challenges and optimizing performance. I want to contri"/>
        <s v="Hy vọng được làm việc trong môi trường chuyên nghiệp."/>
        <s v="Năm 2024, khi tìm hiểu về phát triển game 2D, em bắt đầu hứng thú với việc xây dựng game từ ý tưởng đến sản phẩm hoàn chỉnh. Em cũng quan tâm đến thiết kế gameplay và trải nghiệm người chơi, nên mong muốn phát triển lâu dài trong game design và game devel"/>
        <s v="Em có nền tảng web, nhưng sau khi có cơ hội tiếp cận Unity và làm một số project cả outsource và product, em nhận ra mình phù hợp với game dev hơn. Em thích xây dựng gameplay và chỉnh mechanic. Hiện tại em muốn theo hướng này lâu dài, nên apply vị trí int"/>
        <s v="Tôi có điểm mạnh về minh hoạ và muốn đóng góp các kiến thức về trò chơi và cùng mọi người có được trải nghiệm tốt về Game, vì tôi cũng có tâm lý chơi game như người dùng"/>
        <s v="Tôi chọn vị trí này vì phù hợp với sở thích và định hướng phát triển nghề nghiệp của tôi. Tôi mong muốn học hỏi và tích lũy kinh nghiệm để trong tương lai có thể xây dựng những sản phẩm game mang dấu ấn và câu chuyện của riêng mình."/>
        <s v="Em chọn vị trí này vì em muốn được học hỏi trong môi trường game chuyên nghiệp của SUN.RISER và rèn kỹ năng qua các dự án thực tế. Em tin đây là cơ hội phù hợp để bắt đầu và phát triển nền tảng của mình"/>
        <s v="Cùng niềm đam mê với các thể loại game puzzle mình có mong muốn được hiểu sâu hơn về thể loại game này và thiết kế một tựa game puzzle với quy trình chuyên nghiệp và Sun Riser là một môi trường mà mình cảm thấy phù hợp để có thể phát triển lâu dài trong c"/>
        <s v="I love AI and Machine Learning so I apply for this position for more knowledge and seeking for an opportunity to become an official AI Engineer."/>
        <s v="Gain more experience"/>
        <s v="Tôi muốn phát triển bản thân và thử sức với lĩnh vực game và lĩnh vực AI. Và công ty đang có những thứ trên để tôi có thể thực hiện."/>
        <s v="Được ứng dụng AI vào quy trình làm việc, giúp tăng tốc độ sản xuất và cải thiện chất lượng game, tham gia vào quy trình sử dụng AI trong real-world system."/>
        <s v="Em chọn vị trí AI Engineer tại SUN.RISER vì đây là lĩnh vực em đang theo đuổi nghiêm túc. Bên cạnh đó, em có niềm đam mê lâu dài với game, nên em rất hào hứng với cơ hội được làm việc và đóng góp tại SUN.STUDIO."/>
        <s v="Em từng có kinh nghiệm làm data engineer nên data analyst sẽ là lĩnh vực gần nhất đối với kinh nghiệm của em"/>
        <s v="Em chọn vị trí Data Analyst Intern tại Sunrise vì phù hợp với định hướng nghề nghiệp của em trong lĩnh vực Data. Em muốn được áp dụng các kỹ năng như SQL, Python vào bài toán thực tế. Ngoài ra, em nghĩ môi trường công ty vừa sẽ giúp em học hỏi nhanh và có"/>
        <s v="Em có nền tảng lập trình TypeScript / C#, và gần đây em bắt đầu tìm hiểu về Unity vì tôi muốn mở rộng sang lĩnh vực game/interactive development. Thật ra em chưa có project Unity hoàn chỉnh, nhưng đó là lý do em apply vị trí intern — em muốn học trong môi"/>
        <s v="Em mong muốn được áp dụng những kiến thức mình đã học vào các dự án thực tế"/>
        <s v="I want to grow as an AI Engineer and work on real-world AI systems. SUN.RISER’s practical focus fits my goals, and my background in AI allows me to contribute while learning."/>
        <s v="Mình chọn SUN.RISER 2026 vì muốn chuyển hướng sang ngành Game – một môi trường năng động và đầy tính sáng tạo. Dù kinh nghiệm thực tập trước đây của mình là làm Tester cho một ứng dụng quản lý xưởng may, nhưng chính trải nghiệm đó đã giúp mình hiểu được c"/>
        <s v="I’m motivated to apply for this position because it aligns well with my interest in AI engineering. I’m particularly drawn to the opportunity to work on real-world applications where AI can create measurable impact. I also see this role as a strong enviro"/>
        <s v="Dự định tương lai của em là muốn trở thành một AI Engineer chuyên về mảng Data và AI"/>
        <s v="Llí do để tôi chọn vị trí này trong SUN.RIER là:&#10;- Tôi đam mê AI và muốn làm việc với những bài toán thực tế, muốn ứng dụng những tính năng AI để tối ưu hóa quy trình sản xuất game. &#10;- Tôi có niềm đam mê với Generative AI và các mô hình ngôn ngữ nên tôi m"/>
        <s v="Em mong muốn học tập và phát triển trong ngành lập trình game"/>
        <s v="Em chọn QA vì em phù hợp với công việc cần sự tỉ mỉ và logic. Em thích việc tìm lỗi và cải thiện chất lượng sản phẩm. Em nghĩ SUN.RISER là môi trường tốt để em học hỏi và phát triển kỹ năng QA một cách bài bản"/>
        <s v="Đam mê làm ra những con game để đời, hiện thực hóa ý tưởng của bản thân sau khi được trải nghiệm nhiều lại game khác nhau."/>
        <s v="I’m interested in SUN.RISER because of its focus on game development. I want to apply my AI skills to real products, especially in areas like player behavior or game features. I believe this role will help me gain practical experience and grow as an AI en"/>
        <s v="I'm looking for job opportunities in the gaming industry. I want to create games for people."/>
        <s v="với đam mê ngành DA sau khi tốt nghiệp chưa tìm được nơi làm việc"/>
        <s v="Em chọn ứng tuyển vị trí Data Analysis Intern tại SUN.RISER vì em muốn được làm việc với dữ liệu thực tế. Em mong muốn mình có thể đóng góp những cái nhìn khách quan dựa trên dữ liệu thay vì chỉ dựa vào cảm tính."/>
        <s v="I chose SUN.RISER because it is the ideal environment to apply my solid IT background and Unity/C# skills to real-world projects. Despite having under a year of experience, I am confident in my programming foundation and eager to contribute directly to yo"/>
        <s v="My motivation stems from the desire to combine my technical expertise in Software Quality Assurance with the fast-paced gaming industry. I am eager to leverage my analytical thinking and fast-learning abilities to collaborate with SUN.STUDIO's team, tackl"/>
        <s v="As a Data Science student with a strong background in Multimodal Research, I specialize in building scalable solutions that bridge the gap between advanced research and production. With expertise in LLMs, Computer Vision, and cloud infrastructure, I am ea"/>
        <s v="Mình muốn được học hỏi/đào tạo để trở thành một User Acquisition"/>
        <s v="Ngành Game luôn là niềm đam mê lớn nhất của em từ khi bắt đầu học lập trình. Em chọn SUN.RISER vì ấn tượng với thông điệp 'Vươn lên trong hành trình sự nghiệp'. Em muốn đóng góp kỹ năng lập trình của mình để tạo ra những sản phẩm mang lại giá trị giải trí"/>
        <s v="Em chọn vị trí này tại SUN.RISER vì em mong muốn được làm việc trong một môi trường chuyên nghiệp, nơi em có thể phát triển cả kỹ năng chuyên môn lẫn kỹ năng mềm. Em đặc biệt hứng thú với những cơ hội được học hỏi từ dự án thực tế, làm việc cùng những anh"/>
        <s v="Em chọn AI Engineer (NV1) để phát huy thế mạnh Deep Learning (CV, NLP) nhằm nâng tầm game bằng AI. Với Data Analyst (NV2), tư duy data-driven giúp em khai phá insight từ hành vi người chơi để cải tiến sản phẩm. SUN.STUDIO là nơi lý tưởng để em chuyển hóa "/>
        <s v="Vì em mong muốn được phát triển trong một môi trường làm việc thực tế, nơi dữ liệu được sử dụng để hỗ trợ ra quyết định và tạo ra giá trị cho doanh nghiệp. Dù chưa có nhiều kinh nghiệm thực tế, em có tinh thần học hỏi, chủ động và sẵn sàng tiếp cận các bà"/>
        <s v="I am motivated by the opportunity to merge my passion for gaming with my expertise in building agentic workflows to solve real-world operational bottlenecks through practical AI automation."/>
        <s v="I’m interested in: data and the gaming industry. I enjoy working with data to find insights, solve problems, and support business decisions. SUN.RISER’s focus on games makes the role more exciting, because data can directly improve user experience and pro"/>
        <s v="Em chọn vị trí Data Analysis Intern vì phù hợp với nền tảng Data Science và định hướng nghề nghiệp của em. Em muốn sử dụng dữ liệu để tạo ra insight hỗ trợ quyết định sản phẩm, đặc biệt hứng thú với các bài toán phân tích hành vi người chơi trong game."/>
        <s v="Game design là vị trí lý tưởng cho một người thích sáng tạo yêu game nên em rất muốn được ứng tuyển vào vị trí Game design"/>
        <s v="Đây là một cơ hội để có thể ứng dụng các nền tảng kiến thức của bản thân vào các dự án thực tế, là một môi trường lý tưởng để học hỏi, hoàn thiện các kỹ năng của bản thân"/>
        <s v="I'm drawn to SUN.RISER's dynamic, open, and multinational work culture. I know the company values creativity and empowers its employees to take initiative. As an AI Engineering Intern, I am looking for a place with practical experiences and knowledge to d"/>
        <s v="I am inspired to join SUN.RISER because of its focus on creating engaging and creative game experiences. I am motivated to contribute to real-world projects and apply my interest in game development. I am eager to learn from experienced developers and imp"/>
        <s v="Em cảm thấy công ty là nơi phù hợp để em đi những bước đầu tiên trong sự nghiệp của mình. Đồng thời, em cũng muốn đóng góp cho công ty nói riêng, và ngành game nói chung."/>
        <s v="Want to have an opportunity for an internship and gain more experience in game industry"/>
        <s v="Tôi chọn vị trí Unity Developer vì tôi có kiến thức sâu về lập trình hệ thống gameplay và kinh nghiệm phát triển game 2D/3D với nhiều dự án indie, biết áp dụng SOLID, Design Pattern cho dự án. Tôi tự tin rằng với năng lực kỹ thuật này, tôi có thể đóng góp"/>
        <s v="Với định hướng trở thành một Data Analyst/AI Engineer, em tin rằng mình có nền tảng phù hợp với các dự án của SUN.STUDIO:"/>
        <s v="Mong muốn thử sức tại một Studio game, có thể ứng dụng thế mạnh về AI và xử lý dữ liệu để giải quyết các bài toán tối ưu hóa trong game, học hỏi thêm về bài toán ứng dụng AI trong quy trình phát triển game"/>
        <s v="I’m currently studying and working as an AI Engineer. I haven’t had any hands-on practice applying AI in game development before, so I see this as a great opportunity to learn and build practical skills"/>
        <s v="Lý do khiến tôi chọn vị trí AI Engineering Intern tại SUN.RISER đó là vì đây là vị trí mà tôi cảm thấy những gì mình làm được, có thể đóng góp thực sự trong một môi trường hoàn toàn mới với bản thân tôi là ngành Game. Tôi không chỉ muốn áp dụng lại những "/>
        <s v="Tôi mong muốn được cùng đội ngũ của quý công ty làm ra những game thú vị, chất lượng cao cho người chơi. Và học tập thêm những kiến thức về lập trình game để hoàn thiện bản thân."/>
        <s v="Em muốn học hỏi thêm kinh nghiệm và nghiên cứu về ngành game."/>
        <s v="Em chọn vị trí AI Engineering Intern / Data Analysis Intern tại SUN.RISER vì em thấy hướng phát triển game rất thú vị. Em nghĩ những sản phẩm như vậy sẽ cần phân tích dữ liệu và tối ưu trải nghiệm người dùng rất nhiều, em muốn được áp dụng kiến thức khi h"/>
        <s v="Đam mê game từ nhỏ, muốn phát triển các thể loại game Action RPG có thể thỏa mãn bản thân vì các npc trong game này lối đánh còn bị động không tạo ra được nhiều biến cố"/>
        <s v="What motivates me is Sun.Studio's reputation for creating high-impact digital products. Specifically, the Sun.Riser program offers a professional environment where I can tackle the challenge of quality assurance for high-traffic web and mobile games."/>
        <s v="Em chọn vị trí UnityDeveloper vì em muốn tập trung phát triển kỹ năng lập trình game bằng C#. Em đã có trải nghiệm với Unity2D dù chỉ mới setting chạy nhảy cơ bản và mong muốn được vào môi trường làm việc thực tế để cải thiện kỹ năng. Em cũng thấy môi trư"/>
        <s v="I’m motivated to join Sun Studio because of its global-scale gaming products, where data directly drives user engagement, retention, and product decisions. I’m especially excited to apply my AI and data analysis background in a fast-paced, product-driven "/>
        <s v="Muốn tìm hiểu quy trình thiết kế ra một màn chơi ở công ty  nó diễn ra như thế nào, từ cách thức lên ý tưởng cho đến lúc thực hiện."/>
        <s v="Do em muốn biết được quy trình thiết kế game, cách tạo ra một con game hay, thu hút, giữ chân người chơi, tạo trải nghiệm hứng thú"/>
        <s v="Trước đó, tôi đã tự tìm tòi và phát triển Game bằng Unity. Do đó khi tìm thấy vị trí Unity Development Intern trong SUNRISER, tôi cảm thấy đây là cơ hội để bản thân mình phát triển và tìm hiểu thêm về quy trình làm việc chuyên nghiệp trong ngành công nghi"/>
        <s v="Với niềm thích thú game và sự tìm tòi về vị trí Game QA tôi mong muốn được học hỏi nắm rõ quy trình, đóng góp cho team và phát triển vị trí này hoặc có thể phát triển về hướng game developer do tôi cũng đa có kiến thức trong quá trình học. Nhận thấy Sun S"/>
        <s v="I chose this Game QA position at SUN.RISER because I’m passionate about games and enjoy finding bugs and improving user experience. I want to contribute to making games more stable and enjoyable"/>
        <s v="I am motivated to join the SUN.RISER program because it offers a structured environment to strengthen my skills in strategy and data-driven execution. I want to transition from hands-on experience to a more disciplined, performance-focused approach, while"/>
        <s v="I chose this company because: &#10;1. a clear, structured role description, aligning well with my interest in AI systems and workflow automation. &#10;2. the opportunity to work on practical AI applications that integrate with real-world business processes matche"/>
        <s v="Em chọn SUN.RISER vì có đam mê với ngành game và định hướng ứng dụng AI để giải quyết vấn đề tự động hóa trong thực tế. &#10;Đây là cơ hội để em học hỏi cách vận hành AI trong thực tế, đồng thời dùng nền tảng sẵn có để cùng team xây dựng các công cụ giúp tối "/>
        <s v="Em chọn SUN.RISER vì 2 lý do:&#10;- Chuyên ngành Hệ thống thông tin rèn cho em tư duy logic nhạy bén. Em đam mê rà soát luồng quy trình và tìm lỗi (edge cases) để đảm bảo chất lượng.&#10;- Môi trường làm việc dưới sự chỉ dẫn của Mentor sẽ giúp em học hỏi, cải thi"/>
        <s v="I chose this position because it perfectly aligns with my interests in AI and data. I want to work on real-world problems, such as building RAG systems or AI agents, not just focusing on theory. Additionally, I find SUN.RISER to be an environment that all"/>
        <s v="Em biết đến SUN STUDIO và chương trình SUN.RISER qua chương trình thực tập thực tế của trường HCMUS. Là 1 sinh viên có đam mê với AI và hiểu rõ tầm quan trọng của AI và Data, em luôn khao khát được tìm hiểu và được tận tay thực hiện những dự án thực tế, á"/>
        <s v="Em chọn vị trí HR Intern vì hiện tại em có định hướng phát triển trong mảng Talent Acquisition và mong muốn được trải nghiệm thêm ở L&amp;D để hiểu sâu hơn về các hoạt động nhân sự. Ngoài ra, scope of work của vị trí cho em thấy cơ hội được học hỏi đa dạng cá"/>
        <s v="I'm passionate about playing games and designing one myself. An opportunity to be a part of the SUN.RISER Internship Program can provide me good space to grow and develop my game design skills better."/>
        <s v="Em muốn ứng dụng thế mạnh về AI và Dữ liệu để tối ưu hóa trải nghiệm người chơi. Quy mô lớn cùng môi trường năng động tại SUN.STUDIO chính là nơi lý tưởng để em thử thách bản thân và phát triển lâu dài."/>
        <s v="My motivation is the satisfaction of building—the logic, the flow, and that moment when systems combine and just work. I’m choosing SUN.RISER to move beyond solo projects and gain hands-on experience at a professional scale, learning to ship games for mil"/>
        <s v="I chose this position because I want to improve myself and grow as a Unity developer. I enjoy working on casual and puzzle games, so I feel this role at SUN.RISER matches well with my interests and what I’ve been learning so far. I’m really hoping to gain"/>
        <s v="Game và AI là hai đam mê không thể thiếu của em và vị trí AI Engineering Intern này sẽ giúp em khởi đầu đưa đam mê vào công việc của mình."/>
        <s v="Mình nghĩ SUN.RISER là môi trường rất phù hợp để mình phát triển cả về kỹ năng chuyên môn lẫn định hướng nghề nghiệp. Đặc biệt, chương trình có liên quan đến lĩnh vực Game Development – một lĩnh vực mà mình rất hứng thú và muốn theo đuổi lâu dài.&#10;Mình mon"/>
        <s v="Em là một người có đam mê lớn đối với ngành công nghiệp game, em đã trải nghiệm nhiều tựa game bao gồm cả dòng game casual và em cũng thường xuyên theo dõi tin tức về lĩnh vực này.&#10;Em đã luôn muốn được góp phần vào thực hiện phát triển game và đó cũng là "/>
        <s v="Lý do lớn nhất khiến em chọn vị trí này tại SUN.RISER là vì em muốn học hỏi và thực hành cách đưa AI vào trong game. m muốn học cách ứng dụng các kỹ thuật như LLMs để xử lý hội thoại tự nhiên và Utility AI để NPC tự ra quyết định dựa trên môi trường. Em t"/>
        <s v="Điều khiến tôi chọn vị trí thực tập sinh phân tích dữ liệu ở SUN.RISER là tôi có thể phát triển kỹ năng trong công việc và kỹ năng mềm."/>
        <s v="tôi có kĩ năng phù hợp với vị trí"/>
        <s v="I am motivated to apply for the AI Intern position at SUN.RISER because it aligns with my interest in applying AI to real-world products. I am also interested in exploring how these AI techniques can be applied to game development, such as analyzing playe"/>
        <s v="Với xu hướng phát triển của AI ngày nay thì mình rất quan tâm về chủ đề ứng dụng AI trong các tác vụ hằng ngày. Với chương trình thực tập này của SUN.RISER, mình rất mong muốn được tham gia để học hỏi được các kinh nghiệm, quy trình làm việc thực tế cũng "/>
        <s v="Em muốn phát triển theo hướng Data Analyst, và em đang xây dựng nền tảng về xử lý dữ liệu, phân tích và mô hình hóa. Em thấy chương trình Sun.Riser không chỉ là thực tập mà còn có lộ trình đào tạo rõ ràng, rất phù hợp để em chuyển từ mức học thuật sang mô"/>
        <s v="Em chọn vị trí Unity Developer Intern tại SUN.RISER vì đây là môi trường phù hợp để em phát triển thế mạnh về computer graphics và real-time rendering. Em mong muốn được áp dụng kiến thức đó vào sản phẩm thực tế, học hỏi quy trình chuyên nghiệp và nâng ca"/>
        <s v="Với nền tảng về lĩnh vực khoa học dữ liệu mà bản thân đang theo học và mong muốn sẽ phát triển theo sự nghiệp liên quan về data &amp; AI. Vì vậy, nếu có được vị trí trong SUN.RISER sẽ là một cơ hội để giúp em có thêm trải nghiệm, học hỏi và được thực hành tro"/>
        <s v="I am motivated to apply because this role combines user behavior, creativity, and data-driven marketing, which are areas I want to develop further. I am particularly interested in learning how user acquisition campaigns are built, tested, and optimized, a"/>
        <s v="Tôi lựa chọn vị trí Game User Acquisition Intern tại SUN.RISER bởi niềm đam mê mê với công việc thiết kế trải nghiệm người dùng. Tôi yêu thích phân tích, làm việc với data, tư duy product hiểu người dùng để tối ưu các chỉ số, trải nghiệm của người tiêu dù"/>
        <s v="Mình mong muốn tham gia SUN.RISER để được trải nghiệm môi trường phát triển game chuyên nghiệp, nâng cao kỹ năng Unity 2D và học hỏi từ đội ngũ có kinh nghiệm tại SUN.STUDIO."/>
        <s v="Đóng góp và phát triển."/>
        <s v="I’m motivated to choose the HR Intern position at SUN.RISER because it aligns closely with both my academic background and my career direction in Human Resources. As a Business Administration student with a focus on HR, I’m interested in how HR supports e"/>
        <s v="I want to apply my experience processing 31M+ records and building Recommendation Systems to SUN.STUDIO's massive scale. I aim to leverage BigQuery to analyze user behavior and optimize core game metrics like DAU, ARPU, and Retention."/>
        <s v="Em tham gia một số dự án cá nhân như xây dựng hệ khuyến nghị thời trang, phát hiện gian lận trong giao dịch, chatbot y tế,... Tuy nhiên, em nhận thấy bản thân vẫn cần học hỏi thêm từ môi trường thực tế doanh nghiệp. Em mong muốn được ứng tuyển vị trí thực"/>
        <s v="I choose this position because I want to develop my expertise in a real-world environment where AI, Data, and product systems are tightly integrated.&#10;For me, SUN.RISER is an opportunity to learn from real systems, understand how all components work togeth"/>
        <s v="I want to learn from experience through hands-on projects. My goal is to contribute effectively and prove my value so that I can grow with the company long-term as a full-time employee."/>
        <s v="Em chọn vị trí này ở SUN.RISER vì em vốn là một fan của dòng game Puzzle và studio có một tựa game khiến em rất tò mò - Wood Block Puzzle. Game mang lại cảm giác 'vừa đủ', vừa đủ dễ để bắt đầu nhưng cũng đủ thách thức để không thể ngừng chơi ngay, em khao"/>
        <s v="Em có một niềm đam mê mãnh liệt với trò chơi điện tử từ nhỏ và luôn khao khát được hiểu cách chúng vận hành. Thay vì chỉ là người chơi, em muốn trở thành người trực tiếp tạo ra những trải nghiệm đó. Vị trí này tại SUN.RISER là cơ hội tuyệt vời để tôi biến"/>
        <s v="Em rất thích chơi game và việc làm game là 1 niềm đam mê rất lớn. Với nền tảng kỹ thuật hiện có, em mong muốn được cống hiến hết mình tại SUN.RISER để chinh phục những thử thách mới trong việc tạo ra những tựa game hấp dẫn."/>
        <s v="Điều khiến tôi lựa chọn vị trí Game User Acquisition tại SUN.RISER là sự kết hợp giữa niềm yêu thích của tôi với lĩnh vực marketing dựa trên dữ liệu và sự quan tâm đến ngành game. Tôi hiểu rằng User Acquisition không chỉ là chạy quảng cáo, mà còn là quá t"/>
        <s v="I chose this position at SUN.RISER because it aligns well with my skills and offers a great opportunity to learn, grow, and contribute in a dynamic environment."/>
        <s v="Với nền tảng Pháp luật được đào tạo từ trường ĐH Luật TP.HCM, tôi tin bản thân hoàn toàn phù hợp với những nhiệm vụ của vị trí HR intern"/>
        <s v="I have passion for designing games and wishes to gain more hands-on experience to further improve my skills, in which this program could help me a lot"/>
        <s v="Vị trí hiện tại khá phù hợp với chuyên ngành hiện tại của em."/>
        <s v="Em muốn học cách thiết kế game và trải nghiệm thực tế quá trình tạo nên một game hoàn chỉnh"/>
        <s v="I am a fresh graduate with a passion for video games and data analysis. I want to use my data analytics skills and analytical mindset in practice. When I found this SUN.RISER INTERNSHIP PROGRAM 2026, I want to apply and be part of the company."/>
        <s v="I have a huge passion on gaming and also developing games. Furthermore, a small experience but a big enthusiastic about data engineer and data analytic. Fortunately, I found out that there is a data analysis intern role in a gaming company make me feel ve"/>
        <s v="I want to gain hands-on experience related to the concept of User Acquisition in the game context in Marketing"/>
        <s v="Là một sinh viên chuyên ngành Kỹ thuật Phần mềm, em hiểu rằng một dòng code tốt chỉ thực sự có giá trị khi nó mang lại trải nghiệm ổn định cho người dùng. Em chọn QA vì em yêu thích việc phân tích hệ thống để tìm ra các lỗ hổng logic song song với đó là đ"/>
        <s v="I am interested in HR and believe SUN.RISER is a dynamic and creative environment, especially as a game company. I am excited about the opportunity to learn and grow in such a fun and energetic workplace."/>
        <s v="Điều khiến em quyết định ứng tuyển vào vị trí HR Intern tại SUN.STUDIO trước hết là sự ấn tượng với quy mô và sức sáng tạo của công ty trong lĩnh vực Game. Qua tìm hiểu, em thấy chương trình SUN.RISER không chỉ dừng lại ở việc hỗ trợ hành chính mà thực sự"/>
        <s v="I am motivated to choose this position at SUN.RISER because I am looking for an environment where I can both learn and apply my skills in real-world projects.&#10;&#10;I am particularly interested in building AI-driven solutions and I have been actively exploring"/>
        <s v="I am passionate about turning raw data into insights. With experience in building ETL pipelines (Kafka, Spark) and Power BI dashboards (ODAP project), I want to join SUN.RISER to apply these skills in Sun Life's data-driven environment and help optimize c"/>
        <s v="Em chọn vị trí này tại SUN.RISER vì phù hợp với định hướng trở thành Unity Game Developer của em, đặc biệt là phát triển gameplay và tích hợp AI vào game. Em mong muốn được học hỏi quy trình làm việc thực tế, nâng cao kỹ năng và đóng góp vào các dự án của"/>
        <s v="I am motivated to apply to SUN.RISER because I am genuinely interested in the game industry, especially how data is used to understand player behavior and improve game experience."/>
        <s v="Em chọn vị trí này vì đây là một vị trí giao thoa giữa kỹ thuật và đam mê, nó cho phép em áp dụng tư duy lập trình (lập trình viên thường có thể đoán được lỗi có thể phát sinh ở đâu) vào việc đảm bảo trải nghiệm người dùng cuối trong ngành game."/>
        <s v="Em nhận thấy AI không chỉ giúp nâng cao trải nghiệm người chơi (NPC thông minh hơn, cá nhân hóa nội dung, tối ưu gameplay) mà còn mở ra nhiều hướng phát triển mới cho sản phẩm game.  Vì vậy, em mong muốn được tham gia vào SUN.RISER để vừa áp dụng kiến thứ"/>
        <s v="Em ứng tuyển đơn giản vì em rất thích game và muốn được tự tay tạo ra chúng.&#10;Về khả năng, em có nền tảng lập trình tốt, tư duy logic nhạy bén và khả năng học hỏi công nghệ mới rất nhanh, nên em tự tin mình sẽ sớm làm quen được với môi trường Unity."/>
        <s v="Em mong muốn được phát triển trong một môi trường có lộ trình rõ ràng, được học từ đội ngũ làm game thực chiến và được va chạm với các dự án đang hình thành. Với em, SUN.RISER là cơ hội phù hợp để em chuyển từ việc chỉ học và quan sát sang việc thật sự đó"/>
        <s v="I am motivated to join SUN.RISER as an AI Engineer to gain practical work experience and apply my technical skills to real-world projects. I believe this position will provide the professional environment I need to grow while contributing to the team's go"/>
        <s v="I'm driven to understand AI deeply, not just use it, but build it. I grew from Computer Vision (YOLOv5, TFLite on hardware) to NLP (PhoBERT) to GNNs, each domain expanding how I think. SUN.RISER excites me because games demand real-time AI that directly s"/>
        <s v="Em có nền tảng ngành Quản trị nguồn nhân lực và định hướng phát triển chuyên sâu trong HR ở tương lai xa. Đây là ngành học em rất tâm huyết, cũng như những kinh nghiệm em tích luỹ được trong kỳ thực tập trước và trong quá trình học tập, em cảm thấy bản th"/>
        <s v="Em chọn SUN.STUDIO vì em thấy vị trí Human Resources Intern trong chương trình SUN.RISER khá sát với định hướng của mình là làm việc với con người, đặc biệt là mảng tuyển dụng và phát triển nhân sự.&#10;Em muốn được học sâu hơn về Nhân sự trong một môi trường"/>
        <s v="Because it aligns strongly with both my technical interests and my long-term career direction. In my previous projects, I have worked with AI systems involving LLMs, RAG pipelines and data-driven applications. These experiences strengthened my passion for"/>
        <s v="Em bị thu hút bởi môi trường năng động của ngành Game. Em đặc biệt hứng thú với vai trò kết nối con người, góp phần xây dựng đội ngũ phù hợp để tạo ra sản phẩm chất lượng. Bên cạnh đó, môi trường trẻ, năng động cùng cơ hội học hỏi toàn diện từ tuyển dụng "/>
        <s v="This role perfectly merges my AI major with my interest in gaming. My goal is to build practical AI tools that accelerate game development. With a strong Computer Science background and experience automating tasks using AI models, I really want to be a pa"/>
        <s v="Em muốn được trải nghiệm cũng như đút kết kinh nghiệm về mảng game."/>
        <s v="Mình muốn được đóng góp cho Sun Studio, ngoài ra học hỏi nhiều hơn về lập trình game, về Unity, và quan trọng nhất là về cách hợp tác, làm việc chung."/>
        <s v="What motivates me to apply for the AI Engineering Intern position at SUN.RISER is the opportunity to apply advanced AI techniques to solve real-world challenges in the gaming industry. I am particularly excited about the goal of integrating AI into workfl"/>
        <s v="To apply my expertise in user behavior and retention analysis to a massive, fast-paced ecosystem of over 1 billion players. Through my experience at Ahamove and my data projects, I have developed a strong passion for using SQL and Python to uncover behavi"/>
        <s v="I am a dedicated person with a genuine passion in game development. I have always wanted to turn game development into a long-term career. So, this position is a great opportunity for me to accomplish that dream."/>
        <s v="Đó là cơ hội được hiểu sâu cách dữ liệu phản ánh chất lượng và hiệu suất của một tựa game. Em đặc biệt quan tâm đến các mà các chỉ số liên kết với nhau để đưa ra một insight nào đó về một game đang thực sự tốt hay đang gặp vấn đề."/>
        <s v="Mặc dù định hướng data nhưng em rất có hứng thú với thiết kế game và đã từng sử dụng qua Godot Engine để làm game. Vị trí Data Analyst của SUN.RISER là một cơ hội tuyệt vời để vừa học hỏi trau dồi kỹ năng phân tích xử lý dữ liệu, vừa thoả mãn đam mê thiết"/>
        <s v="I am a Computer Science student with a focus on AI, and I have hands-on experience as a QA Tester. This background allows me to understand both system logic and product quality. I am eager to learn, improve my skills, and contribute to the team. I am also"/>
        <s v="Vì đam mê game và muốn học để có thể hiểu và biết code game. Vì ko được học Unity ở trường nên muốn được intern để có thêm kinh nghiệm"/>
        <s v="Ở đây có thể đào tạo và dệt ước mơ trở thành game designer của em."/>
        <s v="Tôi không tìm kiếm một vị trí thực tập chỉ để học hỏi, mà tôi tìm kiếm một thử thách thực tế để rèn luyện tư duy phân tích và kỹ năng kỹ thuật của mình để giải quyết các bài toán dữ liệu/hệ thống thực tại SUN.RISER."/>
        <s v="Từ lâu em đã luôn tìm kiếm 1 cơ hội để có thể làm game và thực hiện ước mơ và sun riser đến với em như một sự tình cờ để em có thể viết tiếp nó"/>
        <s v="I’m motivated to apply for this position at SUN.RISER because I’m looking for an environment where I can both strengthen my technical foundation and contribute to real-world products."/>
        <s v="Tôi muốn nâng cao kĩ năng của bản thân trước khi ra trường đồng thời tôi cũng mong muốn góp phần cho sự phát triển của công ty"/>
        <s v="SUN.RISER's creative vision motivates me to apply my Game Dev background professionally. Having built 2D Unity titles using C# and OOP, I am eager to contribute my strong technical foundation, clean code, and passion for engaging game mechanics to your up"/>
        <s v="This position helps me to develop in-depth knowledge about both AI engineering and game development. I’m motivated by the chance to work in a professional team where I can learn from experienced engineers, contribute to meaningful projects, and continuous"/>
        <s v="Em chọn vị trí này vì đam mê biến ý tưởng sáng tạo thành những cơ chế game logic và lôi cuốn."/>
        <s v="I’m interested in this position because it focuses on applying AI to real workflows and solving practical problems.&#10;I enjoy building AI systems that reduce manual work, so I’m excited to contribute to improving efficiency at SUN.STUDIO."/>
        <s v="My motivation for choosing the Unity Development Intern position in SUN.RISER comes from my passion for game development and my desire to work on real game products. I want to improve my Unity/C# skills, learn from experienced developers, and contribute t"/>
        <s v="I chose this position because I want to understand software quality from a testing perspective, as testing is an essential part of the software development lifecycle. I am interested in how products are validated, how issues are identified early, and how "/>
        <s v="Leveraging a solid background in Unity development, I aim to excel as a Game QA at SUN.STUDIO. I thrive in cross-functional environments where I can bridge the gap between Dev, Design, and Art teams through clear communication and proactive problem-solvin"/>
        <s v="I decide to choose Data Analysis position in SUN.RISER because SUN.STUDIO gives me the opportunity to work with such a diverse dataset in the gaming field. Besides, the company also provides a clear path to becoming a full-time employee. This demonstrates"/>
        <s v="Tôi là một người có niềm đam mê mạnh mẽ ở mảng game, từ việc chơi game, xem streamer đến mò mẫm những bài phân tích game. Vì thế, với kiến thức và kĩ năng của một người sinh viên truyền thông, tôi mong muốn được cống hiến sức lực của mình ở một môi trường"/>
        <s v="My marketing background, data analysis experience with SmartPLS, Excel and content strategy work across multiple brands align perfectly with SUN.RISER's UA focus. I'm driven by the challenge of combining creativity with data to scale mobile products and S"/>
        <s v="Có niềm đam mê về game và cảm thấy khó chịu khi nó bị lỗi"/>
        <s v="Tôi bị ấn tượng bởi những gì mà công ty đã và đang làm được, một môi trường tuyệt vời để tôi có thể phát triển hơn trong sự nghiệp. Tôi cảm thấy rằng mình đủ tư duy và thái độ để cống hiến cho một công ty lớn và có tiếng như SUN.RISER. Đây là một cơ hội m"/>
        <s v="I’m interested in SUN.RISER because it focuses on applying AI to real workflows. I enjoy building practical AI solutions like pipelines and automation, and I’d like to grow more with LLM systems in a real working environment."/>
        <s v="Được đào tạo về kỹ năng, tư duy theo quy trình quy chuẩn trong ngành. Được gặp gỡ và học hỏi từ đội ngũ thực chiến nhiều kinh nghiệm để tương lai tạo ra đóng góp giá trị cho công ty."/>
        <s v="To explore, to learn and to fulfil my desire to work in the game industry. I love games, and it always will be. Every time I play a game, I think about its mechanical brilliance and always dream of designing one myself. I also love programming and I would"/>
        <s v="Tôi chọn vị trí này tại SUN.RISER vì khao khát được áp dụng chuyên môn AI và Full-stack vào các dự án thực tế, đồng thời phát triển trong môi trường công nghệ đột phá."/>
        <s v="I am motivated to join SUN.RISER because it aligns with my goal of becoming a QA Engineer in a product-driven environment. I am interested in game testing, especially ensuring quality in game logic, UI, and user experience.&#10;&#10;With my knowledge of test case"/>
        <s v="My motivation stems from a deep passion for creating immersive gaming experiences. Having built a foundation in C# and Unity, I am eager to apply my skills in a professional environment like SUN.RISER. I admire the company's creative direction and believe"/>
        <s v="I chose SUN.RISER to transition from operations to direct game creation. My 2-year tenure at VTC Online provided deep insights into player psychology. Leveraging my CS background from HCMUT and hardware skills, I offer product-driven design or technical r"/>
        <s v="Em đã có một chút kinh nghiệm về AI, nên em nghĩ đây là động lực lớn nhất để em tiếp tục apply AI Engineer."/>
        <s v="I believe I am a strong candidate for this position because I combine a solid technical foundation in Data Science with a highly proactive and growth-oriented mindset.&#10;From my academic projects, I have gained hands-on experience working with data processi"/>
        <s v="Tôi muốn kết hợp lý thuyết và kiến ​thức vào việc làm game chuyên nghiệp. Mục tiêu của tôi là được đóng góp vào các dự án của công ty, đồng thời học hỏi các quy trình kỹ thuật để tạo ra những game thú vị"/>
        <s v="Em chọn vị trí này vì em là một người đã chơi nhiều thể loại game khác nhau và hiểu được cách game được thiết kế để thu hút người chơi, trải nghiệm người dùng cũng như cách một số game kiếm tiền hiệu quả."/>
        <s v="My main motivation is to apply my AI/Machine Learning expertise to solve complex, real-world problems on live products. SUN.RISER’s dynamic environment, which highly values logical thinking and proactive problem-solving, is the perfect place for me to acc"/>
        <s v="Vì nó cũng hợp với chuyên ngành của tôi"/>
        <s v="Em có sự yêu thích và hứng thú làm việc với AI. Điểm mạnh của em là có tư duy logic và tối ưu hoá hệ thống. Vì vậy, đây là một vị trí mà em cảm thấy mình phù hợp. Ngoài ra, em muốn được học tập nhiều hơn để có thể phát triển bản thân trong tương lai."/>
        <s v="Điều khiến em chọn vị trí này là bởi vì khi làm việc, em sẽ được trực tiếp tham gia vào quá trình phát triển game dưới sự hướng dẫn của mentor. Trong các dự án, em luôn là người tích hợp UI và có khả năng làm việc nhóm, nên em nghĩ mình là bản ghép phù hợ"/>
        <s v="I'm passionate about game development and want to gain real hands-on experience in an actual production environment. SUN.RISER's work really resonates with me, and I'd love to learn from an experienced team while contributing what I can as a fresh develop"/>
        <s v="Em muốn được thực tập vị trí này của công ty"/>
        <s v="Đam mê lớn nhất của mình là theo đuổi con đường phát triển game. Mình ứng tuyển vào SUN.RISER vì mình tin rằng đây chính là môi trường lý tưởng nhất để mình khai phá tiềm năng bản thân và tiến xa hơn trong sự nghiệp."/>
        <s v="- For every game I’ve played, whether online or offline, I quickly grasp the mechanics, develop a deep understanding, and effectively leverage available resources to come up with fast solutions.&#10;- My experience competing professionally in esports has shar"/>
        <s v="Tôi lựa chọn vị trí này tại SUN.RISER vì đây là môi phù hợp để tôi phát triển kỹ năng lập trình game với Unity và tham gia vào các dự án thực tế."/>
        <s v="Em mong muốn được học tập trong môi trường chuyên nghiệp hơn, ngoài ra tiếp xúc với những người đã có kinh nghiệm sẽ giúp em phát triển và đi sâu hơn trong chuyên ngành này."/>
        <s v="I am motivated to apply for this position at SUN.RISER because it aligns with my passion for building real-world AI applications.&#10;I enjoy developing end-to-end systems and want to contribute to practical, scalable solutions.&#10;This role is a great opportuni"/>
        <s v="Đây là cơ hội để em áp dụng kiến thức về Python, xử lý dữ liệu và machine learning vào thực tế. Em mong muốn được học hỏi thêm về xây dựng mô hình AI, phân tích dữ liệu và làm việc với các hệ thống dữ liệu thực tế, đồng thời phát triển kỹ năng trong môi t"/>
        <s v="Mình chọn vị trí AI Engineering Intern tại SUN.RISER vì đây là môi trường phù hợp với định hướng phát triển của mình theo hướng AI engineering – không chỉ dừng ở việc xây dựng mô hình mà còn làm việc với dữ liệu, pipeline và triển khai thực tế; đồng thời "/>
        <s v="ình không chỉ muốn là người xây dựng hạ tầng hay bảo vệ hệ thống; mình muốn được là người trực tiếp tạo ra giá trị trải nghiệm. Sau thời gian dài rèn luyện với Rust và C++, mình nhận thấy ngành Game Developer là nơi thử thách cao nhất về khả năng tối ưu h"/>
        <s v="Điều khiến em muốn gia nhập Sun Studio là văn hóa môi trường trẻ trung, nhiệt huyết. Em rất mong muốn được tham gia và đóng góp công sức của mình trong việc biến những ý tưởng game đầy tiềm năng thành các sản phẩm thành công và có khả năng giữ chân người "/>
        <s v="Muốn có việc làm về phát triển game, học hỏi kinh nghiệm"/>
        <s v="Vì dù đã có nhiều kinh nghiệm lập trình nhưng lại chưa có nhiều kinh nghiệm trong mảng game developer, vốn đang có hứng thú với mảng này nên khi biết tin công ty đang có nhu cầu tuyển thực tập sinh tiềm năng nên mình rất hứng thú và mong có cơ hội thử sức"/>
        <s v="Với kỹ năng làm việc, dẫn dắt nhóm và các dự án đã làm từ khi còn ở ghế nhà trường. Em có khả năng làm việc tại vị trí này của công ty và mong muốn được đóng góp cho công ty trong tương lai."/>
        <s v="What attracts me most is the opportunity to work directly with real datasets and systems, while being mentored by experienced teams. I believe this hands-on exposure will help me strengthen my analytical thinking, improve my ability to turn data into acti"/>
        <s v="I am motivated to apply for the Data Intern position at SUN.RISER because it aligns well with my background in Data Science and my interest in working with real-world data."/>
        <s v="Định hướng tôi phù hợp với vị trí của công ty đang cần tuyển"/>
        <s v="Thông qua quá trình intern, mình muốn tìm hiểu, cách để tạo ra một con game là như thế nào. Ở hiện tại, mình vừa mới tốt nghiệp đại học xong. Và rất sẵn sàng được đào tạo trong một môi trường chuyên nghiệp mới."/>
        <s v="Tôi chọn vị trí này vì phù hợp với chuyên ngành Game tôi đang theo học. Tôi muốn được học hỏi thêm từ dự án thực tế và nâng cao khả năng phát triển Game trong môi trường chuyên nghiệp."/>
        <s v="Là vì muốn được làm công việc liên quan đến ngành nghề và đam mê của em"/>
        <s v="I want to join SUN.RISER because I’m serious about becoming an AI engineer and I want real-world experience, not just theory.&#10;The focus on mentorship and real projects really stands out to me.&#10;I believe my background in LLM, recommendation system and NLP "/>
        <s v="I am particularly motivated to apply for the Data Analyst Intern position at SUN.RISER because it aligns closely with both my academic background and my long-term career goals. As a student majoring in MIS, I have developed a strong interest in how data c"/>
        <s v="My biggest passion is bringing unique game ideas to life and making them profitable through professional, high-quality work. SUN.RISER is the perfect place for me to achieve this."/>
        <s v="I believe core systems must be highly optimized to create accessible yet engaging Casual games for millions. Therefore, I aim to apply my hands-on experience in building similar projects to both grow personally and contribute effectively to SUN.RISER"/>
        <s v="Em chọn HR vì muốn hiểu cách doanh nghiệp xây dựng đội ngũ để tạo ra sản phẩm chất lượng, đặc biệt trong lĩnh vực game mà em quan tâm. Em muốn tham gia recruitment cycle để hiểu cách tìm đúng người và xây dựng talent pipeline. Từ trải nghiệm startup, em n"/>
        <s v="Em chọn vị trí này vì:&#10;- Cơ hội được tham gia và học hỏi quy trình sản xuất thực tế tại SUN.STUDIO&#10;- Có cơ hội được tham gia thị trường lao động đúng chuyên môn"/>
        <s v="Em chọn vị trí Game QA Intern tại SUN.RISER vì mong muốn được đóng góp vào việc tối ưu hóa trải nghiệm người dùng. Qua việc học và chơi game, em đã rèn luyện tư duy quan sát tỉ mỉ để phát hiện các lỗi về gameplay và user flow. Em tin rằng sự chỉn chu của "/>
        <s v="Mục tiêu của em là trở thành Game Developer nên đây là cơ hội quý giá để em từng bước hoàn thành mục tiêu đó. Được một Studio game top đầu bồi dưỡng chắc chắn sẽ đem lại cho em nhiều kinh nghiệm quý giá, hoặc hơn thế nữa sẽ tìm được bến đỗ sự nghiệp và đồ"/>
        <s v="I'm interested in Unity Development Intern position at SUN.RISER because it matches both my technical background and my long-term career direction in game development.&#10;And what attracts me most to SUN.RISER is the chance to work in a creative environment,"/>
        <s v="Trong quá trình học tập và có một ít kinh nghiệm làm việc thực tế ở vị trí Game Developer, em thấy đây là vị trí phù hợp với kỹ năng chuyên môn và định hướng phát triển lâu dài của em."/>
        <s v="The AI Engineer role at SUN.RISER lets me go deeper into what I'm most excited about — LLMs, RAG, and chatbots. School projects gave me a taste; now I want to ship real systems with a team that actually builds, learns together, and uses AI to create somet"/>
        <s v="I chose this position because Unity game development is my genuine passion. I want to apply what I've learned in a real, professional environment like SUN.RISER and grow as a developer under experienced mentors."/>
        <s v="Em định hướng phát triển theo HRBP nên mong muốn được trải nghiệm đa dạng chức năng nhân sự. Với nền tảng tuyển dụng trước đó, em muốn thử thách bản thân ở môi trường có tệp ứng viên khác và có trình độ cao hơn. Đồng thời, em cảm thấy em có những yếu tố p"/>
        <s v="Vì là cty làm game và có tuyển vị trí QC/tester, em hứng thú với cả 2 mảng."/>
        <s v="Em đã học những môn về phần kiểm thử và quản lý dữ liệu trong quá trình học của mình tại trường và em rất mong muốn được phát triển trong thị trường Game, thị trường mà em rất mong muốn được phát triển sự nghiệp"/>
        <s v="Thông qua tìm hiểu qua các diễn đàn và các mối quan hệ cá nhân, em ấn tượng với chính sách phát triển và các chế độ đãi ngộ cho nhân viên, điều này rất hợp với các dự định của em. &#10;Với nền tảng ICPC và kinh nghiệm làm game cá nhân, em hy vọng được vận dụn"/>
        <s v="Vì em mong muốn có thể xây dựng những sản phẩm game thực tế và tạo nhiều trải nghiệm khó quên cho người chơi.&#10;Đây cũng là một trong những nguyên nhân mà em đam mê chơi game và muốn hướng tới việc làm trong ngành game. Trong đó, em sẽ xây dựng những cơ chế"/>
        <s v="Tui muốn trải nghiệm một điều gì đó mới mẻ trên con đường coding của mình và tui nghĩ  làm về Game sẽ là một lựa chọn hoàn hảo cho định hướng phát triển tương lai của tui."/>
        <s v="I chose SUN.RISER for its hands-on game development experience and mentorship, which I see as the ideal environment to grow in Unity and C#."/>
        <s v="I am eager to join SUN.STUDIO as a Game Design Intern to contribute the logical mindset and technical skills gained from my game-related projects and self-study. I aim to apply my academic foundation to a professional environment, bridging the gap between"/>
        <s v="Điều khiến tôi lựa chọn vị trí Game Design tại SUN.RISER là cơ hội để phát huy khả năng sáng tạo trong việc xây dựng trải nghiệm trò chơi hấp dẫn. Tôi đặc biệt hứng thú với việc thiết kế gameplay, level design và xây dựng luật chơi để mang lại trải nghiệm"/>
        <s v="I'm motivated to apply for this position because it aligns closely with both my interests and long-term career goals. I enjoy the process of building interactive experiences, from logic design to user experience."/>
        <s v="Là một sinh viên mới tốt nghiệp ngành Khoa học dữ liệu, em đặc biệt ấn tượng với các dự án AI mà SUN.RISER đang triển khai. Em khao khát được làm việc trong một môi trường năng động để vừa học hỏi từ các chuyên gia, vừa tận dụng kỹ năng lập trình Python, "/>
        <s v="Động lực để em chọn vị trí Game Design Intern trong SUN.RISER đó là niềm đam mê và thế mạnh về xây dựng hệ thống và cân bằng các chỉ số trong trò chơi, khiến trò chơi không bị mất cân bằng."/>
        <s v="I'm motivated by the opportunity to work on real-world AI problems, not just academic exercises. This position allows me to apply what I've learned — from building ML models to working with LLMs — in a practical, impactful environment."/>
        <s v="Em chọn vị trí Game Design Intern tại SUN.STUDIO vì sau khi tìm hiểu và trải nghiệm, mình nhận ra mình thực sự thích quá trình làm ra và cải thiện một tựa game.&#10;Em tin SUN.STUDIO là môi trường phù hợp để em học hỏi, phát triển nghiêm túc và đóng góp lâu d"/>
        <s v="Với sự khó khăn khi chọn công việc ngành game hiện nay, công ty đã tạo điều kiện cho tất cả mọi người đều có cơ hội được làm việc. Mình rất thích điều đó ở công ty mình^^"/>
        <s v="I chose this position because I enjoy developing simple and fun games using Unity. I really like your focus on creating small and accessible games, which matches what I want to build. I hope to learn more and gain practical experience while contributing t"/>
        <s v="Do em có sở thích chơi game và muốn tạo những con game hay cho nhiều người có cùng đam mê, chơi con game do chính bản thân mình tạo ra"/>
        <s v="Từ đam mê và kinh nghiệm phát triển các dự án nền tảng, em khao khát được cọ xát thực chiến. Các tựa game casual và puzzle của SUN.RISER rất phù hợp với những dự án em từng thực hiện. Do đó, em tin môi trường chuyên nghiệp, năng động và sáng tạo tại đây c"/>
        <s v="I’m excited about SUN.RISER’s vision. With my expertise in AI and Software Engineering, I’m confident I can build smart solutions and add immediate value to your tech team."/>
        <s v="Phù hợp với ngành học, định hướng nghề nghiệp và niềm yêu thích game."/>
        <s v="With my proactive learning and great passion in AI field, I realized that the internship opportunity at SUN.RISER really help me to have chance to work in real project and professional environment.&#10;Moreover, the idea of integration AI into game product is"/>
        <s v="Vừa thích game và vừa mê AI và Data"/>
        <s v="I have been into game development since second year in university and through research, I find that SUN STUDIO is the ideal environment to grow and develop."/>
        <s v="Mình chọn vị trí Unity Intern trong chương trình SUN.RISER vì mong muốn được phát triển kỹ năng lập trình C# và Unity 2D trong môi trường làm game thực tế.&#10;Mình đặc biệt quan tâm đến lĩnh vực casual game – lĩnh vực mà SUN.STUDIO đang tập trung phát triển."/>
        <s v="I’m motivated to apply for this position at SUN.RISER because it aligns closely with both my technical background and my career goal of becoming a professional Unity Developer."/>
        <s v="Tôi muốn học hỏi nội dung và tích lũy kinh nghiệm làm việc của vị trí Data Analysis Intern"/>
        <s v="Em mong muốn tham gia SUN.RISER 2026 vì công ty hoạt động trong lĩnh vực game – lĩnh vực mà em đam mê sâu sắc; được làm việc tại một công ty game luôn là mục tiêu nghề nghiệp mà em hướng tới."/>
        <s v="Em muốn tiếp thu thêm kinh nghiệm thực tế về chuyên nghành,nâng cao kỹ năng làm việc nhóm,nâng cao tinh thần trách nhiệm"/>
        <s v="Em đam mê cả game lẫn dữ liệu, nên vị trí này là sự kết hợp lý tưởng. Em muốn tận dụng kỹ năng phân tích của mình để hiểu hành vi người chơi và đóng góp vào việc cải thiện trải nghiệm game thực tế."/>
        <s v="Mình chọn vị trí này vì đây là cơ hội để nâng cao kỹ năng phân tích dữ liệu trong lĩnh vực có tốc độ phản hồi nhanh và trực quan như game. Dữ liệu game phản ánh hành vi người dùng gần như theo thời gian thực - từ DAU, Retention đến ARPU - tạo nên môi trườ"/>
        <s v="tôi yêu Sun Riser"/>
        <s v="Tôi đam mê Game và mong muốn phát triển lâu dài trong ngành. Với tư duy logic, sự tỉ mỉ và khả năng học hỏi nhanh, tôi hướng đến việc phân tích dữ liệu để cải thiện trải nghiệm người chơi. Tôi cũng chủ động trong việc phát hiện vấn đề và đề xuất giải pháp"/>
        <s v="Em chọn vị trí Data Analyst Intern tại SUN.RISER vì em muốn có cơ hội áp dụng những kiến thức về data mà em đã học vào thực tế. Ngoài ra, em cũng khá hứng thú với ngành game vì đây là lĩnh vực có nhiều dữ liệu về hành vi người dùng, nên em nghĩ sẽ học hỏi"/>
        <s v="I have a strong passion for working with data. I am especially drawn to SUN Group’s focus on large-scale projects and data-driven decision-making, which closely aligns with my background in data analysis and business problem-solving."/>
        <s v="Mong muốn tìm được nơi thực tập với các cơ hội thăng tiến cao hơn trong lĩnh vực data"/>
        <s v="My ultimate goal is to become an exceptional marketer by deeply understanding consumer behavior, how strategies can shape purchasing intentions and reveal unmet needs. I aim to cultivate a creative mindset, expand my marketing knowledge, and develop impac"/>
        <s v="I'm applying for both roles, prioritizing AI Engineering Intern as I believe my background fits this position well. Through my projects, I enjoy not just building models but making the whole system work seamlessly. I also have a foundation in SQL, Power B"/>
        <s v="As a passionate gamer who has grown up immersed in game worlds, I see joining SUN.RISER data analysis as the perfect opportunity to me to build real-world data analysis skills within a technology-driven team and an open, collaborative community."/>
        <s v="I am motivated to apply for this position at SUN.RISER because I am transitioning into data analytics and want to gain hands-on experience, especially in the game industry.&#10;I believe SUN.RISER is a great environment for me to learn from experienced team m"/>
        <s v="Em chọn vị trí AI Engineer và Data Analysis tại SUN.RISER vì đây là cơ hội tuyệt vời để em kết hợp niềm đam mê chơi game cùng kỹ năng xử lý dữ liệu của mình.  Vì thế em rất mong muốn được trực tiếp nghiên cứu ứng dụng AI vào các sản phẩm thực tế của công "/>
        <s v="Bản thân muốn tìm cơ hội bắt đầu vào ngành"/>
        <s v="Là một sinh viên năm 3 ngành Khoa Học Máy Tính tại UIT, với một nền tảng vững chắc về AI và ML, một sở thích về việc chơi game và hướng đến trải nghiệm người dùng. Từ lâu công việc tại SUN.RISER đã là một điểm đến lí tưởng với mọi sinh viên có khát khao v"/>
        <s v="Em lựa chọn vị trí AI Engineering Intern tại SUN.RISER vì vị trí này phù hợp với nền tảng backend mà em đã học, đồng thời cho phép em mở rộng sang các ứng dụng liên quan đến dữ liệu và AI."/>
        <s v="Xin chào, em tên là Bùi Tuấn Hùng. Sinh viên mới ra trường có mong muốn được thực tập theo đúng đam mê của mình. Em muốn được học hỏi thêm bên công ty để trau dồi bản thân và cùng công ty phát triển."/>
        <s v="I choose this position at SUN.RISE because it offers a valuable opportunity to learn and I am very passionate about AI"/>
        <s v="Có 2 lý do khiến tôi chọn vị trí này:&#10;- Lý do đầu tiên là chuyên môn của tôi là AI. Tôi đã được học về các kiến thức machine learning ở trường,nên tôi cảm thấy mình phù hợp với vị trí AI Engineering.&#10;- Lý do thứ 2 là tôi là một người rất thích game. Tôi c"/>
        <s v="Em chọn SUN.RISER vì được trực tiếp tham gia làm sản phẩm thật. Em ấn tượng với môi trường đề cao kỹ năng thực tế, và với định hướng AI, em tin đây là nơi phù hợp để em phát triển lâu dài."/>
        <s v="Điều khiến tôi chọn vị trí Game Design Intern tại SUN.RISER bởi vì đây là cơ hội rất phù hợp để tôi phát triển cả tư duy sáng tạo lẫn khả năng phân tích dữ liệu trong môi trường làm game chuyên nghiệp. Bên cạnh đó, tôi mong muốn được làm việc cùng đội ngũ"/>
        <s v="Em chọn SUN.RISER vì rất ấn tượng và thích thú với những sản phẩm game mà studio phát triển, và mong muốn code tạo ra các game như vậy trong môi trường của công ty."/>
        <s v="Em chọn vị trí Unity Developer và AI Engineer Intern trong chương trình SUN.RISER vì em đam mê phát triển game và tin rằng hai lĩnh vực này sẽ bổ trợ rất tốt cho nhau trong môi trường game dev thực tế."/>
        <s v="Mình chọn SUN.RISER vì mình muốn làm việc trong một môi trường thực chiến. Mình thấy SUN mạnh về dòng Casual, đúng hướng mình đang theo đuổi nên mình muốn vào đây để va chạm thực tế, xem quy trình vận hành một con game lớn nó chạy như thế nào và góp sức m"/>
        <s v="I am motivated to choose the AI Engineering Intern position because I want to challenge myself in applying AI to real game production, where technology can improve workflows, quality, and player experience. SUN.RISER gives me the chance to learn from expe"/>
        <s v="What motivates me to join SUN.RISER is the desire to step out of the classroom and challenge myself in a real-world environment. While university has given me a strong logical foundation for working with data, my goal now is to bridge the gap between text"/>
        <s v="Có môi trường để phát triển và cơ hội có việc làm ổn định."/>
        <s v="Firstly, as a gamer and Sudoku addicted myself, I am surprised that Viet Nam have a game studio and especially in puzzle genre. Secondly, I always want to be a game designer since I were in high school and now finding out a Viet Nam based puzzle game stud"/>
        <s v="I am interested in SUN.RISER because I want to develop my skills in game analysis and design, especially in Puzzle/Casual games. I am eager to learn how to create better player experiences and contribute to real products."/>
        <s v="I am interested in this position because I enjoy working with data to understand user behavior, especially in the gaming domain. I want to apply my analytical skills to explore player engagement and gain real experience in using data to support product de"/>
        <s v="I’m motivated to join SUN.RISER because the role focuses on applying LLMs to real workflows and building practical AI automation systems. This aligns with my experience in RAG and API-based pipelines, and I’m excited to contribute while learning in a cros"/>
        <s v="Vị trí này phù hợp với nguyện vọng và trình độ hiện tại của tôi"/>
        <s v="This position allows me to work with real game data and apply data analysis to understand user behavior and retention, similar to some previous projects I have done. I also have experience analyzing game data and building dashboards through my projects, a"/>
        <s v="As a game lover, I want to learn how data influences player behavior. This role at Sun.Studio lets me combine my hobby with data skills to help the company's games grow."/>
        <s v="Đầu tiên, em muốn các kiến thức ứng dụng của AI trong game. Với nền tảng các môn học và các dự án về AI, em mong sẽ được đóng góp kiến thức vào dự án."/>
        <s v="I’m motivated to choose the AI Engineering Intern position at SUN.RISER because it allows me to apply AI in a real-world game development environment. I’m especially interested in how AI can improve player experience and production efficiency. SUN.STUDIO’"/>
        <s v="Em chọn Game Design vì em thích nghĩ về cách game giữ người chơi, kiểu như progression hay reward. Dạo này em đang tự làm một game RPG nhỏ trên Roblox để test mấy cái đó luôn. Nên em muốn vào SUN.RISER để xem thực tế là làm như nào và học hỏi thêm."/>
        <s v="Em thấy mình là một người hay chú ý tiểu tiết, vì vậy, QA là một vị trí khá phù hợp với em, em muốn các sản phẩm được đưa tới khách hàng được chỉn chu nhất có thể. Ngoài ra, em còn có hứng thú với việc vận hành game, mà QA cũng là một mắt xích trong đó."/>
        <s v="_ Tìm kiếm cơ hội được làm việc với các dự án AI thực tế.&#10;_ Muốn được tìm hiểu về ứng dụng AI trong game, mong muốn được đóng góp cho thị trường game Việt Nam."/>
        <s v="I chose this AI Engineer Intern position to apply my knowledge to real-world problems and continue learning in a professional environment. I believe this role is a great fit to develop my skills and contribute to the team."/>
        <s v="Em đã từng thực hiện các dự án về chatbot RAG và CV, nên em muốn tiếp tục phát triển theo hướng AI Engineering trong môi trường sản phẩm thực tế. Em tin rằng ngành game là nơi AI có thể tạo ra nhiều giá trị như tối ưu vận hành, phân tích dữ liệu người chơ"/>
        <s v="Mình ứng tuyển vào vị trí này vì niềm yêu thích với game, cùng với nền tảng của mình là thiết kế minh họa, kể chuyện bằng hình ảnh, UI,.. mình mong muốn được tiếp xúc nhiều hơn nữa về game, kết hợp những gì mình đã có và học hỏi, trau dồi, từ đó tạo nên n"/>
        <s v="Với chuyên ngành là Data Science , em đã được học bài bản từ Data đến AI , do đó em ứng tuyển vào 2 vị trí thực tập:&#10;1/ AI Engineer&#10;2/ Data Analyst&#10;Đặc biệt hơn, một môi trường chuyên nghiệp, năng động và có liên quan đến game như SUN.RISER thực sự khiến "/>
        <s v="Em đặc biệt hứng thú với hướng phát triển casual,hyper-casual game của công ty, nơi gameplay đơn giản nhưng yêu cầu tối ưu trải nghiệm người chơi và dữ liệu rất cao. Bản thân em cũng đam mê làm những thể loại này vì trông nó tuy đơn giản nhưng mang lại cả"/>
        <s v="Em chọn vị trí AI Engineer tại SUN.RISER vì mong muốn được tiếp cận môi trường thực tế, nơi em có thể áp dụng kiến thức thay vì chỉ học lý thuyết. Đồng thời, em cũng muốn tìm hiểu hơn về cách ứng dụng AI trong lĩnh vực game."/>
        <s v="Em chọn vị trí Game QA Intern tại SUN.RISER vì em có hứng thú với lĩnh vực game và muốn tham gia vào quá trình đảm bảo chất lượng sản phẩm. Trong quá trình học, em đã có tiếp xúc với testing và nhận ra QA đòi hỏi sự tỉ mỉ và tư duy logic. Em mong muốn đượ"/>
        <s v="I have been making games for 2 years and still love making games. Your company uses Unity as one of your main tech stacks for developing mobile games, which aligns perfectly with my preferences."/>
        <s v="Em đang tìm kiếm một môi trường mà em có thể học hỏi lâu dài và đóng góp ý nghĩa, chứ không chỉ là một công việc đơn thuần. Em tin rằng vị trí này sẽ giúp em phát triển theo đúng hướng sự nghiệp em hướng tới"/>
        <s v="- Em có các kỹ năng cần thiết trong lúc học tập tại trường và đồng thời có kinh nghiệm làm việc game mobile cho doanh nghiệp đối tác của trường&#10;- Về khả năng logic vì em cũng chơi nhiều các tựa game dựa dạng puzzle game nên em hiểu cách vận hành và cách l"/>
        <s v="I am motivated by SUN.RISER’s dynamic environment, which fosters rapid learning and professional growth. As a final-year Data Science student, I want to bridge the gap between academic research and industry application. Your focus on high-impact AI projec"/>
        <s v="I want to be a member of SUN.STUDIO, and i am interested in AI agent and Data Analysis"/>
        <s v="Mong muốn được thử sức trong môi trường doanh nghiệp và mảng game cũng như nâng cao, học hỏi thêm kiến thức chuyên môn thông qua chương trình"/>
        <s v="Enhance my personal skills and first time to adapt to professional working space"/>
        <s v="Cơ hội được thực chiến trên môi trường công sở"/>
        <s v="Điều mà em mong muốn khi chọn vị trí thực tập sinh Data Analysis xuất phát từ khát khao tham gia cống hiến và va chạm với các dự án thực tế. Bên cạnh đó, em có niềm đam mê với lĩnh vực data analysis và data engineering với tinh thần học hỏi và trách nhiệm"/>
        <s v="I am motivated to join SUN.RISER because I want to apply DA and AI Engineering to solve high-impact, real-world problems. I see SUN.RISER as an environment where I can refine my MLOps skills and contribute to building smarter, data-driven applications tha"/>
        <s v="Tôi chọn vị trí Data Analyst Intern tại SUN.RISER vì đây là cơ hội phù hợp để tôi áp dụng kiến thức đã học vào môi trường làm việc chuyên nghiệp.&#10;&#10;Tôi mong muốn được làm việc trong một môi trường có thể học hỏi từ những người có kinh nghiệm, nâng cao kỹ n"/>
        <s v="Em có một niềm đam mê với game và mong muốn tham gia vào công việc phát triển game. Em nhận thấy công ty có điều kiện và môi trường phù hợp với em."/>
        <s v="Được biết công ty mình là một công ty mạnh về ngành game, cá nhân em cũng là một người đam mê và chơi nhiều thể loại game nên em cảm thấy công việc này rất hấp dẫn. Em cũng quan tâm tới dữ liệu và những con số thống kê, em cũng thường xuyên xem các phân t"/>
        <s v="I choose this position because it combines two things I'm interested in: data analysis and game. I really enjoy working with data to solve the bussiness problem, turn numbers into useful insights. At the same time, I have interested with games so I regula"/>
        <s v="Mình có đam mê về cả việc làm game và nghiên cứu về AI. Trước khi làm các dự án về AI như TrOCR, RAG, ... thì mình đã tự làm thử vài con game nhỏ. Do đó mình thấy rất hứng thú với việc có thể áp dụng AI vài game"/>
        <s v="Mong muốn được học hỏi thêm kiến thức chuyên môn, phát triển trong môi trường chuyên nghiệp, trao dồi kinh nghiệm thực tế."/>
        <s v="I’m interested in the Data Analyst position at SUN.RISER because it lets me combine my analytical skills with my interest in the game industry. I’m motivated by the opportunity to turn player data into insights that can improve gameplay and user experienc"/>
        <s v="Điều khiến tôi chọn vị trí này là vì tôi mong muốn được học hỏi, phát triển kỹ năng và trải nghiệm môi trường làm việc thực tế. Tôi tin đây là cơ hội phù hợp để nâng cao bản thân và tiến gần hơn đến định hướng nghề nghiệp của mình."/>
        <s v="Additionally, I am highly motivated to gain deeper experience in a Data Analysis role. Since I have an honest interest in gaming, I believe that working at SUN.RISER will allow me to apply my analytical skills to a field I am truly passionate about."/>
        <s v="As someone who is very interested in AI Development as well as being a gamer myself, having the opportunity to indulge myself in the best of both worlds to leverage my skills to improve gaming experience at Sunriser is a fantastic opportunity for myself."/>
        <s v="I'm motivated by the intersection of data and player experience. Most internships track metrics, but SUN.RISER offers the chance to see how my analysis directly improves games that millions play. I'm passionate about understanding player behavior why comp"/>
        <s v="E muốn ứng dụng những kiến thức mà em đã học được và thực hành để tích lũy kinh nghiệm ạ"/>
        <s v="I am motivated to choose the Unity Developer Intern position at SUN.RISER because I am passionate about creating games and want to turn that passion into a professional career. I am eager to gain real experience, improve my skills, and contribute to build"/>
        <s v="Muốn học thêm những kiến thức mới về công việc và kĩ năng làm việc,  trải nghiệm môi trường làm việc năng động"/>
        <s v="Em là Đoàn Minh Đức, sinh viên năm 4 ngành Công nghệ Thông tin tại Đại học Sài Gòn.&#10;Em chọn apply vị trí này ở SUN.RISER vì em muốn trở thành một Unity Developer chuyên sâu, đồng thời phát triển thêm kỹ năng Game Design.&#10;Em đã tự phát triển 4 dự án game h"/>
        <s v="I am motivated to apply for this position at SUN.RISER because it aligns well with my academic background and career goals in the data field. I hold a Bachelor’s degree in Data Science from UIT, where I built a strong foundation in data engineer, data ana"/>
        <s v="I have been passionate about games since I was young, and I want to pursue a QA role to ensure product quality and enhance user experience. I believe SUN.RISER offers a suitable environment where I can learn and grow professionally."/>
        <s v="Trong quá trình tham gia vào giai đoạn UAT của hệ thống, tôi cảm thấy hứng thú với việc tối ưu hóa trải nghiệm người dùng. Tôi chọn vị trí Game Quality Assurance Intern tại SUN.RISER vì đây là môi trường lý tưởng để tôi chuyển hóa tư duy phân tích hệ thốn"/>
        <s v="Ngoài việc trở thành một nhà phát triển game độc lập, bản thân em mong muốn có thể tìm hiểu thêm cách vận hành, duy trì và tiếp tục phát triển trong một dự án lớn.&#10;Đồng thời bản thân em cũng đang mong muốn tìm một nơi làm việc ổn định sau khi tốt nghiệp."/>
        <s v="Mình muốn tìm hiểu thêm về văn hóa và cách làm việc của công ty. Được làm việc cho một công ty làm game là ước mơ của mình."/>
        <s v="Lý do em chọn SUN.RISER vì đây là một trong những studio có môi trường làm việc năng động và sáng tạo nhất hiện nay. Em mong muốn được học hỏi từ đội ngũ chuyên gia tại đây để hoàn thiện kỹ năng chuyên môn."/>
        <s v="I chose this position at SUN.RISER because it matches my skills and career goals. I also want to learn, gain practical experience and contribute to the team in a professional environment."/>
        <s v="I chose to pursue a career in game development driven by my passion for creating interactive experiences. I have hands-on experience in this field and I am highly motivated to keep learning, improving my skills, and contributing to exciting game projects."/>
        <s v="Em mong muốn được ứng tuyển vào vị trí này vì ngày từ năm nhất đại học em đã có sở thích và niềm đam mê trong việc xử lý các nghiệp vụ liên quan đến dữ liệu. Bên cạnh đó với việc cạnh tranh trong thị trường lao động ngày càng gay gắt nên em muốn được sớm "/>
        <s v="I design mechanics around one question: what makes a player want one more try. That’s the same question behind every game in SUN.STUDIO’s portfolio, and I want to bring that thinking to a team operating at that scale.​​​​​​​​​​​​​​​​"/>
        <s v="Em muốn trau dồi nhiều kinh nghiệm hơn về mảng phân tích, dữ liệu trong môi trường thực tế ạ."/>
        <s v="dạ vì khi chơi game mà gặp lỗi, điều đó cũng mang lại cảm giác khó chịu cho người chơi, em chơi game hay để ý mấy lỗi game, em nghĩ em phù hợp với vị trí này. Với sự kĩ tính, hay để ý lỗi và hiểu được cảm giác người d"/>
        <s v="Em muốn tìm một vị trí ổn định thực tập trước khi tốt nghiệp và tiếp tục cống hiến cho studio sau khi hoàn thành khoá thực tập nếu may mắn được studio chấp thuận. Đồng thời, đây cũng là cơ hội để em được làm việc với môi trường game studio để nâng cao kỹ "/>
        <s v="I’m motivated to join SUN.RISER because I want to develop my Unity skills in a real team environment, building on my experience working on projects with classmates. I’m looking for a place where I can learn from real workflows, contribute to actual produc"/>
        <s v="I am particularly interested in this role because it allows me to apply my current skills while also developing new ones through real practical experience."/>
        <s v="I'm motivated by the chance to apply data skills in a real gaming environment. Sun Studio's scale—with millions of active users—means insights I contribute can drive actual product decisions. This internship is the perfect opportunity to grow from self-st"/>
        <s v="Building my Agents showed me firsthand how agentic workflows can eliminate hours of repetitive work - and SUN.RISER is where I want to take that from a side project to real product impact. The role's focus on prompt engineering, tool-use design, and cross"/>
        <s v="Cực, áp lực"/>
        <s v="I'm motivated by the chance to apply AI in real game production. SunStudio stands out to me because it builds mobile games at large scale: over 10M monthly users. This position matches both my technical background and career direction."/>
        <s v="Tôi cảm giác đây là một môi trường phù hợp để bản thân có thể phát triển kỹ năng cũng như tư duy"/>
        <s v="Em chọn hướng Data Analyst vì em thích làm việc với dữ liệu và muốn sử dụng dữ liệu để hiểu các vấn đề và thông qua nó để ra các quyết định. Em muốn bắt đầu từ một môi trường có quy trình rõ ràng để học đúng cách ngay từ đầu, thay vì tự học rời rạc. Và SU"/>
        <s v="Dạ em thích làm việc với dữ liệu và tìm insight từ số liệu, điều này em đã được thực hành qua các project SQL, Power BI và kỳ intern ở Miquant. Vị trí ở SUN.RISER hấp dẫn em vì được làm việc với dữ liệu thực tế từ sản phẩm game và xây dựng dashboard giúp "/>
        <s v="I’m motivated to join SUN.RISER because I enjoy turning AI into practical tools. With my background in Python and small AI projects, I focus on building structured workflows to solve real problems. I’m especially impressed by SUN.RISER’s focus on automati"/>
        <s v="Interested in streamlining professional workflows via AI , I am motivated to join SUN.RISER to apply my experience in building AI Agents and designing prompt pipelines. I am eager to help identify and resolve operational bottlenecks through intelligent au"/>
        <s v="My goal is to join a professional development process where I can contribute my skills. I believe that facing real technical challenges is the fastest way for me to grow into leadership roles in the future."/>
        <s v="What motivates me is the opportunity to transition my personal hobby from a simple past-time or academic necessity into an actual profession. This would allow me to not only develop the aptitude for game developing, but also to familiarize with a structur"/>
        <s v="Tôi ứng tuyển vị trí Data Analysis Intern vì phù hợp với định hướng phát triển của tôi trong lĩnh vực phân tích dữ liệu. Tôi mong muốn được học hỏi thêm kinh nghiệm thực tế, nâng cao kỹ năng và phát triển tư duy phân tích trong môi trường chuyên nghiệp. T"/>
        <s v="Tìm kiếm cơ hội việc làm"/>
        <s v="Em  lựa chọn vị trí này tại SUN.RISER vì nhận thấy sự phù hợp giữa yêu cầu công việc và định hướng phát triển của bản thân. Vị trí này cho phép em áp dụng kiến thức và kỹ năng đã học vào các dự án thực tế, đồng thời học hỏi thêm nhiều công nghệ và kinh ng"/>
        <s v="As a third-year student studying Data Science, I am eager to apply the knowledge and skills I have gained throughout my studies to real-world projects. Being a Data Analyst Intern at SUN.RISER is the best opportunity to do so. Also, SUN.RISER is a well-kn"/>
        <s v="Tôi mong muốn nâng cao kỹ năng phát triển game với Unity một cách bài bản. Qua các dự án, tôi nhận ra mình cần hiểu rõ hơn về toàn bộ quy trình phát triển game, không chỉ dừng ở việc hoàn thành tính năng. Tôi kỳ vọng được học hỏi trong môi trường thực tế "/>
        <s v="Em muốn thử sức và phát triển bản thân dù là thực tập thì em sẽ vẫn luôn trong tâm thế đi làm dốc hết sức hoàn thành công việc dù là những công việc khó hay dễ dù không biết thì em vẫn sẽ tìm hiểu và hoàn thành xuất sắc. Em mong Cty có thể cho em 1 cơ hội"/>
        <s v="Kinh nghiệm + môi trường làm việc tích cực và gắn bó lâu dài"/>
        <s v="I’m motivated to apply for this position at SUN.RISER because I’m looking for an environment where I can grow both technically and professionally through real-world projects."/>
        <s v="Mình quan tâm đến SUN.RISER vì muốn được học hỏi và trải nghiệm trong môi trường đề cao sáng tạo và trải nghiệm người dùng. Với định hướng phát triển trong lĩnh vực tuyển dụng, mình rất mong được hiểu cách một công ty như SUN thu hút và phát triển nhân sự"/>
        <s v="Là 1 sinh viên có tính cách hơi hướng nội, em rất yêu thích game, từ việc trải nghiệm đến quá trình tạo ra 1 game hoàn chỉnh. Việc ứng tuyển vào vị trí AI Engineer Intern tại SUN.RISER là cơ hội để em hiện thực hóa định hướng của mình, được tiếp cận thực "/>
        <s v="muốn học hỏi thêm về dev game và làm điều mình thích"/>
        <s v="I choose the Data Analysis Intern position at SUN.RISER because it matches my background in Python, SQL, Power BI, data cleaning, and reporting, while also giving me a chance to apply data analysis in the game industry. I want to learn how data supports u"/>
        <s v="i choose this position because it's matches my interest in Software Testing and my goal to grow in QA. i am excited about SUN.RISER’s mentoring environment, the opportunity to learn real QA processes in game products, and contribute with my knowledge in t"/>
        <s v="I’m passionate about QA and want to gain real experience in game testing while growing my skills at SUN.RISER."/>
        <s v="I am passionate about Data Analysis and have a strong foundation in logical thinking and data . I want to apply my technical skills to real-world projects at SUN.RISER. Although I am new to the gaming industry, I am eager to learn and improve my expertise"/>
        <s v="AI Engineering: Với dự án ICAT, tôi có thể xây dựng AI Agent tự động hóa quy trình, tăng tốc sản xuất và gỡ lỗi hệ thống. Tư duy XAI giúp đảm bảo tính minh bạch cho các tính năng AI.&#10;Data Analysis: Kinh nghiệm từ dự án FRED giúp tôi trích xuất insight từ "/>
        <s v="Tôi chọn SUN.RISER vì mong muốn chuyển hóa dữ liệu thành các chiến lược kinh doanh thực tế. Với kinh nghiệm quản lý KPI qua CRM ở VUS và xây dựng dashboard phân tích lợi nhuận, rủi ro qua các dự án cá nhân tôi tự tin có thể cung cấp những insight giá trị "/>
        <s v="Em mong muốn được làm việc với data trong môi trường thực tế để nâng cao kỹ năng phân tích và hiểu rõ cách dữ liệu hỗ trợ ra quyết định. Em cũng rất ấn tượng với định hướng sản phẩm và văn hoá năng động tại SUN STUDIO. Vì vậy, em mong muốn được trở thành "/>
        <s v="Sau khi tìm hiểu về văn hoá làm việc, sứ mệnh và con số 1 tỷ lượt chơi của SUN.STUDIO, em cảm thấy ấn tượng và mong muốn mang năng lực nhân sự và phân tích hành vi được kiểm chứng thông qua hai bài nghiên cứu khoa học và 2 năm gia sư vào mảng thu hút nhân"/>
        <s v="Tôi lựa chọn vị trí HR Intern vì tôi cảm thấy đây không chỉ là một vị trí thực tập thông thường mà là cơ hội để được học hỏi và tham gia thực tế vào nhiều mảng quan trọng của Nhân sự như tuyển dụng, onboarding, employer branding và phát triển con người. Đ"/>
        <s v="I am motivated to join SUN.RISER because it offers the opportunity to work with real game data and turn it into actionable insights that directly impact product decisions. The end-to-end exposure—from data querying and transformation to dashboarding—stron"/>
        <s v="I love working at a young and energy enviroment"/>
        <s v="Mình chọn vị trí Data Analysis Intern tại SUN.RISER vì đây là cơ hội hiếm có để mình áp dụng kỹ năng phân tích vào một lĩnh vực vừa có tính cạnh tranh cao, vừa cực kỳ giàu dữ liệu như ngành Game. Và vì chương trình này cho phép mình chạm tay vào sản phẩm "/>
        <s v="I'm motivated by SUN.RISER's creative direction. With my background in Unity and experience developing pixel/low-poly projects, I want to bring my technical skills and fresh perspective to help the team build high-quality, engaging games."/>
        <s v="Mình được biết Sun có một môi trường làm việc rất tốt, cùng với những anh chị chuyên môn cao, năng động. Vì thế nên mình muốn vào đây để học hỏi, để phát triển bản thân cũng như nghề nghiệp sau này"/>
        <s v="Tôi muốn làm việc và thử sức mình trong công ty, vì tôi cũng có 1 ít kinh nghiệm về QA Tester nên tôi chọn vị trí này."/>
        <s v="I want to apply AI to real-world products, especially in the game industry. SUN.RISER attracts me because it offers hands-on experience with real projects and a strong environment to grow as an AI engineer."/>
        <s v="Em chọn vị trí này vì niềm đam mê sâu sắc với việc xây dựng các thế giới trong game thông qua Unity. Sau khi tự phát triển các dự án game, em muốn thử thách bản thân trong một môi trường studio thực tế. Em tin rằng với nền tảng tư duy lập trình hệ thống c"/>
        <s v="I’m motivated to choose this position at SUN.RISER because it allows me to work on real game products while strengthening my technical skills and problem-solving mindset. I’m especially interested in how SUN.STUDIO builds and optimizes casual games, and I"/>
        <s v="I am eager to challenge myself in a new field."/>
        <s v="I have been following SUN.STUDIO’s innovative projects for some time and am deeply impressed by your creative tech environment. Currently, I am a final-year student specializing in RAG and LangChain architectures. I am eager to challenge myself in a new f"/>
        <s v="I am driven by the belief that a company’s success is built on its culture. Sun Studio’s vibrant and dynamic workplace is exactly where I see myself thriving. I chose this role because I want to learn how to foster a creative community and maintain high e"/>
        <s v="Mình là một người rất thích chơi các tựa game casual và có tính cách tỉ mỉ tại vì hay soi những lỗi nhỏ khi chơi game. &#10;Mình chọn vị trí QA tại SUN.STUDIO vì mong muốn được học hỏi quy trình kiểm thử chuyên nghiệp và góp phần làm ra những con game mượt mà"/>
        <s v="I am motivated to apply for the SUN.RISER Game QA Intern position because I want to work on real game products and learn a professional QA process. I am interested in mobile and casual games, especially analyzing player experience and game logic. This rol"/>
        <s v="I choose the Human Resources Intern position because I am interested in people, communication, and building a positive working environment. I want to learn how HR supports recruitment, employee engagement, and company culture, especially in a young and cr"/>
        <s v="I’m applying for this role because my interest in games has grown from simply playing to wanting to contribute to the player journey, supported by my background in marketing and communications. The SUN.RISER opportunity aligns with my curiosity about comb"/>
        <s v="Là một cử nhân mới tốt nghiệp về chuyên ngành Trí tuệ Nhân tạo, trên hết trong tâm là một người trẻ có niềm đam mê và hứng thú với game cũng như nguyện vọng có thể được là 1 phần phát triển các tựa game được nhiều người đón nhận như cách bản thân đã từng."/>
        <s v="Tôi có niềm đam mê và kinh nghiệm với AI"/>
        <s v="I choose SUN.RISER because I am impressed by its young, energetic, and growth-driven environment. As someone who is interested in games and curious about Game User Acquisition, I believe SUN.RISER is the right place for me to learn, challenge myself, and "/>
        <s v="I am especially interested in Casual and Puzzle games, and I often play and analyze puzzle games to better understand level design, core loops, player retention, and user experience. I enjoy observing how successful games balance difficulty, optimize enga"/>
        <s v="Sau khi tìm hiểu chương trình thực tập em nhận thấy môi trường ở Sun Riser rất phù hợp để em có thể phát triển"/>
        <s v="Em chọn vị trí này tại SUN.RISER vì đây là cơ hội để em có thể thử sức, phát triển trong ngành game. Em mong muốn học hỏi quy trình sản xuất thực tế từ các anh chị giàu kinh nghiệm, đồng thời rèn luyện tư duy lập trình, kỹ năng viết code để cùng chung tay"/>
        <s v="Vị trí UA Intern tại SUN.RISER là một cơ hội quý báu giữa một thị trường việc làm đầy biến động để bản thân tôi có được cơ hội để học tập và cống hiến với định hướng nghề nghiệp Growth Marketing của tôi"/>
        <s v="I’m motivated to join SUN.RISER because of my interest in games as products shaped by user behavior and data. I’m drawn to SUN.STUDIO’s focus on accessible, global games. With my background in campaign analysis and optimization, plus my fast learning and "/>
        <s v="I’m motivated to join SUN.RISER because this role combines three things I enjoy most: creativity, data, and optimization. In my previous projects, I used analytics to improve content performance, and I found that I really enjoy the process of testing idea"/>
        <s v="Dạ vì em thích game"/>
        <s v="Em rất thích và đam mê với game"/>
        <s v="I’m really excited about this role because I get to work with real game data every day — turning raw numbers into clear insights that actually help the team build better games. That’s what truly motivates me. I want to be part of a team that creates fun, "/>
        <s v="Em muốn chọn vị trí này để có thể tìm hiểu về công việc chuyên ngành của em, phát triển các kĩ năng cốt lõi cần có. Bên cạnh đó cũng muốn học hỏi thêm các anh chị đi trước kinh nghiệm làm việc và tác phong công việc ạ."/>
        <s v="I am driven by the challenge of finding edge cases and ensuring that the final product is seamless for the end-user. I enjoy the analytical process of breaking down a system to find its vulnerabilities before a user ever encounters them."/>
        <s v="I am impressed by Sun*'s unique model, which lies at the intersection of Technology, Business, and Education. I am seeking a position that allows me to develop deep technical expertise, understand business mindset, and have the opportunity to learn from t"/>
        <s v="Vì là vị trí công việc mà em luôn hướng đến. Tham gia dự án NCKH và được làm việc với dữ liệu, em đã yêu thích với việc phân tích insight từ dữ liệu để đưa ra kết luận và hướng đi phù hợp giúp tăng doanh thu. SUN.RISER là môi trường lý tưởng để em kết hợp"/>
        <s v="I chose SUN.RISER because it's the ideal environment for a recent graduate like myself to leverage my strengths in AI and data analytics. With experience building RAG systems with approximately 85% accuracy and interning in Prompt Engineering at Vinova, I"/>
        <s v="Tôi chọn vị trí này vì SUN.RISER nổi tiếng với môi trường làm việc năng động và chú trọng đào tạo thế hệ trẻ. Tôi tin rằng với cấu trúc tổ chức tại đây, kỹ năng của mình sẽ được phát huy tối đa, đồng thời tôi có cơ hội học hỏi từ những chuyên gia hàng đầu"/>
        <s v="As an IT student, I love working with data, analyzing it, and making data-driven decisions. Additionally, I am passionate about the gaming industry and eager to work in this environment."/>
        <s v="I am highly motivated to join SUN.STUDIO as an AI Engineering Intern because my background in Mathematics and Computer Science, along with my hands-on experience in LLM application development, aligns closely with your mission of automating internal workf"/>
        <s v="I choose this position because it focuses on applying AI to real workflows through LLM-based systems and agent design. I am interested in building AI pipelines and integrating models into practical systems rather than only training models. The opportunity"/>
        <s v="I chose Data Analysis at SUN.RISER to leverage my predictive modeling skills (specifically churn analysis) within the gaming industry. My background in Unity allows me to bridge the gap between complex data insights and technical implementation, ensuring "/>
        <s v="I am motivated to apply in SunStudio because of your creating engaging player experience. I am drawn to games where mechanics and user experience are closely linked. From what I have seen, SunStudio has a good balance between both aspects. In the long ter"/>
        <s v="I’m genuinely interested in marketing and game entertainment. As SUN.STUDIO works in the gaming and digital entertainment industry, it is exciting for me to gain experience in understanding audiences, trends, and creating content that people truly engage "/>
        <s v="Em muốn có thêm kinh nghiệm về môi trường làm việc chuyên nghiệp để phát triển bản thân và nâng cao cơ hội việc làm"/>
        <s v="Điều khiến mình lựa chọn vị trí Human Resources Intern tại SUN.RISER là cơ hội được làm việc trực tiếp với đội ngũ nhân sự trong ngành Game - một lĩnh vực mang tính sáng tạo cao và đa dạng về cá tính. Mình tin rằng việc đồng hành cùng những con người giàu"/>
        <s v="With my choice, my career orientation is being a Data analyst, especially in Game Development, and this position is very suitable for me about my skills, knowledge as well as my career path. Besides, Sun Studio is the professional environment for working "/>
        <s v="Trong lúc đợi xe bus, em rất hay chơi các dòng game casual puzzle. &#10;Điều khiến em chọn vị trí này là vì em rất hứng thú với định hướng phát triển game casual của công ty. &#10;Bản thân em cũng đang phát triển các dự án game bằng Unity, nên em rất muốn được th"/>
        <s v="Em chọn vị trí này vì sự giao thoa giữa ngành nhân sự và môi trường game đầy thử thách. Dù không chơi game, em có niềm yêu thích với việc quản trị con người trong các lĩnh vực sáng tạo. Em muốn tận dụng tư duy phân tích tâm lý để hỗ trợ đội ngũ, đồng thời"/>
        <s v="Vì định hướng phát triển lâu dài của bản thân trong lĩnh vực QA/QC và đồng thời là sự thích thú với ngành game(một môi trường thú vị cũng như nhiều thách thức)."/>
        <s v="I want to bring my Computer Science background in automated testing to ensure technically flawless gameplay experiences."/>
        <s v="I'm drawn to the Data Analyst Intern role at SUN.RISER because it aligns with my hands-on experience in building end-to-end data pipelines and machine learning models. Having worked on projects involving anomaly detection, time series analysis, and featur"/>
        <s v="I’m motivated to apply for the Game User Acquisition Intern position at SUN.RISER because it combines data-driven thinking with creativity - exactly the direction I want to pursue. I’m especially interested in how UA uses testing, user insights, and perfo"/>
        <s v="Simply because I have an interest in data and enjoy using it to solve problems."/>
        <s v="Em nghĩ là những kinh nghiệm và kiến thức bản thân mình rất match với lại Job Description, đây cũng là định hướng mà em muốn phát triển bản thân trong tương lai. Ngoài ra thì AI Engineer Intern là một cơ hội để em có được những bước đầu tiên trong công vi"/>
        <s v="I choose the AI Engineer position because I want to apply my AI knowledge to real projects and practical challenges. SUN.RISER is a great opportunity for me to learn, contribute, and grow in a dynamic environment."/>
        <s v="I chose this position to directly apply my AI and Data skills to real-world problems. More importantly, I am drawn to SUN.RISER's strong mentorship culture. I am not looking for a short-term stint; I want a professional environment where I can continuousl"/>
        <s v="I really love casual games and puzzles game like candy crush, Plants vs. Zombies, Subway surfers, having played them a lot since I was a kid. It's exciting to participate in designing these games and it was part of my dream too."/>
        <s v="vì mong muốn được cọ xát và trau dồi Data Analytics trong một môi trường kinh doanh thực tế, đòi hỏi khắt khe. Đồng thời, với nền tảng sẵn có về lập trình và mô hình hóa, mình kỳ vọng đây sẽ là nơi tôi có cơ hội được tham gia vào các bài toán khó hơn để p"/>
        <s v="I am motivated to join SUN.RISER for two main reasons:&#10;&#10;Technological Alignment: SUN.RISER’s commitment to innovation perfectly matches my career goal of becoming an AI Engineer.&#10;&#10;Growth &amp; Contribution: I am highly impressed by the professional growth opp"/>
        <s v="Tôi muốn phát triển bản thân ở một lĩnh vực khác, sau khi ra trường tôi chuyên về backend, nhưng thời điểm hiện tại tôi muốn theo về AI và về DA/DE"/>
        <s v="I’m motivated to join SUN.RISER because the AI Engineer role aligns with my goal of building real-world AI systems. I’m especially interested in working with LLMs and scalable solutions, and I see this as a great opportunity to grow while contributing to "/>
        <s v="have a strong passion for working with people and have gained hands-on experience in HR-related activities. Through my previous experiences, I’ve developed an interest in recruitment, employee engagement, and supporting team development. I can stand a cha"/>
        <s v="Sự mới mẽ và sự phát triển"/>
        <s v="Mình mong muốn được thử sức trong lĩnh vực game và muốn áp dụng các kiến thức phân tích mình đã học vào thực tế"/>
        <s v="With a strong interest in User Acquisition, especially in the gaming industry, I have been actively seeking opportunities to grow in this field. I see the SUN.RISER program as an ideal starting point to learn from experienced professionals and contribute "/>
        <s v="Động lực của em khi ứng tuyển vào SUN.RISER là cơ hội được cọ xát với môi trường thực tế để nâng cao kinh nghiệm chuyên môn. Em tin rằng với nền tảng kỹ thuật và khả năng tự học nhanh, em sẽ sớm bắt nhịp với các công nghệ mới tại công ty và hoàn thành tốt"/>
        <s v="Em có hơn 13 năm trải nghiệm game và luôn muốn hiểu cách game được tạo ra, không chỉ chơi chúng. Vị trí Unity Development Intern tại SUN.RISER là cơ hội để em chuyển nền tảng C# và tư duy hệ thống từ các dự án AI/simulation thành kỹ năng game development "/>
        <s v="phù hợp"/>
        <s v="Em thật sự mong muốn tìm được một môi trường năng động, phù hợp, chuyên nghiệp và tạo mọi điều kiện cần thiết để một sinh viên như em có thể phát triển."/>
        <s v="First, there's a personal reason, I'm a game enthusiast and I enjoy making games. As a final-year Software Engineering student, I’m deeply into C# and have already built an Action RPG on Unity, handling everything from combat logic to Boss AI. My backgrou"/>
        <s v="Mình lựa chọn intern AI engineer tại SUN.RISER vì mình là sinh viên ngành AI tại HCMUS và cũng thích chơi game trong thời gian rảnh, mình tò mò cách để 1 hệ thống AI hoạt động thực sự trong quy trình sản xuất game là như thế nào. Bên cạnh đó SUN.RISER có "/>
        <s v="I'm motivated to join SUN.RISER as an AI Engineer Intern because it sits at the perfect intersection of two things I'm passionate about: artificial intelligence and game development."/>
        <s v="Tuy học ngành Điện tử - Viễn thông, kiến thức về vị trí này có thể không sâu như các bạn trong ngành, nhưng em có niềm đam mê và tự tin mình có thể phát triển trong lĩnh vực này. Em chọn SUN.RISER vì đây có thể là môi trường để em học hỏi và áp dụng tư du"/>
        <s v="I choose the AI Engineer Intern position at SUN.RISER to gain hands-on experience in building real AI applications, strengthen my problem-solving skills, and learn from a professional team while contributing to meaningful projects."/>
        <s v="Mong muốn phát triển game global chuyên nghiệp, trau dồi khả năng phát triển game, đóng góp giá trị cho thị trường game."/>
        <s v="Em thích cảm giác trở thành 'chốt chặn' cuối cùng của một dự án. Em chọn làm QA vì muốn đóng vai trò bảo vệ chất lượng, đảm bảo rằng mọi phần mềm trước khi release đều là phiên bản hoàn thiện nhất, đáp ứng đúng nhu cầu nghiệp vụ và mang lại trải nghiệm tr"/>
        <s v="I’m really interested in this AI Engineer Intern position at SUN.RISER because it fits both what I’ve been studying and what I enjoy doing. I’ve been learning machine learning and working on some small projects, so I want to get real experience and see ho"/>
        <s v="Mình chọn vị trí này vì muốn được học hỏi, phát triển kỹ năng và đóng góp vào các hoạt động sáng tạo, năng động của SUN.RISER."/>
        <s v="Vì SUN.RISER được biết là 1 đơn vị phát triển game nổi tiếng và mang đến lộ trình phát triển rõ ràng cho thực tập sinh từ tư duy locgic cho đến kỹ năng phân tích."/>
        <s v="Em lựa chọn vị trí Game QA Intern tại SUN.STUDIO vì em nhận thấy đây là vai trò phù hợp nhất với định hướng phát triển của bản thân trong ngành game, đặc biệt là ở mảng đảm bảo chất lượng sản phẩm và trải nghiệm người chơi.&#10;&#10;Em có sự hứng thú với việc phâ"/>
        <s v="Điều khiến em lựa chọn vị trí này trong SUN.RISER là vì đây là cơ hội để em được phát triển trong môi trường thực tế, nơi em có thể áp dụng những kiến thức về dữ liệu và công nghệ mà mình đã học.&#10;Em đặc biệt quan tâm đến lĩnh vực AI Engineering và mong mu"/>
        <s v="Đào tạo bài bản: Được hướng dẫn (mentoring) từ những người có kinh nghiệm trong ngành.&#10;Tư duy dữ liệu: Rèn luyện khả năng phân tích chỉ số để tối ưu hóa chiến dịch Marketing.&#10;Soft skills: Cải thiện kỹ năng làm việc nhóm, giải quyết vấn đề và quản lý dự án"/>
        <s v="Đam mê AI và mong muốn làm việc lâu dài trong lĩnh vực AI"/>
        <s v="I really enjoy playing mobile games, and I once watched a video about the Game UA Marketing role, which focuses on helping users discover games through advertising. That’s why I’m very interested in this position and want to have more knowledge from this "/>
        <s v="Vì trong mắt tôi SUN.RISER là một nơi tốt để tôi có thể học hỏi kinh nghiệm từ những người giỏi hơn ở đó. Nơi mà tôi có thể phát triển theo đúng định hướng bản thân và sẵn sàng cống hiến 110% bản thân cho SUN.RISER để học hỏi và tạo nền tảng đứng cho bản "/>
        <s v="Marketing is one of the top three majors that I love during my learning courses (marketing, HR, and education). I also love playing games, not only playing but also having some interest in how to develop and giving some guides to play games more fun and e"/>
        <s v="Em mong muốn học hỏi thêm về mảng AI  và em đã có kinh nghiệm thực tập từ trước đó nên em tin rằng mình có năng lực cũng như kiến thức về : GIT , Jira , Scrum , SOLID, Restful Api , 2FA , Redux , React Native , Firebase"/>
        <s v="Em chọn vị trí Human Resources trong SUN.RISER vì em quan tâm đến việc phát triển con người và xây dựng văn hoá doanh nghiệp. Thông qua trải nghiệm trong Ban Nhân sự của Bach Khoa Ambassador Club, em nhận thấy mình phù hợp với các công việc liên quan đến "/>
        <s v="Em muốn áp dụng kiến thức AI/ML vào bài toán thực tế trong game. Em có kinh nghiệm Python, PyTorch qua dự án ở trường và mong muốn phát triển theo hướng AI Engineer tại Sun Studio."/>
        <s v="Because it perfectly combines my passion for gaming with my interest in software testing. This role offers an excellent opportunity to apply my testing skills, learn from experienced professionals, and contribute to creating high-quality games. I am excit"/>
        <s v="Because I have always felt the need to explore and learn across many different areas, I have not yet had the chance to focus deeply on one specific field. Joining SUN.RISER gives me the opportunity to work in a structured environment, where I can concentr"/>
        <s v="Em chọn vị trí Intern AI Engineer tại SUN.RISER vì em đang định hướng phát triển theo mảng AI và mong muốn được tham gia vào các dự án thực tế."/>
        <s v="I am motivated to choose the Data Analyst position at SUN.RISER because it provides the opportunity to work with real game data and understand how data supports decision-making in game development."/>
        <s v="Tôi chọn vị trí này tại SUN.RISER vì đây là cơ hội phù hợp để tôi phát triển kỹ năng Unity, học hỏi trong môi trường làm game thực tế và đóng góp vào những sản phẩm chất lượng. Tôi tin đây là nơi giúp tôi vừa nâng cao chuyên môn, vừa tích lũy kinh nghiệm "/>
        <s v="em nghĩ vị trí intern là bước phù hợp để em tiếp cận quy trình làm game chuyên nghiệp, làm việc cùng các anh chị trong team và hiểu rõ hơn về từng vai trò như game design, development hay QA. Qua đó, em có thể xác định hướng đi lâu dài của mình trong ngàn"/>
        <s v="Tôi đam mê phát triển game mobile nên muốn ứng tuyển vị trí này. Với kinh nghiệm Unity &amp; C#, tôi mong được đóng góp vào các tựa game vui, mượt mà và học hỏi từ team chuyên nghiệp."/>
        <s v="Em có niềm đam mê với ngành làm game, đặc biệt là đối với những game casual vì đó là một trong những thể loại game mà em yêu thích. Em cũng là một người học hỏi và sẵn sàng ghi nhận những ý kiến và đóng góp từ những thành viên trong dự án để phát triển kỹ"/>
        <s v="I love developing games."/>
        <s v="Vì em thấy làm game là một công việc rất thú vị, mình có thể trải nghiệm những sản phẩm do chính tay mình làm ra."/>
        <s v="- Em muốn học hỏi nhiều hơn về công việc của vị trí đồng thời muốn sử dụng kiến thức mình học được để ứng dụng vào thực tế để hiểu và phân tích được những nhu cầu thực tế của người dùng hoặc sáng tạo những điều phù hợp hữu ích cho họ"/>
        <s v="I am interested in this position due to my endless passion for game development, since I have little bit skills through building a game in Unity, I am not confident for the game dev position. Then, since I still want to contribution into the process of de"/>
        <s v="I’m motivated to join SUN.RISER because I want to grow in a fast-paced game studio that creates enjoyable games at scale. I’m excited to support hiring and improve candidate experience with strong coordination and attention to detail. And I’m eager to lea"/>
        <s v="Em muốn có cơ hội được tham gia vào dự án thật, học hỏi kinh nghiệm từ các dự án thực tế và anh chị đi trước để từ đó phát triển bản thân nhiều hơn"/>
        <s v="I’m motivated to join SUN.RISER because I want to explore a new domain in the game industry. Previously, I worked on data analysis in domains such as banking and marketing, and I’m eager to apply my skills to player data. I hope to leverage data-driven in"/>
        <s v="Tôi yêu thích game và mong muốn hiểu rõ cách một sản phẩm được hoàn thiện trước khi đến tay người dùng, vì vậy tôi chọn vị trí này để phát triển kỹ năng kiểm thử và đóng góp vào việc nâng cao chất lượng game."/>
        <s v="Em lựa chọn vị trí này vì em có hứng thú với việc kiểm thử và cải thiện chất lượng sản phẩm. Với nền tảng lập trình, em thích tìm lỗi, kiểm tra tính đúng đắn của hệ thống và đảm bảo trải nghiệm người dùng. Em tin SUN.RISER là môi trường phù hợp để em học "/>
        <s v="I am motivated to join SUN.RISER because this role fits my skills and provides valuable opportunities for growth and contribution."/>
        <s v="I have been passionate about gaming from a young age, with experience playing various titles such as Garena Liên Quân Mobile, PUBG Mobile, and Audition Online. This passion motivates me to apply for the HR Intern position where I hope to combine my intere"/>
        <s v="Tôi thích khám phá game và những gốc nhìn khác nhau của nhân vật từ đó có thể quan sát chi tiết và logic game chặt chẽ, điều này giúp tôi dễ dàng phát hiện lỗi và xác định nguyên nhân gây ra vấn đề trong game"/>
        <s v="Mong muốn được học hỏi và phát triển nhiều hơn về chuyên ngành của mình.&#10;Tìm một môi trường tốt để làm việc và phát triển lâu dài."/>
        <s v="Mình chọn vị trí AI Engineering Intern (NV2: Data Analysis Intern) vì mong muốn ứng dụng AI vào các sản phẩm thực tế trong lĩnh vực game. Đồng thời, mình còn quan tâm đến Data Analysis vì tin rằng dữ liệu đóng vai trò quan trọng trong việc hiểu và cải thi"/>
        <s v="I want to join SUN.RISER because I am drawn to its focus on creating engaging and innovative player experiences. As a game designer, I enjoy the challenge of turning ideas into interactive systems that feel meaningful and rewarding. SUN.RISER’s projects m"/>
        <s v="What motivated me to apply for this position at SUN.RISER is the opportunity to work with real user data in a game environment. I find game data very dynamic, especially in player behavior. I can contribute by ensuring data quality, applying proper data c"/>
        <s v="I choose the Data Analysis Intern position at SUN.RISER because it matches my background in data analysis and my interest in working with real-world data. I want to apply my Excel and SQL skills to generate insights and support decision-making, while gain"/>
        <s v="Em chọn vị trí AI Engineering Intern tại SUN.RISER vì em thường dùng AI để tự động hóa quy trình xây dựng các hệ thống. Em có hứng thú với việc thiết kế prompt, xây dựng AI Pipelines và Agents để giải quyết bài toán thực tế. Đây là cơ hội lý tưởng để em á"/>
        <s v="SUN.RISER offers a strong opportunity to apply AI knowledge to real-world problems. I want to gain hands-on experience, learn from experienced engineers, and further develop my skills in building practical AI solutions. This aligns well with my goal of be"/>
        <s v="I am motivated to apply because it aligns with both my passion for Human Resources and my strong interest for gaming. I enjoy connecting with people, building positive experiences, and contributing to team development. Gaming for me is a space of creativi"/>
        <s v="Vì vị trí này phù hợp với định hướng nghề nghiệp và kiến thức em đang theo đuổi trong ngành ISs. Em có sự hứng thú với việc làm việc cùng dữ liệu, phân tích và tìm ra insight để hỗ trợ việc ra quyết định.&#10;&#10;Bên cạnh đó, em mong muốn được học hỏi trong một "/>
        <s v="I am motivated to join the SUN.RISER program because it perfectly aligns with my passion for building Agentic Workflows and my drive to create tangible business impact. Having hands-on experience with LangChain, LangGraph, and advanced prompt engineering "/>
        <s v="I’m interested in the User Acquisition Intern position at Sun Studio because it combines my passion for gaming with my interest in data-driven marketing. I’m excited about the opportunity to help grow a game’s user base, analyze campaign performance, and "/>
        <s v="My motivation stems from a deep curiosity about the hidden mechanics that keep players engaged. My fascination with game design actually took off from playing Teamfight Tactics. Over time, I found myself looking past the gameplay to analyze the underlying"/>
        <s v="I chose the User Acquisition role at SUN.RISER because I want to go behind the scenes and learn to turn those player insights into growth. And as a gamer myself, I'm sincerely eager to master the process of testing creatives and finding the winning formul"/>
        <s v="I am drawn to the Data Analyst position at SUN.RISER because of my passion for the gaming industry and my fascination with data-driven insights. I am eager to apply my technical foundation to real-world gaming data. SUN.STUDIO is the ideal professional en"/>
        <s v="Ngành công nghiệp game đã luôn mà một phần mà em muốn tìm hiểu. Những vị trí tại SUN.STUDIO là một cơ hội tuyệt vời mà em nhận thấy mình có thể tìm hiểu và đào sâu hơn về ngành công nghiệp này."/>
        <s v="chi tiết của công việc khá phù với những kinh nghiệm của mình đã  có, và mình cũng mong muốn được thử sức trong môi trường làm việc chuyên nghiệp"/>
        <s v="Em chọn vị trí này vì niềm đam mê mãnh liệt với việc ứng dụng công nghệ. SUN.RISER là môi trường lý tưởng cho thực tập sinh, giúp em có thể nhanh chóng thích nghi và mang lại giá trị thực tế."/>
        <s v="Em lựa chọn chương trình SUN.RISER vì mong muốn được trải nghiệm môi trường làm việc chuyên nghiệp tại SUN.STUDIO, nơi em có thể chuyển hóa những kiến thức chuyên ngành AI còn mang tính lý thuyết trên giảng đường vào các dự án thực tế."/>
        <s v="Mình chọn ứng tuyển vào SUN.RISER vì mình nhận thấy đây là môi trường phù hợp để phát triển tư duy thiết kế game một cách bài bản và thực tế. Cá nhân mình là một người rất thích sáng tạo, yêu cái đẹp . Mình tin rằng môi trường năng động và định hướng sản "/>
        <s v="Khao khát có thể gắn bó với công ty để tạo nên con game có game play siêu cấp độc lạ, thu hút giới trẻ."/>
        <s v="I am motivated to apply for the HR Intern position in the Sun.riser program organized by SUN.STUDIO, as I am eager to learn how a company operates, especially in HR processes such as recruitment and training. I also look forward to joining and growing in "/>
        <s v="because I am deeply passionate about emerging technologies, especially Artificial Intelligence and Game Development"/>
        <s v="I chose SUN.RISER because I want to learn through real projects, not just theory. This position fits well with what I’m interested in,working with data and understanding user behavior to support product decisions.&#10;I also like that the role involves workin"/>
        <s v="Em chọn vị trí này vì em muốn áp dụng kiến thức Data Analytics vào thực tế, đặc biệt là phân tích hành vi người chơi để tạo ra insight và cải thiện sản phẩm. Đồng thời, em mong muốn học hỏi và phát triển trong môi trường game năng động như SUN.RISER."/>
        <s v="Đầu tiên là em thích chơi game với thứ hai là em muốn mang lại cho người dùng một trải nghiệm trọn vẹn nhất."/>
        <s v="Vị trí tại SUN.RISER là cơ hội vàng để chuyển hóa những kiến thức lý thuyết về xử lý dữ liệu lớn thành những thông tin chi tiết (insights) có giá trị, giúp doanh nghiệp thấu hiểu hành vi khách hàng một cách sâu sắc hơn."/>
        <s v="Have opportunities for personal and professional growth in a professional and dynamic working environment."/>
        <s v="Qua tìm hiểu, em thấy SUN.RISER có môi trường năng động và chú trọng vào hiệu quả marketing thực tế, điều này giúp em có cơ hội học hỏi và phát triển nhanh hơn. Em đặc biệt hứng thú với việc được tham gia xây dựng các chiến dịch marketing, đóng góp ý tưởn"/>
        <s v="Một ví trí có nhiều thử thách và lòng kiên nhẫn"/>
        <s v="Được tiếp xúc với quy trình làm việc và đào tạo chuyên nghiệp. Làm việc trong một doanh nghiệp chuyên về phát triển game là một ước mơ, khao khát của tôi. Tôi luôn tin mình sẽ đáp ứng được những yêu cầu mà quý doanh nghiệp đề ra."/>
        <s v="Em lựa chọn vị trí UA tại SUN.RISER vì định hướng performance và data-driven rất phù hợp với em. Em đã có cơ hội phân tích các chỉ số như engagement và hành vi người dùng trong các project trước, và đặc biệt hứng thú với việc tối ưu hiệu quả dựa trên dữ l"/>
        <s v="Em đã theo dõi Sun Studio từ lâu và thực sự ấn tượng với chất lượng hình ảnh cũng như tư duy thiết kế trong các sản phẩm của studio. Vì vậy, em chọn vị trí này với mong muốn được tiếp cận với môi trường phát triển game chuyên nghiệp, học hỏi từ đội ngũ củ"/>
        <s v="Em tin rằng những kỹ năng hiện có, được tích lũy qua quá trình học tập, rất phù hợp với vị trí Data Analysis Intern của SUN.RISER. Em mong muốn vừa áp dụng kiến thức để đóng góp, vừa học hỏi quy trình làm việc thực tế tại công ty. Đặc biệt, em có niềm hứn"/>
        <s v="First, I am highly attracted to the key responsibilities outlined in the job description. I see this as a perfect opportunity to learn and gain hands-on experience.&#10;Second, the 1-on-1 Mentorship benefit is a significant factor for me. I believe that havin"/>
        <s v="As someone who loves to play games and has a fundamental background in creative and digital marketing, I see UA as the perfect intersection for my career growth and personal interests.  I am motivated to join your team as an intern to receive structured t"/>
        <s v="I chose this position because I’m passionate about games and technology, and want to go beyond traditional software development by applying AI to real-world problems. Even starting as an intern, I see this as a chance to learn quickly and prove my value."/>
        <s v="I am motivated to apply for this position because it aligns with my career goal of developing expertise in digital transformation. SUN.RISER offers a dynamic environment where I can learn from experienced mentors, contribute to impactful projects, and gro"/>
        <s v="Em chọn vị trí này tại SUN.RISER vì em quan tâm đến phân tích dữ liệu trong lĩnh vực game, đặc biệt là cách dữ liệu giúp hiểu hành vi người chơi và cải thiện trải nghiệm người dùng."/>
        <s v="Quá trình làm backend và trực tiếp tích hợp các dịch vụ AI vào hệ thống thực tế đã khiến em thực sự hứng thú và muốn tiến sâu hơn. Em chọn vị trí này vì muốn chính thức thử sức ở mảng phát triển AI, dùng nền tảng tư duy hệ thống sẵn có của mình để trực ti"/>
        <s v="My motivation for choosing Sun.Studio stems from a deep-rooted curiosity for gaming and creative storytelling, even though I haven't worked in this industry yet. I’ve always been fascinated by how Sun.Studio creates such engaging experiences with simple a"/>
        <s v="Lý do mình chọn vị trí Unity Developer Intern tại SUN.RISER là khao khát được rèn luyện trong một môi trường chuyên nghiệp. Mình mong muốn được vận dụng những nền tảng kiến thức đã học để đóng góp giá trị thực cho Studio. Đồng thời, mình rất cầu thị được "/>
        <s v="An opportunity to merge my technical expertise in data analytics with my passion for the gaming industry, particularly within a fast-moving studio environment."/>
        <s v="Với kinh nghiệm về boardgame và các kiến thức đã tiếp thu ở trường, mình quyết định chọn vị trí này để làm quen với thị trường digital game và phát triển kĩ năng của bản thân."/>
        <s v="Lý do là vì em đã từng có kinh nghiệm làm game bằng Unity, em muốn học thêm nhiều nữa trong chương trình Thực tập của SUN.STUDIO"/>
        <s v="Em chọn Data Analyst vì yêu thích làm việc với dữ liệu, phân tích số liệu và tạo ra insight có giá trị. Với nền tảng backend, SQL và ETL, em muốn phát triển sâu trong lĩnh vực data."/>
        <s v="I wanted to challenge myself in this position. Sun Studio opened a path for me to learn and become a true game designer."/>
        <s v="Dù đã tự build hoàn chỉnh game multiplayer và vững tư duy hệ thống, code của em vẫn ở mức 'đồ án sinh viên'. Em chọn SUN.RISER vì cần một môi trường chuẩn mực để va chạm quy trình thực tế, học Clean Code và tư duy làm sản phẩm thương mại."/>
        <s v="Data has always been what drives my decisions — not assumptions. When I explored SUN.STUDIO's games, I noticed real room to grow in player retention and engagement. That gap excites me: using data to understand player behavior, identify friction points, a"/>
        <s v="I want to grow inside a team that takes game craft seriously. I have Unity experience from projects like Overrun and my thesis RogueLearn, but I know a professional studio is where real development happens."/>
        <s v="I chose to apply for Data Analyst Intern position at SUN.RISER because I see it as an opportunity to bridge what I have learned in school with real-world impact, especially in the gaming industry where data plays a crucial role in shaping user experience."/>
        <s v="Tôi muốn được học hỏi thêm kinh nghiệm làm việc từ môi trường của SUN.RISER đồng thời nếu có cơ hội tôi mong sẽ được gắn bó lâu dài với SUN.RISER"/>
        <s v="I choose this position because I want to understand how a game is developed and scaled in real practice, and this is also an opportunity for me to apply the Marketing foundation I have learned at university. With strong analytical thinking and a continuou"/>
        <s v="I want to develop myself in a professional, dynamic, and creative working environment. I am especially interested in the game industry, where innovation and user experience play a crucial role"/>
        <s v="Như đã ghi trong CV, tôi muốn trở thành một Game Designer có thể tạo ra các trò chơi độc đáo, sáng tạo, chinh phục người dùng và mang về doanh thu khủng cho quý công ty"/>
        <s v="After reviewing your job posting, I am very impressed and would love to be part of your team. I hope to begin my career in a professional, international environment. I believe my academic background and project experience have prepared me well to quickly "/>
        <s v="I am motivated to apply for the Data Analyst Intern position at SUN.RISER because it aligns with my goal of becoming a data-driven professional. I am particularly attracted to its structured training and real project exposure, which will help me strengthe"/>
        <s v="Em chọn vị trí này vì định hướng lâu dài của em là làm marketing, đặc biệt là với mảng vừa có sáng tạo vừa làm việc với số liệu. Em thích lên ý tưởng nhưng cũng muốn hiểu rõ hiệu quả qua các chỉ số để tối ưu tốt hơn. Ngoài ra, em cũng khá hứng thú với ngà"/>
        <s v="I choose this position because I want to apply AI to real game products and learn from practical projects. I believe SUN.RISER is a good opportunity for me to improve my AI skills and contribute to game development."/>
        <s v="Em tin vị trí này cho em cơ hội áp dụng kiến thức vào các dự án thực tế, học hỏi từ các anh chị có kinh nghiệm và nâng cao kỹ năng chuyên môn trong môi trường chuyên nghiệp."/>
        <s v="Em chọn vị trí này vì phù hợp với định hướng phát triển sự nghiệp của em trong lĩnh vực game"/>
        <s v="What excites me most about this position is how closely it aligns with my skills and interests, particularly in SQL, extracting insights from data and discovering hidden knowledge through the number of game players."/>
        <s v="Hứng thú với nhiều loại game của SUN.RISER, đặc biệt là game Sweet Cookie và Bubble Fall"/>
        <s v="Tôi chọn vị trí này vì nhận thấy sự tương đồng lớn giữa yêu cầu công việc và năng lực chuyên môn của mình trong việc tối ưu hóa dữ liệu và xây dựng báo cáo. Tôi khao khát được áp dụng những kiến thức này để cùng SUN.RISER tạo ra những kết quả đột phá."/>
        <s v="Em mong muốn bắt đầu sự nghiệp trong ngành game với vị trí QA vì em hiểu rằng chất lượng là yếu tố cốt lõi để giữ chân người chơi và em cũng muốn góp phần tạo ra những tựa game hay."/>
        <s v="Tôi chọn DA Intern ở SUN.RISER vì:&#10;- Yêu thích môi trường trẻ trung, năng động, nơi tinh thần &quot;dám nghĩ dám làm&quot; luôn được ưu tiên để bứt phá giới hạn.&#10;- Muốn biến niềm đam mê dữ liệu thành những giá trị thực sự cho sự phát triển của công ty.  &#10;- Sẵn sàng"/>
        <s v="Em chọn vị trí Data Analyst Intern tại SUN.RISER vì đây là công việc em muốn theo đuổi lâu dài và cũng là lĩnh vực em cảm thấy phù hợp với khả năng phân tích, xử lý số liệu của mình. Ngoài ra, SUN.RISER thuộc công ty game nên em thấy đây là môi trường rất"/>
        <s v="Mình tìm đến Sun Studio với mục đích học hỏi thêm những kiến thức mới và nhanh chóng tiếp cận được với những công nghệ hiện đại hơn."/>
        <s v="Với đam mê về Game và dữ liệu, em luôn muốn khám phá dữ liệu game và đưa ra các insight chất lượng, cùng phối hợp với các team liên quan để nâng cao trải nghiệm người chơi với tựa game yêu thích của họ."/>
        <s v="Em lựa chọn vị trí này tại SUN.RISER vì đây là cơ hội rất phù hợp với định hướng phát triển trong ngành Digital Marketing mà em đang theo học.Những mô tả công việc như nghiên cứu thị trường, cũng như phân tích các chỉ số như CTR, CPM, ROAS đều là những ki"/>
        <s v="Tôi muốn làm ra những con game đỉnh, feeling cao, combat đã tay"/>
        <s v="Là sinh viên năm 3 CNTT, mình đã thực hành các dự án AI trên trường và cá nhân nhưng chưa có cơ hội làm việc trong môi trường thực tế. Mình chọn vị trí này vì muốn hiểu rõ hơn cách AI được ứng dụng trong game development và học cách làm việc trong một tea"/>
        <s v="I am motivated to apply for the AI Engineering Intern position at SUN.RISER because it closely matches my current focus on LLMs, RAG, AI Agents, and AI-powered workflow automation.&#10;I am especially interested in building practical AI pipelines, structured "/>
        <s v="Em là sinh viên năm cuối ngành Hệ thống Thông tin với mong muốn được thực tập ở vị trí Data Analysis. Em lựa chọn SUN.RISER vì cơ hội được tiếp cận dữ liệu từ các sản phẩm game và tham gia vào quá trình truy vấn, xử lý, trực quan hóa dữ liệu để hỗ trợ ra "/>
        <s v="Personally, I have strong interest in the Game Industry, especially  the process of developing a game from initial concept, working with it from draft to real production. And furthermore, I am a gamer myself with high interested in cozy and casual game, t"/>
        <s v="Tôi lựa chọn vị trí Data Analysis Intern tại SUN.RISER vì 3 lý do chính:&#10;- Niềm yêu thích dành cho game, ở nhiều hình thức, thể loại, và chủ đề. Tôi mong muốn sự nghiệp của mình có thể xoay quanh ngành này;&#10;- Cơ hội học hỏi về chuyên môn liên quan tới dữ "/>
        <s v="I am passionate about game development and have built several Unity projects to improve my skills in C# and game logic.&#10;I want to join SUN.RISER to gain real-world experience, learn from experienced developers, and continue growing as a Unity developer."/>
        <s v="Em lựa chọn vị trí này vì muốn mở rộng từ nền tảng thiết kế đồ họa sang thiết kế game và định hướng phát triển lâu dài trong lĩnh vực này. Với kinh nghiệm về hình ảnh và màu sắc, em tin rằng mình có thể hỗ trợ tốt về mặt thẩm mỹ và trải nghiệm người chơi."/>
        <s v="Em mong muốn được tham gia làm việc thực tế tại SUN.RISER để phát triển định hướng trở thành Game Designer. Với nền tảng về thiết kế, em mong muốn hướng sâu hơn vào lĩnh vực game, đặc biệt quan tâm đến việc xây dựng gameplay và tối ưu trải nghiệm người ch"/>
        <s v="Tôi có niềm đam mê với game và muốn lan tỏa niềm đam mê đến nhiều khách hàng hơn"/>
        <s v="Em chọn SUN.RISER vì muốn phát triển trong môi trường làm sản phẩm thực tế, có định hướng rõ ràng và tốc độ cao.&#10;&#10;Em đã có kinh nghiệm làm mobile, fullstack và tìm hiểu AI, nhưng em muốn cải thiện hơn thông qua mentorship và sản phẩm có người dùng thật. E"/>
        <s v="Tôi chọn vị trí này vì muốn có cơ hội học hỏi thêm, trải nghiệm thực tế và phát triển bản thân trong môi trường chuyên nghiệp của SUN.RISER."/>
        <s v="Tôi chọn SUN.RISER vì tôi muốn làm việc trong một môi trường mới là lĩnh vực kiểm thử game thay vì kiểm thử phần mềm đã làm trước đây."/>
        <s v="Tôi đã được tiếp xúc với việc chơi game từ sớm, vì vậy tôi có một niềm đam mê mãnh liệt với các trò chơi. Và không chỉ chơi tôi còn một cái giấc mơ đó là sẽ tạo được một trò chơi của riêng mình, một trò chơi để chơi cùng bạn bè của tôi, nhưng càng lớn tha"/>
        <s v="I've always loved gaming and being able to make a living out of working on games would be like a dream come true.  I enjoy being around people knowledgeable about gaming and its intricacies"/>
        <s v="I am passionate about game development and aspire to create my own game. Therefore, I am seeking an internship to gain hands-on experience, learn from senior developers, and build a strong foundation in game creation."/>
        <s v="Em quan tâm đến phân tích dữ liệu và muốn phát triển trong lĩnh vực này. Vị trí Data Analysis Intern tại SUN.RISER là cơ hội phù hợp để em học hỏi, áp dụng kỹ năng và tạo ra giá trị từ dữ liệu."/>
        <s v="Vì mình muốn phát triển theo hướng performance marketing, đặc biệt là trong ngành game.  Ngoài ra, môi trường như ở SUN.RISER sẽ giúp mình học được nhiều kỹ năng thực chiến và hiểu rõ hơn về cách đưa một sản phẩm đến với số lượng lớn người dùng."/>
        <s v="Em chọn vị trí này vì bản thân em rất hứng thú với trong việc học hỏi, trau dồi thêm kiến thức như thiết kế nhân vật, uiux, thiết kế bối cảnh trong lĩnh vực thiết kế game. Sau khi tìm hiểu, em thấy định hướng của công ty rất phù hợp với mục tiêu phát triể"/>
        <s v="I chose this position in SUN.RISER because it aligns with my career goals in the technology field. I hope to learn in a professional environment, work on real projects, and develop both my technical skills and problem-solving abilities."/>
        <s v="Em rất thích trải nghiệm các thể loại game và đã luôn mong muốn có cơ hội để được thực tập và thử công việc liên quan đến sáng tạo game nên em xem đây là cơ hội để mình có thể cố gắng trong lĩnh vực này.&#10;Đây có thể là lần đầu tiên em tham gia vào vị trí n"/>
        <s v="Em chọn SUN.RISER tại SUN.STUDIO vì đây là cơ hội kết hợp giữa dữ liệu, hành vi người dùng và game. Kinh nghiệm tại VNG Corporation giúp em hiểu rõ các chỉ số như retention, ARPU và funnel. Em muốn phát triển sâu hơn về product analytics, xây dựng hệ thốn"/>
        <s v="I’m interested in the Game Intern Developer position at SUN.RISER because I want to improve my skills through real projects and teamwork in a professional game development environment."/>
        <s v="Mong muốn được học hỏi nhiều điều về môi trường làm việc, tiếp xúc xã hội &amp; nâng cao khả năng và kiến thức về Unity."/>
        <s v="Trong quá trình làm intern, em nhận ra mình hứng thú với digital và tối ưu hiệu quả hơn là chỉ làm content. Em cũng chơi game như Liên Quân Mobile và game casual nên khá quan tâm đến cách thu hút người chơi và khi tìm hiểu thì thấy mảng UA này đang phát t"/>
        <s v="I want to become a game designer who want to design amazing games with my passion"/>
        <s v="Một môi trường làm việc trẻ, đầy năng lượng tích cực và nhiều điều mới"/>
        <s v="Qua tìm hiểu, em ấn tượng với tinh thần đổi mới tại SUN.RISER. Việc công ty sẵn sàng mở ra vị trí AI Intern cho thấy tầm nhìn đón đầu công nghệ. Em muốn được đóng góp sức trẻ, khả năng học hỏi nhanh và tư duy kỹ thuật của mình vào một đội ngũ không ngại t"/>
        <s v="Em nhận ra mình phù hợp với phân tích dữ liệu phục vụ bài toán kinh doanh hơn là lập trình thuần kỹ thuật. Vì vậy, em ứng tuyển vị trí Data Analysis Intern tại SUN.RISER để phát triển theo hướng này và học cách tạo ra insight từ dữ liệu."/>
        <s v="Dạ động lực để em ứng tuyển vị trí Game UA Intern tại SUN.RISER là vì em đang tìm kiếm cơ hội để được học và nâng cao kỹ năng Performance Marketing trong một môi trường chuyên nghiệp. Bên cạnh đó em mong muốn tìm một công việc để có thêm thu nhập ạ."/>
        <s v="Hiện tại, tuy có nền tảng về luật nhưng em mong muốn định hướng phát triển ở mảng HR. Em tin rằng những nền tảng về luật có thể hỗ trợ tốt cho các công việc HR như quản lý hồ sơ nhân sự, xây dựng và tuân thủ chính sách, cũng như xử lý các vấn đề về quan h"/>
        <s v="I choose this position to apply my knowledge of models and optimization thinking to building real-world AI agents. I am particularly impressed by the Automation Pipeline training program at SUN.RISER and tools like LangChain and n8n, which help improve re"/>
        <s v="Yêu thích game, có định hướng theo QA Game Tester"/>
        <s v="Em muốn có cơ hội áp dụng những kiến thức và tư duy đã được học và mài dũa vào giải quyết các vấn đề thực tế, trực quan hóa chúng thành bức tranh toàn cảnh hỗ trợ cho các quyết định chiến lược của công ty"/>
        <s v="Chuyên ngành em đang theo học là Công nghệ Marketing tại UEH. Em được tiếp xúc không chỉ về marketing mà còn tiếp xúc nhiều với công nghệ và dữ liệu. Qua những môn học tại giảng đường, em nhận thấy bản thân có niềm yêu thích với data và mong muốn hỏi hỏi "/>
        <s v="I’m interested in SUN.RISER because it combines my marketing background with my passion for gaming, and I want to grow in user acquisition and performance marketing at SUN.STUDIO."/>
        <s v="Em ứng tuyển vì định hướng AI - Automation của SUN.RISER rất khớp với chuyên môn hiện tại của em. Với kinh nghiệm thực tập AI Engineer (hỗ trợ xây dựng hệ thống RAG, LLM và data pipelines), em tự tin ứng dụng kỹ năng Prompt Engineering để phát triển trợ l"/>
        <s v="Em chọn vị trí này vì tôi yêu thích lĩnh vực game và muốn được tham gia vào quá trình tạo ra trải nghiệm thú vị cho người chơi. Em mong muốn được học hỏi trong môi trường chuyên nghiệp như SUN.RISER để phát triển thêm về tư duy thiết kế gameplay, khả năng"/>
        <s v="Tôi có gần 1,5 năm kinh nghiệm phát triển game Unity WebGL và hiện muốn tham gia môi trường chuyên nghiệp hơn để phát triển thêm về kỹ năng kỹ thuật cũng như teamwork. Đồng thời, tôi cũng định hướng lâu dài ở mảng game mobile puzzle/casual và nhận thấy SU"/>
        <s v="Em chọn vị trí Tester tại SUN.RISER vì em muốn thử sức trong lĩnh vực kiểm thử game. Em mong muốn được tham gia vào quá trình đảm bảo chất lượng sản phẩm, tìm hiểu quy trình testing thực tế và phát triển thêm kỹ năng QA/QC của bản thân."/>
        <s v="Em rất thích việc được phát triển các game casual giải trí nhẹ nhàng, hấp dẫn. Em cũng muốn được trải nghiệm quy trình làm game sản phẩm thực tế, cũng như được học hỏi kinh nghiệm từ các anh chị đi trước."/>
        <s v="Tôi chọn vị trí Intern Game Design tại SUN.RISER&#10; vì tôi thích phân tích gameplay và tìm hiểu lý do khiến người chơi bị cuốn vào một game.Tôi nghĩ khả năng phân tích và tư duy về player experience của mình phù hợp"/>
        <s v="Em có đam mê lập trình game, muốn trải nghiệm công việc thực tế của công việc cũng như gắn bó lâu dài với ngành game trong tương lai. Ngoài ra em muốn học hỏi thêm nhiều kiến thức thực tế từ những người đi trước để phát triển bản thân trong ngành lập trìn"/>
        <s v="Em chọn vị trí này vì em muốn phát triển theo hướng UA Marketing. Em thích công việc liên quan đến phân tích dữ liệu và tối ưu campaign. Sau khi tìm hiểu, em thấy môi trường ở SUN.RISER khá trẻ và có định hướng rõ về performance marketing, nên em nghĩ đây"/>
        <s v="Em chọn vị trí Game QA Intern tại SUN.RISER vì em yêu thích lĩnh vực CNTT (Game) và muốn học hỏi quy trình QA thực tế. Em hứng thú với việc kiểm tra, phát hiện lỗi và góp phần cải thiện trải nghiệm người chơi trong môi trường làm việc chuyên nghiệp."/>
        <s v="I’m motivated to apply for this position at SUN.RISER because of my strong interest in mobile games and my desire to work in data-driven marketing. I’m particularly drawn to how this role balances creativity in developing ad concepts with accuracy in anal"/>
        <s v="Điều khiều em chọn vị trí này chính là việc được tham gia vào quy trình phân tích dữ liệu Game thực tế. Ngoài ra, bản thân em cũng là người rất thích và đam mê game."/>
        <s v="Em lựa chọn vị trí này vì yêu thích dòng game Casual/Puzzle và mong muốn được học hỏi cũng như tham gia vào quá trình thiết kế game thực tế. Em cũng cảm thấy định hướng của SUN.RISER rất phù hợp với mục tiêu phát triển của bản thân."/>
        <s v="Em có đam mê và mong muốn được tham gia các dự án phát triển Game, hy vọng có thể tạo ra những sản phẩm thú vị."/>
        <s v="Em chọn vị trí AI Engineer Intern tại SUN.RISER vì muốn phát triển AI trong môi trường sản phẩm thực tế, đặc biệt là ngành game. Em hứng thú với cách SUN.STUDIO tập trung vào trải nghiệm người chơi, xây dựng sản phẩm accessible cho người dùng. Em mong muố"/>
        <s v="Em lựa chọn vị trí Data Analysis Intern vì em hứng thú với việc sử dụng dữ liệu để phân tích hành vi người dùng và tìm ra insight hỗ trợ cải thiện sản phẩm cũng như tăng trưởng; cách dữ liệu có thể giúp đưa ra các quyết định chính xác hơn thay vì dựa trên"/>
        <s v="Em ấn tượng với việc SUN.STUDIO tiên phong dùng AI trong Game Design. Với kinh nghiệm dùng AI làm GDD/Wireframes, em muốn học hỏi về Product Analysis và tối ưu data quy mô lớn để đóng góp hiệu quả cho các dự án Casual/Puzzle của công ty."/>
        <s v="Với em, Game Design là công việc biên tập trải nghiệm người chơi. Nền tảng Công nghệ đổi mới sáng tạo giúp em mạnh về phân tích hành vi, thiết kế workflow và định nghĩa game mechanics thay vì tập trung vào lập trình. Vị trí khớp với tư duy hệ thống và địn"/>
        <s v="I have loved playing and creating games since I was at the very young age. Being a part of a professional game studio will help me to gain more hands-on experience in developing more games that meet commercial standards. Besides, I want to connect with ex"/>
        <s v="Đối với em game không chỉ là để chơi mà còn là để trải nghiệm, đắm chìm vào thế giới của tựa game, vào nhân vật, nên em đang tìm kiếm một cơ hội trở thành một game designer"/>
        <s v="My background in MIS and my internship experience helped me realize that I enjoy identifying inconsistencies, reviewing workflows, and finding ways to improve operational efficiency in daily processes.&#10;I believe my analytical thinking, attention to detail"/>
        <s v="I chose SUN.RISER because I want to grow in Game Design through real production experience. I enjoy analyzing gameplay systems, progression, and player experience, especially in Casual/Puzzle games. I also want to improve my design thinking by learning fr"/>
        <s v="Em mong muốn tham gia học hỏi, trau dồi kĩ năng và kiến thức"/>
        <s v="Điều khiến em chọn SUN.RISER là vì đây là nơi AI phải hoạt động thật trong tổ chức thật, với Product, HR, Marketing không phải chỉ research. &#10;Khi làm DentAI, em nhận ra phần khó nhất không phải train model, mà là làm output đúng format, đủ tin cậy để ngườ"/>
        <s v="Mình chọn SUN.RISER vì muốn được học và tham gia trực tiếp vào quá trình xây dựng AI workflows, automation và các công cụ AI ứng dụng thực tế. Mình hứng thú với Prompt Engineering, AI Pipelines và mong muốn phát triển kỹ năng thông qua môi trường teamwork"/>
        <s v="Mình ứng tuyển vị trí Game Designer Intern tại SUN.RISER vì muốn nghiêm túc theo đuổi ngành game, lĩnh vực mình luôn đam mê. Dù xuất phát điểm là Graphic Designer chuyển ngành và vẫn còn là một fresher, mình luôn sẵn sàng học hỏi, thử thách bản thân và bắ"/>
        <s v="Tôi chọn vị trí AI Engineer Intern vì muốn có cơ hội tiếp cận thực tế việc ứng dụng AI trong doanh nghiệp, đặc biệt trong môi trường phát triển game. Tôi xem đây là cơ hội để học hỏi, hiểu rõ hơn về quy trình làm việc và định hướng bản thân trong lĩnh vực"/>
        <s v="Beyond gaining hands-on experience, I choose this position to understand the real-world development workflows behind a leading game studio. I am deeply curious about how your team creates, optimizes, and scales complex games and software products. This in"/>
        <s v="Vì em đã tìm hiểu về lĩnh vực UA marketing, em mong muốn thực hiện hóa các kiến thức mình học vào công việc thực tế"/>
        <s v="Em đam mê phát triển game và muốn học hỏi thêm về gameplay design cũng như quy trình làm game chuyên nghiệp. Em nghĩ SUN.RISER là môi trường phù hợp để em phát triển kỹ năng và tích lũy kinh nghiệm thực tế."/>
        <s v="Em chọn vị trí này vì đây là công việc phù hợp nhất với điểm mạnh và sở thích của em. Em thích phân tích, quan sát và thường xuyên đặt câu hỏi về lý do đằng sau một vấn đề nào đó và em cũng mong muốn được học hỏi và cải thiện nhiều hơn về tư duy phân tích"/>
        <s v="What motivates me to choose this position is that it matches both my background and my career goals. I am studying in Data Science, and I want to develop my skills in data analysis and problem-solving in a real working environment."/>
        <s v="Em chọn vị trí thực tập tại SUN.RISER vì nhận ra mình có niềm đam mê rất lớn với việc tối ưu hóa giao diện nơi em có thể chuyển hóa những tư duy thiết kế, nền tảng từ quá trình học hỏi thành những sản phẩm công nghệ mang lại giá trị thật ."/>
        <s v="Em lựa chọn vị trí Game User Acquisition Intern tại SUN.RISER đầu tiên là vì em khá hứng thú cũng như muốn thử sức trong lĩnh vực game, đây cũng là cơ hội để em phát triển trong lĩnh vực marketing và user growth mà em quan tâm, đặc biệt là kết hợp giữa ng"/>
        <s v="I learned about SUN.STUDIO through information shared by Assoc. Prof., Ph.D. Chau. After conducting thorought research (LinkedIn, Website, Facebook...) SUN.STUDIO has become my top choice. The SUN.RISER program is a perfect oppoturnity for the DA position"/>
        <s v="Em lựa chọn vị trí Data Analyst Intern tại SUN.RISER vì em mong muốn được phát triển kỹ năng phân tích dữ liệu trong một môi trường chuyên nghiệp, năng động và có cơ hội học hỏi thực tế."/>
        <s v="I chose the Data Analysis Intern position at SUN.RISER because I enjoy working with data to solve problems and generate meaningful insights. I’m interested in how data can improve user experience and support business decisions, especially in the gaming in"/>
        <s v="I’m motivated by the chance to improve game quality and player experience. With my Game Design background, I’m used to testing builds, spotting gameplay issues, and giving structured feedback. I believe SUN.RISER is the right environment for me to learn p"/>
        <s v="Tôi chọn vị trí này tại SUN.RISER vì đây là cơ hội để tôi áp dụng kiến thức kiểm thử phần mềm vào môi trường phát triển game thực tế. Tôi muốn đóng góp vào điều đó. Bên cạnh đó, tôi mong muốn được học hỏi quy trình QA chuyên nghiệp từ đội ngũ có kinh nghi"/>
        <s v="Đầu tiên em ấn tượng với định hướng rõ ràng và quy mô lớn của SUN.RISER, đồng thời em cũng muốn tìm hiểu cách ứng dụng AI để tối ưu hóa trong cách vận hành games như thế nào. Ngoài ra, vị trí này tập trung mạnh vào việc sử dụng Prompt Engineering để thiết"/>
        <s v="I’m motivated to join SUN.RISER because the position aligns well with my interest in data-driven problem solving and business analysis. I’m especially excited about the opportunity to work on real projects, learn from experienced teammates, and further de"/>
        <s v="As an RMIT graduate with experience in bilingual education, I am passionate about storytelling that resonates with young learners and parents. I see this position as a perfect opportunity to use my skills."/>
        <s v="The philosophy: dreaming big, taking challenges, and never giving up, perfectly mirrors my own professional journey.&#10;&#10;Having participate in many roles (PL, organizing member) in many competition, I thrive in environments that reward ownership and bold thi"/>
        <s v="What drew me to Sun.Riser is the chance to work with real product data, building pipelines and dashboards teams rely on. Their mission of making games accessible and enjoyable reflects how I think about data: clear enough for teams to act fast. I also wan"/>
        <s v="Ước mơ của tôi là tự tay tham gia vào quá trình tạo ra những tựa game chất lượng. Với nền tảng Unity sẵn có, tôi tìm đến SUN.RISER là một môi trường sáng tạo, nơi hội tụ những người có cùng đam mê. Tôi tin rằng sự kỷ luật cùng với sức sáng tạo của mình sẽ"/>
        <s v="Tôi chọn vị trí này vì muốn ứng dụng AI vào workflow thực tế, từ phân tích quy trình, tìm điểm nghẽn đến xây dựng AI pipeline/agent workflow để tự động hóa tác vụ thủ công. Tôi có kinh nghiệm với LLM, RAG, OCR, structured output và API service, phù hợp vớ"/>
        <s v="because I want to grow in a professional game development environment and improve my real production skills."/>
        <s v="Là một sinh viên ngành Công nghệ thông tin, tôi đã dành nhiều thời gian nghiên cứu về phát triển ứng dụng di động và hệ thống backend. Việc tự tay xây dựng dự án 'Cẩm nang cho cộng đồng người chơi game Gacha' không chỉ giúp tôi rèn luyện tư duy lập trình "/>
        <s v="Sự tương đồng về định hướng sản phẩm: Tôi có niềm đam mê đặc biệt với dòng game Casual và Puzzle — vốn là thế mạnh cốt lõi của SUN.STUDIO. Những dự án tôi từng thực hiện như WayFinder, Quiz Master đều tập trung vào việc tối ưu hóa trải nghiệm người dùng đ"/>
        <s v="I am excited to apply for the position at SUN.RISER because it offers the opportunity to work in the gaming industry, a dynamic and fast-paced environment where I can apply my analytical skills to real-world challenges. I am also eager to learn from pract"/>
        <s v="I have been following SUN.RISER and the products for a while, and I am interested by what you create. I believe this company is the perfect environment for me to further develop my career. More importantly, it is a place where I want to fully dedicate my "/>
        <s v="Em chọn vị trí này vì em hứng thú với việc phân tích dữ liệu nhằm tìm insight và hỗ trợ đưa ra quyết định. Em cũng thích môi trường game vì dữ liệu phản ánh rõ hành vi người dùng và thay đổi liên tục. Ngoài ra, định hướng xây dựng hệ thống dữ liệu và dash"/>
        <s v="Mong muốn được học hỏi và tích lũy kinh nghiệm trong môi trường phát triển game chuyên nghiệp, đồng thời phát triển thêm kỹ năng thiết kế game của bản thân. Niềm yêu thích với công việc của một Game Designer, phân tích, thiết kế các cơ chế trò chơi, màn c"/>
        <s v="Em chọn vị trí này với mong muốn phát triển lâu dài theo hướng UA/Performance Marketing. Tuy đã có 1 năm kinh nghiệm, nhưng do em là sinh viên trái ngành Marketing nên em vẫn mong muốn có cơ hội được học lại từ đầu một cách bài bản hơn, đặc biệt về User A"/>
        <s v="Mục tiêu nghề nghiệp và định hướng phát triển của bản thân, đồng thời công việc này là niềm yêu thích tôi theo đuổi từ đại học đến nay"/>
        <s v="Trong quá trình học tập tại trường cùng với các hoạt động ngoại khóa như các cuộc thi học thuật và các dự án cá nhân, em đã được học các công cụ như Excel, SQL và PowerBI cùng với các kỹ năng phân tích dữ liệu, và em đang tìm kiếm một vị trí DA Intern để "/>
        <s v="Em chọn vị trí này trong SUN.RISER vì em muốn được làm việc trong môi trường thực tế, học hỏi từ các anh chị có kinh nghiệm và phát triển kỹ năng chuyên môn thông qua các dự án thật. Em tin chương trình sẽ giúp em tích lũy nhiều kinh nghiệm và phù hợp với"/>
        <s v="Tôi luôn có một niềm đam mê với việc lập trình game, đặt biệt là các tựa game mobile casual, puzzle, . . .&#10;Tôi đã tìm hiểu và thấy công ty rất hợp với đam mê của bản thân nên tôi hi vọng khi chọn vị trí này tôi sẽ có cơ hội được hỏi hỏi kinh nghiệm, được "/>
        <s v="I've spent the past year designing and balancing game features at two studios, and Casual/Puzzle is the genre I find most compelling — the challenge of making simple mechanics feel fair, satisfying, and replayable is something I want to go deeper on."/>
        <s v="Mình muốn được tham gia vào quy trình tạo nên các Game thật đang vận hành và học hỏi từ team giỏi, nhiệt huyết với nghề"/>
      </sharedItems>
    </cacheField>
    <cacheField name="*Why do your applied position *&#10;_Vì sao bạn muốn ứng tuyển vào vị trí này trong chương trình SUN.riser? _" numFmtId="0">
      <sharedItems>
        <s v="tôi nghỉ vị trí này phù hợp vì tôi đang định hướng bản thân theo hướng lập trình game và AI"/>
        <s v="I believe this role involves analyzing player data to understand user behavior and support product decisions. It includes working with datasets, dashboards, and cross-functional teams. I’m a good fit because I have experience in data pipelines, warehousin"/>
        <s v="Vị trí này sẽ đóng góp việc phát triển game. Mình cảm thấy phù hợp với vị trí này vì sự đam mê giành cho game và đã có kinh nghiệm phát triển quảng cáo game."/>
        <s v="Sau 3 năm làm Unity Developer, mình nhận ra bản thân không chỉ muốn dừng lại ở việc hiện thực hóa logic bằng code, mà còn khao khát được thổi 'hồn' vào trò chơi.&#10;&#10;Mình chọn vị trí này tại SUN.STUDIO vì muốn thử sức ở vai trò Game Designer — nơi mình có th"/>
        <s v="Phối hợp với đội ngũ làm game như game designer, game tester, artist 2D/3D,... làm game thông qua quy trình chuyên nghiệp từ thiết kế prototype cho đến sản phẩm hoàn chỉnh."/>
        <s v="Theo tôi vị trí này sẽ hỗ trợ về việc code, design game &#10;Cá nhân tôi , thông thạo unity cũng như sử dụng git ,tính học hỏi cao,tinh thần và trách nhiệm với công việc,biết lắng nghe và sửa đổi,có tinh thần làm việc nhóm"/>
        <s v="Em đã từng trực tiếp phân tích, thiết kế hệ thống và viết GDD cho các thành phần mới của một dự án game thực tế đang vận hành. Qua các cuộc thi nhờ việc tự tay đảm nhận cả vai trò Developer lẫn Level Designer trong các dự án cá nhân, em tự tay xử lý các l"/>
        <s v="Em nghĩ vị trí này sẽ code game bằng C# trong unity, Làm gameplay, UI, animation, logic và fix bug, tối ưu game. Em nghĩ em phù hợp với vị trí trên bởi vì em đã làm qua những game cơ bản và hiểu được luồng và cơ chế game, Ngoài ra em là một người rất đam "/>
        <s v="tôi có sở thích muốn được ấn định cho feel game nhiều hơn"/>
        <s v="Mình thích trải nghiệm sản phẩm sau đó phân tích đảm bảo vận hành đúng thiết kế.báo cáo góp ý. &#10;Tìm lỗi cải thiện sản phẩm đến khi được phát hành."/>
        <s v="Em hiểu Game Designer Intern tại SUN.RISER sẽ hỗ trợ xây dựng tài liệu thiết kế, brainstorm ý tưởng, phân tích gameplay, và phối hợp cùng team để cân bằng, tối ưu trải nghiệm người chơi.&#10;&#10;Em có tư duy logic tốt, am hiểu cơ chế game, và đặc biệt yêu thích "/>
        <s v="I see this role as translating complex numbers into clear solutions for the business. I am a strong candidate because I combine a technical background with a natural curiosity for data patterns. With my experience in SQL and data modeling, I can help the "/>
        <s v="This role involves supporting the design team — documenting mechanics, balancing gameplay, and turning ideas into systems. My gaming experience sharpened my sense of player experience and what could be improved, and my Game Development background lets me "/>
        <s v="Với vị trí game designer điều mình cần có là kỹ năng thiết kế lối chơi (gameplay design) , thiết kế hệ thống (quest, event,..), cân bằng trò chơi, làm việc với team dev/art và phân tích, cải thiện được trải nghiệm người chơi...Mình phù hợp với vị trí này "/>
        <s v="viết code logic cho game, nên em thấy phù hợp vì em có tình tò mò và chịu tự tìm hiểu khi không làm được, và em cũng thích tự tay viết ra code"/>
        <s v="Tôi hiểu vị trí này đòi hỏi việc hiện thực hóa ý tưởng thành gameplay bằng Unity/C#, tối ưu hiệu suất và phối hợp cùng team Design/Art. Với nền tảng C# vững chắc, tư duy OOP tốt và tối ưu thuật toán, tôi tự tin về khả năng logic và giải quyết vấn đề của m"/>
        <s v="Em phù hợp với vị trí này vì có nền tảng backend và tư duy hệ thống, quen làm việc với API, dữ liệu và luồng xử lý. Ngoài ra, em đã từng tích hợp AI vào project thực tế nên hiểu cách làm việc với LLM và xử lý output. Em cũng chủ động học hỏi và muốn phát "/>
        <s v="I believe this role involves designing engaging gameplay experiences and ensuring game quality. I’m a good fit because I have experience in user flow design and QA processes, along with a technical background that helps me understand both gameplay and sys"/>
        <s v="This role involves supporting the game development process, collaborating with teams, and improving product quality.&#10;I’m a good fit because I have a strong technical foundation, real project experience, and I’m eager to learn and grow in the game industry"/>
        <s v="Tôi nghĩ vị trí này sẽ bao gồm xử lý dữ liệu, xây dựng và đánh giá các mô hình AI/ML, cũng như hỗ trợ triển khai vào thực tế. Ngoài ra, cần phối hợp với team và liên tục học hỏi để cải thiện mô hình.&#10;&#10;Tôi phù hợp vì đã có kinh nghiệm làm các project về dữ"/>
        <s v="Vị trí này tập trung phân tích hành vi người chơi, theo dõi các chỉ số như retention, engagement, monetization và xây dựng dashboard hỗ trợ ra quyết định. Em phù hợp vì có nền tảng SQL, Python, Power BI, kinh nghiệm xử lý dữ liệu và tư duy phân tích theo "/>
        <s v="I think this role involves bot manual and automation testing of functional and regressing features to ensure there's a minimal amount of bugs and issues.&#10;I believe I'm a good fit because I'm detail-oriented and I see this role as a crucial learning opport"/>
        <s v="Em tin mình là mảnh ghép phù hợp vì em có sự kết hợp giữa tư duy logic của một người làm game và thẩm mỹ của một người làm thiết kế. Qua quá trình thực hiện đồ án tốt nghiệp về game 2D, em đã rèn luyện được kỹ năng xây dựng Game Design Document (GDD) và h"/>
        <s v="Game Designer là vị trí mà em sẽ khảo sát thị trường, lên ý tưởng concept rồi viết thành Game Document 1 cách dễ hiểu để có thể gửi xuống các bộ phận khác và phối hợp để có thể làm ra 1 game hoàn chỉnh và gửi đến các người chơi trải nghiệm ạ. Em đã thử tì"/>
        <s v="Thực hiện quá trình sáng tạo, lập quy tắc và xây dựng trải nghiệm cốt lõi của trò chơi, bao gồm bối cảnh, nhân vật, luật chơi và cơ chế tương tác.&#10;Với bản thân có nền tảng về kỹ thuật phần mềm và trải nghiệm nhiều tựa game tôi tin rằng thể thực hiện tốt đ"/>
        <s v="Theo em vị trí em chọn sẽ lập trình các tính năng của trò chơi các cách thức hoạt động,chuyển động của nhân vật, cách các npc vận hành và là một trong các vai trò quan trọng trong việc tạo ra một con game hoàn chỉnh.&#10;Em nghĩ mình phù hợp vì có sự yêu thíc"/>
        <s v="I believe this role involves analyzing player behavior and game metrics to provide actionable insights for optimizing game balance and enhancement. With a solid background in Data Science and a deep understanding of gaming mechanics, I can efficiently pro"/>
        <s v="This role focuses on analyzing player behavior, tracking key metrics such as retention, engagement, and building dashboards to support decision-making. I am a good fit because I have a strong foundation in SQL, Python, along with experience in data proces"/>
        <s v="I believe this role involves supporting the team with practical tasks and projects while learning how work is done in a real environment. I’m a good fit because I’m eager to learn, careful and detail-oriented, and I always try to complete every task in th"/>
        <s v="I believe this role involves applying AI to improve game workflows and product quality.&#10;I am a good fit because I have hands-on AI experience, especially in computer vision, and I am eager to learn and apply my skills in a practical environment."/>
        <s v="Với vị trí này, em cần phối hợp với cả team dev và team art để tạo nên gameplay thú vị, đồ hoạ bắt mắt, hợp gameplay, và công việc không chỉ ở thiết kế gameplay mà còn phải phân tích, thiết kế UX."/>
        <s v="Game Designer là người hiện thực hóa ý tưởng thành gameplay thông qua GDD, đồng thời thiết kế trải nghiệm người chơi, cân bằng game và cải thiện sản phẩm dựa trên dữ liệu, phối hợp với các team để hoàn thiện game.&#10;Tôi phù hợp vì có nền tảng Game Design từ"/>
        <s v="It involves using C# to develop gameplay logic, optimizing performance, and collaborating with the team to build high-quality games on Unity. I have a solid foundation in Software Engineering. My mindset for clean code and strong self-learning ability all"/>
        <s v="Mình nghĩ vị trí này sẽ vừa thiết kế gameplay (cơ chế, level, progression) vừa trực tiếp phát triển trong Unity bằng C# để hiện thực hóa ý tưởng.&#10;Mình phù hợp vì có nền tảng Unity/C# tốt, hiểu cách xây dựng gameplay và đã có kinh nghiệm làm game. Đồng thờ"/>
        <s v="Em nghĩ vị trí này bao gồm việc thiết kế gameplay, xây dựng ý tưởng và tối ưu trải nghiệm người chơi. Em phù hợp vì có hứng thú với việc phân tích cách game vận hành, luôn đặt góc nhìn của người chơi khi tìm hiểu game, và chủ động học thêm về cả game desi"/>
        <s v="Theo em nghĩ vị trí Unity intern sẽ tham gia phát triển các tính năng cơ bản của game như gameplay, UI, xử lý logic, fix bug và hỗ trợ tối ưu hiệu năng game, bên cạnh đó sẽ làm việc trực tiếp với các bộ phận khác như design hoặc art để hoàn thiện sản phẩm"/>
        <s v="Vị trí này sẽ cùng đội ngũ tham gia vào dự án Game, quy trình sản xuất game. Em phù hợp với công việc vì em luôn tập trung vào việc &quot;liệu người chơi có thấy vui không&quot;, em muốn tạo ra những tựa game phù hợp với người chơi hiểu rõ được insight người dùng"/>
        <s v="Tôi nghĩ vị trí này tập trung vào xây dựng và tối ưu hệ thống game, đặc biệt là gameplay và trải nghiệm tương tác, đồng thời đòi hỏi khả năng học hỏi và giải quyết vấn đề. Tôi phù hợp vì có nền tảng về phát triển game, khả năng tự học tốt, và mong muốn áp"/>
        <s v="“Em nghĩ vị trí này sẽ tham gia hỗ trợ team trong các nhiệm vụ thực tế, học quy trình làm game và thực hiện những công việc được giao một cách cẩn thận, đúng deadline. Em phù hợp vì em ham học hỏi, chịu khó, có tinh thần trách nhiệm và sẵn sàng bắt đầu từ"/>
        <s v="Game design sẽ thiết kế các qui luật game, các màn chơi và cân bằng điều đó để có thể thu hút và giữ chân người dùng, nói không ngoa khi Game Designer là người vẽ ra cái nhìn tổng quát trước tiên về một tựa game. Với background của bản thân đã nêu trong C"/>
        <s v="This role includes developing features with AI and using AI for better work performance."/>
        <s v="Integrate AI into production system, AI Agent, Chatbot, Research. I believe I am a goos candidate as I have experience in those related fields."/>
        <s v="Đối với vị trí AI Engineer, tôi sẽ ứng dụng những công cụ AI để xây dựng các tính năng hỗ trợ cho công việc của công ty và một số game. Còn đối với Game Designer, tôi sẽ xây dựng, thiết kế các màn chơi, tinh chỉnh theo khách hàng để cho ra được màn chơi ("/>
        <s v="- Sẽ cải thiện tốc độ ra nhân vật, design, tự động hóa các công việc lặp lại. Vì tôi từng làm các công việc liên quan tới ML/DL cũng như các tools tạo ảnh/video Grok, Veo, Sora, Kling,..."/>
        <s v="Theo mô tả, em hiểu vị trí này tập trung vào việc ứng dụng AI vào quy trình phát triển và vận hành game, đặc biệt là xây dựng các workflow tự động hóa nhằm tối ưu hiệu suất và tiết kiệm thời gian cho công ty.&#10;Em tin mình phù hợp vì đã có nền tảng kiến thứ"/>
        <s v="Em nghĩ sẽ là phân tích dữ liệu, vẽ dashboard, report hoặc thậm chí một phần việc của data engineer như xây dựng các pipeline dữ liệu"/>
        <s v="Em nghĩ role Data Analyst Intern sẽ làm các công việc như thu thập, xử lý và phân tích dữ liệu, tạo report/dashboard và hỗ trợ team đưa ra quyết định dựa trên data.&#10;Role này phù hợp với em vì em có nền tảng về SQL/Python và đã làm một số project liên quan"/>
        <s v="Em hiểu rằng Unity intern sẽ làm những task cụ thể như implement feature, viết C# script, debug theo hướng dẫn của senior — hơn là tự thiết kế từ đầu.&#10;Về lý do em phù hợp — em có nền tảng lập trình với TypeScript / C#, nên tư duy về logic, cấu trúc code, "/>
        <s v="Data Analysis có nhiệm vụ thu thập dữ liệu từ người chơi và từ đó phân tích, đánh giá dựa trên các tiêu chí nhưng độ tuổi, thời lượng chơi, xu hướng chơi,... Từ đó, có chiến lược phát triển và cải thiện game tốt hơn, tối ưu hơn. Em cảm thấy những gì mình "/>
        <s v="I believe this role focuses on building AI models and supporting their deployment in real applications. With my background in machine learning and hands-on AI projects, I can contribute while continuously learning and improving."/>
        <s v="Theo mình, vị trí này sẽ hỗ trợ tuyển dụng và chăm sóc đội ngũ sản xuất Game để đảm bảo mọi người làm việc hiệu quả nhất. Mình tin bản thân phù hợp vì sự tỉ mỉ khi làm Tester, kết hợp với kỹ năng điều phối hậu cần và sự nhạy bén với xu hướng trẻ từ việc l"/>
        <s v="This role involves building and deploying AI/ML systems, working with data pipelines, and delivering scalable, real-world solutions. I’m a good fit because I have hands-on experience with AI applications and data workflows, and I focus on building practic"/>
        <s v="Em nghĩ vị trí này là Đảm bảo hoạt động của AI, tham gia xây dựng hoặc cải tiến model, deloy model và hoàn thiện pipelines"/>
        <s v="Tôi nghĩ vị trí này sẽ làm về: Gennerative AI, Automation và Deployment. Dùng GenAI để làm cho NPC tương tác thông minh và tự nhiên hơn. Áp dụng Computer Vision hỗ trợ quá trình kiểm thử tự động. Đóng gói các mô hình AI thành API để tích hợp vào hệ thống "/>
        <s v="Ở vị trị này thì mình sẽ là một người xây dựng nên 1 tựa game, có những lối chơi độc đáo, mới mẻ. Xây dựng nên những tựa game có sự sáng tạo, đột phá.&#10;Tôi cảm thấy mình phù với vị trí này do tôi có trải nghiệm khá nhiều tựa game, tôi cũng hiểu về Game Pla"/>
        <s v="QA sẽ kiểm tra chất lượng phần mềm, viết test case, test chức năng và tìm bug để đảm bảo sản phẩm hoạt động đúng. Em phù hợp vì em cẩn thận, có tư duy logic, hay tự test lại sản phẩm khi làm project và có nền tảng frontend nên hiểu cách hệ thống hoạt động"/>
        <s v="Mình nghĩ rằng vị trí này sẽ tham gia trực tiếp vào việc tạo ra con game từ con số 0, biến những ý tưởng thành trải nghiệm thực tế, tối ưu hệ thống để mang đến những trải nghiệm mượt mà.&#10;mình tự tin có nền tảng lập trình tốt, cũng như trải nghiệm nhiều lo"/>
        <s v="I think this role involves applying AI for automation tasks, such as optimizing workflows, handling data, or supporting game operations. I’m a good fit because I have experience working with AI tools and can quickly adapt to building practical solutions. "/>
        <s v="I think Unity Development will involve things like gameplay programming, handling interactions between objects, processing effects, animations and audio, UI - UX, and game optimization.&#10;I think I'm quite familiar with these types of tasks. Although I have"/>
        <s v="Nhận yêu cầu, lấy data, xử lý data, phân tích data , đưa ra insight"/>
        <s v="Theo em vị trị này là cầu nối biến dữ liệu thành quyết định kinh doanh. Em sẽ phân tích hành vi người chơi để giải mã lý do họ ở lại hay rời bỏ, từ đó đề xuất các cải tiến giúp sản phẩm tăng trưởng.&#10;Tại sao em phù hợp:&#10;1. Em luôn đặt câu hỏi &quot;Phân tích nà"/>
        <s v="I understand this role focuses on coding and optimizing Unity gameplay features. I'm confident I'm a strong fit because, while I have less than a year of industry experience, my core IT background in C# and OOP is very solid. I'm a fast learner, ready to "/>
        <s v="This role involves developing and optimizing game mechanics in Unity. I am a great fit because, despite having under a year of experience, my solid C#/OOP foundation and logical thinking enable me to adapt quickly and code efficiently."/>
        <s v="I understand this role focuses on ensuring game quality through systematic testing, rigorous bug tracking, and cross-functional collaboration. I am a strong fit because my foundation in Software Quality Assurance directly aligns with these requirements."/>
        <s v="Vị trí này sẽ tập trung vào việc ứng dụng AI để tối ưu hóa quy trình sản xuất game và nâng cao trải nghiệm người dùng thông qua tự động hóa. Tôi hoàn toàn phù hợp với vai trò này nhờ kinh nghiệm thực chiến trong việc xây dựng hệ thống RAG-based chatbot và"/>
        <s v="Mình nghĩ vị trí UA sẽ tập trung vào việc thu hút người dùng mới thông qua các campaign quảng cáo trả phí và theo dõi các chỉ số như CPI, retention để tối ưu hiệu quả. Mình chưa có nhiều kinh nghiệm nhiều về UA, nhưng có nền tảng tốt về video và content, "/>
        <s v="Em tin mình là lựa chọn phù hợp vì nền tảng Kỹ sư Phần mềm giúp em có tư duy hệ thống và khả năng giải quyết vấn đề vững vàng. Kinh nghiệm xử lý logic phức tạp với Java và JavaScript, cộng thêm kỹ năng đọc hiểu tài liệu tiếng Anh tốt giúp em nắm bắt cực k"/>
        <s v="Em nghĩ vị trí này sẽ bao gồm việc học hỏi nhanh, hỗ trợ các công việc trong dự án thực tế, phối hợp với các thành viên trong nhóm, và liên tục nâng cao kỹ năng chuyên môn cũng như tư duy giải quyết vấn đề. Vị trí này cũng có thể yêu cầu sự thích nghi tốt"/>
        <s v="Vị trí AI sẽ ứng dụng thuật toán để tối ưu trải nghiệm game, DA sẽ phân tích số liệu giúp vận hành sản phẩm. Em phù hợp nhờ nền tảng Data Science, kinh nghiệm thực chiến mô hình Deep Learning (CV, NLP) và tư duy data-driven nhạy bén, sẵn sàng chuyển hóa d"/>
        <s v="Em nghĩ vị trí Data Analyst Intern sẽ bao gồm việc thu thập, làm sạch và phân tích dữ liệu để tạo ra insight hỗ trợ ra quyết định, đồng thời xây dựng báo cáo hoặc dashboard. Em phù hợp vì đã có kinh nghiệm qua các đồ án về xử lý và phân tích dữ liệu, sử d"/>
        <s v="This role might involve optimizing game studio workflows by designing AI agents and pipelines that automate manual tasks across departments using LLMs and API integrations.&#10;&#10;I am a good fit because of my hands-on experience in architecting agentic workflo"/>
        <s v="I believe this role involves collecting, analyzing, and interpreting data to support business decisions, improve game performance, and understand player behavior.&#10;I believe I’m a good fit because I have strong analytical thinking, solid SQL and data handl"/>
        <s v="Em nghĩ vị trí Data Analysis Intern sẽ tập trung vào phân tích dữ liệu người chơi để hiểu hành vi người dùng, theo dõi hiệu quả sản phẩm và đưa ra insight hỗ trợ các quyết định về phát triển game cũng như tăng trưởng.Em hứng thú với môi trường sản phẩm nh"/>
        <s v="Game design là vị trí đặt lên móng cho từng gia đoạn phát triển của một tựa game, không chỉ đơn thuần thiết kế game mà họ còn bảo gồm rất nhiều công đoạn thiết kế level design, UI design, nghiên cứu thị trường su hướng game, với liềm yêu thích về game từ "/>
        <s v="Áp dụng AI để nâng cao hiệu xuất công việc, đối với mảng DA đây là một bài toàn thực tế để em có thể lấy insight từ các dữ liệu có thực. Với vốn kiến thức và những kỹ năng AI engineer, Data Analyst là chuyên ngành học của mình thì em tin có đủ khả năng ph"/>
        <s v="As I understand it, an AI Engineering Intern is fundamentally about engineering models for practical applications. I believe I am a strong fit for this role because I already have a solid foundation in exactly the kind of applied AI and engineering work  "/>
        <s v="I believe this role involves building gameplay features, integrating UI, fixing bugs, and learning Unity 2D development in a team environment.&#10;&#10;I’m a good fit because I have a solid foundation in C# and Unity, hands-on project experience, and I’m eager to"/>
        <s v="Em nghĩ vị trí này sẽ khai thác, truy vấn, và phân tích các dữ liệu liên quan đến vận hành, hiệu suất. Đồng thời, vị trí cũng sẽ thực hiện trực quan hóa các dữ liệu có liên quan để những team khác có thể theo dõi và đánh giá tổng quan những tiến trình đặc"/>
        <s v="This role will take part in game development or designing game. I am good fit for this position because I have 8 months experience in Level Contributor role for Lihuhu Games and I work with puzzle game"/>
        <s v="-Ở vị trí này, một Game Developer sẽ viết code, phát triển các &#10;tính năng của game, fix bugs, và optimize performance. Làm việc với team để hoàn thành dự án.&#10;-Tôi phù hợp vì tôi có kinh nghiệm phát triển game với nhiều thể loại khác nhau, biết cách giải q"/>
        <s v="Thực hiện khai thác và phân tích các tập dữ liệu về cách người dùng tương tác với game để tìm ra các xu hướng hoặc điểm bất thường. Trong dự án cá nhân, tôi đã xây dựng các mô hình dự báo sử dụng phân tích chuỗi thời gian, điều này giúp tôi rèn luyện kỹ n"/>
        <s v="Vị trí này sẽ bao gồm: Xây dựng các quy trình tự động hóa bằng AI (Agentic Workflows), thiết kế logic để kết nối các bước xử lý của LLM, sử dụng Prompt và API để tạo ra hệ thống AI hoàn chỉnh. Em nghĩ mình sẽ phù hợp bởi các yếu tố sau : Đã có kinh nghiệm"/>
        <s v="I believe this role involves supporting data and AI/ML workflows in a game development environment, including data pipelines, dataset processing, and model optimization. I’m a good fit because I have hands-on experience with end-to-end pipelines, large-sc"/>
        <s v="Theo tôi, vị trí này tập trung vào việc hiểu quy trình làm việc của đội ngũ, xác định điểm nghẽn và triển khai giải pháp AI phù hợp. Tôi nghĩ mình phù hợp với vị trí này vì tôi có kiến thức cơ bản về xây dựng RAG pipeline cho tài liệu tiếng Việt, thiết kế"/>
        <s v="Tôi nghĩ vị trí này sẽ phụ trách các công việc liên quan tới phát triển một phần mềm game trên tảng Unity như lập trình các cơ chế trong game, tối ưu hiệu năng, cũng như phối hợp với các thành viên khác để hoàn thiện sản phẩm.&#10;Tôi tin rằng mình phù hợp vớ"/>
        <s v="Vị trí này công việc là lên ý tưởng cho game: cốt truyện, nhân vật,...Với chuyên ngành đã học là Thiết kế mỹ thuật số, với những kiến thức đã được đào tạo em nghĩ mình phù hợp với vị trí này."/>
        <s v="Em nghĩ vị trí này sẽ liên quan đến việc làm việc với dữ liệu và hỗ trợ sản phẩm, như phân tích hành vi người chơi hoặc áp dụng các mô hình machine learning để cải thiện hiệu quả game.&#10;Em nghĩ mình phù hợp vì em đã có nền tảng về Machine Learning và Data "/>
        <s v="em nghĩ AI Engineer sẽ tạo ra 1 quy trình áp dụng AI vào sinh mã tự động cần đảm bảo chất lượng (cókiểm thử) cũng như là tăng tốc độ dự án, ngoài ra có thể xây dựng các mô hình AI tạo ra các NPC có tính tự chủ hơn là theo luồng giải thuật có sẵn, khiến tr"/>
        <s v="I see this role as ensuring functional integrity and performance stability through rigorous testing cycles. My IT background and SQL knowledge enable me to investigate root causes and support the Dev team more effectively than a manual tester. I am commit"/>
        <s v="Em nghĩ Unity Developer sẽ tập trung vào việc lập trình gameplay mechanics, xử lý logic game và phối hợp với các bộ phận khác để hoàn thiện sản phẩm. &#10;Em đã có kinh nghiệm với Unity 2D dù chỉ mới ở mức thiết lập animations cơ bản. Em có thói quen tự tìm h"/>
        <s v="I believe the Data Analysis Intern role at Sun Studio focuses on analyzing player data, building reports, and generating insights to support game and product decisions. I’m a good fit because I have hands-on experience in data processing, analytics, and A"/>
        <s v="Em nghĩ vị trí này sẽ phải tìm hiểu được mong muốn của người chơi là gì và dựa vào đó kết hợp với định hướng ban đầu của game để thiết kế ra một trò chơi đủ sức lôi cuốn và quan trọng là giữ chân người chơi."/>
        <s v="Vị trí này sẽ lên kế hoạch, thiết kế cơ chế chơi cho game, phân tích dữ liệu người dùng, quản lí các bạn Level Design, cải tiến tối ưu quy trình thiết kế game. Do em có kinh nghiệm làm cộng tác viên Level Contributor cho game Hole Em All thể loại puzzle c"/>
        <s v="Tôi nghĩ là vị trí này sẽ trực tiếp tham gia vào quy trình phát triển Game thể loại Casual/Puzzle trên Mobile bằng Unity, bao gồm quá trình xây dựng gameplay, tích hợp animation...&#10;Tôi tin rằng mình phù hợp với vị trí này vì tôi đã phát triển và tự tay th"/>
        <s v="Game QA (Quality Assurance) không chỉ là người &quot;chơi thử để tìm lỗi&quot;, mà là người kiểm soát quy trình đảm bảo chất lượng, ngăn chặn rủi ro từ sớm. Với nền tảng từ ngành học, cả làm game và thiết kế tôi mang đến góc nhìn đa chiều của cả Developer và QA. Nh"/>
        <s v="I think this role involves testing games and finding bugs. I’m a good fit because I enjoy playing games and paying attention to details."/>
        <s v="This role focuses on driving user acquisition through campaign execution and continuous optimization to achieve measurable growth.&#10;&#10;I am a good fit because I have hands-on experience in user acquisition and growth, with a strong focus on data-driven execu"/>
        <s v="I believe I’m a good fit for this role as my background aligns with the AI and system-oriented requirements, and I can quickly learn and adapt to bridge my current lack of experience as a student."/>
        <s v="Em hiểu vị trí này tập trung vào việc phân tích workflow và triển khai các giải pháp AI Automation. Em tin mình là mảnh ghép phù hợp nhờ nền tảng NLP cùng kinh nghiệm thực tế qua các đồ án AI với RAG, Fine-tuning hay Prompt Engineering. Những kỹ năng này "/>
        <s v="- Em nghĩ vị trí này sẽ giúp đảm bảo chất lượng game thông qua các test, tìm ra và báo cáo các bug đến Dev/Designer để tối ưu trải nghiệm người chơi.&#10;- Nền tảng Hệ thống thông tin rèn cho em tư duy logic và sự tỉ mỉ. Kỹ năng phân tích luồng quy trình (UML"/>
        <s v="I think this role involves building and improving AI/data systems and solving real-world problems. I’m a good fit because I have hands-on experience with AI projects and can learn and apply new technologies quickly."/>
        <s v="1 AI Engineer có thể có nhiều vai trò khác nhau: tích hợp các mô hình vào các ứng dụng, thu thập và tiền xử lý các dữ liệu để huấn luyện và tối ưu mô hình trên môi trường ứng dụng thực tế. Em tự tin với các kỹ năng đã được học sẽ có thể làm tốt các công v"/>
        <s v="Dựa trên JD em thấy vị trí hiện tại là sự kết hợp giữa TA, L&amp;D và Admin. Em nghĩ vị trì phù hợp với em vì em đã có nền tảng một ít về các công việc admin và tuyển dụng. Ngoài ra em còn là người chủ động trong việc học hỏi nên em nghĩ mình sẽ thích nghi tố"/>
        <s v="As a Game Designer, I believe I'd not only design game mechanics and gameplay experience, but also refining and balancing them so as to provide the best possible experience for players. It's also necessary to document all my work into a Game Design Docume"/>
        <s v="Em nghĩ vị trí này sẽ tập trung vào việc nghiên cứu và tích hợp các mô hình AI để tối ưu hóa tính năng game, tự động hóa quy trình hoặc cá nhân hóa trải nghiệm người chơi. Em tin mình phù hợp vì sở hữu nền tảng vững chắc, có kinh nghiệm thực chiến phát tr"/>
        <s v="This role involves building 2D casual games, from core gameplay to UI and optimization. As an HCMUS student with Game Jam experience, I am a great fit because I value clean logic. I find satisfaction in building robust, scalable systems that integrate sea"/>
        <s v="I believe I’m a good fit because I have experience building 2D Unity games and understand the basics of gameplay and UI. I may not be the best, but I’m willing to work hard, learn quickly and keep improving."/>
        <s v="Theo em vị trí AI Engineering sẽ được tham gia xây dựng các hệ thống AI phổ biến như bây giờ như RAG, n8n automation hoặc ứng dụng AI vào làm game. Em nghĩ mình phù hợp vì background của em về AI khá tốt, đồng thời có kiến thức về Software Engineer cũng n"/>
        <s v="Mình hiểu vị trí này sẽ tập trung vào việc tìm ra các bước thủ công hoặc chưa tối ưu và áp dụng AI để cải thiện hiệu suất. Công việc cũng bao gồm thiết kế prompt, xây dựng AI pipeline/agent và hỗ trợ các công cụ nội bộ như chatbot, hệ thống tra cứu. Mình "/>
        <s v="Theo em, vị trí này bao gồm lập trình logic game, xây dựng UI/UX, tích hợp các tài nguyên (hình ảnh, âm thanh, hiệu ứng) vào game và tối ưu hóa game.&#10;Em nghĩ mình phù hợp vì em luôn sẵn sàng học hỏi, có nền tảng vững chắc trong việc xây dựng phần mềm, từn"/>
        <s v="Tìm hiểu các model LLM cách tích hợp đưa vào các đoạn hội thoại trong game. &#10;Xử dụng model CV để tạo ra các hình ảnh 3D"/>
        <s v="Vị trí thực tập sinh phân tích dữ liệu sẽ thu thập và phân tích dữ liệu và đưa ra kết quả phân tích.Tôi phù hợp với vị trí này là vì tôi muốn được làm việc với dữ liệu."/>
        <s v="vị trí này làm kiểm thử và kiểm tra, vì có nền tảng nên thấy phù hợp"/>
        <s v="I think this role involves researching and experimenting with AI applications to support game development and internal workflows like analyzing player data, optimizing development processes, and building automation tools. I am a good fit because I've done"/>
        <s v="Theo mình thì vị trí AI Engineer Intern ở SUN.RISER sẽ tập trung vào việc dùng AI để tối ưu và tự động hóa các quy trình trong công ty bằng cách sử dụng AI kết hợp với Prompt Engineer. &#10;Mặc dù chưa có kinh nghiệm thực tế nhưng với nền tảng về data science"/>
        <s v="Theo em, vị trí Data Analysis Intern tại chương trình Sun.Riser sẽ làm:&#10;Xử lý và phân tích dữ liệu: làm sạch dữ liệu, EDA, tìm pattern và insight từ dữ liệu.Hỗ trợ business: chuyển các yêu cầu từ team product/marketing thành bài toán dữ liệu để đưa vào da"/>
        <s v="Vị trí Unity Developer Intern sẽ tập trung vào phát triển và hoàn thiện gameplay cho các game casual, bao gồm triển khai tính năng, chỉnh sửa cơ chế chơi, xử lý UI/UX, sửa lỗi và tối ưu để game chạy mượt trên nhiều thiết bị. Em phù hợp với vị trí này nhờ "/>
        <s v="Về các vị trí đã ứng tuyển, em nghĩ các vị trí sẽ mang lại cho bản thân em một môi trường thực tế từ các dự án thật, được học hỏi và thực hành trực tiếp với các bài toán mà doanh nghiệp gặp phải. Với nền tảng kiến thức đã có liên quan đến vị trí với tinh "/>
        <s v="I believe this role involves researching markets, supporting user acquisition campaigns, testing creatives, and analyzing performance to optimize growth. I am a good fit because I bring strengths in market research, insight-driven thinking, creativity, an"/>
        <s v="Tôi hiểu tập trung này ở vị trí đầu tiên của 4 công việc chính&#10;Phân tích thị trường, nghiên cứu xu hướng và cạnh tranh&#10;Hỗ trợ thiết lập và phát triển quảng cáo trên Google Ads, Meta Ads&#10;Phối hợp thử nghiệm A/B để tìm hiệu quả quảng cáo mẫu (mẫu hiệu quả&#10;T"/>
        <s v="Mình nghĩ vị trí Unity Intern sẽ tham gia phát triển và cải thiện các game 2D casual, bao gồm lập trình gameplay bằng C#, xử lý va chạm với Rigidbody2D và Collider, xây dựng UI Canvas và hỗ trợ sửa lỗi trong quá trình hoàn thiện sản phẩm. Ngoài ra, vị trí"/>
        <s v="Là một người đam mê dòng game RTS với kinh nghiệm đọc thiết kế GDD.tôi mong muốn phát triển sự nghiệp tại vị trí Game QA/QC,tôi không chỉ tập trung phát hiện lỗi UX/UI mà còn khao khát đóng góp những phản hồi chuyên sâu về Gameplay để cùng đội ngũ phát tr"/>
        <s v="I understand this role involves supporting the full HR cycle, especially recruitment, employer branding, onboarding, and learning &amp; development, such as sourcing candidates, coordinating interviews, assisting onboarding, creating content, and supporting t"/>
        <s v="This role involves analyzing game data via BigQuery to track metrics like DAU and Retention. I fit perfectly due to my advanced SQL skills, experience visualizing 31M+ records, and user behavior mindset gained from building Recommendation Systems."/>
        <s v="Em nghĩ rằng vị trí này sẽ cần người hiểu về cách hoạt động của LLM, AI. Biết các công cụ như Langchain, n8n,... Em cảm thấy phù hợp với vị trí này vì em đã xây dựng chatbot y tế sử dụng RAG để truy xuất và tổng hợp thông tin từ tài liệu y khoa."/>
        <s v="I believe this role focuses on building end-to-end system flows from data to product, rather than working on isolated AI components.&#10;I’m a good fit because I approach problems from a system-level perspective, aiming to understand how components interact a"/>
        <s v="I believe this role involves developing AI models, processing large datasets, and collaborating with the team to deploy real-world solutions.&#10;I am a good fit because of my strong foundation in AI and Data Science from my studies. Moreover, I eager to adap"/>
        <s v="Em hiểu là công việc sẽ bao gồm việc phân tích game của đối thủ, thiết kế core loop, cân bằng độ khó của level, theo dõi các chỉ số để để tối ưu hóa sản phẩm. Em tin mình phù hợp vì có tư duy hệ thống, kỹ năng viết GDD và làm việc với các công cụ và AI, b"/>
        <s v="Theo tìm hiểu của em, vị trí Unity Intern tại SUN.RISER sẽ tham gia vào việc hỗ trợ phát triển logic game bằng C#, phối hợp với team để xử lý các UI/UX, cũng như tham gia vào quá trình tối ưu hóa và sửa lỗi (debug) để đảm bảo game vận hành mượt mà. Em ngh"/>
        <s v="Trong thời đại AI hiện nay, em nghĩ nhiệm vụ của 1 Game Developer là xây dựng kiến trúc hệ thống bài bản và đảm bảo game luôn vận hành ổn định, mượt mà.&#10;Là 1 sinh viên chuyên ngành kỹ thuật phần mềm, em ưu tiên tư duy thiết kế hệ thống để dễ dàng quản lý "/>
        <s v="Theo tôi, vị trí Game User Acquisition sẽ bao gồm việc lập kế hoạch, triển khai và tối ưu các chiến dịch marketing nhằm thu hút người chơi chất lượng. Công việc này không chỉ là chạy quảng cáo trên các nền tảng như Facebook, Google hay TikTok, mà còn bao "/>
        <s v="This role involves designing engaging game mechanics, balancing gameplay, and creating enjoyable player experiences. It also feels like being both a player and a creatorunderstanding what makes a game fun and meaningful, then translating that experience t"/>
        <s v="Về vai trò: Thực hiện quy trình tuyển dụng, sáng tạo nội dung truyền thông thương hiệu và hỗ trợ thiết kế tài liệu đào tạo nội bộ.&#10;Sự phù hợp: Em có kỹ năng viết tốt (đã viết 120+ bài), giúp tối ưu nội dung tuyển dụng/đào tạo. Tư duy ngành Luật giúp em sà"/>
        <s v="I believe this role involves supporting the design team in building and refining game systems and player experience through iteration and playtesting. I’m a good fit because I’ve designed and balanced mechanics in my projects while improving them based on"/>
        <s v="- Em nghĩ vị trí này sẽ hỗ trợ xây dựng và triển khai mô hình AI vào các sản phẩm thực tế.&#10;- Em nghĩ mình phù hợp với vị trí này vì em đang định hướng theo Data Science và đã có nền tảng về lập trình, đặc biệt là Python và các thao tác xử lý dữ liệu."/>
        <s v="Vị trí này sẽ:&#10;- Cụ thể hóa ý tưởng game bằng GDD thay vì nêu khái quát&#10;- Thiết kế các hệ thống, điều chỉnh, cân bằng game&#10;- Playtest game để tìm lỗi&#10;- Phác thảo UI/UX&#10;&#10;Em thấy phù hợp vì:&#10;- Em thích phân tích cơ chế game trong lúc chơi&#10;- Em sẵn sàng học "/>
        <s v="I am applying for a Data Analysis intern position. I think this role involves analyzing gaming data to identify patterns and propose solutions to improve game performance. With my hands-on experience in relevant data projects, I confidently believe to be "/>
        <s v="This is the role where people using data to predict the trend involved collecting, cleaning player data to analyzed user behavior. I have both interest in technology and gaming which give me an understanding about player behavior which make me suitable fo"/>
        <s v="Game User Acquisition sits at the core of performance marketing,  driving player growth through paid channels, creative testing, and metrics like CPI, ROAS, and LTV. I believe I'm a strong fit because my experience already follows the same logic as my pre"/>
        <s v="Em nghĩ vị trí này sẽ tìm kiếm lỗi và xác định các bước chính xác để lỗi đó xuất hiện. Sau khi lỗi được sửa thì sẽ phải kiểm tra có bị ảnh hưởng các tính năng khác hay không. Và vì bản thân em cũng là 1 người dùng nên sẽ rất cần những ứng dụng mượt mà về "/>
        <s v="From my understanding, this role likely involves supporting HR work such as employer branding and recruitment, along with some related coordination tasks. I couldn’t find a detailed JD. I’m proactive, adaptable, and fit well in dynamic environments like S"/>
        <s v="Vị trí này tập trung vào việc số hóa quy trình tuyển dụng, xây dựng thương hiệu nhà tuyển dụng trên mạng xã hội và tổ chức các hoạt động đào tạo, gắn kết nội bộ.&#10;&#10;Em tin mình là mảnh ghép phù hợp vì có tư duy hệ thống thông qua việc xây dựng Dashboard quả"/>
        <s v="I believe this role involves building and applying AI solutions in real projects while learning quickly and working with a team.&#10;&#10;I am a good fit because I have hands-on experience with AI tools, especially LLM-based automation, and I learn fast through p"/>
        <s v="I believe this role involves ETL processing and data visualization to drive business decisions. I am a good fit because I have hands-on experience with Kafka, Spark (ODAP project), and Power BI, allowing me to turn complex raw data into actionable insight"/>
        <s v="Em nghĩ vị trí này sẽ tham gia phát triển game bằng Unity, xây dựng gameplay, xử lý input và hỗ trợ hoàn thiện các tính năng trong dự án.&#10;Em phù hợp vì đã có kinh nghiệm làm các project thực tế như game Unity điều khiển bằng AI (FaceMesh) và hệ thống web "/>
        <s v="I think I am a good fit because I have a strong foundation in data analysis with Python and SQL, along with experience in data cleaning, exploration, and visualization. Through my projects, I have worked with real datasets to extract insights and present "/>
        <s v="Em nghĩ vị trí này sẽ thực hiện các test case để đảm bảo game vận hành đúng thiết kế. Cũng như mô tả lại các bước tái hiện lỗi nếu có và đóng góp ý kiến dưới góc độ người chơi để cải thiện gameplay và trải nghiệm người dùng.&#10;Em tin mình phù hợp vị trí này"/>
        <s v="- Vị trí này sẽ đòi hỏi nghiên cứu về các công nghệ AI từ đó áp dụng vào game để nâng cao trải nghiệm người dùng.&#10;- Em phù hợp với vị trí này vì là sinh viên ngành Khoa học Máy tính, đã được tiếp cận với AI và hiểu cách các mô hình hoạt động, từ đó có thể"/>
        <s v="Em nghĩ vị trí này sẽ hỗ trợ lập trình bằng C#, fix bug và học quy trình làm game. Em phù hợp vì nền tảng tư duy lập trình tốt giúp em tiếp thu Unity rất nhanh. Đặc biệt, vì yêu thích làm game, em luôn có sự chủ động và năng lượng tích cực để hoàn thành t"/>
        <s v="Em tin mình phù hợp vì em có nền tảng nghiên cứu thị trường và phân tích insight người dùng để đưa ra đề xuất cụ thể; bên cạnh đó, em có khả năng kết hợp tư duy sáng tạo với tư duy số liệu, phù hợp với bản chất của User Acquisition là liên tục test creati"/>
        <s v="My long-term goal has been to become an AI engineer. I've worked on many projects related to Agentic AI, LLM, and model improvement research, so I'm very confident in my abilities for this position."/>
        <s v="I see this role as applying AI to live game systems, player behavior, real-time decisions, or content pipelines. My background spans CV, NLP, and GNNs, all built end-to-end. I'm a fit because I don't just experiment, I ship: from model training to deploym"/>
        <s v="Các công tác liên quan đến Tuyển dụng, đào tạo, gắn kết, hành chính đều sẽ nằm trong HR, với vai trò là 1 Intern, em nghĩ em sẽ được học tập và làm các nghiệp vụ trên. Về phần phù hợp, em đã trả lời ở câu trước, liên quan đến nền tảng, định hướng và kinh "/>
        <s v="Em hiểu vị trí này tham gia end-to-end tuyển dụng (sourcing, screening, phỏng vấn), xây dựng talent pipeline, hỗ trợ onboarding, employer branding và đào tạo nội bộ.&#10;&#10;Em nghĩ em sẽ phù hợp nhờ kinh nghiệm tổ chức sự kiện, quản lý team và phối hợp đa phòng"/>
        <s v="I believe this role focuses on applying AI to improve game production workflows, automate processes and create practical tools that enhance efficiency and quality. I am a strong fit because I have hands-on experience with AI systems such as LLM applicatio"/>
        <s v="Em nghĩ vị trí này hỗ trợ đội ngũ trong các công việc vận hành nhân sự như tham gia Employee Onboarding, hoàn thiện và quản lý hồ sơ nhân sự, triển khai các hoạt động truyền thông nội bộ. Em thấy mình là người chủ động, có trách nhiệm và kỹ năng giao tiếp"/>
        <s v="I believe this role involves using AI to automate workflows, speed up production and improve game quality. I am a strong fit because I have fast learning skills with hands-on AI experience. My excellent academic background proves I can quickly adapt to ne"/>
        <s v="Về vị trí QA, em nghĩ vị trí này sẽ phụ trách về kiểm soát quá trình lập trình game để tìm ra những lỗi đang và có thể phát sinh trong quá trình phát triễn để kịp thời xử lý chúng."/>
        <s v="Mình có kiến thức nền tảng liên quan tới công việc tốt, kèm theo đó là khả năng làm việc trong nhóm và giao tiếp trong lĩnh vực."/>
        <s v="I believe it involves: integrating AI into game development workflows, optimizing game quality and deploying production-ready AI service that can handle real-time interaction in games.&#10;I am a strong fit for this position because of my solid technical foun"/>
        <s v="I believe this role involves analyzing massive player datasets to uncover in-game behavioral patterns, to help the team optimize the overall gaming experience. I am a strong fit I am proactive, 'ownership-driven' mindset, which perfectly aligns with Sun.S"/>
        <s v="I think this roles will involve developing gameplay mechanics, optimizing game performance and maintaining using Unity. It will also includes collaborating with artists team, designers.&#10;I believe I'm a good fit because I have experience developing my pers"/>
        <s v="Em nghĩ vị trí này sẽ là viết các câu truy vấn SQL để lấy dữ liệu từ BigQuery, xây dựng pipeline transform dữ liệu, phát triển dashboard để phục vụ team khác. &#10;Em đã xây dựng luồng xử lý dữ liệu tự động với Python và API, cũng như thiết kế dashboard bằng "/>
        <s v="Thu thập, tổng hợp thành dashboard báo cáo, theo dõi phân tích các chỉ số liên tục và sau mỗi bản cập nhật, đánh giá phản hồi khách hàng của game mới và sau các bản cập nhật, hỗ trợ đưa ra quyết định xoay quanh dữ liệu đó. Em nghĩ mình phù hợp với vị trí "/>
        <s v="I believe this role focuses on testing, improving product quality, and supporting development. I have 6 months of QA experience in AI projects, strong logical thinking, and attention to detail. I am eager to learn and contribute, which makes me a good fit"/>
        <s v="Tôi nghĩ vị trí này là làm về dev game, có thể tạo ra game mà mình mong muốn.&#10;&#10;Tôi nghĩ tôi phù hợp vì tôi đã có kiến thức lập trình chuyên về mảng Backend, khả năng học hỏi tốt, teamwork tốt và tôi cũng đam mê game."/>
        <s v="Xây dựng cơ chế, quy tắc, câu chuyện và trải nghiệm người dùng, giống như làm kiến trúc sư cho game."/>
        <s v="Ở vị trí này, tôi sẽ đảm nhận việc khai thác dữ liệu để tối ưu hiệu suất hoặc thiết lập bộ lọc logic để đảm bảo chất lượng sản phẩm game, nhằm mang lại trải nghiệm tốt nhất cho người dùng. Tôi phù hợp với SUN.RISER nhờ nền tảng MIS vững chắc, khả năng sử "/>
        <s v="Lên ý tưởng thực hiện ý tưởng và làm cho nó thực thi được để mọi người có thể chơi thử nó"/>
        <s v="I believe I’m a good fit because I have a strong foundation in algorithms and hands-on experience with AI projects. I’ve worked on problems like sleep stage classification and object detection, where I not only focused on model performance but also on how"/>
        <s v="Ở vị trí AI Engineering đó là tôi sẽ tìm hiểu các quy trình làm việc của các team sau đó sử dụng những model AI agent hiện nay ví dụ như claude hay chatgpt ( CodeX ) thay thế cho những công việc thủ công đó hoặc là giảm thiểu thời gian làm những công việc"/>
        <s v="This role involves writing C# logic, implementing mechanics, and optimizing Unity games. I believe I fit well because my HCMUT background and hands-on Unity experience provide strong OOP skills. Having built custom physics and led dev teams, I can effecti"/>
        <s v="I believe an AI Engineer role involves not only building machine learning models but also taking responsibility for the entire pipeline from data preprocessing and model training to evaluation and deployment.&#10;I believe I am a good fit for this role becaus"/>
        <s v="Em nghĩ vị trí này sẽ lên kế hoạch và sắp đặt mọi quy tắc, thử thách và phần thưởng để dẫn dắt người chơi trải qua một cuộc hành trình cảm xúc có chủ đích, đồng thời thời phối hợp cùng các bộ phận khác để hiện thực hóa các nội dung đó vào sản phẩm.&#10;Là một"/>
        <s v="I believe this role focuses on analyzing workflows and building AI solutions to automate and optimize processes. I’m a good fit because I’ve built end-to-end AI pipelines and enjoy solving real-world problems with practical systems"/>
        <s v="I think this role involves building gameplay features in Unity, writing C# code, fixing bugs, and working with Game Designers and QA to improve the player experience. I believe I am a good fit because I have Unity/C# experience, basic game development kno"/>
        <s v="This role involves testing features, finding bugs, and ensuring the product works correctly before release. I believe I’m a good fit because I understand how systems work, pay attention to detail, and can clearly identify and communicate issues."/>
        <s v="I see this role as the vital link between development, design, and player experience. Combining my Software Engineering foundation with a sharp eye for detail, I bring a technical mindset to identify systemic issues and ensure seamless communication acros"/>
        <s v="This role need to query and explore data about game products in BigQuery, optimize transformation pipelines, create interactive dashboards to present insights and analysis performance, track metric and make reports about data logic and insights. I’m famil"/>
        <s v="Thu hút người chơi mới thông qua các chiến dịch quảng cáo trả phí trên mạng xã hội, chịu trách nhiệm lên ý tưởng và trực tiếp sản xuất các nội dung sáng tạo để tối ưu hóa tỷ lệ người dùng tải game, theo dõi số liệu và cập nhật xu hướng thị trường để điều "/>
        <s v="This role involves managing user acquisition campaigns, analyzing performance data and testing innovative content to increase mobile game user numbers. My experience managing 7 social media channels, creating viral content and analyzing data using Excel g"/>
        <s v="Vị trí này sẽ tìm và ngăn chặn các lỗi có thể xảy ra trong game, Mình cảm thấy phù hợp với vị trí này vì mình là một người đam mê về game và khó chịu khi nó bị lỗi hoặc vấn đề gì khác"/>
        <s v="GAME UA sẽ thu hút những game thủ cài đặt, đăng ký hoặc chơi game thông qua các hoạt động quảng cáo, marketing, và tôi có kinh nghiệm thiết kế những Social Post để quảng bá cho game. &#10;Game Design thì phụ trách sáng tạo và phát triển mọi khía cạnh trong ga"/>
        <s v="I think this role focuses on using AI, especially LLMs, to optimize workflows and automate tasks. It involves prompt design and building simple AI pipelines.&#10;&#10;I’m a good fit because I have experience building multi-step AI pipelines and working with struc"/>
        <s v="Vị trí này sẽ làm là lập trình các tính năng gameplay theo đúng thời hạn và thông số theo tài liệu thiết kế. Đọc hiểu code nguồn có sẵn, debug và tối ưu hoá hiệu suất, tích hợp các hệ thống liên quan. Lý do phù hợp là theo con đường làm game lâu dài, vị t"/>
        <s v="I think my duties are to learn the responsibilities and skills required to design and implement a vision into a working video game. I believe that my excellent communication, teamwork, and creative skills will bring fresh ideas to the teams"/>
        <s v="Phát triển mô hình: Thiết kế, huấn luyện và tối ưu hóa các thuật toán học máy (Machine Learning) và học sâu (Deep Learning).&#10;&#10;Triển khai thực tế: Tích hợp các mô hình AI vào hệ thống phần mềm, đảm bảo khả năng hoạt động ổn định và hiệu quả trên hạ tầng cl"/>
        <s v="I understand that this role involves executing test cases, identifying and reporting bugs, supporting regression testing, and collaborating with the team to ensure game quality before release.&#10;I believe I am a good fit because I have a strong foundation i"/>
        <s v="I believe this role involves translating game designs into functional features using Unity and C#, while optimizing performance for a seamless user experience. I am a strong fit because of my solid Software Engineering background and my ability to write c"/>
        <s v="This role involves crafting experiences and ensuring technical quality. My tenure at VTC Online ensures a profound understanding of player behavior. With a CS foundation from HCMUT and software testing skills, I can deliver practical game designs and prec"/>
        <s v="Đây là vị trí em sẽ được ứng dụng AI vào quy trình làm việc, và em đã có kinh nghiệm trước đó về vị trí liên quan, nên em nghĩ rằng em phù hợp cho vị trí này"/>
        <s v="From my academic projects, I have gained hands-on experience working with data processing, machine learning, and building data-driven systems. I am comfortable working with Python and handling real-world data tasks such as preprocessing, analysis, and pip"/>
        <s v="Phát triển logic, xây dựng cơ chế gameplay và tối ưu hóa hiệu suất để trò chơi vận hành mượt mà. Tôi thực sự yêu thích việc làm game và luôn khao khát tạo ra những game thú vị. Tôi đã từng tự tay phát triển dự án game cá nhân bằng Unity"/>
        <s v="Game Designer là người tìm ý tưởng, lên kế hoạch phát triển và thiết kế game sao cho game phù hợp và vui đối với đối tượng người dùng đã được xác định. Là một người đã trải nghiệm nhiều thể loại game khác nhau, em tin rằng mình có thể học hỏi cách những n"/>
        <s v="I expect this role focuses on deploying ML/DL algorithms to optimize live products. I am a strong fit due to my expertise in Deep Learning (Python, PyTorch) and backend system design. My proactive, logical approach enables me to seamlessly translate compl"/>
        <s v="Phân tích dữ liệu,  thống kê,  visualization, dụe đoán"/>
        <s v="Em nghĩ rằng vị trí này không chỉ là xây dựng một mô hình AI mà còn cần phân tích workflow của dự án, xây dựng các prompt để AI có khả năng lập luận chính xác, tạo structured output đảm bảo AI xuất ra dữ liệu chuẩn&#10;Em thấy mình phù hợp với vị trí này bởi "/>
        <s v="Em nghĩ ở vị trí này, em sẽ tìm hiểu về cơ chế gameplay 2d, tích hợp giao diện UI, làm quen cấu trúc project cũng như tìm hiểu về công cụ làm việc, phối hợp với team, báo cáo tiến độ dự án đồng thời sữa lỗi và tối ưu game."/>
        <s v="I think it involves hands-on development work — coding, prototyping, and learning the studio pipeline. I have the technical foundation for it, I pick things up quickly, and I'm genuinely passionate about making games."/>
        <s v="Em nghỉ vị trí này sẽ chuyên về dữ liệu, thống kế các dữ liệu. Vì em có khả năng tìm hiểu và học hỏi thêm."/>
        <s v="Theo mình tìm hiểu, vị trí Game Developer đòi hỏi nhiều hơn việc chỉ viết code, mà các developer còn phải thiết kế trải nghiệm tương tác mượt mà.&#10;Qua quá trình học Kỹ thuật Phần mềm tại trường Khoa học Tự nhiên, tìm hiểu về Game Development, Unity và phát"/>
        <s v="A Game QA is responsible for ensuring the quality of the game by identifying errors, bugs, and other issues. There are two common testing approaches: manual testing and automated testing. I believe I am well-suited for a QA position because I am patient, "/>
        <s v="Theo tôi, vị trí này sẽ tham gia phát triển và tối ưu các sản phẩm game bằng Unity, phối hợp với các bộ phận như thiết kế, art để hoàn thiện sản phẩm.&#10;Tôi phù hợp với vị trí này vì có nền tảng về C#, Unity và đam mê phát triển game."/>
        <s v="Em nghĩ vị trí này không chỉ là sử dụng unity để làm ra các tựa game mà còn phải đáp ứng được các nhu cầu của người chơi từ tối ưu cho đến đồ họa.&#10;Lý do em nghĩ em phù hợp với vị trí này là vì em là một người có thể học hỏi và làm việc một cách linh động."/>
        <s v="I believe this role involves building and deploying AI solutions, working with data pipelines, and solving real-world problems.&#10;I am a good fit because I have hands-on experience developing end-to-end projects like a RAG-based system and credit scoring mo"/>
        <s v="Theo em, vị trí AI Engineer/Data Analyst Intern tại SUN.STUDIO sẽ tập trung vào việc xử lý và phân tích dữ liệu người chơi, xây dựng và áp dụng các mô hình AI để tối ưu trải nghiệm game, cũng như hỗ trợ các đội như Game Design hoặc User Acquisition đưa ra"/>
        <s v="Mình nghĩ vị trí này sẽ làm về xử lý dữ liệu, xây dựng và triển khai mô hình AI vào hệ thống thực tế. Mình phù hợp vì có nền tảng lập trình, đã làm EDA và một số bài toán dự báo, đồng thời có tư duy hệ thống nên có thể học và làm tốt cả phần model lẫn eng"/>
        <s v="Theo mình một Game Designer sẽ thiết kế các quy tắc trong game (Level Design), cân bằng game, viết Game Design Document,  và quan sát feedback của người dùng. Game Designer phải phục vụ người chơi, không phải phục vụ sở thích code của bản thân."/>
        <s v="Vị trí này sẽ là người thiết kế toàn bộ trải nghiệm chơi game của người chơi, phân tích hành vi người chơi, xây dựng luật chơi, bối cảnh, trang bị, nhân vật,... &#10;&#10;Em nghĩ mình sẽ phù hợp với vị trí này vì em yêu thích chơi game và có niềm đam mê mãnh liệt"/>
        <s v="Vị trí này sẽ chuyên về phát triển, tối ưu game dựa trên những concept của game designer đưa ra góp ý trao dồi ý tưởng thêm cho  game để hoàn chỉnh. Em đã làm những game 3D, 2D, RGP, TDS ,FPS trong quá trình học tập."/>
        <s v="Vị trí này trực tiếp lập trình, tối ưu hệ thống và phối hợp sản xuất game thực tế. Tôi phù hợp vì là sinh viên năm 4 CNTT, có nền tảng Coding vững. Từng là game thủ nên có khả năng am hiểu sâu cơ chế game và có tư duy logic và khả năng chủ động giải quyết"/>
        <s v="Đối với vị trí này sẽ làm về lập trình tính năng, chức năng của game đối với Game Developer. Tối ưu code và debug để game có thể tối ưu nhất có thể. Em phù hợp với vị trí này vì em đã có kinh nghiệm làm trong Unity Engine và tìm hiểu công nghệ AI để giúp "/>
        <s v="I believe the DA role focuses on analyzing player data to generate insights for product decisions, while the AI engineer role involves applying AI to improve workflows and game quality. I am a quite fit for this position because I have practical experienc"/>
        <s v="I believe this role involves data analysis, cleaning, and ensuring data accuracy. I am a good fit because I have prior experience as a Data Intern working with real datasets, along with strong attention to detail and a willingness to learn."/>
        <s v="Tôi có nền là developer và đang trong quá trình tìm hiểu về AI Engineering , tôi đang ở mức có thể tích hợp được AI vào các hệ thống ."/>
        <s v="Mình nghĩ vị trí này là quá trình hỗ trợ sáng tạo, lên ý tưởng, xây dựng cốt truyện, quy tắc, nhân vật và cơ chế gameplay. Vì mình nhận thấy, mình có một thái độ nghiêm túc và cầu tiến trong công việc. Luôn sáng tạo, có tư duy về kỹ năng trình bày logic, "/>
        <s v="Tôi nghĩ ở vị trí này tôi sẽ lập trình game trong unity, làm việc với Git và phối hợp với team. Thiết kế cơ chế chơi, level, nhiệm vụ. test gameplay và điều chỉnh trải nghiệm người chơi.&#10;Lý do vị trí phù hợp với tôi vì tôi đã có nền tảng về Unity và đã là"/>
        <s v="Em nghĩ vị trí này sẽ làm những công việc như thực hiện những ý tưởng đưa ra cho dự án và sửa bug, lý do em nghĩ em phù hợp là vì khi còn học ở trường em cũng làm những công việc tương tự."/>
        <s v="I think this role involves building end-to-end AI solutions that solve real-world problems, from data processing to deployment.&#10;I’m a good fit because I have a strong foundation in Python and NLP, and I’m interested in how AI systems are applied in practi"/>
        <s v="The role involves collecting, cleaning, and analyzing data to generate insights for decision-making. I’m a good fit due to my MIS background, SQL experience, and strong analytical mindset. I’m detail-oriented, eager to learn, and ready to apply my skills "/>
        <s v="The Unity Intern will directly use Unity to build games and collaborate with Game QA and Game Design to bring ideas to life. &#10;Meanwhile, Game QA creates specific production processes and coding standards to ensure high-quality games and prevent bugs or er"/>
        <s v="This role involves implementing Core Gameplay, integrating UI/UX Canvas, and fixing bugs with QA through Daily Scrum. I am a fit because I have developed similar projects using Scrum with strong team feedback and possess an eager-to-learn spirit"/>
        <s v="Em nghĩ vị trí này sẽ tham gia recruitment cycle, hỗ trợ onboarding, employer branding và L&amp;D. Em phù hợp vì em chủ động, học nhanh, chú ý chi tiết và có khả năng phối hợp, trình bày rõ ràng trong môi trường HR."/>
        <s v="- Em nghĩ vị trí này sẽ hỗ trợ team làm các task Unity như gameplay, UI, fix bug, setup scene/prefab và test build. &#10;- Em phù hợp vì em có nền tảng C# Unity, hiểu OOP và các kỹ thuật Unity cơ bản, đồng thời em học nhanh, chịu khó debug và muốn phát triển "/>
        <s v="Vị trí này bao gồm kiểm thử tính năng game, phát hiện và báo lỗi, đảm bảo trải nghiệm người dùng mượt mà. Em phù hợp vì có kinh nghiệm test qua các project, chú ý chi tiết và có tư duy hướng người dùng."/>
        <s v="NV1: Unity Developer có vai trò hiện thực hóa các thiết kế game của Game Designer (GD) với nền tảng chính là Unity (C#), xây dựng từng tính năng để hoàn thiện dự án.&#10;NV2: Game Designer giữ vai trò thiết kế thế giới game, màn chơi, nhân vật, cốt truyện và "/>
        <s v="I believe this role involves developing and improving game features, collaborating with other team members to build engaging gameplay experiences and enhance overall quality of the product.&#10;I think I'm a good fit because I have experience working with Uni"/>
        <s v="- Em nghĩ vị trí này phát triển gameplay, giao diện, hiệu ứng theo yêu cầu của dự án. Đồng thời làm việc nhiều với Game Designer, Artist,... để có một sản phẩm đầu ra tốt nhất.&#10;- Em phù hợp với vị trí này vì em có thể áp dụng tốt các kiến thức đã học vào "/>
        <s v="I see this role as building RAG pipelines, fine-tuning prompts, and shipping chatbots that actually work for users — not just demos. I'm a good fit because I've built LLM projects at school, debug with patience, and learn fast. I care about both the model"/>
        <s v="I believe this role involves building game features in Unity. I'm a good fit because I have hands-on experience working with Unity — setting up GameObjects, applying scripts, and understanding how game components interact — and I'm motivated to deepen my "/>
        <s v="Em nghĩ vị trí này sẽ hỗ trợ toàn bộ quy trình tuyển dụng, xây dựng talent pipeline, onboarding, đồng thời tham gia Employer Branding và hỗ trợ các hoạt động đào tạo nội bộ.&#10;&#10;Em phù hợp vì đã có kinh nghiệm tuyển dụng số lượng lớn ứng viên, có tư duy phân"/>
        <s v="Đảm bảo chất lượng đầu ra của game, khiến cho game trở nên thu hút có nhiều người chơi, tăng doanh thu. Tôi cảm thấy mình có thể phù hợp với vị trí này vì có thể tính toán được các tình huống rủi ro cũng như là có kinh nghiệm làm QC Hóa chất từ trước"/>
        <s v="Em nghĩ vị trí QA sẽ đảm bảo suốt quá trình phát triển Game sẽ diễn ra trôi chảy và chính xác. Không để lại các lỗi nặng và hạn chế mọi lỗi trong suốt quá trình phát triển"/>
        <s v="Tận dụng cơ hội được học tập và làm việc trong một môi trường chuyên biệt, nguồn lực và sự sáng tạo đều tập trung hoàn toàn vào game. Việc này là điều kiện lý tưởng để em tập trung cao độ phát triển kỹ năng và đóng góp hiệu quả nhất cho công ty."/>
        <s v="Vị trí này sẽ xây dựng mọi thứ liên quan đến logic của game, đằng sau những giao diện, những model 3D hay sprite 2D. Vì em đang trong giai đoạn tự học làm game với Unity, đã học qua 2 Pathway Unity Essentials và Junior Programmer. Em mong muốn có thể được"/>
        <s v="Tui nghĩ vị trí này sẽ tập trung thiết kế gameplay, cân bằng cơ chế game và cải thiện trải nghiệm người chơi. Tui thấy bản thân mình phù hợp vì tui có tư duy logic tốt, biết chú ý đến những chi tiết nhỏ và có niềm đame mê về game. Tui thích phân tích cách"/>
        <s v="The role focuses on building game features with Unity and C# while collaborating with a team.&#10;I’m a good fit thanks to my programming background and my current focus on learning Unity and C#."/>
        <s v="I believe this role involves market research, system design, and using data and AI to optimize metrics like Retention. I am a strong fit because my Data Science background and experience in game-related projects allow me to handle Product Analysis and Lev"/>
        <s v="Tôi phù hợp vì đã có kiến thức nền tảng về phát triển game với Unity và C#, từng xây dựng điều khiển nhân vật, AI cơ bản và thiết kế level. Những kỹ năng này chủ yếu đến từ quá trình tự học và chủ động tìm tòi, giúp tôi có khả năng thích nghi nhanh và khô"/>
        <s v="I think this role involves working on game features, fixing bugs, and collaborating with the team to improve the game. &#10;I believe I’m a good fit because I’ve already completed several games through my personal projects, so I’m familiar with the developmen"/>
        <s v="Em chọn vị trí này vì mong muốn ứng dụng chuyên môn Data Science và kinh nghiệm xây dựng AI Agents (RAG &amp; FAISS) vào thực tế tại SUN.RISER. Với nền tảng kỹ thuật vững chắc và tư duy tối ưu hóa, em tự tin có thể đóng góp ngay vào việc phát triển các giải p"/>
        <s v="Em nghĩ công việc chính của vị trí này sẽ là thiết kế và xây dựng hệ thống cho trò chơi, viết Game Design Document, sau đó liên tục cập nhật để trò chơi hoàn thiện hơn. Lý do em phù hợp với vị trí này là vì em có nền tảng về game khá nhiều, và kiến thức v"/>
        <s v="I believe this role involves building AI/ML models, working with LLMs or APIs, and supporting the team in research and prototyping.&#10;I'm a good fit because I have hands-on experience with Python, HuggingFace through my own projects, I learn fast, and I'm g"/>
        <s v="Em nghĩ vị trí này sẽ tập trung vào việc nghiên cứu thị trường và các game hiện có, thiết kế gameplay và level, đồng thời tối ưu sản phẩm dựa trên dữ liệu và quá trình playtesting.&#10;&#10;Em phù hợp vì có nền tảng về user research, UX/UI, cùng kinh nghiệm CS ga"/>
        <s v="Đầu tiên mình rất thích chơi game và tìm tòi những điều hay và điều chưa hay về game. Vị trí này sẽ thiết kế tựa game theo góc nhìn của một người đam mê game như mình. Chẳng hạn như Game Choice Matters vậy, tạo ra các nhánh hội thoại phức tạp, xây dựng ti"/>
        <s v="I believe this role involves supporting the development of 2D casual games in Unity, including implementing basic gameplay features, integrating UI, fixing bugs, and learning development workflows from the team.&#10;&#10;I am suitable for this position because I "/>
        <s v="Em nghĩ vị trí này sẽ phát triển gameplay bằng Unity và C#, phối hợp với team để hoàn thiện game.&#10;Em phù hợp vì đã có kinh nghiệm làm game Unity, xây dựng các hệ thống gameplay và luôn chủ động học hỏi."/>
        <s v="Theo em tìm hiểu, vị trí Intern sẽ trực tiếp lập trình các cơ chế gameplay 2D cơ bản, tích hợp UI/UX, fix bug và làm quen với quy trình sản xuất game thực tế. Em tự tin mình phù hợp nhờ kiến thức OOP, C# và Unity 2D . Cùng tư duy toán học, AI, đồ họa và q"/>
        <s v="I see this role as building scalable, AI-driven solutions. I’m a great fit because I combine Software Engineering rigor with AI expertise to deliver high-impact results immediately"/>
        <s v="Làm sạch và quản trị dữ liệu&#10;Phân tích dữ liệu hành vi&#10;Trực quan hóa qua các biểu đồ&#10;&#10;Mình phù hợp với vị trí DA Intern vì những kỹ năng về phân tích dữ liệu, AI Automation, tinh thần ham học hỏi, tư duy ownership."/>
        <s v="With AI engineer role, I think that the main task is integrate AI agent into the workload, which can help team to have automating repetitive tasks and enhancing overall production efficiency and quality. I consider myself a strong fit for this role becaus"/>
        <s v="Ứng dụng các mô hình học máy để tối ưu hóa trải nghiệm và hành vi người chơi, và em tin mình phù hợp nhờ nền tảng toán học vững chắc cùng khả năng triển khai AI linh hoạt vào các bài toán thực tế"/>
        <s v="This role requires candidates to have a basic and strong understanding of Unity and a strive for growing, but a good fit candidate will have both knowledge and passion, which describe who I am."/>
        <s v="Mình nghĩ vị trí này sẽ tham gia phát triển gameplay, sửa lỗi và hỗ trợ team hoàn thiện game. Mình phù hợp vì đã có kinh nghiệm làm game 2D với Unity, hiểu C#, biết làm việc nhóm và luôn chủ động học hỏi để cải thiện sản phẩm."/>
        <s v="I believe this role involves developing gameplay features in Unity using C#, working with systems like UI, physics, and game logic, while collaborating with the team to build a stable product and optimize performance.&#10;&#10;I’m a good fit because I have hands-"/>
        <s v="Theo tôi, vị trí Game Data Analyst sẽ tập trung vào việc thu thập, xử lý và phân tích dữ liệu người chơi bao gồm theo dõi các chỉ số quan trọng như retention, DAU/MAU, ARPU, phân tích hành vi người chơi, đánh giá hiệu quả các sự kiện in-game. Tôi tin mình"/>
        <s v="Với vị trí AI Engineer trong lĩnh vực game, em cho rằng công việc sẽ tập trung vào việc xây dựng và tích hợp các giải pháp AI vào pipeline sản xuất—ví dụ như tự động hóa tạo nội dung, tối ưu quy trình test game, hỗ trợ thiết kế gameplay bằng dữ liệu, và c"/>
        <s v="Tôi có kinh nghiệm sử dụng và làm việc với Unity,git, đọc hiểu được code , đã có 1 dự án game 2d và 2 dự án 3d,có tinh thần học hỏi cao, trách nhiệm với công việc"/>
        <s v="Em nghĩ vị trí này sẽ liên quan đến việc thu thập, xử lý và phân tích dữ liệu người chơi để hỗ trợ các quyết định về game. Em phù hợp vì có nền tảng về SQL, Power BI và Python, cùng tư duy phân tích được rèn qua các dự án học thuật cấp bạc đại học."/>
        <s v="Ở vị trí này, mình sẽ truy vấn dữ liệu từ BigQuery, xây dựng pipeline bằng Dataform, phát triển dashboard Tableau và viết tài liệu định nghĩa metrics như DAU, ARPU, Retention.&#10;Mình phù hợp vì có nền tảng SQL vững qua dự án Credit Risk — nơi mình tự xây ET"/>
        <s v="tôi nghĩ Data Analyst ở công ty về Games như Sunriser thì tôi nghĩ sẽ có sự khác biệt rất lớn về các domain khác, và theo tôi công việc chính của DA ở đây sẽ là phân tích data người chơi -&gt; insight người chơi. Và vì sao phù hợp với vị trí này thì tôi chỉ "/>
        <s v="Vị trí này theo tôi là phân tích dữ liệu người chơi để đưa ra insight cải thiện trải nghiệm và hỗ trợ quyết định cho sản phẩm game.&#10;Dù là sinh viên mới, tôi có tư duy logic, sự tỉ mỉ và khả năng học nhanh. Quan trọng hơn, tôi thực sự đam mê game và mong m"/>
        <s v="Theo em, đây sẽ là vị trí tập trung vào phân tích dữ liệu người chơi để tìm ra insight hỗ trợ cho việc cải thiện sản phẩm và tăng trải nghiệm người dùng.&#10;Em phù hợp vì có nền tảng SQL, Python, Power BI và đã làm một số project nhỏ về data. Tuy chưa có nhi"/>
        <s v="I’m a good fit because I have a strong background in data analysis and experience solving real business problems with data. I’m also quick to learn and comfortable working with both technical and non-technical teams."/>
        <s v="Tôi nghĩ kỹ năng và kiến thức của mình hiện tại phù hợp với vị trí data tại công ty."/>
        <s v="This role focuses on analyzing the game market, executing and optimizing user acquisition campaigns, testing creatives, and turning performance data into actionable insights.I believe I’m a good fit because I bring strong communication and coordination sk"/>
        <s v="AI Engineering Intern involves designing prompts and building agent workflows. Game Data Analysis involves querying data and turning numbers into insights. My project experience in pipelines, data analysis, and passion for gaming make me a good fit for bo"/>
        <s v="I believe this role is about turning game data into insights that improve player experience. I think my curiosity, logical thinking, and customer focus mindset make me a solid fit for this role."/>
        <s v="I believe this role involves analyzing game data and tracking metrics like DAU, retention, and monetization.&#10;I am transitioning into data analytics with experience in SQL, Power BI, and Python, and I’m eager to learn and grow in game analytics."/>
        <s v="Em nghĩ vị trí này sẽ tập trung vào việc khai thác dữ liệu người chơi để xây dựng các mô hình AI giúp tối ưu hóa cân bằng game và cá nhân hóa trải nghiệm người dùng. Em phù hợp với vai trò này nhờ sự kết hợp giữa tư duy của một người thích chơi game và nă"/>
        <s v="Về công việc, Data Analysis tập trung vào các công việc liên quan đến dữ liệu như Thu thập, Xử lý, Trực quan hoá, Đưa ra các đề xuất cho công việc.&#10;Bản thân mong muốn vị trí này vì những kĩ năng đã học được trong những năm học đại học và cũng như kinh ngh"/>
        <s v="Ở vị trí này, em sẽ phải ứng dụng các kiến thức đã học, đứa các mô hình AI vào việc thiết kế trò chơi, cũng như giúp trò chơi hoạt động tốt hơn, đáp ứng được nhu cầu về trải nghiệm trò chơi, thị hiếu của người dùng."/>
        <s v="Theo em, vị trí AI Engineering Intern tại SUN.RISER sẽ tập trung vào việc ứng dụng AI để hỗ trợ quy trình phát triển game, chẳng hạn như tự động hóa một số công việc, xử lý dữ liệu, hoặc cải thiện hiệu suất và chất lượng sản phẩm. Ngoài ra, vị trí này cũn"/>
        <s v="Em nghĩ vị trí này là liên quan đến phát thảo các bản thiết kế cả 2D và 3D. Kinh nghiệm vẽ 3D của em chưa phát huy như 2D nhưng phát thảo 3D sang 2D của em cũng có thể phù hợp với mong muốn khi làm việc với công ty."/>
        <s v="I think an AI Engineer is someone who researches and applies new AI tools to build autonomous systems and optimize business processes through both code and no-code. I think you're suitable for this position because you're a final-year Data Science student"/>
        <s v="Đối với vị trí AI Engineering đó là ứng dụng AI vào quy trình làm việc, giúp tăng tốc độ sản xuất và cải thiện chất lượng game. AI có thể giúp con người làm việc nhanh hơn không chỉ riêng việc code các phần xử lý mà còn có thể trong cả việc tạo assets. Tô"/>
        <s v="Em nghĩ vị trí này liên quan đến việc tham gia phát triển sản phẩm và giải quyết các bài toán thực tế. Em phù hợp vì có nền tảng AI, khả năng học nhanh và tư duy giải quyết vấn đề tốt."/>
        <s v="Em nghĩ khi được ở vị trí này em sẽ được tham gia thiết kế gameplay, level chơi, phân tích thị trường và tối ưu trải nghiệm người chơi. Ngoài ra cá nhân em nghĩ rằng bản thân mình có khả năng thích nghi nhanh, sẵn sàng tiếp cận các công nghệ mới và có thể"/>
        <s v="Theo em, vị trí này sẽ tham gia trực tiếp vào quy trình sản xuất game mobile casual, từ việc phối hợp với Team Designer/Artist để hiện thực hóa ý tưởng thành gameplay cho đến khâu build, tối ưu hóa hiệu suất và đưa sản phẩm lên các kho ứng dụng Store."/>
        <s v="Em nghĩ vị trí Unity Developer Intern sẽ tập trung vào việc code C# trong Unity để xây dựng và tối ưu hóa gameplay cho các tựa game casual/puzzle của studio. Còn AI Engineer Intern sẽ áp dụng trí tuệ nhân tạo để hỗ trợ quy trình sản xuất. Em phù hợp với h"/>
        <s v="Theo mình, vị trí này sẽ thiết kế hệ thống và xây dựng gameplay cho trò chơi. Trong tương lai, AI sẽ thay thế nhiều khâu thủ công, nên mình chọn Game Design để nắm rõ quy trình sản xuất tổng thể. Với tư duy hệ thống sẵn có, mình tin bản thân sẽ làm chủ đư"/>
        <s v="I think this role involves applying AI to support game production, such as building tools, automating workflows, improving quality, and collaborating with developers, designers, and QA. I believe I am a good fit because I have a strong interest in AI, log"/>
        <s v="I believe this role involves analyzing data to support practical AI solutions. I am a good fit because I have a strong logical mindset and am highly proactive."/>
        <s v="dữ liệu thô, ban đầu thường rất lớn, phức tạp và không dễ sử dụng ngay, nên cần được truy vấn, làm sạch, chuẩn hóa và trực quan hóa thành những thông tin rõ ràng để hỗ trợ ra quyết định chính xác. Và chuyên ngành của mình toán thông kê giúp mình có nền tả"/>
        <s v="I assume that this role involves in working with prompts and AI to create a tool/AI agent/RAG in order to help accelerate the speed developing a game or something like that. If I were right, with my experience in prompt engineering and working with AI as "/>
        <s v="I believe this role involves analyzing Puzzle/Casual games, researching competitors, and supporting game design tasks such as core loop design, level balancing, and improving player experience. I am suitable for this position because I am really intereste"/>
        <s v="I believe this role involves analyzing game data and building dashboards to generate insights. I am a good fit because I have experience with SQL (BigQuery), data analysis, and a strong interest in user behavior."/>
        <s v="This role involves analyzing workflows, designing prompt-based pipelines, and building AI automation systems using LLMs and APIs. I’m a good fit because I have experience with RAG systems, API integration, and structured outputs, and I’m comfortable think"/>
        <s v="tôi nghĩ sẽ làm về thiên về dữ liệu game và tôi cũng muốn trải nghiệm và tìm kiếm cơ hội mới lạ"/>
        <s v="I believe this role involves knowing business requirements and needs, collecting data, transforming and analyzing data, and building dashboards to support decision-making. I am a good fit because I have strong SQL and Power BI skills, along with hands-on "/>
        <s v="This role is about turning player behavior data into insights that help game teams make better decisions. I think I'm a good fit because I have solid hands-on experience with SQL, Python, and Power BI, and I'm genuinely excited to apply that in a game ana"/>
        <s v="Với vị trí AI Engineer, có hai hướng cho các công việc đó là: thứ nhất, thiết kế một pipeline cho LLM hoặc Agent để tích hợp giúp trả lời các câu hỏi của nhân viên; hướng thứ hai sẽ sử dụng thị giác máy tính để theo dõi, phân tích (ví dụ như phân tích rep"/>
        <s v="I believe the AI Engineering Intern role involves applying AI to support game development, such as improving player experience, optimizing workflows, analyzing player data, and possibly building tools or models to assist designers and developers."/>
        <s v="Em nghĩ vị trí này sẽ liên quan đến việc phân tích và cải thiện gameplay. Em phù hợp vì em cũng hay làm mấy cái đó, em có framework review game và đang tự làm game nhỏ để test system nên em nghĩ em bắt nhịp được khi được nhận vào công ty."/>
        <s v="Theo em, vị trí này sẽ thực hiện viết test case, thực hiện test và báo cáo bug cho dev team để sửa lỗi, sau đó test lại sau khi sửa lỗi/thêm chức năng mới để đảm bảo game hoạt động mượt mà. Em nghĩ mình phù hợp với vị trí này vì em hay chú ý tiểu tiết, có"/>
        <s v="_ Theo mình ở vị trí này sẽ xây dựng các pipeline AI phục vụ cho Game: tích hợp hệ thống recommendation, hoặc ứng dụng các mô hình VLM/LLM để đánh giá các gameplay, behavior của user phối hợp với các team.&#10;_ Bản thân là 1 người đã trải nghiệm trích xuất t"/>
        <s v="I think this role involves designing and building AI pipelines, developing and improving models, handling data, and evaluating performance for real-world applications. I’m a good fit because I have a solid foundation, learn quickly, and can apply my knowl"/>
        <s v="Em nghĩ vị trí này sẽ ứng dụng AI để tối ưu quy trình làm việc, hỗ trợ phân tích dữ liệu và nâng cao chất lượng sản phẩm game. Ngoài ra còn cần phối hợp với các team khác để triển khai giải pháp AI vào thực tế.&#10;Em nghĩ mình phù hợp vì bên cạnh các kiến th"/>
        <s v="Mình nghĩ vị trí này sẽ tham gia xây dựng ý tưởng gameplay, thiết kế cơ chế, hỗ trợ thiết kế cấp độ, map, phối hợp cùng team hoàn thiện trải nghiệm người chơi. Mình nghĩ mình phù hợp với vị trí này vì mình yêu thích game, cũng từng tham gia tạo một boardg"/>
        <s v="AI Engineer: Xây pipeline AI, xây dựng và tối ưu hệ thống AI chatbot, hoặc NPC trong game. Xây RAG&#10;Data Analyst: Đánh giá và phân tích dữ liệu người dùng, tìm cách rút ra những insight từ đó đưa ra lời khuyên hành động để phát triển trải nghiệm người dùng"/>
        <s v="Theo em nghĩ thì vị trí này tham gia vào quá trình phát triển game bằng Unity, bao gồm Gameplay, UI, Input, Animation, Fix bug, tối ưu hiệu năng cũng như phối hợp với các thành viên khác để hoàn thiện sản phẩm.&#10;Em thấy bản thân mình phù hợp với vị trí này"/>
        <s v="Em nghĩ vị trí AI Engineer sẽ tập trung vào xây dựng và triển khai mô hình AI, xử lý dữ liệu và tích hợp vào sản phẩm thực tế (game), đồng thời lựa chọn mô hình phù hợp với bài toán.&#10;Em nghĩ mình phù hợp vì có nền tảng Python, xử lý dữ liệu và kiến thức m"/>
        <s v="Em nghĩ vị trí Game QA Intern sẽ chịu trách nhiệm viết test case, tìm và báo lỗi và đảm bảo trải nghiệm người chơi được tốt nhất.&#10;Em phù hợp vì em có tính cẩn thận và đã có trải nghiệm cơ bản về testing trong quá trình học."/>
        <s v="This role involves working with the PO, Game Designers, Artists, and other developers to turn game ideas into actual playable features. My daily tasks would include discussing ideas, contributing suggestions, and implementing gameplay mechanics, systems, "/>
        <s v="Em hiểu vị trí Unity Development Intern sẽ tập trung vào việc viết C# để triển khai tính năng, tích hợp assets, debug và tối ưu game theo GGD&#10;Em phù hợp vì đã làm Unity hơn 10 tháng, hoàn thành vài dự án cá nhân bằng Unity với đa dạng thể loại game, em rấ"/>
        <s v="- Vị trí này sẽ tập trung làm những việc như:&#10;+ Lập trình cho hệ thống user như account, điểm số, puzzle, scene flow&#10;+ Thiết kế UI - UX: sử dụng các package như DOTween để UI - UX hoạt động tốt và đẹp hơn&#10;+ Tối ưu dung lượng và hiệu suất của game: dùng sp"/>
        <s v="I believe this role involves developing AI models, refining data pipelines, and implementing architectures like RAG. I think I am a good fit because I have hands-on experience building end-to-end systems using PyTorch and LangChain. My background and prof"/>
        <s v="Learn about how we build and train an agent, analysis data, i have knowledge about them. I used to develop projects that's intergrated agent to support and analysis data"/>
        <s v="sử dụng AI, làm việc với các model AI để ứng dụng vào quy trình cũng như chức năng của trò chơi"/>
        <s v="In recent years, data and AI have become key drivers of business success. This strongly motivates me to pursue a career in this field. What interests me most is how companies can leverage data to understand their customers and improve decision-making. I o"/>
        <s v="Chịu trách nhiệm chuyển hóa ý tưởng thành tính năng qua code C# và tối ưu hóa vận hành trên Unity; vì có nền tảng kỹ thuật vững, tư duy logic tốt và khả năng tự học nhanh thông qua các dự án cá nhân đã thực hiện"/>
        <s v="Em tin mình phù hợp với Sun.Studio nhờ nền tảng kỹ thuật thực chiến trong việc xử lý hệ thống dữ liệu lớn. Em có tư duy giải quyết vấn đề, sử dụng các công cụ hiện đại như SQL, Python và dbt để tối ưu hóa pipeline. Với tinh thần học hỏi và khả năng thích "/>
        <s v="I see this role as a bridge between data science and software engineering. It involves not only performing DA to find patterns and trends but also the AI Engineering required to turn those insights into scalable features"/>
        <s v="Theo tôi, vị trí Data Analyst Intern sẽ tập trung vào việc thu thập, xử lý, phân tích dữ liệu và xây dựng báo cáo nhằm cung cấp những thông tin cần thiết cho người lãnh đạo đưa ra quyết định.&#10;&#10;Tôi phù hợp với vị trí này vì tôi có nền tảng về Data Science,"/>
        <s v="Với Game Design, em hiểu công việc là thiết kế gameplay và tối ưu trải nghiệm người chơi. Với Unity Developer, em hiểu vai trò là phát triển game logic và các tính năng trong game."/>
        <s v="Phân tích hành vi người chơi, phân nhóm khách hàng, phân tích dữ liệu qua từng phiên bản trò chơi. Sự tư duy phân tích và đam mê về game là lý do em cảm thấy phù hợp"/>
        <s v="I think this role involves working with game data to support better decision-making across different teams. This includes query and exploring data from BigQuery to understand game performance and key operational metrics, transforming raw data through clea"/>
        <s v="Theo mình thì vai trò của một AI Engineer tại Sun Studio sẽ xoay quanh việc ứng dụng AI để trực tiếp nâng cao trải nghiệm người chơi hoặc tối ưu hóa quy trình sản xuất của team. Công việc có thể là phát triển Gameplay AI hoặc sử dụng LLM và GenAI để tạo r"/>
        <s v="Tìm hiểu, nghiên cứu, tối ưu các mô hình trí tuệ nhân tạo, AI agent, các công cụ tự động hóa,... Tôi có nền tảng kiến thức chuyên môn, kinh nghiệm làm việc &amp; sử dụng, sẵn sàng học hỏi và cập nhật kiến thức."/>
        <s v="I think this role involves analyzing player data, tracking key metrics, and providing insights to improve gameplay and business decisions.&#10;I’m a good fit because I have strong analytical skills, experience working with data, and I can turn data into clear"/>
        <s v="Tôi nghĩ vị trí này sẽ thu thập, xử lý và phân tích dữ liệu để hỗ trợ công ty ra quyết định hiệu quả hơn. Tôi phù hợp vì có tư duy logic, cẩn thận, ham học hỏi và yêu thích làm việc với dữ liệu."/>
        <s v="I see this role as managing the data flow—from querying in BigQuery and transforming it with Dataform to visualizing it on Tableau.&#10;I’m a good fit because I’m strong in SQL and deeply familiar with gaming metrics. This allows me to provide clear insights "/>
        <s v="I believe this role would involve the application and usage of AI, either onto the video games themselves or just using AI to enhance user experience in general. As someone passionate about both of these 2 things as well as having a background that focuse"/>
        <s v="I'm a good fit because I combine technical skills with genuine curiosity about how people interact with products. My projects prove I can detect patterns and translate data into actionable insights.  I'm genuinely interested in gaming because it's where p"/>
        <s v="Em nghĩ là sẽ làm việc với các mô hình ngôn ngữ lớn và thiết kế pipeline giải quyết các yêu cầu của công ty ạ"/>
        <s v="I believe this role involves building and optimizing gameplay features while collaborating with designers and QA. I am a good fit because I have a solid Unity foundation, enjoy problem-solving, and am eager to learn, improve, and contribute to creating en"/>
        <s v="em nghĩ vị trí này sẽ tạo asset game (ảnh, texture, icon, background), generate animation. Em thấy em phù hợp bởi vì em có nền tảng về AI và đã làm các bài toán xử lý ảnh như CNN và captioning, nên có thể nhanh chóng áp dụng vào việc tự động hóa và tối ưu"/>
        <s v="Em hiểu vị trí Unity Developer sẽ bao gồm lập trình gameplay mechanics, xây dựng hệ thống game, triển khai tính năng và tối ưu.&#10;Em tin mình phù hợp vì đã tự phát triển 4 dự án game hoàn chỉnh bằng Unity (2D, 3D). Em có kinh nghiệm về thể loại puzzle, flat"/>
        <s v="I believe this role involves collecting, cleaning, and analyzing data to support business decisions. It likely includes working with tools such as SQL, Python, and data visualization platforms to extract insights, identify trends, and present findings in "/>
        <s v="I believe this role involves testing games, finding and reporting bugs, and improving user experience. I am a good fit because I am detail-oriented, patient, and passionate about games, with a strong willingness to learn."/>
        <s v="Tôi có kinh nghiệm BA cum Tester ở dự án ATS tại CT Group, có thể đọc hiểu tài liệu nghiệp vụ, cũng như tạo test case cho dự án."/>
        <s v="Tham gia thảo luận với các tiền bối trong team. Phát triển các chức năng từ đơn giản đến phức tạp. Kết hợp với các team khác (artist, designer) để cùng chỉnh sửa và hoàn thiện dự án.&#10;Em nghĩ bản thân phù hợp với vị trí Unity Developement Intern này là vì "/>
        <s v="Về Unity Developer và Game Designer,  đó sẽ là phát triển hệ thống game bằng Unity và thiết kế trải nghiệm gameplay.&#10;Mình thấy mình phù hợp với vị trí vì mình không chỉ quan tâm tới việc code đã chạy chưa mà mình còn xét về cách nó tác động tới trải nghiệ"/>
        <s v="Game Design là người lên ý tưởng, xây dựng quy luật và cơ chế trong game để tạo ra trải nghiệm thú vị cho người chơi. Em là người có tư duy logic tốt và niềm đam mê lớn với việc phân tích các dòng game. Em thường xuyên tìm hiểu tại sao một trò chơi lại cu"/>
        <s v="I believe this role involves developing AI solutions, working with data, improving models and supporting business needs. I am a good fit because I am passionate about AI, eager to learn, adaptable, quick to learn and work well in a team."/>
        <s v="I implement core game logic and integrate systems to deliver a complete gameplay experience. I fix bugs, develop new features, and collaborate with Game Designers to improve the product from both technical and player perspectives. With hands-on experience"/>
        <s v="Theo em, về vị trí DA đối với doanh nghiệp về Game thì sẽ làm công việc như: Thu thập ý kiến, trải nghiệm, đánh giá,... của khách hàng, người chơi từ đó đưa ra những quyết định như cải tiến hoặc lược bỏ các chức năng. Em chưa dám khẳng định là mình phù hợ"/>
        <s v="Game Design at SUN.STUDIO means making casual mechanics that feel simple on the surface but keep players coming back — balancing accessibility with enough depth to hold attention. I’ve done exactly that: designed original mechanics, documented them in ful"/>
        <s v="Em nghĩ về Data analyst sẽ bao gồm các công việc về Data cleaning, xây dựng pipeline, hỗ trợ dashboard, từ đó rút ra insight."/>
        <s v="Em nghĩ là kiểm tra, phát hiện lỗi, đảm bảo cho sản phẩm hoạt động đúng yêu cầu, không bị lỗi trước khi ra mắt, mang lại trải nghiệm tốt cho người dùng&#10;Em nghĩ là với sự kĩ tính, hay để ý đến chi tiết và hiểu được cảm"/>
        <s v="Em cho rằng vị trí này trước hết sẽ được tham gia hỗ trợ thiết kế/lập trình các hệ thống game nhỏ/mới hoặc tham gia kiểm thử cho các chức năng sắp và đang hoàn thiện.&#10;Lý do em cho rằng mình phù hợp vì em đang phát triển một dự án game 2D ARPG, đặc biệt là"/>
        <s v="This role likely involves building gameplay features in Unity, fixing bugs, and collaborating with a team.&#10;I’m a good fit because I’ve worked on Unity projects with classmates, have experience with C# and teamwork, and can quickly adapt and improve from f"/>
        <s v="From my understanding, this role involves supporting AI projects, working with data, and helping improve AI tools for practical use.&#10;I believe I am a good fit because I have interest in AI and I am always willing to learn and adapt to new challenges."/>
        <s v="I believe this role involves collecting, analyzing game data and turning it into actionable insights to support team decisions. With hands-on experience in Python, SQL, and Power BI through personal projects in forecasting and segmentation, I'm confident "/>
        <s v="This role is about analyzing team workflows, identifying bottlenecks, then designing prompts, pipelines, and agent tools to automate those gaps. My experience building Agent, end-to-end AI project - combined with a research background that trained me to t"/>
        <s v="Test game và api"/>
        <s v="I think this role involves turning AI into practical tools for game production such as automating workflows, suporting content or data tasks and integrating AI services with internal tools to help teams work faster and more effective. I am a good fit beca"/>
        <s v="Với Data Analysis, mục tiêu quan trọng nhất là tạo ra được insight cũng như giải quyết được vấn đề từ việc nhìn nhận Data. Ở đây, bản thân tôi có đủ kĩ năng và tư duy để làm điều đó"/>
        <s v="Theo em, vị trí này sẽ hỗ trợ xử lí, làm sạch và chuẩn hoá dữ liệu để có thể sự dụng cho việc phân tích, sau đó trình bày kết quả để hỗ trợ ra quyết định. &#10;Em nghĩ mình phù hợp với vị trí này vì em có nền tảng lập trình với Python và đang học thêm về SQL "/>
        <s v="Em hiểu vị trí này sẽ xoay quanh việc truy vấn và xử lý dữ liệu từ các sản phẩm game, xây dựng pipeline và dashboard để các team có thể theo dõi hiệu suất và ra quyết định. Em nghĩ mình phù hợp vì đã có nền tảng SQL, Python và kinh nghiệm xây dựng dashboa"/>
        <s v="I believe this role involves analyzing workflows, identifying inefficiencies, and applying AI through prompts, pipelines, and agents to automate processes. I’m a good fit due to my experience with Python and AI projects, and my strong interest in building"/>
        <s v="I believe this role involves analyzing workflows to identify bottlenecks and designing AI Agents or pipelines to automate manual tasks. Having experience in building RAG systems and agentic architectures, I am interested in applying these skills to improv"/>
        <s v="I am a good fit because I have a backend foundation and experience with real-world projects. I understand development workflows and know how to combine AI tools to optimize work. I am a fast learner, ready to grow and contribute."/>
        <s v="I believe the roles I have picked involve translating design concepts into real, functional systems while ensuring technical polish. I am confident that I am a great fit as I possess a strong foundation in Unity as well as a background in quality assuranc"/>
        <s v="Vị trí Data Analysis Intern sẽ hỗ trợ thu thập, xử lý và phân tích dữ liệu, tạo báo cáo và trực quan hóa dữ liệu để giúp đội ngũ đưa ra quyết định chính xác hơn. Tôi phù hợp với vị trí này vì có kiến thức cơ bản về Excel, SQL và tư duy logic tốt. Tôi cẩn "/>
        <s v="Tôi nghĩ với vị trí AI engineer sẽ không chỉ huấn luyện các mô hình AI mà đặt trọng tâm vào việc xây dựng và vận hành các hệ thống AI hoàn chỉnh. Tôi tin rằng mình phù hợp với vị trí này là vì đã có cơ hội được học tập và xây dựng các kỹ năng liên quan đế"/>
        <s v="Em nghĩ vị trí này sẽ tham gia phát triển sản phẩm, xây dựng tính năng và sửa lỗi, đồng thời học hỏi công nghệ mới và làm việc nhóm.&#10;&#10;Em phù hợp vì có nền tảng lập trình tốt, từng làm dự án thực tế và học nhanh. Em cũng có tinh thần trách nhiệm và luôn ch"/>
        <s v="I believe a DA Intern is responsible for working with user data, organizing it and applying analytics tools to generate valuable insights that can support business decision-making. With my academic background and hands-on projects, I have developed the ne"/>
        <s v="Tôi nghĩ vị trí này bao gồm việc phát triển các tính năng game bằng Unity, lập trình gameplay với C#, đồng thời kiểm tra và phát hiện lỗi để cải thiện chất lượng sản phẩm. Tôi phù hợp vì có nền tảng lập trình, đã thực hiện các dự án Unity cơ bản tại trườn"/>
        <s v="Em nghĩ vị trí này sẽ làm:lập trình gameplay, làm logic game,làm việc với artist &amp; designer, fix bug &amp; tối ưu, Build &amp; release game.&#10;Em phù hợp với vị trí Game Developer vì em có nền tảng về Unity và lập trình C#, đồng thời đã thực hành qua một số project"/>
        <s v="Vị trí này chủ yếu liên quan đến việc thu thập, xử lý và phân tích dữ liệu để đưa ra insight hỗ trợ quyết định kinh doanh. Em có thể  phù hợp vì có nền tảng về data analysis (và đã có kinh nghiệm làm việc với dữ liệu thực tế trong các project."/>
        <s v="I believe I’m a good fit because I already have hands-on experience with AI projects. For example, I worked on a deep learning project for video frame interpolation using PyTorch, and I also implemented algorithm-based AI like Minimax with Alpha-Beta prun"/>
        <s v="Mình nghĩ vị trí HR sẽ bao gồm các công việc như hỗ trợ tuyển dụng, kết nối ứng viên và tham gia xây dựng môi trường làm việc tích cực.&#10;Mình đã từng tham gia vào quá trình tuyển thành viên, phối hợp tổ chức hoạt động và làm việc với nhiều người. Mình có k"/>
        <s v="Vị trí AI Engineer Intern giúp tối ưu hóa làm game từ khâu tạo prototype nhanh, tự động phát hiện lỗi đến phân tích dữ liệu người dùng để cải thiện nội dung.Em tự tin mình phù hợp vì có nền tảng về Machine Learning/LLM, khả năng lập trình và tư duy ứng dụ"/>
        <s v="Unity Dev sẽ là nơi để thỏa sức sáng tạo các tựa game phù hợp với thị trường, và tôi có khả năng học hỏi nhanh và chịu học, chịu được áp lực tốt và đã làm quen trước về dev game thông qua các dự án mini từ RPG Maker"/>
        <s v="I think this role involves cleaning, analyzing, and reporting game data to support product decisions.&#10;I am a good fit because I have experience with Python, SQL, Power BI, and EDA. I am detail-oriented, willing to learn, and interested in using data to im"/>
        <s v="Em nghĩ vị trí này sẽ tập trung vào kiểm thử, tìm và báo lỗi, hỗ trợ đảm bảo chất lượng game trước khi phát hành. Em phù hợp vì có nền tảng về manual testing, viết test case, bug reporting, cùng tư duy logic, cẩn thận và tinh thần học hỏi tốt"/>
        <s v="I believe this role involves testing games, finding bugs, reporting issues, and ensuring a smooth user experience. I’m a good fit because I’m detail-oriented, enjoy playing and analyzing games, and I’m willing to learn and improve my QA skills."/>
        <s v="I believe this role involves using tools like Python, SQL, and Excel to analyze player behavior and create visualizations. I am a good fit because of my strong academic background in data . Through my previous internship and some competitions, I have gain"/>
        <s v="Vị trí này yêu cầu tối ưu hóa sản xuất và phân tích hành vi người chơi để tăng trưởng sản phẩm. Em phù hợp nhờ kinh nghiệm xây dựng Agent tự trị qua dự án ICAT, kỹ năng trích xuất insight từ dữ liệu lớn qua dự án FRED, và tư duy minh bạch từ giải Quán quâ"/>
        <s v="Vị trí này tập trung vào xử lý dữ liệu và xây dựng dashboard để cung cấp insight kinh doanh. Tôi là ứng viên phù hợp nhờ nền tảng SQL, Power BI, Python cùng kinh nghiệm thực tế phân tích hơn 20.000 bản ghi tài chính. Sự am hiểu hệ thống CRM tại VUS và khả"/>
        <s v="Em nghĩ vị trí này sẽ tập trung vào việc xử lý, làm sạch, chuẩn hóa, trực quan hóa dữ liệu, cũng như phân tích để đưa ra insight.&#10;Em phù hợp với vị trí vì em có định hướng theo Data Analyst và đã chuẩn bị kiến thức nền tảng: SQL, Tableau, Power BI, Python"/>
        <s v="Dựa trên những thông tin JD của vị trí này, em thấy vị trí này không đơn thuần làm những việc hành chính mà giống như một đối tác chiến lược của công ty. Là một sinh viên Quản trị kinh doanh cùng với tư duy hệ thống, 2 năm kinh nghiệm gia sư và kinh nghiệ"/>
        <s v="Tôi nghĩ vị trí này sẽ hỗ trợ các công việc tuyển dụng, onboarding, đào tạo nội bộ và các hoạt động gắn kết nhân viên. Đây là 1 trong những công việc quan trọng giúp team Nhân sự vận hành hiệu quả và mang lại trải nghiệm tốt cho ứng viên cũng như nhân viê"/>
        <s v="I believe this role involves querying, transforming, and visualizing game data to generate insights for decision-making. I’m a good fit because I have strong SQL and Python skills, hands-on experience with data processing, and enjoy turning data into clea"/>
        <s v="I think that I love to work with data and that is the reason I believe myself to be a good fit for these positions"/>
        <s v="Mình hiểu vị trí này sẽ phân tích hành vi người chơi, theo dõi KPI sản phẩm và hỗ trợ các team ra quyết định dựa trên dữ liệu. Mình phù hợp vì đã thực chiến đúng quy trình đó từ xử lý dữ liệu thô, phân tích bằng SQL/Python, đến visualize trên Power BI qua"/>
        <s v="I believe this role involves balancing creative mechanics with technical stability to ensure the best player experience. I’m a great fit because I’m proficient in Unity and C#, which allows me to understand the game’s logic deeply. My experience building "/>
        <s v="Theo mình được biết vị trí này sẽ làm về mảng AI, làm các tool tự động hoá cho các quy trình dựa vào AI. Bên cạnh đó là RAG để tạo AI chuyên biệt cho công ty. Mình nghĩ mình sẽ phù hợp vì đã có tiếp xúc qua dự án RAG cũng như tìm hiểu về các projects AI t"/>
        <s v="Đối với tôi QA Tester sẽ là bộ phận quan trọng để tìm ra bug, kiểm thử các tính năng để đảm bảo sản phẩm sẽ đạt được chất lượng tốt nhất. Tôi có sự tỉ mỉ và kinh nghiệm với QA nên tôi nghĩ tôi phù hợp với vị trí này"/>
        <s v="I’m a good fit because I have hands-on experience building real-world AI systems, including LLM-based applications, recommendation systems, and end-to-end ML pipelines. I’ve worked with scalable backends, deployed models, and optimized performance, which "/>
        <s v="Em hình dung vị trí này bao gồm việc hiện thực hóa các ý tưởng thiết kế thành mã nguồn C# trên Unity, xây dựng logic gameplay, giao diện người dùng và phối hợp cùng team để tối ưu sản phẩm. Em tin mình phù hợp nhờ nền tảng tư duy thuật toán vững chắc của "/>
        <s v="I’m a good fit because I have a solid technical foundation, hands-on project experience, and I’m proactive, adaptable, and eager to learn."/>
        <s v="&quot;I am eager to challenge myself in a new field and I have knowledge in this field"/>
        <s v="I believe this role involves more than just building models; it’s about creating an end-to-end AI workflow, from developing automated data pipelines to integrating RAG architectures into functional applications."/>
        <s v="I believe I am a good fit because of my entrepreneurial mindset. Running my own business alongside my studies has taught me to take full ownership of my work and stay adaptable in fast-paced environments. I bring a blend of creative problem-solving and a "/>
        <s v="Mình nghĩ vị trí Game QA sẽ chịu trách nhiệm chơi thử và kiểm tra toàn diện game để tìm ra lỗi trước khi phát hành. &#10;Mình thấy mình phù hợp vì mình có tính cách tỉ mỉ và hay để ý chi tiết và có n ệ thông tin."/>
        <s v="I believe this role involves testing game features, identifying and reporting bugs, and ensuring stable performance and good player experience. I am a good fit because I have hands-on practice in manual testing, test case design, and validating business l"/>
        <s v="I think this role involves supporting recruitment, communicating with candidates, preparing HR documents, and assisting internal activities. I believe I am a good fit because I am responsible, detail-oriented, and willing to learn. My background in Market"/>
        <s v="This role consists of supporting and optimizing user acquisition campaigns, collaborating with creative teams, and analyzing performance. With a background in marketing communications and experience in content and campaign execution, I have a solid founda"/>
        <s v="Vị trí này sẽ sử dụng cũng như xây dựng AI như một Agent có thể đảm nhiệm các nhiệm vụ khác nhau một cách tự động, cũng như thiết kế và nghiên cứu các phương thức prompt khác nhau cho AI. Với kinh nghiệm đã từng làm về AI và RAG trước đó, cũng như kiến th"/>
        <s v="Với vị trí AI Engineering tại SUN.RISER, tôi nghĩ vị trí này sẽ phối hợp với các team liên quan và triển khai các giải pháp AI – Automation. Ứng dụng AI vào quy trình phát triển game"/>
        <s v="I believe I am a good fit because I have a Marketing background, good English communication, basic knowledge of Google Ads, and experience in planning, content creation, and teamwork through my internship and projects."/>
        <s v="I think this role involves researching and improving game systems to create better player experiences. I believe I’m a good fit because I enjoy casual/puzzle games, have strong logical thinking skills, and am eager to learn and grow in game design."/>
        <s v="Vị trí của em sẽ ứng dụng AI vào lập trình game cũng như tối ưu quá trình làm game bằng AI, em tin rằng mình có thể hoàn thành tốt với khả năng học hỏi nhanh chóng"/>
        <s v="Theo em, vị trí này sẽ hỗ trợ lập trình và tích hợp giao diện UI/UX vào Unity, fix bug và tối ưu.&#10;Dù chưa có kinh nghiệm trong lập trình game, em có tinh thần trách nhiệm cao và luôn sẵn sàng học hỏi để hoàn thành tốt các nhiệm vụ được giao, giúp mang lại"/>
        <s v="Theo hình dung của tôi về vị trí này tập trung vào tăng trưởng user cho game thông qua performance marketing và data&#10;Tôi phù hợp vì có nền tảng digital marketing + tư duy data-driven. Đồng thời tôi đang chuyển hướng sang performance/growth, nên có mindset"/>
        <s v="This role involves market research, running and optimizing UA campaigns, testing creatives, and analyzing performance. I’m a good fit because I have experience in research and data-driven optimization, enjoy testing and improving results, and bring a fast"/>
        <s v="I may still be early in my career, but I bring curiosity, analytical thinking, and a strong willingness to learn and I believe that mindset makes me a strong fit for this role"/>
        <s v="Vì em có niềm đam mê với game ạ"/>
        <s v="Em nghỉ mình có thể triển khai nhưng ý tưởng về một trò chơi mình yêu thích và học hỏi thêm được nhiều kinh nghiệm"/>
        <s v="This role involves working with real game data, building dashboards on Tableau, and turning raw data into useful insights to help the team build better games.&#10;I believe I’m a good fit because I truly enjoy data analysis and problem-solving with numbers. I"/>
        <s v="Em nghĩ vị trí này sẽ chủ yếu xử lý, làm sạch, trực quan hoá dữ liệu. Từ đó, chúng ta có thể tìm ra được insight khách hàng và đưa ra những đề xuất hợp lý cho những tệp khách hàng khác nhau"/>
        <s v="This role involves ensuring software reliability through comprehensive testing, and I am a great fit because my background in full-stack development and rigorous testing methodologies allows me to identify complex edge cases and collaborate seamlessly wit"/>
        <s v="I think this role involves cleaning, analyzing data, and building reports or dashboards to support business decisions.&#10;I’m a good fit because I have experience with Python, SQL, and visualization tools like Power BI and Tableau, along with hands-on practi"/>
        <s v="Thu thập, xử lý, phân tích dữ liệu &#10;Thiết kế và lựa chọn các chỉ số phù hợp với mục tiêu nghiên cứu, sử dụng data để hỗ trợ&#10;Tham gia phân tích dữ liệu để hiểu hành vi người dùng, nâng cao chất lượng sản phẩm và xác định cơ hội tăng trưởng"/>
        <s v="At Sun Studio, the AI ​​Engineering Intern will apply AI to optimize game products, while the Data Analysis Intern will focus on analyzing player data to support development decisions. With my background in AI development, and practical experience, I am c"/>
        <s v="Theo em, vị trí AI Engineer Intern tại SUN.RISER Nghiên cứu và ứng dụng các giải pháp AI (như Generative AI, Computer Vision) để tối ưu hóa quy trình sản xuất Game/Phần mềm và nâng cao trải nghiệm người dùng tại Sun. Em sẵn sàng cống hiến sự nhiệt huyết c"/>
        <s v="I understand that this role involves working directly with raw game data to uncover valuable insights to support business decision-making. I believe I am a good fit because I have a solid foundation and practical experience in data processing and analytic"/>
        <s v="I think this role focuses on understanding how different teams operate, identifying manual or inefficient steps, and redesigning those workflows using AI and automation. It involves not only prompt engineering, but also building end-to-end AI pipelines in"/>
        <s v="This role involves analyzing workflows, identifying inefficiencies, and building AI agents to automate and improve them. It also requires designing prompts, integrating tools via APIs, and iterating based on user feedback. I’m a good fit because I have a "/>
        <s v="This role bridges player behavior and game optimization. My Unity background helps me understand data logic at the source, while my churn prediction skills provide actionable insights. This ensures my analysis is always technically sound and deeply aligne"/>
        <s v="The game designer role needs to have clear mind for mechanic, balance and a lot of concepts to engaging player. As for AI engineer role, we need to have a strong foundation of Algorithms and coding skill with AI-specific knowledge to create different AI b"/>
        <s v="I believe this role involves preparing content or campaign materials, tracking progress, and reviewing campaign performance. I believe I’m a good fit as I have a strong interest in marketing, I have developed skills in research, teamwork, communication, a"/>
        <s v="Em thấy bản thân có đủ các kiến thức và yếu tố kỹ năng về vị trí mình chọn và tự tin có thể cống hiến cho công việc một cách tốt nhất"/>
        <s v="Mình hiểu vị trí này sẽ tham gia trực tiếp vào quy trình tuyển dụng, từ tìm kiếm, sàng lọc ứng viên đến hỗ trợ phỏng vấn và onboarding, đồng thời đồng hành trong các hoạt động về EB và L&amp;D.&#10;Mình phù hợp với vị trí này nhờ khả năng sáng tạo và thiết kế cơ "/>
        <s v="I think that scope of work in Data Analysis Intern position is building dashboard, analyze some KPI, metrics for Game app and gain insights, do some tasks about database management, data processing and data pipeline. Because of my academic background and "/>
        <s v="Theo em hiểu thì vị trí Game Design Intern sẽ tham gia vào quá trình thiết kế gameplay, từ việc việc lên ý tưởng cho tới mechanic, xây dựng gameplay loop, cân bằng game, và phối hợp với team dev/art để triển khai vào sản phẩm thực tế. Trong các dự án cá n"/>
        <s v="Là người hỗ trợ kết nối tài năng và tổ chức các hoạt động gắn kết để duy trì cảm hứng sáng tạo cho đội ngũ. Em tin mình phù hợp vì nền tảng kiến thức Tâm lý học giúp em dễ dàng thấu hiểu và tương tác hiệu quả với các cá nhân có cá tính khác biệt. Bên cạnh"/>
        <s v="- Vị trí này sẽ làm việc dưới sự dẫn dắt của mentor để thực hiện đảm bảo chất lượng cho dự án Game trước khi phát hành (Kiểm thử theo Checklist, Hỗ trợ các hạng mục IAP,ads,...)&#10;- Với kiến thức được trang bị tại trường và qua quá trình thực tập, đồng thời"/>
        <s v="I am a strong fit for this role because I approach quality assurance with a computer science and engineering mindset. Through my recent projects, I have developed a deep understanding of software structural quality, specifically utilizing automated testin"/>
        <s v="I believe this role involves collecting and processing data, building dashboards or reports to support business decisions, and identifying trends or anomalies through exploratory analysis. My background in both machine learning and analytical thinking all"/>
        <s v="I believe this role combines data-driven optimization with creative execution in user acquisition. With a marketing foundation, proven creativity and coordination experience, and an analytical mindset from my economics background, with a genuine interest "/>
        <s v="I see this role as a bridge between data analysis and business strategy. I am confident in my fit because I have a passion for using data-driven insights to optimize business outcomes."/>
        <s v="Công việc sẽ làm: Phân tích workflow và xây dựng AI pipeline (prompt, agent/function calling, RAG), tích hợp API và phát triển AI tools nội bộ.&#10;Lý do phù hợp: Có kinh nghiệm với function calling (kể cả LLM chưa hỗ trợ API) và tối ưu prompt; đang phát triể"/>
        <s v="I believe this role involves applying AI to improve workflows, automate tasks, and support game development processes. I think I am a good fit because I have experience with AI projects using Python, machine learning, and RAG systems. I am also eager to l"/>
        <s v="- It revolves around the data lifecycle: from collecting, cleaning, and analyzing data to uncover insights, to training and optimizing deep learning models to solve real-world problems.&#10;- I am confident in my ability thanks to my hands-on experience proce"/>
        <s v="This role will involve in puzzle solving skills, teamwork skills and idea summarization skills. I am a good fit because my problem solving and puzzle solving skills are enough to identify a gameplay weakness and balancing the game's difficulty. Additional"/>
        <s v="Xử lý dữ liệu: Thu thập, làm sạch và chuẩn hóa dữ liệu từ nhiều nguồn khác nhau.&#10;Trực quan hóa: Xây dựng Dashboard theo thời gian thực để giám sát sức khỏe doanh nghiệp.&#10;Giải quyết vấn đề: Từ số liệu, tìm ra các điểm kém hiệu quả trong quy trình và đề xuấ"/>
        <s v="I believe this role involves participating in the full project development lifecycle—from analyzing requirements and building efficient data/AI models to implementing functional features on web platforms.&#10;I think I am a strong fit for this position becaus"/>
        <s v="Tôi chưa biết, vì về AI Engineer thì khá rộng, mỗi môi trường thì mạnh về một thế khác nhau, có chỗ thì chuyên về học máy/học sâu, chỗ thì tích hợp AI, chỗ thì phân tích nó, tôi nghĩ mình thích về việc phân tích dữ liệu, nên sẽ theo được với nó"/>
        <s v="This role involves building and deploying AI solutions, working with data, and integrating models like LLMs into real applications.&#10;I’m a good fit because I have a solid AI and software foundation, hands-on project experience, and I learn quickly to deliv"/>
        <s v="I believe this role involves supporting recruitment, coordinating interviews, and contributing to employee engagement.&#10;I’m a good fit because I have HR experience, strong communication skills, and a genuine interest in working with people. I’m also proact"/>
        <s v="Kiểm thử đảm bảo chất lượng và phân tích dữ liệu&#10;Tôi thấy phù hợp là vì tôi luôn muốn những việc mình làm nó là phiên bản tốt nhất trước khi đưa cho ai đó"/>
        <s v="Theo mình thì vị trí Data Analyst Intern sẽ phân tích hành vi người dùng,  theo dõi các chỉ số vận hành như Số người chơi hoạt động mỗi ngày, Tỉ lệ giữ chân người chơi, Doanh thu trung bình mỗi user; Tham gia chuẩn bị dữ liệu để so sánh hiệu quả giữa các "/>
        <s v="I see User Acquisition as a perfect combination of creativity, data, and technology, involving everything from targeting the right audiences to optimizing campaign performance. As a quick learner with experience in content creation and currently developin"/>
        <s v="Theo em, vị trí này yêu cầu sự kết hợp giữa kiến thức nền tảng vững chắc và khả năng thích nghi với các công nghệ mới. Em có thế mạnh về nghiên cứu và thực thi các mô hình AI/ML, đồng thời luôn chủ động cập nhật kiến thức qua các cuộc thi như VPBank Hacka"/>
        <s v="Em phù hợp vì đã có nền tảng C# và kinh nghiệm tự xây dựng game (*Eight Days of Fate) cũng như các hệ thống logic từ các dự án simulation và computer vision. Em có khả năng làm việc nhóm, chủ động tiếp cận công nghệ mới, và muốn phát triển kỹ năng game de"/>
        <s v="thiết kế , ứng dụng ai vào công việc"/>
        <s v="Ở vị trí Data Analysis Intern, em nghĩ công việc chính sẽ bao gồm:&#10;- Thu thập dữ liệu từ những nguồn được yêu cầu, thực hiện các bước làm sạch&#10;- Xử lý dữ liệu (đưa vào lưu trữ, lựa chọn dữ liệu, sử dụng dữ liệu cho mục đích cụ thể)&#10;- Rút ra insight, chia "/>
        <s v="This role is about turning gameplay ideas into reality with C#. I'm a good fit because I've already handled Unity projects and built Boss AI logic from scratch. With a logical mindset from my Physics background and a smooth Git workflow, I'm ready to go a"/>
        <s v="Mình nghĩ là có thể ứng dụng AI để xây dựng hành vi cho các nhân vật NPC, để chúng linh hoạt hơn. Hoặc kiểm tra phát hiện các bug trước khi đưa cho tester. Là người đã có kinh nghiệm huấn luyện, tinh chỉnh các mô hình DL, mặc dù chưa có kinh nghiệm làm ga"/>
        <s v="Built LLM‑driven data generation workflows (Gemini Flash 2.5, GPT‑4) using few‑shot and CoT prompting, with quality evaluation.&#10;&#10;Implemented full RAG pipeline: FAISS in‑memory indexing → Qdrant hybrid search → reranking → generation.&#10;&#10;Built RESTful APIs w"/>
        <s v="Vị trí này sẽ khai thác dữ liệu từ BigQuery, xây dựng pipeline chuẩn hóa chỉ số và trực quan hóa để hỗ trợ các team ra quyết định chính xác. Với tư duy hệ thống mạnh trong việc xử lý dữ liệu chuỗi thời gian (RSSI) và làm sạch tín hiệu từ cảm biến. Cùng vi"/>
        <s v="I believe this role involves supporting the development and optimization of AI models, working with data, and contributing to real-world AI applications. I am a good fit because I have a strong foundation in AI, enjoy solving problems, and am eager to lea"/>
        <s v="Vị trí này sẽ cần phát triển gameplay cốt lõi, tích hợp các hiệu ứng, đồ họa, tài nguyên từ các vị trí khác, tạo các công cụ làm việc với các vị trí khác (game design), xây dựng giao diện của game, tích hợp các tính năng ngoài lề khác (quảng cáo, monetisa"/>
        <s v="Vị trí QA đóng vai trò như người bảo vệ chất lượng của sản phẩm. Công việc chính là phân tích yêu cầu dự án, viết các kịch bản kiểm thử và trực tiếp thao tác để tìm ra lỗi (bug). Sau đó, ghi nhận lại và phối hợp với đội ngũ phát triển để khắc phục.Em tự t"/>
        <s v="I think this role involves building and testing AI models, or improving model performance that supports real projects. &#10;&#10;I’m really interested in AI applications, especially in areas like gaming, so I’m motivated to learn and contribute as much as I can."/>
        <s v="Mình nghĩ vị trí Game Design Intern sẽ tham gia lên ý tưởng gameplay, xây dựng cơ chế game, viết mô tả tính năng và hỗ trợ cân bằng trải nghiệm người chơi."/>
        <s v="Sẽ đảm nhận việc khai thác dữ liệu từ các dự án thực tế, xây dựng dashboard theo dõi chỉ số và tìm kiếm insight để hỗ trợ đội ngũ đưa ra quyết định kinh doanh chính xác. Em tự tin phù hợp vì sở hữu tư duy logic nhạy bén cùng khả năng làm chủ các công cụ S"/>
        <s v="Theo em, vị trí Game QA Intern tại SUN.STUDIO sẽ tập trung vào việc đảm bảo chất lượng game thông qua các hoạt động kiểm thử có hệ thống. Cụ thể, QA sẽ tham gia test gameplay, phát hiện và ghi nhận lỗi, theo dõi quá trình fix bug, đồng thời đánh giá trải "/>
        <s v="Theo em, vị trí AI Engineer sẽ tập trung vào việc xử lý dữ liệu, xây dựng mô hình và ứng dụng AI để giải quyết các bài toán thực tế.&#10;&#10;Em phù hợp vì em có nền tảng về Python, machine learning và đã làm các project liên quan đến dữ liệu. Em cũng rất hứng th"/>
        <s v="Tôi không chỉ muốn nghiên cứu về AI trong phòng lab, mà tôi còn muốn đưa AI được ứng dụng vào đời sống thât tế."/>
        <s v="AI Engineer là người phát triển và triển khai các hệ thống trí tuệ nhân tạo (AI), như chatbot, nhận diện hình ảnh, xử lý ngôn ngữ tự nhiên hoặc mô hình dự đoán. Em có kiến thức chuyên môn về AI và khả năng tìm hiểu/sử dụng các công nghệ mới"/>
        <s v="I think at this position I will research about audience trend, competitors, target segment,... Besides that, I also planning and set up the ads to reach to audience, and analysis the performance of ads."/>
        <s v="Vì tôi đã có kinh nghiệm thực tế trong việc làm sạch dữ liệu và xây dựng mô hình dự báo rủi ro tín dụng (Luận văn đạt 9.5/10). Có kinh nghiệm với Python, R, SQL và Power BI. Nên tôi có thể tự tin là bản thân không kéo chân người khác mà có thể hỗ trợ họ v"/>
        <s v="This role will require working as a marketing full stack based on tasks requested by the head of marketing and will focus on finding, introducing, and nurturing users during and after their gaming experience.&#10;&#10;1. I love the gaming market and marketing.&#10;2."/>
        <s v="Em nghĩ vị trí AI Engineer sẽ tập trung vào việc xây dựng và tích hợp các giải pháp AI vào sản phẩm thực tế, thay vì chỉ làm mô hình thuần túy. Công việc bao gồm xử lý dữ liệu, xây dựng pipeline, triển khai các mô hình như NLP hoặc automation, và tối ưu đ"/>
        <s v="Em thấy mình phù hợp với vị trí này vì em có nền tảng về tổ chức và làm việc với con người thông qua trải nghiệm ở Ban Nhân sự của Bach Khoa Ambassador Club, cùng với các công việc trước đây yêu cầu giao tiếp, phối hợp và xử lý tình huống. Ngoài ra, em là"/>
        <s v="Em nghĩ vị trí này sẽ tập trung vào việc nghiên cứu, xây dựng và thử nghiệm các ứng dụng AI (đặc biệt là GenAI) trong quy trình phát triển game.&#10;Em phù hợp vì có nền tảng về Machine Learning/Deep Learning, kinh nghiệm với Python, PyTorch. Em có khả năng t"/>
        <s v="I believe this role involves testing game features, identifying bugs, and ensuring a smooth player experience. With my manual testing experience, bug reporting skills, and strong passion for gaming, I am confident I can quickly identify issues and contrib"/>
        <s v="I think this role involves researching, building, and implementing AI solutions such as data processing, model training, and optimization.&#10;&#10;I am a good fit because I have strong research skills, can leverage AI tools to solve complex problems, and consult"/>
        <s v="Theo em, vị trí này sẽ làm việc với dữ liệu, xây dựng và tích hợp các mô hình AI vào sản phẩm. Em thấy bản thân mình phù hợp vì em có nền tảng lập trình, tư duy hệ thống và kinh nghiệm làm dự án thực tế. Bên cạnh đó em có tinh thần chủ động học hỏi và có "/>
        <s v="I think this role is about using game data to understand player behavior and turn it into insights for better decisions.&#10;I’m a good fit because I have a strong Excel foundation and a logical mindset from Accounting. I’m still learning SQL and Python, but "/>
        <s v="Theo tôi, vị trí này sẽ tập trung vào phát triển và tối ưu các tính năng trong game bằng Unity, hỗ trợ xây dựng gameplay, sửa lỗi, phối hợp với team để hoàn thiện sản phẩm và đảm bảo trải nghiệm người chơi tốt hơn. Tôi cảm thấy phù hợp vì tôi có nền tảng "/>
        <s v="Em nghĩ là sẽ phân tích game, cân bằng những chỉ số cơ bản nhỏ, có thể là fix những bug game nhỏ , viết các tính năng có logic cơ bản cho game.&#10;Và vì sao em phù hợp với vị trí này : em nghĩ mình thực sự phù hợp với vị trí này vì em có sự quan tâm một cách"/>
        <s v="Tôi nghĩ vị trí này tập trung vào xây dựng gameplay, tối ưu hiệu năng và làm mượt trên mobile.  Tôi phù hợp vì đã có kinh nghiệm Unity &amp; C#, từng làm cơ chế gameplay (di chuyển, combat, bắn súng) và multiplayer với Photon PUN2 trong các dự án thực tế."/>
        <s v="Theo em, vị trí này sẽ bao gồm phát triển và sáng tạo tính năng gameplay, tối ưu hóa game, sửa lỗi và thiết lập UI.&#10;Bản thân em phù hợp với vị trí này vì những sản phẩm tạo ra ở trường và những dự án cá nhân khác đều bao gồm tất cả những công việc trên, v"/>
        <s v="I am passionate about game development."/>
        <s v="Theo em, vị trí này sẽ tham gia phát triển các tính năng trong game, phối hợp với các thành viên khác như designer, artist hay backend để hoàn thiện sản phẩm.&#10;Em nghĩ mình phù hợp với vị trí này vì em đã có kinh nghiệm làm các dự án game bằng Unity, có nề"/>
        <s v="- Theo như nghiên cứu của em thì DA sẽ tập trung vào phân tích insight của người dùng từ dữ liệu thu thập được trong quá trình sử dụng từ đó đưa ra giải pháp phù hợp với nhu cầu thực tế của người dùng&#10;- GD sẽ phân tích những gameplay hiện có sau đó đưa ra"/>
        <s v="In my opinion, I think this position will require me to design an AI workflow and specialised for prompting and designing AI agent through tools such as n8n or&quot;hardcore tools&quot; such as React Agent, Langchain. Since I have experiences on using LangChain and"/>
        <s v="I think this role involves supporting recruitment operations—screening candidates, coordinating interviews, updating trackers, and ensuring a smooth candidate experience. I’m a good fit because I’m organized, detail-oriented, and comfortable communicating"/>
        <s v="Em nghĩ vị trí AI Engineer Intern sẽ tham gia vào việc huấn luyện và tinh chỉnh mô hình, triển khai mô hình, giải quyết các bài toán Computer Vision và NLP. &#10;Em nghĩ em phù hợp với vị trí này vì em được đào tạo lĩnh vực này ở trường đại học và em có sự yê"/>
        <s v="I understand this role focuses on analyzing player data to generate insights for improving game experience and supporting product decisions.&#10;&#10;With my background in Data Science and experience working with real-world datasets, I’m confident in my ability t"/>
        <s v="Đối với tôi, vị trí này đóng vai trò quan trọng trong việc đảm bảo chất lượng game thông qua việc kiểm thử, phát hiện lỗi và cải thiện trải nghiệm người chơi. Tôi phù hợp vì tôi vừa yêu thích game, vừa có tư duy phân tích tốt, cẩn thận trong việc kiểm tra"/>
        <s v="Em nghĩ vị trí này sẽ bao gồm việc kiểm thử tính năng, phát hiện và báo lỗi, xác nhận hệ thống hoạt động đúng và đảm bảo chất lượng sản phẩm trước khi phát hành. Với nền tảng lập trình và kinh nghiệm làm việc với API, debugging và testing, em có thể hiểu "/>
        <s v="I believe this role involves understanding workflows across teams, identifying manual or inefficient steps, and applying AI solutions such as prompt engineering, AI pipelines, and agent-based automation to improve productivity. It also includes building i"/>
        <s v="I believe this role involves supporting recruitment activities, coordinating internal HR processes, and helping in building a positive working environment within a game focused company. I am a good fit because I am highly organized, responsible, and able "/>
        <s v="Tôi có khả năng làm việc với các quy trình kiểm thử, từ thiết kế test case, thực thi kiểm thử, đến báo cáo lỗi một cách rõ ràng và hiệu quả. Công việc QA không chỉ đơn thuần là tìm lỗi, mà còn giúp đảm bảo trải nghiệm người chơi tốt hơn, góp phần tạo ra 1"/>
        <s v="Mình nghĩ vị trí này sẽ là kiểm thử phần mềm, hỗ trợ cùng kĩ thuật để phát triển phần mềm.&#10;Vì đây là thứ mình đã học trong chuyên ngành và mình cũng có đam mê với game và những thứ liên quan tới logic."/>
        <s v="Theo mình, vị trí này sẽ tập trung vào việc ứng dụng AI trong quy trình phát triển game, như xây dựng các công cụ hỗ trợ sản xuất, xử lý dữ liệu và cải thiện trải nghiệm người chơi. Mình phù hợp vì đã có kinh nghiệm với RAG, chatbot, backend và xử lý dữ l"/>
        <s v="I believe this role requires the design and refinement of gameplay mechanics that make for an enjoyable and cohesive gameplay experience. This will involve the creation of the core gameplay mechanics, the balancing of the various systems within the game, "/>
        <s v="I think this role involves analyzing player behavior, retention, and monetization by working with gameplay data, cleaning and preparing datasets, and generating insights to support game improvements. I’m a good fit because I’m comfortable handling messy d"/>
        <s v="This role involves querying, cleaning, and analyzing data, building dashboards, and tracking key metrics to support decision-making.&#10;&#10;I am a good fit because I have experience with Excel and SQL for data analysis, along with strong analytical thinking and"/>
        <s v="Công việc này xoay quanh việc thiết kế prompt, xây dựng pipelines để tự động hóa các quy trình vận hành nội bộ. Em tin mình phù hợp vì đã có kinh nghiệm qua việc tự phát triển app quản lý công việc tích hợp trợ lý tự động, em đã quen với việc xử lý luồng,"/>
        <s v="I believe this role involves building and improving AI models, working with data, and applying them to real-world problems, and I am a good fit because I have a strong foundation in machine learning, experience with Python and ML frameworks, and I am eage"/>
        <s v="I believe this role involves supporting recruitment activities, managing candidate data, and contributing to employer branding and onboarding. With my experience in recruitment projects and candidate pipeline management, along with my proactive mindset an"/>
        <s v="Em nghĩ vị trí này bao gồm thu thập, xử lý và phân tích dữ liệu để tạo insight hỗ trợ ra quyết định, đồng thời xây dựng báo cáo hoặc dashboard.&#10;&#10;Em phù hợp vì có nền tảng về phân tích dữ liệu, tư duy logic tốt và khả năng học hỏi nhanh. Em cũng đã có kinh"/>
        <s v="Having hands-on experience with LangChain, LangGraph, and advanced prompt engineering (Few-shot, CoT) to enforce structured JSON outputs, I am eager to apply these skills to automate complex cross-functional pipelines at SUN.STUDIO."/>
        <s v="I believe this role focuses on running and optimizing user acquisition campaigns, analyzing performance data, and scaling growth across channels. &#10;I’m a good fit because I have a solid marketing foundation, enjoy working with data, and am highly motivated"/>
        <s v="This role bridges player experience with data-driven design, focusing on core loops, game economy, and UI/UX flows. I believe by having watched multiple developer's videos on how their idea developed from scratch, I would an analytical edge for balancing "/>
        <s v="I’m a great fit because I’m a data-driven storyteller. I’ve proven I can hook an audience with viral content and possess the analytical discipline of a MOS Excel Specialist to measure what actually works. As a casual gamer, I genuinely understand the audi"/>
        <s v="This role involves analyzing player behavior and performance metrics to drive strategic decisions. I am a great fit due to my technical foundation, ability to extract insights from complex data, and proactive mindset. My passion for gaming combined with t"/>
        <s v="Quality Assurance sẽ là người kiểm soát chất lượng đầu ra của sản phẩm, là người chịu trách nhiệm trước khi sản phẩm đến được tay khách hàng, hỗ trợ đội ngũ phát triển trong quá trình kiểm tra vận hành của sản phẩm. Bản thân em đã từng tham gia quá trình "/>
        <s v="Mình sẽ thiết kế những AI agentic pipeline để hỗ trợ việc vận hành của công ty một cách trơn tru"/>
        <s v="Em hiểu vị trí này đòi hỏi sự kết hợp giữa việc kiểm soát chất lượng kỹ thuật (QA) và phân tích dữ liệu để tối ưu hóa trải nghiệm người dùng. Với kinh nghiệm làm Quality Control (QC) tỉ mỉ, em có khả năng phát hiện lỗi và đưa ra các nhận định chính xác từ"/>
        <s v="Em hiểu vị trí này không chỉ dừng lại ở việc lập trình, mà còn bao gồm việc thiết kế các giải pháp AI để giải quyết những bài toán cụ thể của SUN.STUDIO."/>
        <s v="I believe this role involves designing and refining game mechanics, supporting the development process, and collaborating with the team to create engaging player experiences. I think I’m a good fit because I enjoy analyzing how games work at a system leve"/>
        <s v="Em sẽ chọn vị trí thực tập sinh thiết kế game, vì em có trí tưởng tượng bay bổng, phong phú."/>
        <s v="I believe this role involves supporting HR operations such as recruitment, managing records, and organizing internal activities. I am a good fit because I have experience in administrative support, document management, and coordination, along with strong "/>
        <s v="I previously studied Graphic Design and am currently studying Embedded System Engineering. I am particularly passionate about merging technology and visual creativity to develop high-quality, valuable products."/>
        <s v="I think this role involves analyzing player behavior to understand how users interact with the game, like retention, engagement, or where they drop off, and then turning those insights into suggestions to improve the game and its growth."/>
        <s v="Em nghĩ vị trí này tập trung vào phân tích dữ liệu người chơi, tìm insight và hỗ trợ team đưa ra quyết định để cải thiện sản phẩm và tăng trưởng. Em phù hợp vì có nền tảng về Data Analytics, Python, SQL, đã từng làm các project liên quan đến giải quyết vấ"/>
        <s v="Theo em nghĩ vị trí này sẽ tham gia vào quy trình tìm lỗi, kiểm tra các tính năng và báo cáo bug. Em thấy mình phù hợp vì có tư duy lập trình giúp nắm bắt nhanh hệ thống kèm sự tỉ mỉ khi phân tích các cơ chế game."/>
        <s v="Vị trí này tập trung phân tích hành vi khách hàng và xây dựng dashboard để tối ưu hóa hiệu suất sản phẩm tài chính sau khi go-live. Sự phù hợp đến từ nền tảng Big Data và AI xuất sắc (điểm A), kinh nghiệm xử lý dữ liệu thực tế (Kafka, Spark) cùng kỹ năng "/>
        <s v="This position involves collecting, processing, and analyzing data to generate valuable insights and support business decision-making. I believe I am a good fit for this role because I enjoy working with data analysis, and I have gained relevant experience"/>
        <s v="Em lựa chọn vị trí Marketing tại SUN.RISER vì em định hướng phát triển lâu dài trong lĩnh vực này và cảm thấy công việc này rất phù hợp với thế mạnh của mình như sáng tạo nội dung và phân tích insight khách hàng."/>
        <s v="Vị trí này ứng dụng AI trong công việc, giúp tăng nhanh hiệu suất làm game"/>
        <s v="Vị trí nhân sự: hỗ trợ tìm kiếm ứng viên, sàng lọc và quản lý hồ sơ, chuẩn bị hậu cần cho các buổi phỏng vấn. Tôi thấy mình phù hợp với vị trí này vì: là một sinh viên Bách Khoa, tôi được rèn luyện khả năng lắng nghe và sự cẩn trọng thông qua quá trình là"/>
        <s v="Theo em, vị trí UA sẽ tập trung vào việc chạy và tối ưu các chiến dịch quảng cáo để thu hút người dùng, bao gồm nghiên cứu thị trường, A/B testing creatives và phân tích các chỉ số như CTR, CPM, ROAS để cải thiện hiệu quả. Em nghĩ mình phù hợp vì đã có tr"/>
        <s v="Em nghĩ em sẽ đảm nhận việc lập trình, thiết kế các hệ thống gameplay, xử lý tương tác và phối hợp chặt chẽ với Game Designer, Lead để hiện thực hóa các ý tưởng. &#10;Trong quá trình phát triển các dự án game trước đây, em đã tích lũy được kinh nghiệm làm việ"/>
        <s v="Dựa trên JD của công ty, vị trí DA intern yêu cầu truy vấn SQL để khám phá data, theo dõi pattern, trends; xây dựng pipeline dữ liệu, tạo dashboard để trực quan hoá data, viết tài liệu chỉ số và phối hợp liên phòng ban. Với khả năng học hỏi, thích nghi nh"/>
        <s v="I view this role as a strategic blend of&#10;- Market research&#10;- Creative A/B testing&#10;- Data-driven optimization to drive quality user growth for games. &#10;I am a strong fit because my experience in content creation allows me to identify trends and develop enga"/>
        <s v="I think this role involves executing creative campaigns and analyzing metrics like CPI and ROAS to optimize the game's growth and drive installations.&#10;I believe I'm a good fit because with my Multimedia background, I can contribute fresh ideas for ad crea"/>
        <s v="I believe this role focuses on analyzing workflows, identifying inefficiencies, and applying AI to automate processes through prompt engineering, AI pipelines, and agent design.&#10;I’m a good fit because I have a software background, and I have built AI pipe"/>
        <s v="I believe the AI Engineer role involves building and deploying machine learning models, handling data pipelines, and integrating AI solutions into real-world applications. I am a good fit because my background in Computer Science and hands-on experience w"/>
        <s v="Em nghĩ vị trí này sẽ làm về phân tích dữ liệu người chơi, xây dựng báo cáo và hỗ trợ ra quyết định.&#10;Em phù hợp vì có nền tảng Data Science, đã làm project với Python, SQL, Power BI và có khả năng xử lý dữ liệu, tìm insight. Đồng thời em cũng chủ động học"/>
        <s v="Vị trí này sẽ ứng dụng AI vào quy trình làm việc nhằm tăng tốc độ sản xuất và cải thiện chất lượng game. Em phù hợp vì có cả kinh nghiệm nghiên cứu lẫn thực chiến tích hợp dịch vụ AI vào môi trường production. Nền tảng tư duy sẵn có giúp em không chỉ làm "/>
        <s v="While I am a newbie in technical data analysis, I am a fast learner and deeply eager to grow in this field. I believe I am a good fit because I can bring a creative mindset that is always rooted in strategic objectives, as demonstrated by the 2.67% engage"/>
        <s v="Tham gia vào quy trình phát triển sản phẩm thực tế, hiện thực hóa các tính năng gameplay, logic nhân vật và giao diện (UI) bằng Unity. Học hỏi và áp dụng các quy chuẩn mã nguồn chuyên nghiệp, thực hiện tối ưu hóa hiệu năng&#10;Mình phù hợp Nền tảng kỹ thuật v"/>
        <s v="A game studio needs someone who understands the product, not just the numbers. That's where my ability to turn multi-platform data into growth strategies comes."/>
        <s v="- Ở vị trí Game Design sẽ đảm nhận việc thiết kế gameplay, level và trải nghiệm người chơi sao cho cuốn hút nhất có thể.&#10;- Mình phù hợp với vị trí này là vì mình là một người đam mê game và đã học hỏi rất nhiều về cách vận hành của game thông qua công việ"/>
        <s v="Em nghĩ vị trí này sẽ chịu trách nhiệm lập trình logic game bằng C#, triển khai giao diện (Unity UI), xử lý lỗi (debug), tối ưu hóa hiệu suất và phối hợp với team để chuyển hóa các ý tưởng thành tính năng game hoàn chỉnh. Vì đã có kinh nghiệm làm game bằn"/>
        <s v="Theo em, vị trí Data Analyst sẽ tập trung vào thu thập, xử lý, phân tích dữ liệu và trực quan hóa kết quả để hỗ trợ doanh nghiệp ra quyết định. Em phù hợp với vị trí này nhờ nền tảng về backend, SQL, database, ETL và tư duy logic trong xử lý dữ liệu, cùng"/>
        <s v="I’m Duyen - a young girl working in the creative industry with a strong passion for creating breakthrough gaming experiences. I firmly believe that I have a special advantage over other candidates that is my major - Game Design."/>
        <s v="Em nghĩ vị trí này đòi hỏi khả năng hiện thực hóa game logic, tối ưu code và xử lý giao tiếp mạng. Em phù hợp vì đã từng tự phát triển hoàn chỉnh một game Multiplayer. Trải nghiệm xử lý đồng bộ trạng thái qua Socket.IO, có sẵn tư duy hệ thống và sẵn sàng "/>
        <s v="This role involves querying player data, identifying patterns, and translating numbers into actionable insights for product decisions. I'm a good fit due to my SQL, database design, and systems thinking background — practiced through data research and aca"/>
        <s v="I expect this role involves implementing features and iterating based on team feedback. I've tackled similar work in personal projects, so I'm not starting from zero but I know there's a gap between solo work and production, and I'm here to close it."/>
        <s v="I think that this role involves collecting, cleaning and analyzing data to generate insights that support decision-making. In a company like SUN.STUDIO, this could include analyzing player behavior, retention and engagement metrics to improve game perform"/>
        <s v="Tôi nghĩ vị trí này sẽ ứng dụng các kỹ thuật học máy, học sâu vào để có thể huấn luyện các nhân vật game có thể tự động di chuyển và hoạt động theo kế hoạch. Tôi nghĩ tôi phù hợp với vị trí này bởi vì tôi có tinh thần ham học hỏi, có thể làm việc theo nhó"/>
        <s v="I fit this role because I have a Marketing background that helps me understand users, plus strong analytical thinking and a fast learning mindset. I adapt well in fast-paced, experimental environments like the game industry.&#10;I also enjoy playing games, wh"/>
        <s v="I think this role involves analyzing game data such as player behavior and performance metrics to support decisions, as well as testing features to ensure a smooth user experience&#10;I’m a good fit because I have a foundation in Excel,SQL,PBI for data analys"/>
        <s v="Game Designer cần phải tìm hiểu insight để biết thị trường hiện tại người dùng đang mong muốn gì để từ đó vạch ra chiến lược: cần những engine gì để tạo ra game, budget cho game, doanh thu từ game,...Tôi tin mình phù hợp với vị trí này vì từ khi còn đi họ"/>
        <s v="This role involves extracting and exploring data from BigQuery to understand game performance and operational metrics, building and optimizing transformation pipelines. I’m a good fit because I have hands-on experience with SQL, used to work with Power BI"/>
        <s v="I believe this role involves analyzing data to generate insights and support business decisions.&#10;I am a good fit because I have hands-on experience with Excel, SQL, and Python, along with strong analytical thinking and a willingness to learn."/>
        <s v="Em nghĩ vị trí này sẽ tập trung vào việc thu hút các user mới cho game thông qua các kênh marketing, đặc biệt là chạy ads và tối ưu dựa trên các chỉ số như CPI, ROAS, LTV, ASO.&#10;Em thấy mình hợp vì em thích vừa nghĩ idea cho ads vừa làm việc với số liệu để"/>
        <s v="I think this role involves supporting AI-related tasks such as data processing, model training, testing, and applying AI to improve game development workflows. I believe I am a good fit because I have basic knowledge of machine learning, Python, and data "/>
        <s v="AI Engineer sẽ làm các việc như phát triển mô hình, tiền xử lý dữ liệu, huấn luyện và đánh giá mô hình, cũng như áp dụng các giải pháp AI vào dự án thực tế. Em tin em phù hợp với vị trí này vì em có nền tảng về Khoa học dữ liệu, kiến thức về machine learn"/>
        <s v="Theo em, vị trí Unity Development Intern sẽ làm việc với Game Designer và Artist để lập trình gameplay, xử lý logic và hỗ trợ GD triển khai ý tưởng game bằng cách tạo ra các tool.&#10;Em phù hợp vì đã có kinh nghiệm với Unity và C#, từng làm các project game "/>
        <s v="From my perspective, this role involves working with game data to analyze player behavior, build dashboards and generate insights that support data-drivven decisions. A strong fit comes from a solid background in SQL, data analysis and visualization, whic"/>
        <s v="Game Design Intern là vị trí thiết kế gameplay, xây dựng cơ chế game, cân bằng độ khó và tối ưu trải nghiệm người chơi, đồng thời phối hợp với Developer, QA để hoàn thiện sản phẩm dựa trên phản hồi và dữ liệu.&#10;Tôi phù hợp vì có nền tảng IT, tư duy logic t"/>
        <s v="Tôi tin rằng vai trò này đòi hỏi việc quản lý và tối ưu hóa hệ thống dữ liệu trên nền tảng đám mây. Với kinh nghiệm vận hành AWS Redshift và triển khai các giải pháp tự động hóa, tôi có thể đảm bảo các luồng dữ liệu luôn vận hành ổn định, đạt tốc độ cao v"/>
        <s v="QA đối với em là đảm bảo chất lượng thông qua việc lên kế hoạch và kiểm soát quy trình chặt chẽ. Em chọn vị trí này vì muốn phát triển sâu hơn về Game Feel để em hiểu được tâm lý người dùng và nắm bắt được trải nghiệm cốt lõi của một tựa game, từ đó tích "/>
        <s v="Tôi hiểu đây là cầu nối biến số liệu thành giải pháp thực tế. Với sự chủ động và năng lượng trẻ của một sinh viên năm cuối, tôi tin mình sẽ cùng team chinh phục mọi mục tiêu tương lai."/>
        <s v="Em nghĩ vị trí này sẽ tập trung vào việc thu thập, xử lý và phân tích dữ liệu để hỗ trợ theo dõi hành vi người dùng, hiệu quả sản phẩm và các chỉ số vận hành, từ đó đưa ra insight cho team. Em phù hợp với vị trí này vì em có nền tảng tốt về phân tích số l"/>
        <s v="Công việc của Developer là phối hợp với team Game Designer để thiết lập các tính năng, cơ chế của gameplay. Để có thể phù hợp với vị trí này, ngoài hoàn thành chương trình học tại trường, mình có tìm hiểu và học hỏi thêm những tính năng mới của Unity nên "/>
        <s v="Data Analyst sẽ trực tiếp làm việc với dữ liệu game thực tế, xử lý, phân tích và trực quan hóa, đưa ra các insight chất lượng, chính xác, hỗ trợ quyết định.&#10;Em tin rằng với kinh nghiệm xây dựng data pipeline và EDA từ các dự án trong quá trình học tập, em"/>
        <s v="Theo em, vị trí này sẽ chạy quảng cáo để thu hút user cho game: nghiên cứu thị trường, set up &amp; tối ưu ads và đọc số liệu (CTR, CPM, ROAS) để cải thiện hiệu quả.&#10;Vì em có nền tảng Digital Marketing đã học tại trường, hiểu các chỉ số cơ bản, có tư duy phân"/>
        <s v="Tôi đã từng phát triển một số project nhỏ, một số con game nhỏ và tôi rất yêu thích công việc này, vì vậy tôi rất muốn mình có thể được phát triển một con game tầm cỡ AAA"/>
        <s v="Theo mình, vị trí này tập trung vào phân tích quy trình, thiết kế prompt và xây dựng AI pipelines để tự động hóa công việc thủ công. Mình có nền tảng về LLM và đã thử nghiệm prompt engineering qua các dự án cá nhân, nên nghĩ đây là môi trường phù hợp để m"/>
        <s v="I think this role involves understanding team workflows and building AI workflows to reduce manual tasks through prompt engineering, structured outputs, AI pipelines, and tool/function calling. I believe I am a good fit because I built a travel chatbot wo"/>
        <s v="Vị trí Data Analysis Intern sẽ bao gồm việc truy vấn, xử lý và phân tích dữ liệu từ sản phẩm, xây dựng dashboard và hỗ trợ các team ra quyết định dựa trên dữ liệu, đặc biệt thông qua các chỉ số như DAU, retention. Em tin mình phù hợp vì có nền tảng về SQL"/>
        <s v="With Game Design, the role should be involving in design game pattern, investigate deep in player motives and behaviors; with QA, then it is to ensure the system run smoothly, gurantee both of them is to ensure a smooth and engaging player experience"/>
        <s v="Tôi hình dung vị trí này sẽ tham gia vào toàn bộ quá trình phân tích dữ liệu, từ khai thác raw data, xử lý, tìm insight và report lại.&#10;Tôi cho rằng tôi sẽ phù hợp vì tôi có kiến thức về thống kê, kinh nghiệm xử lý dữ liệu, tư duy phân tích, và tư duy trìn"/>
        <s v="I believe this role involves supporting the development of game features using Unity, such as implementing gameplay logic, working with UI, and fixing bugs under the guidance of senior developers.&#10;I am a good fit because I have built Unity projects. I am "/>
        <s v="Em nghĩ vị trí này sẽ hỗ trợ xây dựng ý tưởng game, tham gia thiết kế gameplay, nội dung và phối hợp với các bộ phận khác để hoàn thiện trải nghiệm người chơi. Em phù hợp với vị trí này nhờ nền tảng về thiết kế đồ họa và màu sắc, giúp em có tư duy thẩm mỹ"/>
        <s v="Theo em, vị trí Game Design Intern hỗ trợ thiết kế gameplay, cân bằng được mức độ khó của từng level, đồng thời phối hợp với developer để triển khai tính năng game và artist để đảm bảo hình ảnh nhân vật đúng với ý tưởng thiết kế. Em phù hợp vì có nền tảng"/>
        <s v="Phân tích thị trường, hành vi tiêu dùng khách hàng và đưa ra chiến lược phù hợp để thu hút khách hàng mục tiêu. Tôi tin rằng tôi phù hợp với vị trí này là vì tôi đã có nền tảng kiến thức vững thông qua các môn học tại trường. Hơn nữa tôi là người có khả n"/>
        <s v="Em nghĩ vị trí này sẽ làm việc với dữ liệu và các mô hình AI để phân tích dữ liệu, rút ra insight và xây dựng các tính năng thông minh phục vụ sản phẩm thực tế.&#10;Em phù hợp vì đã có kinh nghiệm làm fullstack và từng làm việc với dữ liệu (phân tích, trực qu"/>
        <s v="Tôi nghĩ vị trí này là nơi đảm bảo chất lượng sản phẩm trước khi đến tay người dùng, để họ nhận được trải nghiệm tốt nhất. Tôi phù hợp với vị trí này vì tôi có sự cẩn thận, trách nhiệm và mong muốn học hỏi để nâng cao kỹ năng kiểm tra, góp phần giữ uy tín"/>
        <s v="Tôi nghĩ vị trí này sẽ làm các công việc như sau:&#10;- Kiểm thử kịch bản, logic của game so với yêu cầu ban đầu&#10;- Test hiệu năng, tương thích của game với từng thiết bị&#10;Lý do phù hợp: Đã thực tập tại FPT Software, nắm vững quy trình kiểm thử và quản lý bug"/>
        <s v="Vị trí này sẽ làm việc thiết kế đầu cho trò chơi, bao gồm nắm bắt thị trường và cũng viết/vẽ nên một hình ảnh của trò chơi, cùng hợp tác với các team Dev, Art,... Và tạo nên trò chơi hoàn chỉnh nhất. Vì tôi đã trải nghiệm qua nhiều trò chơi, thường xuyên "/>
        <s v="This role should involves a lot of brain storming, a lot of researching about methods and designs that successful games use, working with other game designers and especifically as an intern, a lot of taking criticisms and improving. I'd say that i'm an op"/>
        <s v="I think this role involves learning and working on the knowledge needed to become a Unity developer who can contribute to the company in the future. With my background and my passion for game development, I believe this combination enables me to contribut"/>
        <s v="Em nghĩ vị trí Data Analysis Intern sẽ bao gồm việc thu thập, làm sạch và phân tích dữ liệu, xây dựng báo cáo/dashboards và hỗ trợ đưa ra insight phục vụ cho việc ra quyết định.&#10;&#10;Em tin mình phù hợp vì em có nền tảng tư duy logic, khả năng làm việc với dữ"/>
        <s v="Theo tôi vị trí này thường sẽ tập trung vào việc thu hút người chơi mới cho game thông qua các kênh quảng cáo trả phí như Meta. Cụ thể là set up chiến dịch, theo dõi các chỉ số như CTR, CPI, ROAS. Tôi nghĩ mình phù hợp với vị trí này vì tôi có nền tảng cơ"/>
        <s v="Theo em nghĩ, vị trí này sẽ làm về thiết kế như tạo hình nhân vật, môi trường, giao diện ứng dụng, hoạt họa trong game. Em tin rằng bản thân phù hợp với vị trí này vì em có niềm đam mê với game, dù chưa có kinh nghiệm chuyên nghiệp nhưng em có khả năng họ"/>
        <s v="I believe I’m a good fit because I have a strong willingness to learn, a solid foundation, and a proactive attitude toward challenges"/>
        <s v="Em nghĩ Game Design Intern là công việc liên quan đến việc sáng tạo game, thiết kế giao diện và gameplay, thiết kế nhân vật, UX/UI và game lore.&#10;Em đã học các môn học của ngành Thiết kế đồ hoạ như thiết kế UX/UI , vẽ minh hoạ, truyền thông tương tác và cá"/>
        <s v="Em nghĩ vị trí này tại SUN.STUDIO tập trung phân tích dữ liệu game, theo dõi các chỉ số như retention, ARPU, xây dashboard và hỗ trợ team ra quyết định. Em phù hợp vì đã có kinh nghiệm phân tích game tại VNG Corporation, hiểu funnel, monetization và có kỹ"/>
        <s v="I think this role involves developing gameplay features, supporting game systems, and learning through real production workflows. Since 2023, I’ve been building Unity game projects personally, mainly focusing on gameplay systems, problem-solving, and impr"/>
        <s v="Em nghĩ vị trí này sẽ làm việc với Unity qua code và các system đồng nhất. Em cảm thấy mình rất phù hợp vì có niềm yêu thích game &amp; làm game, còn nắm khá chắc các kiến thức cơ bản về Unity, bản thân em rất ham học hỏi về nó."/>
        <s v="Em nghĩ vị trí này sẽ tập trung vào việc chạy và tối ưu quảng cáo để thu hút người dùng mới, thông qua việc test creative và theo dõi các chỉ số như CTR, CPM. Em phù hợp vì có nền tảng digital, từng làm nội dung quảng cáo và hứng thú với việc phân tích, t"/>
        <s v="The role of a game designer is to craft the player’s experience: from concept, gameplay mechanics, and rules, to balancing systems and challenges.&#10;- I have worked in game industrial for year as a game tester. I understand the process of making a game and "/>
        <s v="Mình nghĩ với vị trí AI Engineering thì chủ yếu mình sẽ làm việc với các model và công nghệ mới nhất liên quan tới AI và các Agent thông minh; và mình tin với kiến thức toán và tin học vững chắc cùng sự đam mê của mình thì mình phù hợp với vị trí này"/>
        <s v="Em nghĩ vị trí này sẽ tích hợp Generative AI (Stable Diffusion, LLMs) vào quy trình tạo Art và Content hoặc viết script tối ưu hóa các tác vụ lặp lại và hỗ trợ kiểm thử game. Em có nền tảng về AI/Python và khả năng chuyển hóa mô hình lý thuyết thành công "/>
        <s v="Vị trí này sẽ xử lý và phân tích dữ liệu, tạo báo cáo để hỗ trợ ra quyết định. Em phù hợp vì có nền tảng phân tích dữ liệu, tư duy logic và khả năng học nhanh để đáp ứng công việc."/>
        <s v="Dạ em có các kỹ năng và định hướng rõ ràng về lĩnh vực Digital/Performance Marketing cho nên em nghĩ đây là một ví trí rất phù hợp để em nỗ lực học hỏi."/>
        <s v="Vị trí này không chỉ tuyển dụng mà còn là cầu nối giữa ứng viên và đội ngũ nội bộ để xây dựng một team phù hợp phát triển sản phẩm. Cụ thể sẽ tìm kiếm, sàng lọc ứng viên, phối hợp với các bộ phận để hiểu nhu cầu tuyển dụng.  Kinh nghiệm ngành luật giúp em"/>
        <s v="I believe this position focuses on building AI agents and automating workflows through LLM-integrated pipelines. With a background in RAG, experience working with LangChain, and a strong ability to learn quickly, I can rapidly adapt and contribute effecti"/>
        <s v="Test game, lên plan, tìm bug, log bug và đề xuất các ý tưởng phục vụ người chơi tốt nhất"/>
        <s v="Theo em, vị trí này sẽ 'giải mã' những bài toán, những yêu cầu từ stakeholders thành những hành động cụ thể. Em tự tin mình phù hợp với vị trí này vì em có khả năng nắm bắt mong muốn của stakeholders và dùng dữ liệu để biến nó một câu chuyện thay vì chỉ l"/>
        <s v="Vị trí này sẽ làm việc nhiều với dữ liệu cụ thể: thu thập, xử lý làm sạch, analyze, visualize dữ liệu, đọc insights từ những bảng biểu hay con số. Bản thân em  tuy còn nhiều hạn chế nhưng với những gì em đã biết kèm với mong muốn được giỏi hơn, biết nhiều"/>
        <s v="This role focuses on running and optimizing user acquisition campaigns through testing and data analysis. I’m a good fit because I have experience with Meta Ads, performance tracking, and I’m eager to grow in UA."/>
        <s v="Theo em nghĩ, vị trí sẽ này tập trung thiết kế AI Pipelines, hệ thống RAG và Agent Skills để tự động hóa vận hành. Em phù hợp nhờ kinh nghiệm thực tập AI Engineer, trực tiếp xây dựng data pipelines và chatbot RAG. Kỹ năng Prompt Engineering và trích xuất "/>
        <s v="Em nghĩ vị trí này sẽ tham gia thiết kế gameplay, hỗ trợ xây dựng trải nghiệm người chơi và phối hợp với team phát triển game. Em phù hợp vì có nền tảng Công nghệ Thông tin, tư duy logic tốt và đặc biệt rất yêu thích lĩnh vực game nên em muốn học hỏi và p"/>
        <s v="Theo tôi, vị trí này sẽ hỗ trợ phát triển gameplay 2D, tích hợp UI, fix bug và phối hợp cùng các team khác trong quá trình phát triển game. Tôi phù hợp với vị trí này vì đã có gần 1,5 năm kinh nghiệm làm game Unity WebGL với C#, từng tham gia làm gameplay"/>
        <s v="Em nghĩ vị trí Tester sẽ tập trung vào việc kiểm tra và đảm bảo chất lượng phần mềm trước khi đến tay người dùng, bao gồm tìm lỗi, kiểm tra chức năng và trải nghiệm sử dụng.&#10;Em phù hợp với vị trí này vì em là người cẩn thận, có tư duy logic, thích tìm hiể"/>
        <s v="Theo tìm hiểu của em, ở vị trí này, em sẽ làm quen và tìm hiểu dự án hiện tại của team Game Development, lập trình các tính năng gameplay và UI cơ bản, sửa lỗi và tối ưu trong quá trình phát triển game, cũng như phối hợp làm việc nhóm và với các phòng ban"/>
        <s v="Theo tôi, vị trí này sẽ tham gia thiết kế gameplay, level và phân tích trải nghiệm người chơi.&#10;Tôi phù hợp vì có tư duy phân tích tốt, thích breakdown gameplay systems và thường tìm cách cải tiến mechanic để game thú vị hơn."/>
        <s v="Em nghĩ vị trí này sẽ phối hợp cùng những bên như Game Designer, Artist... để trao đổi và làm ra một sản phẩm phù hợp với mục tiêu đề ra. Ngoài ra Game developer sẽ chịu trách nhiệm viết code, xử lý logic, fix bug, tối ưu hóa để đảm bảo đúng GDD và trải n"/>
        <s v="Theo em thì công việc chính thường đi kèm với A/B testing, tối ưu target audience, theo dõi chỉ số và chạy ads trên các nền tảng Facebook Ads, TikTok Ads, Google Ads, Unity… Em nghĩ điểm mạnh của em là khả năng phân tích và học nhanh. Bên cạnh đó là khả n"/>
        <s v="Em hiểu vị trí Sun.Riser sẽ trực tiếp thực thi các loại kiểm thử (Functional, UI, Smoke, Regression), phát hiện và phối hợp báo cáo lỗi cũng như viết tài liệu test case cho các sản phẩm mobile. Với nền tảng kiến thức về Quản lý chất lượng và chứng chỉ &quot;Bả"/>
        <s v="I understand this role involves running and optimizing user acquisition campaigns through market research, creative testing, and data analysis. I’m a good fit because I have a strong interest in mobile games, and I’m motivated to continuously test, analyz"/>
        <s v="Em nghĩ Data Analysis Intern thường sẽ làm các việc liên quan đến xử lý dữ liệu, phân tích và sau đó đưa ra các insights có ích cho doanh nghiệp. Em tự tin với khả năng tư duy logic và phân tích dữ liệu mà mình đã tích lũy được thông qua các project sẽ gi"/>
        <s v="Theo em, vị trí này sẽ tập trung vào việc phân tích và tối ưu trải nghiệm game Casual/Puzzle thông qua việc nghiên cứu đối thủ, thiết kế hệ thống, cân bằng level và hỗ trợ cải thiện khi phát hiện lỗi.&#10;&#10;Em phù hợp vì có tư duy logic, yêu thích game Puzzle,"/>
        <s v="Dùng Unity Engine là nền tản chính tạo dựng thế giới trong game theo thiết kế của Game designer, quan trọng, tư duy logic, sự tỉ mĩ, kiên trì trước màn hình máy tính."/>
        <s v="Em nghĩ vị trí AI Engineer Intern sẽ tham gia xây dựng và ứng dụng AI vào sản phẩm game, hỗ trợ xử lý dữ liệu, tối ưu trải nghiệm người chơi và cải thiện hiệu quả phát triển sản phẩm. Em phù hợp với vị trí này vì có nền tảng lập trình, tư duy logic, khả n"/>
        <s v="Vị trí này sẽ hỗ trợ phân tích dữ liệu người dùng để tìm insight phục vụ cải thiện sản phẩm và tăng trưởng. Em phù hợp với vị trí này vì em có nền tảng về Excel, SQL, Power BI và từng thực hiện các dự án liên quan đến KPI, forecasting và trực quan hóa dữ "/>
        <s v="Vị trí tập trung vào phân tích sản phẩm, thiết kế Core Loop và UX/UI cho game Casual. Em phù hợp vì có tư duy logic hệ thống , đã tự xây dựng GDD và phác thảo Wireframes cho dự án Bus Jam. Khả năng ứng dụng AI linh hoạt  cũng giúp em tự tin thích nghi nha"/>
        <s v="Vị trí này đòi hỏi việc thiết kế luật chơi (core loop), viết GDD và phân tích dữ liệu. Em tự tin phù hợp nhờ nền tảng BA mạnh về thiết kế logic, vẽ workflow và sự tỉ mỉ của người thích biên tập vào trải nghiệm người dùng. Đặc biệt, việc ứng dụng AI giúp e"/>
        <s v="This role involves developing game features in Unity Engine based on game design documents and collaborating with the team to deliver quality gameplay. I believe I am a good fit because I have been self-learning Unity, building practical skills, and have "/>
        <s v="Em nghĩ ở vị trí này những thứ em cần làm sẽ là thiết kế một level màn chơi, thiết kế cơ chế game, cân bằng game, và thiết kế cốt truyện hoặc thế giới game."/>
        <s v="I believe this role focuses on testing features, identifying bugs, validating workflows, and helping maintain product quality.&#10;I think I fit this position because I am detail-oriented, process-driven, and comfortable working with structured checklists and"/>
        <s v="I think this role involves designing gameplay systems, improving player experience, and learning through testing and iteration.&#10;&#10;I believe I’m a good fit because I enjoy gameplay design and have experience with level design, UI/UX, and player-focused thin"/>
        <s v="Vị trí này sẽ tham gia vào phát triển các dự án game trong thực tế, em có tinh thần ham học hỏi, có niềm đam mê với thể loại game mobile"/>
        <s v="Vị trí này yêu cầu phân tích quy trình của các team, thiết kế prompt và AI pipeline tự động hóa các bước thủ công, rồi viết SOP để người không kỹ thuật vận hành được. Em đã làm đúng vòng lặp này với DentAI từ pipeline design, structured output, đến Stream"/>
        <s v="Mình nghĩ vị trí này sẽ tập trung vào xây dựng AI workflows, automation, prompt engineering và hỗ trợ tích hợp AI vào quy trình thực tế. Mình phù hợp vì đã có trải nghiệm làm project dùng LLM, RAG, structured JSON output và phối hợp nhóm trong các sản phẩ"/>
        <s v="Mình nghĩ vị trí này sẽ tham gia xây dựng gameplay, trải nghiệm người chơi và phát triển ý tưởng cho game. Với nền tảng Graphic Design cùng đam mê game lâu năm, mình tin khả năng thẩm mỹ, tư duy sáng tạo và tinh thần học hỏi sẽ giúp mình phù hợp và phát t"/>
        <s v="Theo tôi, vị trí này sẽ hỗ trợ áp dụng AI vào các công việc như xử lý dữ liệu, tối ưu quy trình hoặc cải thiện chất lượng sản phẩm. Dù nền tảng của tôi còn đang trong quá trình hoàn thiện, tôi có tư duy logic, tinh thần học hỏi và sẵn sàng tiếp thu nhanh "/>
        <s v="I believe this role involves crafting engaging player experience from balancing core gameplay mechanics and systems to designing compelling narratives and world-building. I am a strong fit because I bridge creative storytelling with technical logic combin"/>
        <s v="Theo em, vị trí Game UA Intern là cầu nối giữa các ứng dụng và đối tượng khách hàng mục tiêu, với các nhiệm vụ chủ yếu là tập trung vào tối ưu hóa phễu người dùng qua A/B Testing và ASO, và em tự tin phù hợp nhờ tư duy Data-driven cùng khả năng nghiên cứu"/>
        <s v="Em nghĩ vị trí này sẽ tham gia thiết kế gameplay và phát triển game bằng Unity. Em phù hợp vì em đã có kinh nghiệm làm game với Unity và xây dựng gameplay systems qua các dự án cá nhân và học tập."/>
        <s v="Em nghĩ vị trí này sẽ tập trung vào việc phân tích dữ liệu người chơi để tìm ra insight, hỗ trợ cải thiện trải nghiệm game và giúp team đưa ra quyết định tốt hơn. Công việc này cần tư duy phân tích, và liên tục đặt câu hỏi từ dữ liệu nên em nghĩ mình phù "/>
        <s v="From my perspective, this role involves analyzing data, supporting business decisions, and working with different tools to generate useful insights. &#10;I believe I am a good fit because of my acedemic background and my strong analytical and technical skills"/>
        <s v="Theo góc nhìn của em, vị trí Thực tập sinh Design mảng Game sẽ tập trung rất nhiều vào việc tối ưu hóa trải nghiệm người chơi.Em tin mình là một ứng viên sáng giá cho vị trí này nhờ sự kết hợp giữa tư duy thiết kế hệ thống và sự thấu hiểu tâm lý người chơ"/>
        <s v="Theo em, vị trí này sẽ tập trung vào việc nghiên cứu thị trường, phân tích hành vi người chơi và triển khai các chiến dịch nhằm thu hút người dùng mới cho game. Em nghĩ em phù hợp với vị trí này vì đã có kinh nghiệm về market research, user-centric design"/>
        <s v="This role requires querying data from BigQuery, building pipelines, and developing Tableau dashboards to track DAU, retention rate, and ARPU.&#10;I am suitable candidate. I've completed projects involving data visualization, learned SQL and related knowledge "/>
        <s v="Theo em, vị trí Data Analyst Intern sẽ bao gồm việc thu thập, làm sạch, phân tích dữ liệu và hỗ trợ tạo báo cáo để giúp doanh nghiệp đưa ra quyết định hiệu quả hơn. Ngoài ra, vị trí này cũng cần khả năng tư duy logic, sử dụng các công cụ như SQL, Excel ho"/>
        <s v="I think this role focuses on analyzing data to generate insights that support product and business decisions.&#10;I’m a good fit because I have an analytical mindset, experience with data analysis and dashboards, and I learn quickly in fast-paced environments"/>
        <s v="I understand this role involves testing builds, finding, reproducing bugs, writing reports, and working with the team to improve game quality and player experience. I believe I’m a good fit because my Game Design background trained me to analyze gameplay,"/>
        <s v="Tôi hiểu rằng vị trí này bao gồm việc kiểm thử các tính năng game, phát hiện và báo cáo lỗi, viết test case, và phối hợp với nhóm Dev để nâng cao chất lượng sản phẩm. Công việc này đòi hỏi sự tỉ mỉ và khả năng nhìn nhận sản phẩm từ góc độ người chơi.Tôi c"/>
        <s v="Vị trí này tập trung triển khai giải pháp AI-Automation trong việc phối hợp các phòng ban, thiết kế prompt xây dựng AI Agent tự động hóa tác vụ trên Notion, Figma... Em tin mình phù hợp vì đã có kinh nghiệm thực tế về Prompt Engineering và AI Pipelines và"/>
        <s v="I believe this role involves analyzing player behavior, game performance, and in-game data to help improve user experience and business outcomes. I think I’m a good fit because I’m genuinely interested in the gaming industry, enjoy working with data to un"/>
        <s v="I believe this role involves more than just logistics; it is about designing and delivering meaningful experiences. This includes conceptualizing creative themes, crafting persuasive proposals, and managing end-to-end operations to ensure brand consistenc"/>
        <s v="I view the HR Intern role as being a &quot;Culture Catalyst&quot;. It include&#10;Talent Acquisition &amp; Branding, helping build a strong Employer Brand, Employee Experience: Coordinating internal engagement activities and communication&#10;I bring strong leadership and conf"/>
        <s v="This role connects data engineering and analytics by querying game data, building pipelines, and surfacing insights teams act on daily. I've experience building SQL pipelines, dashboards for non-technical stakeholders, and documenting metrics as deliverab"/>
        <s v="Vị trí này tập trung vào xây dựng logic gameplay, xử lý và tối ưu hoá trải nghiệm người chơi. Tôi phù hợp nhờ kinh nghiệm phát triển Unity 2D thực tế và có tư duy lập trình hệ thống, tư duy giải quyết vấn đề và đã quen thuộc với quy trình làm việc qua nhó"/>
        <s v="Role này tập trung vào hiểu workflow của các team, tìm bước thủ công/tốn thời gian và thiết kế prompt, AI pipeline hoặc agent workflow để tự động hóa quy trình.&#10;Tôi phù hợp vì có kinh nghiệm với LLM, RAG, OCR và structured data extraction. Trong project H"/>
        <s v="I believe I’m a good fit because I already have hands-on experience creating Unity projects by myself. I’ve worked with systems like object pooling, event-driven architecture, dependency injection using Zenject, and basic game optimization techniques such"/>
        <s v="Theo tôi, vị trí Unity Development Intern không chỉ đơn thuần là viết code, mà là quá trình hiện thực hóa các ý tưởng sáng tạo thành trải nghiệm tương tác cho người dùng, từ việc xây dựng logic game đến tối ưu hóa hiệu suất trên thiết bị di động.&#10;Tôi tin "/>
        <s v="Vị trí này sẽ làm gì: Tham gia vận hành và sản xuất game Casual/Puzzle thực tế, phối hợp đa phòng ban để xử lý logic gameplay, tối ưu hiệu suất và tích hợp giao diện dưới sự dẫn dắt của chuyên gia.&#10;Tại sao tôi phù hợp: Là sinh viên năm cuối, làm chủ Unity"/>
        <s v="I think this role involves analyzing and transforming data, building dashboards, and generating insights to support data-driven decisions for different teams. I believe I am a good fit because I have a strong foundation in statistics, SQL, and data visual"/>
        <s v="I think this role is the central bridge of the development process. A game designer job involves not only creating the rules and content of the game but also ensuring that everyone from artists to developers can shares the exact same vision."/>
        <s v="Theo em, vị trí này sẽ phân tích dữ liệu game để tìm insight, theo dõi các chỉ số và hỗ trợ team đưa ra quyết định qua dashboard hoặc báo cáo. Em thấy bản thân phù hợp vì em thích làm việc với dữ liệu, thích tìm hiểu insight từ số liệu và đang phát triển "/>
        <s v="GDer tại Sun sẽ tập trung nghiên cứu thị trường game Casual/Puzzle, thiết kế gameplay systems, level balancing, UI/UX flow và tối ưu sản phẩm dựa trên phản hồi người dùng. &#10;Em nghĩ bản thân phù hợp là vì em có nền tảng Dev+Design từ các môn học/CLB, Nắm đ"/>
        <s v="Vị trí này sẽ hỗ trợ vận hành và tối ưu campaign quảng cáo, theo dõi performance và phối hợp với team creative để cải thiện kết quả. Em nghĩ mình phù hợp vì đã có kinh nghiệm chạy ads trong ngành game, quen cách làm việc với data, creative cũng như các nề"/>
        <s v="Vị trí Data Analysis là vị trí quan trọng, nắm giữ các thông tin hầu như là cốt lõi (tùy thuộc vào vị trí phòng ban). Công việc này đòi hỏi sự chăm chỉ, tỉ mỉ, luôn biết cách chủ động đặt câu hỏi và giải quyết vấn đề. Là người nắm bắt xu hướng phát triển "/>
        <s v="A Data Analyst Intern bridges technical execution and business communication, and I believe I'm a strong fit thanks to complex data experience and stakeholder communication capabilities."/>
        <s v="Theo em, AI Engineer sẽ phát triển và tối ưu các hệ thống AI để hỗ trợ sản phẩm và xử lý dữ liệu. Em phù hợp với vị trí này vì em yêu thích AI, có nền tảng công nghệ và thường chủ động thực hành qua các project cá nhân có áp dụng AI để nâng cao kỹ năng."/>
        <s v="Vị trí này sẽ cùng team tham gia vào dự án thực tế của công ty, lập trình, phát triển tính năng, sửa lỗi . . . và phối hợp với các team khác (artist, designer, . . .)&#10;Tôi phù hợp với vị trí này vì tôi đã có kĩ năng, kiến thức nền tảng phát triển game với "/>
        <s v="This role is about understanding what makes Casual/Puzzle games work — researching the market, analysing existing products, designing and balancing systems, and documenting everything clearly enough for a team to build from."/>
        <s v="With years of independent research in the digital creator economy and hands-on experience in organic content growth, I believe I can contribute positively to the team"/>
      </sharedItems>
    </cacheField>
    <cacheField name="*Which university are you studying at? / Bạn đến từ trường Đại học nào?*" numFmtId="0">
      <sharedItems>
        <s v="Others - Khác"/>
        <s v="UIT – Trường Đại học Công nghệ Thông tin – ĐHQG TP.HCM"/>
        <s v="HUTECH – Trường Đại học Công nghệ TP.HCM"/>
        <s v="SGU – Trường Đại học Công nghệ Sài Gòn"/>
        <s v="FPT Poly – Trường Cao đẳng FPT Polytechnic TP.HCM"/>
        <s v="TDT – Trường Đại học Tôn Đức Thắng"/>
        <s v="IUH – Trường Đại học Công nghiệp TP.HCM"/>
        <s v="HCMUS – Trường Đại học Khoa học Tự nhiên – ĐHQG TP.HCM"/>
        <s v="VLU – Trường Đại học Văn Lang"/>
        <s v="HCMUTE – Trường Đại học Sư phạm Kỹ thuật TP.HCM"/>
        <s v="GDU – Trường Đại học Gia Định"/>
        <s v="HCMUTC – Trường Đại học Giao thông Vận tải TP.HCM"/>
        <s v="HCMUSSH – Trường Đại học Khoa học Xã hội và Nhân văn – ĐHQG TP.HCM"/>
        <s v="IU – Trường Đại học Quốc tế – ĐHQG TP.HCM"/>
        <s v="HCMUT – Trường Đại học Bách Khoa – ĐHQG TP.HCM"/>
        <s v="RMIT – Trường Đại học RMIT Việt Nam"/>
        <s v="UEH – Đại học Kinh tế TP.HCM"/>
        <s v="HUFI – Trường Đại học Công nghiệp Thực phẩm TP.HCM"/>
        <s v="PTIT – Học viện Công nghệ Bưu chính Viễn thông"/>
        <s v="FTU – Trường Đại học Ngoại thương"/>
        <s v="HCMULAW – Trường Đại học Luật TP.HCM"/>
        <s v="OU – Trường Đại học Mở TP.HCM"/>
        <s v="HSU – Trường Đại học Hoa Sen"/>
        <s v="NTT – Trường Đại học Nguyễn Tất Thành"/>
        <s v="HUB – Trường Đại học Ngân hàng TP.HCM"/>
        <s v="UFM – Trường Đại học Tài chính – Marketing TP.HCM"/>
        <s v="UEL – Trường Đại học Kinh tế – Luật – ĐHQG TP.HCM"/>
        <s v="HIU – Trường Đại học Quốc tế Hồng Bàng"/>
        <s v="UEF – Trường Đại học Kinh tế – Tài chính TP.HCM"/>
        <s v="HCMUNRE – Trường Đại học Tài nguyên và Môi trường TP.HCM"/>
        <s v="CEP – Trường Cao đẳng Kinh tế TP.HCM"/>
        <s v="SIU – Trường Đại học Quốc tế Sài Gòn"/>
        <s v="HITC – Trường Cao đẳng Công thương TP.HCM"/>
        <s v="VGU – Trường Đại học Việt Đức"/>
        <s v="CET – Trường Cao đẳng Kinh tế – Công nghệ TP.HCM"/>
        <s v="NLU – Trường Đại học Nông Lâm TP.HCM"/>
        <s v="BUV – Trường Đại học Anh Quốc Việt Nam"/>
      </sharedItems>
    </cacheField>
    <cacheField name="Nếu không nằm trong danh sách phía trên, vui lòng ghi tên trường Đại học của bạn tại đây" numFmtId="0">
      <sharedItems containsBlank="1">
        <s v="Cao đẳng Giao Thông Vận Tải"/>
        <m/>
        <s v="Đại học FPT"/>
        <s v="SGU - Trường Đại Học Sài Gòn"/>
        <s v="TDMU - Đại học Thủ Dầu Một"/>
        <s v="Greenwich FPT University"/>
        <s v="Huflit- Ngoại Ngữ Tin Học"/>
        <s v="VTC Academy"/>
        <s v="Trường Cao Đăng FPT Polytechnic"/>
        <s v="FPT University HCM"/>
        <s v="VTC Academy, học viện đào tạo nghề ạ"/>
        <s v="Đại học Kỹ thuật Công nghệ Cần Thơ"/>
        <s v="Trường Đại Học Kỹ Thuật - Công Nghệ Cần Thơ (CTUT)"/>
        <s v="STU- Trường Đại Học Công Nghệ Sài Gòn"/>
        <s v="UTH - Đại học Giao thông Vận tải Thành phố Hồ Chí Minh"/>
        <s v="Trường Đại học FPT"/>
        <s v="Greenwich Viet Nam"/>
        <s v="UTH - Trường Đại học Giao thông Vận tải TP.HCM"/>
        <s v="Trường Đại học Ngoại ngữ - Tin học Thành phố Hồ Chí Minh (HUFLIT)"/>
        <s v="FPT Poly - Trường Cao đẳng FPT polytechnic Đà Nẵng"/>
        <s v="Trường Cao đẳng FPT Polytechnic TP.Đà Nẵng"/>
        <s v="FPT University"/>
        <s v="HUFLIT Trường Đại học Ngoại ngữ - Tin học Thành phố Hồ Chí Minh"/>
        <s v="Ngoại ngữ tin Học-Huflit"/>
        <s v="Yonsei University"/>
        <s v="Trường đại học Công Nghệ Sydney, UTS"/>
        <s v="Trường Đại Học Công Thương TP.HCM - HUIT"/>
        <s v="FPT - Trường đại học FPT - TP.HCM"/>
        <s v="HUFLIT - Đại học Ngoại Ngữ - Tin Học TP.HCM"/>
        <s v="HUFLIT Đại học Ngoại Ngữ Tin Học"/>
        <s v="Green Academy - Graphic Designer"/>
        <s v="Đại học giao thông vận tải thành phố Hồ Chí Minh(UTH)"/>
        <s v="MKU - Trường Đại Học Cửu Long."/>
        <s v="HUFI đã đổi tên thành HUIT - Trường Đại học Công Thương TP. Hồ Chí Minh"/>
        <s v="Đại học Sư phạm Kỹ thuật Vĩnh Long"/>
        <s v="HUFLIT -  Trường Đại Học Ngoại Ngữ - Tin Học TPHCM"/>
        <s v="Đại học Sài Gòn"/>
        <s v="Trà Vinh University"/>
        <s v="VinUniversity"/>
        <s v="Đại học Thương Mại (TMU)"/>
        <s v="Đại học Kinh tế, Đại học Huế"/>
        <s v="UTH - Trường Đại học Giao thông vận tải Thành phố Hồ Chí Minh"/>
        <s v="Đại học Ngoại ngữ - Tin học Thành phố Hồ Chí Minh (HUFLIT)"/>
        <s v="HUFLIT - Trường đại học Ngoại Ngữ - Tin Học TPHCM"/>
        <s v="Green Academy"/>
        <s v="CTU - trường Đại học Cần Thơ"/>
        <s v="Swinburne University"/>
        <s v="SGU - Đại học Sài Gòn"/>
        <s v="Trường Đại học Giao thông vận tải TP. HCM"/>
        <s v="Đại học Trà Vinh"/>
        <s v="Trường Đại học Ngoại ngữ- Tin học TpHCM"/>
        <s v="HUIT - Trường Đại học Công Thương TP.HCM"/>
        <s v="UTH - Trường Đại học Giao thông vận tải TPHCM"/>
        <s v="FPTU - Trường Đại học FPT"/>
        <s v="UMT - Trường ĐH Quản lý và Công nghệ TPHCM"/>
        <s v="CTUT -Kỹ Thuật Công Nghệ Cần Thơ"/>
        <s v="HCMUTH - Trường Đại học Giao thông Vận tải TP.HCM"/>
        <s v="Northeastern University"/>
        <s v="HUFLIT - Trường Đại học Ngoại ngữ - Tin học Thành phố Hồ Chí Minh"/>
        <s v="Đại Học Văn Hiến"/>
        <s v="Trường Cao đẳng FPT Polytechnic Tây Nguyên"/>
        <s v="FPT Poly - Trường Cao đẳng FPT Polytechnic Tây Nguyên"/>
        <s v="Trường Đại học Ngoại ngữ - Tin học Thành phố Hồ Chí Minh( HUFLIT)"/>
        <s v="UEH-ISB Western Sydney"/>
        <s v="IMIC Technology"/>
        <s v="UEH.ISB"/>
        <s v="FPTU - Đại học FPT"/>
        <s v="HUFLIT - Trường Đại học Ngoại ngữ - Tin học TP. Hồ Chí Minh"/>
        <s v="VTC Academy - Học viện công nghệ thông tin và thiết kế VTC"/>
        <s v="PTITHCM - Học viện Công nghệ Bưu chính Viễn thông cơ sở TP Hồ Chí Minh"/>
        <s v="PTITHCM - Học viện công nghệ bưu chính viễn thông (cơ cở HCM)"/>
        <s v="HUFLIT - Đại học Ngoại ngữ - Tin học TP. Hồ Chí Minh"/>
        <s v="HUIT - Trường Đại học Công Thương TP. Hồ Chí Minh"/>
        <s v="TDMU- Đại Học Thủ Dầu Một"/>
        <s v="TDMU- Trường đại học Thủ Dầu Một"/>
        <s v="Chongqing University"/>
        <s v="TDMU-Trường Đại Học Thủ Dầu Một"/>
        <s v="DUT - Đại học Bách Khoa - Đại học Đà Nẵng"/>
        <s v="Đại học Cần Thơ"/>
      </sharedItems>
    </cacheField>
    <cacheField name="*Trình độ học vấn hiện tại của bạn là gì?*" numFmtId="0">
      <sharedItems>
        <s v="Year 4 / Năm 4"/>
        <s v="Fresh graduate / Mới tốt nghiệp"/>
        <s v="Kỳ cuối ,sắp tốt nghiệp"/>
        <s v="Year 2 / Năm 2"/>
        <s v="Đã ra trường và làm việc được 3 năm ở vị trí Developer"/>
        <s v="Đang thi chứng chỉ tiếng anhđể tốt nghiệp."/>
        <s v="Year 3 / Năm 3"/>
        <s v="Tôi tốt nghiệp cao đẳng, hiện tại đang liên thông Đại học Công Nghệ Thông Tin(UIT)"/>
        <s v="Đã tốt nghiệp và đi làm"/>
        <s v="Đang đợi thi bằng tiếng anh và tốt nghiệp"/>
        <s v="Year 1 / Năm 1"/>
        <s v="Đã kết thúc"/>
        <s v="Sinh viên kỳ cuối sắp tốt nghiệp"/>
        <s v="Đã tốt nghiệp 1 năm"/>
        <s v="Năm 2 ,Kỳ cuối"/>
        <s v="sinh viên đang trong kỳ thực tập"/>
        <s v="Graduated"/>
        <s v="Đã hoàn thành chương trình học và đang chờ nhận bằng tốt nghiệp"/>
        <s v="Vừa tốt nghiệp 1 năm"/>
        <s v="Chưa tốt nghiệp"/>
        <s v="Năm 4 và sắp tốt nghiệp"/>
        <s v="Learning &amp; working"/>
        <s v="Tháng 6 này sẽ hoàn thành"/>
        <s v="Đã hoàn thành đồ án tốt nghiệp và chờ tốt nghiệp"/>
        <s v="Chuẩn bị tốt nghiệp"/>
        <s v="Bachelor Degree"/>
        <s v="Working for 1 year as a QA game"/>
        <s v="Currently waiting for graduation"/>
        <s v="Đã ra trường hơn 1 năm"/>
        <s v="Tốt nghiệp 1 năm"/>
        <s v="Tốt nghiệp được 4 năm"/>
        <s v="Year 5"/>
        <s v="Prepare to graduate / Chuẩn bị tốt nghiệp"/>
        <s v="Đã tốt nghiệp"/>
      </sharedItems>
    </cacheField>
    <cacheField name="*Chuyên ngành học của bạn là gì?*" numFmtId="0">
      <sharedItems>
        <s v="Công Nghệ Thông Tin Ứng dụng Phần mềm"/>
        <s v="Khoa học dữ liệu"/>
        <s v="Kỹ thuật phần mềm"/>
        <s v="công nghệ phần mền"/>
        <s v="Công nghệ thông tin"/>
        <s v="Game Programming"/>
        <s v="Lập Trình Game"/>
        <s v="IT"/>
        <s v="Game Programmer"/>
        <s v="Information System"/>
        <s v="Game Developement"/>
        <s v="software engineer"/>
        <s v="Information Systems"/>
        <s v="Computer science"/>
        <s v="Thị giác máy tính"/>
        <s v="Thiết Kế Mỹ Thuật Số"/>
        <s v="Graphic Design"/>
        <s v="Kỹ thuật phần mềm (Software engineering)"/>
        <s v="Công Nghệ Kỹ Thuật Máy Tính"/>
        <s v="Data Science"/>
        <s v="Artificial Intelligence"/>
        <s v="Game Development"/>
        <s v="Hệ Thống Thông Tin (Information System)"/>
        <s v="Thiết kế Đồ Hoạ"/>
        <s v="Information Security"/>
        <s v="Trí tuệ nhân tạo"/>
        <s v="Hệ thống thông tin"/>
        <s v="Công Nghệ Phần Mềm"/>
        <s v="Khoa học Máy tính"/>
        <s v="Information Technology"/>
        <s v="Nhật Bản học"/>
        <s v="Lập trình mobile"/>
        <s v="An toàn thông tin"/>
        <s v="Khoa học máy tính chuyên ngành an toàn thông tin"/>
        <s v="Electronics and Telecommunication Engineering"/>
        <s v="Thương mại điện tử"/>
        <s v="Digital Media"/>
        <s v="Data Engineering"/>
        <s v="Knowledge Technology"/>
        <s v="Kĩ thuật phần mềm"/>
        <s v="Applied Mathematics"/>
        <s v="Ngành Công nghệ Thông tin - Chuyên ngành Kỹ thuật Phầm mềm"/>
        <s v="Ngành Công nghệ thông tin - Chuyên ngành Kỹ thuật phần mềm"/>
        <s v="Phát triển ứng dụng"/>
        <s v="Digital Marketing"/>
        <s v="ComputerVision"/>
        <s v="Công nghệ tri thức - định hướng Xử lý ngôn ngữ tự nhiên (NLP)"/>
        <s v="Xã hội học"/>
        <s v="Game Design"/>
        <s v="Software Engineering"/>
        <s v="Công nghệ dữ liệu"/>
        <s v="Công nghệ Thông tin (Chuyên ngành Thị giác máy tính &amp; Điều khiển học thông minh)"/>
        <s v="International Business Administration"/>
        <s v="Business Administration"/>
        <s v="Khoa học máy tính / Khoa học dữ liệu"/>
        <s v="Công nghệ và đổi mới sáng tạo"/>
        <s v="Luật"/>
        <s v="Game Designer"/>
        <s v="Economics"/>
        <s v="Marketing"/>
        <s v="Industrial Management (Quản lý công nghiệp)"/>
        <s v="Công nghệ thông tin kinh doanh"/>
        <s v="Quản trị Nguồn nhân lực"/>
        <s v="Quản trị kinh doanh"/>
        <s v="Kỹ sư phần mềm"/>
        <s v="Song ngành Khoa học dữ liệu và Tài chính"/>
        <s v="Hệ thống thông tin quản lý"/>
        <s v="Công nghệ thông tin (CLC) chuyên ngành Công nghệ tri thức"/>
        <s v="Information Systems &amp; Computer Science"/>
        <s v="Truyền thông đa phương tiên"/>
        <s v="Phát Triển Phần Mềm"/>
        <s v="Digital Art - Nghệ thuật số"/>
        <s v="Management information system"/>
        <s v="Graphic Designer"/>
        <s v="Thiết kế đồ họa"/>
        <s v="Thực tế ảo và lập trình games"/>
        <s v="Bachelor of Engineering in Artificial Intelligence (AI)"/>
        <s v="Hệ thống thông tin kinh doanh và chuyển đổi số"/>
        <s v="International Business Economics (Kinh tế đối ngoại)"/>
        <s v="Công nghệ tri thức"/>
        <s v="Quản trị nhân lực"/>
        <s v="Technology Innovation"/>
        <s v="Lập trình Game (Game Programming)"/>
        <s v="Hệ thống thông tin quản lý (chuyên ngành Kinh doanh số và Trí tuệ nhân tạo)"/>
        <s v="Toán học - Khoa học dữ liệu"/>
        <s v="Software Development"/>
        <s v="Công nghệ thông tin (CLC)"/>
        <s v="Data Science in Business"/>
        <s v="Tài chính – Ngân hàng (định hướng: Công nghệ tài chính)"/>
        <s v="Network"/>
        <s v="Kinh doanh quốc tế"/>
        <s v="Mạng máy tính và Truyền thông dữ liệu"/>
        <s v="Công nghệ Tài chính (Fintech)"/>
        <s v="Computer Science - Khoa học máy tính"/>
        <s v="Web Development"/>
        <s v="Điện - Điện tử."/>
        <s v="Computer Sciences"/>
        <s v="Actuarial Science"/>
        <s v="Management Information Systems – MIS"/>
        <s v="Công nghệ thông tin - Trí tuệ nhân tạo"/>
        <s v="Logistics and Supply Chain Management"/>
        <s v="Game Developer"/>
        <s v="Khoa học máy tính."/>
        <s v="Công nghệ đa phương tiện"/>
        <s v="Unity Game Developer"/>
        <s v="Information Technology - High Quality"/>
        <s v="Hệ thống thông tin ứng dụng"/>
        <s v="Mechatronics"/>
        <s v="Ngành công nghệ thông tin, chuyên nghành kĩ thuật phần mềm"/>
        <s v="Computer Science - Cyber Security"/>
        <s v="Computer Engineering"/>
        <s v="I studied in a talented bachelor program with a broad and flexible curriculum. I focused on Software Engineering and am now pursuing my career in game development."/>
        <s v="Network Engineering"/>
        <s v="Công nghệ thông tin"/>
        <s v="Công nghệ thông tin - Công nghệ phần mềm"/>
        <s v="Fintech (Công nghệ Tài chính)"/>
        <s v="Khoa học máy tính (hướng Trí tuệ nhân tạo)"/>
        <s v="Accounting - Auditing"/>
        <s v="Toán Tài Chính"/>
        <s v="Quản trị khởi nghiệp"/>
        <s v="An toàn thông tin - Information assurance"/>
        <s v="Software Technology"/>
        <s v="Applied Mathematics in Economics, Management and Finance"/>
        <s v="Information Techonology"/>
        <s v="Artificial Intelligience"/>
        <s v="Information System - IS"/>
        <s v="Industrial Management"/>
        <s v="Management Information Systems"/>
        <s v="Multimedia Communications - Truyền thông Đa phương tiện"/>
        <s v="Hệ thống nhúng và IoT"/>
        <s v="International Business Management"/>
        <s v="Phân tích dữ liệu"/>
        <s v="Mathematics and Computer Science"/>
        <s v="Professional Communication"/>
        <s v="Luật Dân sự"/>
        <s v="Business Analytics and Artificial Intelligence"/>
        <s v="Tâm lý học"/>
        <s v="MIS - Management Information System"/>
        <s v="Kỹ thuật và Quản lí công nghiệp"/>
        <s v="International Economics (Kinh tế đối ngoại)"/>
        <s v="Software Enginerring"/>
        <s v="Data Science / Khoa Học Dữ Liệu"/>
        <s v="Điện tử - Viễn thông"/>
        <s v="Khoa học máy tính - Trí tuệ nhân tạo ứng dụng"/>
        <s v="Actuarial Science (Phân tích rủi ro và định phí bảo hiểm)."/>
        <s v="Quản trị kinh doanh - Marketing"/>
        <s v="Quản lý Công nghiệp"/>
        <s v="Corporate Accounting"/>
        <s v="Công nghệ thông tin ( Ứng dụng phần mềm)"/>
        <s v="CNTT (Honor Program)"/>
        <s v="Business Administration/Quản trị Kinh Doanh"/>
        <s v="AI"/>
        <s v="International Economics"/>
        <s v="Business Economics"/>
        <s v="Quản lý chuỗi cung ứng và Vận hành"/>
        <s v="Mạng Máy Tính và Truyền Thông Dữ Liệu (Computer Networks and Data Communication)"/>
        <s v="Information - Library Science"/>
        <s v="Graphic Designer, Embedded System Engineer"/>
        <s v="Financial Technology"/>
        <s v="Multimedia Communications"/>
        <s v="Information Systems - Hệ thống Thông tin"/>
        <s v="Lập Trình Game Unity"/>
        <s v="International Business"/>
        <s v="Infomation Security"/>
        <s v="Trí tuệ nhân tạo và ứng dụng"/>
        <s v="Information Management"/>
        <s v="Computer Science Engineering"/>
        <s v="Kỹ thuật máy tính"/>
        <s v="Công nghệ thông tin - An ninh mạng"/>
        <s v="Automation and Control Engineering"/>
        <s v="Toán thống kê"/>
        <s v="Thiết kế đa phương tiện"/>
        <s v="Truyền thông chuyên nghiệp"/>
        <s v="Xác suất thống kê"/>
        <s v="Lập trình game."/>
        <s v="Quản trị Marketing"/>
        <s v="Digital Business"/>
        <s v="Công nghệ Marketing"/>
        <s v="Business Administration - Marketing"/>
        <s v="Software Engineer (Kỹ thuật phần mềm)"/>
        <s v="Marketing Managment"/>
        <s v="Tin học quản lý"/>
        <s v="Ngôn Ngữ Anh"/>
        <s v="Thiết kế Mỹ Thuật Số: Chuyên ngành Game - Hoạt hình 2D"/>
        <s v="IoT và trí tuệ nhân tạo ứng dụng"/>
        <s v="CNTT( Game Developer )"/>
        <s v="Technology and Innovation"/>
        <s v="Kinh tế đối ngoại"/>
        <s v="Công nghệ thông tin ( chuyên ngành: Kỹ thuật phần mềm )"/>
        <s v="Marketing Technology"/>
        <s v="Kỹ thuật phần mềm - Software Engineering"/>
        <s v="International Finance"/>
        <s v="Toán Ứng Dụng"/>
        <s v="Multimedia Communication"/>
      </sharedItems>
    </cacheField>
    <cacheField name="*Thời gian tốt nghiệp (dự kiến nếu chưa tốt nghiệp)*" numFmtId="14">
      <sharedItems containsSemiMixedTypes="0" containsDate="1" containsString="0">
        <d v="2026-10-20T00:00:00Z"/>
        <d v="2026-07-01T00:00:00Z"/>
        <d v="2025-11-21T00:00:00Z"/>
        <d v="2026-09-30T00:00:00Z"/>
        <d v="2026-08-01T00:00:00Z"/>
        <d v="2026-07-24T00:00:00Z"/>
        <d v="2026-08-30T00:00:00Z"/>
        <d v="2022-05-20T00:00:00Z"/>
        <d v="2026-07-30T00:00:00Z"/>
        <d v="2025-11-18T00:00:00Z"/>
        <d v="2025-09-19T00:00:00Z"/>
        <d v="2026-09-01T00:00:00Z"/>
        <d v="2027-06-25T00:00:00Z"/>
        <d v="2026-07-31T00:00:00Z"/>
        <d v="2026-06-01T00:00:00Z"/>
        <d v="2026-11-01T00:00:00Z"/>
        <d v="2026-06-12T00:00:00Z"/>
        <d v="2025-11-27T00:00:00Z"/>
        <d v="2026-09-15T00:00:00Z"/>
        <d v="2026-07-25T00:00:00Z"/>
        <d v="2025-12-20T00:00:00Z"/>
        <d v="2025-08-28T00:00:00Z"/>
        <d v="2024-12-22T00:00:00Z"/>
        <d v="2004-03-30T00:00:00Z"/>
        <d v="2025-12-31T00:00:00Z"/>
        <d v="2026-01-25T00:00:00Z"/>
        <d v="2026-04-19T00:00:00Z"/>
        <d v="2025-10-20T00:00:00Z"/>
        <d v="2026-11-09T00:00:00Z"/>
        <d v="2027-01-01T00:00:00Z"/>
        <d v="2026-11-10T00:00:00Z"/>
        <d v="2026-05-01T00:00:00Z"/>
        <d v="2027-07-05T00:00:00Z"/>
        <d v="2028-08-08T00:00:00Z"/>
        <d v="2026-12-01T00:00:00Z"/>
        <d v="2026-05-31T00:00:00Z"/>
        <d v="2027-05-05T00:00:00Z"/>
        <d v="2027-09-15T00:00:00Z"/>
        <d v="2026-10-23T00:00:00Z"/>
        <d v="2026-03-30T00:00:00Z"/>
        <d v="2027-10-01T00:00:00Z"/>
        <d v="2025-03-09T00:00:00Z"/>
        <d v="2026-03-05T00:00:00Z"/>
        <d v="2025-11-29T00:00:00Z"/>
        <d v="2024-12-31T00:00:00Z"/>
        <d v="2026-06-20T00:00:00Z"/>
        <d v="2024-12-01T00:00:00Z"/>
        <d v="2026-11-30T00:00:00Z"/>
        <d v="2024-04-25T00:00:00Z"/>
        <d v="2025-06-26T00:00:00Z"/>
        <d v="2026-12-12T00:00:00Z"/>
        <d v="2026-04-11T00:00:00Z"/>
        <d v="2026-08-31T00:00:00Z"/>
        <d v="2027-06-01T00:00:00Z"/>
        <d v="2024-04-10T00:00:00Z"/>
        <d v="2026-03-14T00:00:00Z"/>
        <d v="2027-05-27T00:00:00Z"/>
        <d v="2025-03-25T00:00:00Z"/>
        <d v="2025-07-02T00:00:00Z"/>
        <d v="2026-08-24T00:00:00Z"/>
        <d v="2026-10-15T00:00:00Z"/>
        <d v="2027-07-20T00:00:00Z"/>
        <d v="2027-04-10T00:00:00Z"/>
        <d v="2026-09-05T00:00:00Z"/>
        <d v="2027-11-30T00:00:00Z"/>
        <d v="2027-06-30T00:00:00Z"/>
        <d v="2026-06-30T00:00:00Z"/>
        <d v="2025-06-30T00:00:00Z"/>
        <d v="2027-07-31T00:00:00Z"/>
        <d v="2027-09-01T00:00:00Z"/>
        <d v="2027-06-21T00:00:00Z"/>
        <d v="2027-10-30T00:00:00Z"/>
        <d v="2027-04-20T00:00:00Z"/>
        <d v="2025-12-13T00:00:00Z"/>
        <d v="2027-07-01T00:00:00Z"/>
        <d v="2027-04-01T00:00:00Z"/>
        <d v="2025-11-30T00:00:00Z"/>
        <d v="2025-12-30T00:00:00Z"/>
        <d v="2027-06-19T00:00:00Z"/>
        <d v="2027-12-08T00:00:00Z"/>
        <d v="2027-08-15T00:00:00Z"/>
        <d v="2026-04-24T00:00:00Z"/>
        <d v="2026-04-13T00:00:00Z"/>
        <d v="2027-03-15T00:00:00Z"/>
        <d v="2027-08-01T00:00:00Z"/>
        <d v="2027-08-30T00:00:00Z"/>
        <d v="2027-09-05T00:00:00Z"/>
        <d v="2026-10-01T00:00:00Z"/>
        <d v="2027-07-23T00:00:00Z"/>
        <d v="2027-12-06T00:00:00Z"/>
        <d v="2026-04-04T00:00:00Z"/>
        <d v="2027-03-20T00:00:00Z"/>
        <d v="2026-06-15T00:00:00Z"/>
        <d v="2026-05-30T00:00:00Z"/>
        <d v="2027-02-02T00:00:00Z"/>
        <d v="2027-09-28T00:00:00Z"/>
        <d v="2026-12-31T00:00:00Z"/>
        <d v="2027-03-28T00:00:00Z"/>
        <d v="2026-08-23T00:00:00Z"/>
        <d v="2025-08-08T00:00:00Z"/>
        <d v="2027-03-01T00:00:00Z"/>
        <d v="2026-08-22T00:00:00Z"/>
        <d v="2005-06-08T00:00:00Z"/>
        <d v="2025-06-12T00:00:00Z"/>
        <d v="2027-06-20T00:00:00Z"/>
        <d v="2027-04-30T00:00:00Z"/>
        <d v="2027-12-31T00:00:00Z"/>
        <d v="2026-02-11T00:00:00Z"/>
        <d v="2025-12-01T00:00:00Z"/>
        <d v="2025-09-21T00:00:00Z"/>
        <d v="2027-05-07T00:00:00Z"/>
        <d v="2028-06-30T00:00:00Z"/>
        <d v="2026-07-10T00:00:00Z"/>
        <d v="2027-11-01T00:00:00Z"/>
        <d v="2027-09-30T00:00:00Z"/>
        <d v="2027-10-10T00:00:00Z"/>
        <d v="2027-12-01T00:00:00Z"/>
        <d v="2029-09-05T00:00:00Z"/>
        <d v="2026-08-10T00:00:00Z"/>
        <d v="2024-09-30T00:00:00Z"/>
        <d v="2027-06-10T00:00:00Z"/>
        <d v="2025-11-22T00:00:00Z"/>
        <d v="2025-08-14T00:00:00Z"/>
        <d v="2026-05-15T00:00:00Z"/>
        <d v="2027-06-06T00:00:00Z"/>
        <d v="2026-10-10T00:00:00Z"/>
        <d v="2025-03-29T00:00:00Z"/>
        <d v="2027-04-26T00:00:00Z"/>
        <d v="2026-12-30T00:00:00Z"/>
        <d v="2026-08-15T00:00:00Z"/>
        <d v="2026-06-10T00:00:00Z"/>
        <d v="2027-04-25T00:00:00Z"/>
        <d v="2022-12-05T00:00:00Z"/>
        <d v="2027-05-15T00:00:00Z"/>
        <d v="2024-06-03T00:00:00Z"/>
        <d v="2026-06-25T00:00:00Z"/>
        <d v="2026-10-31T00:00:00Z"/>
        <d v="2025-08-01T00:00:00Z"/>
        <d v="2025-06-09T00:00:00Z"/>
        <d v="2004-07-21T00:00:00Z"/>
        <d v="2026-02-05T00:00:00Z"/>
        <d v="2027-03-21T00:00:00Z"/>
        <d v="2028-09-01T00:00:00Z"/>
        <d v="2025-10-08T00:00:00Z"/>
        <d v="2027-04-06T00:00:00Z"/>
        <d v="2025-04-24T00:00:00Z"/>
        <d v="2025-11-05T00:00:00Z"/>
        <d v="2027-07-15T00:00:00Z"/>
        <d v="2026-11-02T00:00:00Z"/>
        <d v="2027-11-25T00:00:00Z"/>
        <d v="2027-11-27T00:00:00Z"/>
        <d v="2025-11-15T00:00:00Z"/>
        <d v="2026-04-06T00:00:00Z"/>
        <d v="2026-09-08T00:00:00Z"/>
        <d v="2026-01-26T00:00:00Z"/>
        <d v="2029-05-30T00:00:00Z"/>
        <d v="2025-08-27T00:00:00Z"/>
        <d v="2005-04-25T00:00:00Z"/>
        <d v="2027-08-08T00:00:00Z"/>
        <d v="2026-09-10T00:00:00Z"/>
        <d v="2025-11-28T00:00:00Z"/>
        <d v="2026-05-04T00:00:00Z"/>
        <d v="2025-11-25T00:00:00Z"/>
        <d v="2027-04-22T00:00:00Z"/>
        <d v="2026-12-20T00:00:00Z"/>
        <d v="2025-12-14T00:00:00Z"/>
        <d v="2026-11-15T00:00:00Z"/>
        <d v="2025-05-01T00:00:00Z"/>
        <d v="2026-09-24T00:00:00Z"/>
        <d v="2019-06-01T00:00:00Z"/>
        <d v="2025-11-26T00:00:00Z"/>
        <d v="2026-11-20T00:00:00Z"/>
        <d v="2026-02-15T00:00:00Z"/>
        <d v="2026-06-08T00:00:00Z"/>
        <d v="2027-07-30T00:00:00Z"/>
        <d v="2027-10-20T00:00:00Z"/>
        <d v="2026-11-24T00:00:00Z"/>
        <d v="2027-05-01T00:00:00Z"/>
        <d v="2026-04-09T00:00:00Z"/>
        <d v="2027-03-30T00:00:00Z"/>
        <d v="2027-04-24T00:00:00Z"/>
        <d v="2027-03-05T00:00:00Z"/>
        <d v="2025-04-16T00:00:00Z"/>
        <d v="2026-03-31T00:00:00Z"/>
        <d v="2004-01-10T00:00:00Z"/>
        <d v="2026-01-19T00:00:00Z"/>
        <d v="2026-08-20T00:00:00Z"/>
        <d v="2026-06-09T00:00:00Z"/>
        <d v="2024-07-01T00:00:00Z"/>
        <d v="2026-08-26T00:00:00Z"/>
        <d v="2027-05-31T00:00:00Z"/>
        <d v="2026-08-14T00:00:00Z"/>
        <d v="2027-09-24T00:00:00Z"/>
        <d v="2025-12-15T00:00:00Z"/>
        <d v="2027-04-28T00:00:00Z"/>
        <d v="2026-03-01T00:00:00Z"/>
        <d v="2027-01-15T00:00:00Z"/>
        <d v="2026-10-16T00:00:00Z"/>
        <d v="2026-04-22T00:00:00Z"/>
        <d v="2028-08-01T00:00:00Z"/>
        <d v="2025-09-23T00:00:00Z"/>
        <d v="2024-12-28T00:00:00Z"/>
        <d v="2028-04-15T00:00:00Z"/>
        <d v="2027-01-31T00:00:00Z"/>
        <d v="2026-04-01T00:00:00Z"/>
        <d v="2027-04-15T00:00:00Z"/>
        <d v="2025-11-04T00:00:00Z"/>
        <d v="2027-11-28T00:00:00Z"/>
        <d v="2027-06-28T00:00:00Z"/>
        <d v="2027-10-31T00:00:00Z"/>
        <d v="2023-06-19T00:00:00Z"/>
        <d v="2026-04-07T00:00:00Z"/>
        <d v="2026-01-16T00:00:00Z"/>
        <d v="2027-01-18T00:00:00Z"/>
        <d v="2025-12-28T00:00:00Z"/>
        <d v="2027-06-29T00:00:00Z"/>
        <d v="2006-10-31T00:00:00Z"/>
        <d v="2025-11-20T00:00:00Z"/>
        <d v="2027-08-29T00:00:00Z"/>
        <d v="2025-08-16T00:00:00Z"/>
        <d v="2026-06-29T00:00:00Z"/>
        <d v="2026-09-22T00:00:00Z"/>
        <d v="2027-07-09T00:00:00Z"/>
        <d v="2026-11-22T00:00:00Z"/>
        <d v="2026-04-18T00:00:00Z"/>
        <d v="2025-08-06T00:00:00Z"/>
        <d v="2025-10-31T00:00:00Z"/>
        <d v="2028-05-02T00:00:00Z"/>
        <d v="2027-07-02T00:00:00Z"/>
        <d v="2025-03-01T00:00:00Z"/>
        <d v="2005-04-13T00:00:00Z"/>
        <d v="2025-09-30T00:00:00Z"/>
        <d v="2026-10-30T00:00:00Z"/>
        <d v="2027-05-14T00:00:00Z"/>
        <d v="2026-01-30T00:00:00Z"/>
        <d v="2004-10-30T00:00:00Z"/>
        <d v="2026-08-05T00:00:00Z"/>
        <d v="2025-07-19T00:00:00Z"/>
        <d v="2026-10-03T00:00:00Z"/>
        <d v="2028-04-18T00:00:00Z"/>
        <d v="2027-11-05T00:00:00Z"/>
        <d v="2028-11-24T00:00:00Z"/>
        <d v="2026-06-06T00:00:00Z"/>
        <d v="2028-04-01T00:00:00Z"/>
        <d v="2025-05-28T00:00:00Z"/>
        <d v="2027-02-03T00:00:00Z"/>
        <d v="2026-04-05T00:00:00Z"/>
        <d v="2028-01-01T00:00:00Z"/>
        <d v="2025-02-01T00:00:00Z"/>
        <d v="2026-12-02T00:00:00Z"/>
        <d v="2026-08-25T00:00:00Z"/>
        <d v="2025-05-19T00:00:00Z"/>
        <d v="2024-10-20T00:00:00Z"/>
        <d v="2027-05-22T00:00:00Z"/>
        <d v="2026-06-21T00:00:00Z"/>
        <d v="2027-06-15T00:00:00Z"/>
        <d v="2027-03-31T00:00:00Z"/>
        <d v="2004-04-15T00:00:00Z"/>
        <d v="2027-12-20T00:00:00Z"/>
        <d v="2027-01-07T00:00:00Z"/>
        <d v="2025-11-24T00:00:00Z"/>
        <d v="2004-07-01T00:00:00Z"/>
        <d v="2024-04-30T00:00:00Z"/>
        <d v="2026-12-15T00:00:00Z"/>
        <d v="2027-05-09T00:00:00Z"/>
        <d v="2026-05-12T00:00:00Z"/>
        <d v="2027-05-30T00:00:00Z"/>
        <d v="2027-03-22T00:00:00Z"/>
        <d v="2025-11-11T00:00:00Z"/>
        <d v="2025-11-01T00:00:00Z"/>
        <d v="2026-09-14T00:00:00Z"/>
        <d v="2025-12-24T00:00:00Z"/>
        <d v="2028-06-01T00:00:00Z"/>
        <d v="2027-11-10T00:00:00Z"/>
        <d v="2025-09-17T00:00:00Z"/>
        <d v="2026-03-21T00:00:00Z"/>
        <d v="2003-02-03T00:00:00Z"/>
        <d v="2025-07-14T00:00:00Z"/>
        <d v="2027-10-24T00:00:00Z"/>
        <d v="2005-02-01T00:00:00Z"/>
        <d v="2026-12-18T00:00:00Z"/>
        <d v="2026-07-02T00:00:00Z"/>
        <d v="2004-03-27T00:00:00Z"/>
        <d v="2025-10-05T00:00:00Z"/>
        <d v="2026-05-22T00:00:00Z"/>
        <d v="2005-08-24T00:00:00Z"/>
        <d v="2022-07-01T00:00:00Z"/>
        <d v="2023-12-01T00:00:00Z"/>
        <d v="2026-05-29T00:00:00Z"/>
        <d v="2025-05-31T00:00:00Z"/>
        <d v="2026-11-28T00:00:00Z"/>
        <d v="2025-05-25T00:00:00Z"/>
        <d v="2027-09-23T00:00:00Z"/>
        <d v="2007-04-19T00:00:00Z"/>
        <d v="2025-08-31T00:00:00Z"/>
        <d v="2026-01-09T00:00:00Z"/>
        <d v="2028-08-30T00:00:00Z"/>
        <d v="2006-04-13T00:00:00Z"/>
        <d v="2026-02-01T00:00:00Z"/>
        <d v="2025-08-07T00:00:00Z"/>
        <d v="2026-09-07T00:00:00Z"/>
        <d v="2025-10-27T00:00:00Z"/>
        <d v="2024-09-20T00:00:00Z"/>
        <d v="2027-08-09T00:00:00Z"/>
        <d v="2022-12-30T00:00:00Z"/>
        <d v="2026-11-25T00:00:00Z"/>
        <d v="2023-01-01T00:00:00Z"/>
        <d v="2027-12-10T00:00:00Z"/>
        <d v="2025-04-12T00:00:00Z"/>
        <d v="2026-04-25T00:00:00Z"/>
        <d v="2024-01-31T00:00:00Z"/>
        <d v="2027-04-18T00:00:00Z"/>
        <d v="2026-06-23T00:00:00Z"/>
        <d v="2027-06-09T00:00:00Z"/>
        <d v="2023-06-30T00:00:00Z"/>
      </sharedItems>
    </cacheField>
    <cacheField name="*What is your GPA (out of 10)?*&#10;_Điểm trung bình hiện tại của bạn (Trên thang điểm 10)?_" numFmtId="0">
      <sharedItems>
        <s v="8.88"/>
        <s v="8.91"/>
        <s v="7.7"/>
        <s v="8"/>
        <s v="7.93"/>
        <s v="7.5"/>
        <s v="7.4"/>
        <s v="8.3"/>
        <s v="6.5"/>
        <s v="Mình không nhớ."/>
        <s v="7.5/10"/>
        <s v="7.87"/>
        <s v="8.4"/>
        <s v="6.42"/>
        <s v="7.41"/>
        <s v="8.2/10"/>
        <s v="7.64"/>
        <s v="7.96"/>
        <s v="8.51"/>
        <s v="8.2"/>
        <s v="2.8"/>
        <s v="7.43"/>
        <s v="7.3"/>
        <s v="7.59"/>
        <s v="8.79"/>
        <s v="7.91"/>
        <s v="8.40"/>
        <s v="8.8/10"/>
        <s v="7.125"/>
        <s v="8.49"/>
        <s v="8/10"/>
        <s v="7,67"/>
        <s v="7.0"/>
        <s v="7.06/10"/>
        <s v="8.98"/>
        <s v="9.33"/>
        <s v="9"/>
        <s v="8.17/10"/>
        <s v="8.92"/>
        <s v="9.0"/>
        <s v="8.36"/>
        <s v="7.9"/>
        <s v="8.01"/>
        <s v="8.0"/>
        <s v="7.1"/>
        <s v="8.1"/>
        <s v="7.72"/>
        <s v="7.25"/>
        <s v="8.24"/>
        <s v="8.96"/>
        <s v="7"/>
        <s v="7.14/10"/>
        <s v="8.31"/>
        <s v="3.57"/>
        <s v="8.34"/>
        <s v="9.19"/>
        <s v="3.32/4.00"/>
        <s v="8.147"/>
        <s v="8.02"/>
        <s v="8.05"/>
        <s v="8.63"/>
        <s v="8.9"/>
        <s v="8.72"/>
        <s v="7.46"/>
        <s v="8.87"/>
        <s v="3.2"/>
        <s v="8.48"/>
        <s v="7.84"/>
        <s v="9.18"/>
        <s v="7.05"/>
        <s v="8.44/10"/>
        <s v="7.95"/>
        <s v="8.13"/>
        <s v="8.56"/>
        <s v="8.6"/>
        <s v="7.52"/>
        <s v="3.1"/>
        <s v="8.44"/>
        <s v="8.29"/>
        <s v="9.4 (Chỉ xét chuyên ngành KHMT)"/>
        <s v="8.57"/>
        <s v="8.76"/>
        <s v="8.27"/>
        <s v="7.07"/>
        <s v="8.47"/>
        <s v="8.73"/>
        <s v="7.27"/>
        <s v="8.66"/>
        <s v="8.94"/>
        <s v="8.58"/>
        <s v="5.74"/>
        <s v="8.26"/>
        <s v="8.5"/>
        <s v="8.97"/>
        <s v="8.7"/>
        <s v="2.9/4.0"/>
        <s v="9.01"/>
        <s v="8,21"/>
        <s v="8.22"/>
        <s v="8.04"/>
        <s v="7.85"/>
        <s v="8.59"/>
        <s v="8.43"/>
        <s v="7.28"/>
        <s v="7.918"/>
        <s v="8.74"/>
        <s v="9.84"/>
        <s v="7.83"/>
        <s v="8.8"/>
        <s v="7.35"/>
        <s v="9.29"/>
        <s v="7.8"/>
        <s v="7.2"/>
        <s v="8.32"/>
        <s v="8.86"/>
        <s v="7.5-8.0"/>
        <s v="8.28"/>
        <s v="7.88 ( 3.15 trên thang 4 )"/>
        <s v="7.74"/>
        <s v="7.33"/>
        <s v="8.4/4"/>
        <s v="3.69"/>
        <s v="7.22"/>
        <s v="6.19"/>
        <s v="7.88"/>
        <s v="8.14"/>
        <s v="8.09"/>
        <s v="6.85"/>
        <s v="7.68"/>
        <s v="Chưa có"/>
        <s v="7,16"/>
        <s v="8.69"/>
        <s v="8.52"/>
        <s v="6.95"/>
        <s v="8.55"/>
        <s v="8.4/10"/>
        <s v="8.15"/>
        <s v="7.92"/>
        <s v="7.6/10"/>
        <s v="3.3/4.0 = 7.9/10"/>
        <s v="3.08"/>
        <s v="8.37"/>
        <s v="8.33"/>
        <s v="8.19"/>
        <s v="7.78"/>
        <s v="3.0"/>
        <s v="7.56"/>
        <s v="9.03"/>
        <s v="8.85"/>
        <s v="7.79"/>
        <s v="9.05"/>
        <s v="7.5 / 10"/>
        <s v="9.025"/>
        <s v="6.67"/>
        <s v="7.6"/>
        <s v="8.50"/>
        <s v="7.32"/>
        <s v="7.99"/>
        <s v="8.35"/>
        <s v="7.45"/>
        <s v="7.19"/>
        <s v="7.18"/>
        <s v="2.85"/>
        <s v="8.9/10"/>
        <s v="7.44"/>
        <s v="8,25"/>
        <s v="7.61"/>
        <s v="8.12"/>
        <s v="8.82"/>
        <s v="7.98"/>
        <s v="8.45"/>
        <s v="3.76"/>
        <s v="6.4"/>
        <s v="7.87/10"/>
        <s v="9.27"/>
        <s v="3.4"/>
        <s v="8.11"/>
        <s v="7.86"/>
        <s v="8.03"/>
        <s v="8.99"/>
        <s v="7,95"/>
        <s v="GPA: 8.9/10"/>
        <s v="8.62 or 3.7 (4.0 scale)"/>
        <s v="8.325"/>
        <s v="8.3/10"/>
        <s v="7,2"/>
        <s v="8.08"/>
        <s v="7,5"/>
        <s v="7.65"/>
        <s v="8.00"/>
        <s v="6.96/10"/>
        <s v="7.38"/>
        <s v="3.47/4.0 ~ (8.7/10)"/>
        <s v="7.0/10"/>
        <s v="8.81"/>
        <s v="7.3/10"/>
        <s v="7.31"/>
        <s v="9/10"/>
        <s v="6.82"/>
        <s v="2.7"/>
        <s v="8.44/10 (3.63/4)"/>
        <s v="7.55"/>
        <s v="7.75"/>
        <s v="6.23"/>
        <s v="7.15"/>
        <s v="7,7"/>
        <s v="8.61"/>
        <s v="8,07"/>
        <s v="8.53"/>
        <s v="6.58"/>
        <s v="7.88/10"/>
        <s v="7.2/10"/>
        <s v="7.73"/>
        <s v="8.10/10"/>
        <s v="7.70"/>
        <s v="3.5"/>
        <s v="6.83"/>
        <s v="8.71"/>
        <s v="7.62"/>
        <s v="8,03"/>
        <s v="7.97"/>
        <s v="8.38"/>
        <s v="7.26"/>
        <s v="3.29"/>
        <s v="8.18"/>
        <s v="6.6"/>
        <s v="8.46"/>
        <s v="7.83/10"/>
        <s v="7/10"/>
        <s v="9.2"/>
        <s v="8.225"/>
        <s v="6.71"/>
        <s v="9.1"/>
        <s v="7.08"/>
        <s v="8.05/10"/>
        <s v="6.98"/>
        <s v="9.625"/>
        <s v="~ 6.5/10"/>
        <s v="8.23"/>
        <s v="9.07"/>
        <s v="6.68/10"/>
        <s v="9.13"/>
        <s v="7.24"/>
        <s v="8.07"/>
        <s v="My GPA is 6.6/10"/>
        <s v="6.87"/>
        <s v="9.02"/>
        <s v="7.01/10"/>
        <s v="None"/>
        <s v="6.46"/>
        <s v="3.04/4.0 GPA"/>
        <s v="8.1/10"/>
        <s v="8.25"/>
        <s v="8.21"/>
        <s v="8.55/10"/>
        <s v="7,6"/>
        <s v="6,7"/>
        <s v="3.0/4"/>
        <s v="7.58"/>
        <s v="8.64"/>
        <s v="8.10"/>
        <s v="7.34"/>
        <s v="GPA 3.24/4 or 8.1/10"/>
        <s v="7.94"/>
        <s v="6.62"/>
        <s v="5.99"/>
        <s v="6.91"/>
        <s v="7.63"/>
        <s v="7.81"/>
        <s v="2.0/4.0"/>
        <s v="7.4/10"/>
        <s v="7.21"/>
        <s v="7.06"/>
        <s v="8.16"/>
        <s v="7.25/10"/>
        <s v="8.5/10"/>
        <s v="8.42"/>
        <s v="8.0/10.0"/>
        <s v="7.10"/>
        <s v="9.24"/>
        <s v="9.09"/>
        <s v="Classification: Second Class: 1st Division (2:1) 7.9/10"/>
        <s v="8.375"/>
        <s v="7.225"/>
        <s v="6.8"/>
        <s v="8.41"/>
        <s v="7,54"/>
        <s v="8.65"/>
        <s v="7.37"/>
        <s v="6.92"/>
        <s v="7.03"/>
        <s v="8.89"/>
        <s v="6.3"/>
        <s v="7.76"/>
        <s v="9.3"/>
      </sharedItems>
    </cacheField>
    <cacheField name="*Please attach your academic transcript here*&#10;_Vui lòng đính kèm bảng điểm tại đây_" numFmtId="0">
      <sharedItems>
        <s v="https://api.typeform.com/responses/files/d8b6e14ed9afca1385c327a1a80f2d74bdf23991bfb54bc603275ef462fbb0f3/z7628526052579_ff37ca4b9293ddf8043ac661565babc2.jpg"/>
        <s v="https://api.typeform.com/responses/files/d55b4c41d3e6682cfab98e065a4ba2da037f4ddbfc2875cf21f0ccb61883aabd/Transcript___Data_Analysis_Intern___Phạm_Ngọc_Trí.pdf"/>
        <s v="https://api.typeform.com/responses/files/dd07064b4a28c99f27f523cd6e4bd40343e10d8e2a4a68ffe89b96e10ee09f98/Transcript___Unity_Developer_Intern___Nguyễn_Trọng_Nghĩa.pdf"/>
        <s v="https://api.typeform.com/responses/files/6f878a25a48a09d8d66d65c5bbf323c36d844c42d556da210778186126a86619/Transcript___Game_Design_Intern___Đặng_Thế_An.png"/>
        <s v="https://api.typeform.com/responses/files/97994d1e71c27b89f6927f71a8c3fa5b5b17be2834b645c137c748710af45177/Transcript___Unity_Development_Intern___Nguyễn_Công_Trung.pdf"/>
        <s v="https://api.typeform.com/responses/files/93d0e912f21fb5f4eff357f599b83cffd626eb68d0d59edaa43030c923c03b40/Transcript_intern_TranDoHoangTan.png"/>
        <s v="https://api.typeform.com/responses/files/53679cae613e1380865f5b1c629b2b8f1558d4f3c99e17fa4fdbda1662435a60/Transcript___Game_Designer___Nguyễn_Minh_Khôi.pdf"/>
        <s v="https://api.typeform.com/responses/files/72eaf3206f3e349b5ff6bbe1955faf3282b4e361c4fdd146ce90d6fd4d7ac675/Bảng_điểm__FPT_Polytechnic.pdf"/>
        <s v="https://api.typeform.com/responses/files/b97b8597bffdb1565f56df5e19a9f4ce350f9c9cf947007ea55276e0fadaf9d5/Transcript___Game_Designer_Intern___Nguyễn_Đức_Hoàng.pdf"/>
        <s v="https://api.typeform.com/responses/files/5494a8a953acc15ac2ab77ee74255181f05412bb1fdaff82817b2eb80200d4ed/Dat_Tran_TopCV.vn_090426.223435__1___3_.pdf"/>
        <s v="https://api.typeform.com/responses/files/0731dc164a41b8ec3b2879feff29fef008760d47156b24640f31e0c692797a03/Transcript_Game_DesignerIntern_Trần_Quốc_An.pdf"/>
        <s v="https://api.typeform.com/responses/files/9aca8be9e7fa75bd199efca892849ef5d72dc10194bd2180dd7ace19d5c84280/Transcript___Data_Analysis_Intern___Phạm_Minh_Ngân.pdf"/>
        <s v="https://api.typeform.com/responses/files/11c262b1979f89539b3b7dc2d373eb139a9852d1861c8d9b3cb4dcd378c73fb4/Transcript_GameDesignerIntern_VoNguyenHung.pdf"/>
        <s v="https://api.typeform.com/responses/files/c05fb2b3f238138b3fd1a4632ce82a420acb9552bceed8718df3c4bbd0e48f27/Transcript___Game_Designer_Intern___Trần_Đông_Khang.rar"/>
        <s v="https://api.typeform.com/responses/files/335e05d6eda626954f9101a8aef110fcffb2885e37f918be56d762b78f2b9c51/BẢNG_ĐIỂM_HẢI_ĐĂNG.zip"/>
        <s v="https://api.typeform.com/responses/files/198cd9ca97b35e6dc28e70f0e3d253ddf064f8826dd590de1881e183a8f6b553/Transcript___Unity_Development_Intern___Nguyễn_Phương_Nam.pdf"/>
        <s v="https://api.typeform.com/responses/files/32a39f2241d205e2501fd82b9c0e9d929733317670a5a619458cad22954c4171/Transcripts___AI_Engineering_Intern___Phan_Đình_Thái.pdf"/>
        <s v="https://api.typeform.com/responses/files/4539e8b37eb7173f733e1e42c7b93f135367c35feeafed0bf1a147ccd6379f95/Transcript___Game_Desiner_Intern___Ngô_Trung_Thiện.pdf"/>
        <s v="https://api.typeform.com/responses/files/53d8acbb8aa78802e0f7801cc48664ade14327d05af092b1e6c95c2043149481/bảng_điểm_Trần_Danh_Vinh.pdf"/>
        <s v="https://api.typeform.com/responses/files/aec9ee77beb60ce0615124d212aa8d38203db7389e67ebca493c86f6b27aaa81/NguyenHungPhat_Academic.pdf"/>
        <s v="https://api.typeform.com/responses/files/91e19ff99978976cf2625a4afc05055a40ef4ffd1152a89e49124b13a126ca6f/Transcript___Data_Analysis_Intern___Lê_Hữu_Tài.pdf"/>
        <s v="https://api.typeform.com/responses/files/923b787408de0fc1469f099a94dece171a05d9bb13a651a811e163021e36e281/transcript.pdf"/>
        <s v="https://api.typeform.com/responses/files/3ae1c6dd01b726e77a59ca331c14f03236f4aa9f5498f76d7fdc55beeddcca12/Transcript___Game_Design_Intern___Tran_Phuong_Anh.pdf"/>
        <s v="https://api.typeform.com/responses/files/5b8d5c4f8a8b81fc3cfe661e02895245de0c5144bc9c842e377cf580e918bfa7/Transcript___Game_Designer_Intern___Trần_Lập_Nhân.pdf"/>
        <s v="https://api.typeform.com/responses/files/35014d9f4fe7aad694519fb272f3f8342690521a01e44c6701d162e862e3a5c9/Transcript___Game_Designer_Intern___Dương_Thế_Khải__2_.jpg"/>
        <s v="https://api.typeform.com/responses/files/53ad8f672880a7ad0efc9c5717810edd9bf9e9bb9d55532b3c6a54361ab75fb9/Transcript___Unity_Development_Intern___Tạ_Ngọc_Minh.docx"/>
        <s v="https://api.typeform.com/responses/files/09099c73385b6c3c89c638604d92734b2563b8a068b3449cfd4fdc80cc3a774e/Transcript___Data_Analysis_Intern___Đỗ_Phú_Duy.pdf"/>
        <s v="https://api.typeform.com/responses/files/ba824c2d35776c0cab1213132f9388c3a26e2f462fbf85ce93cfd426426b15f8/Transcript___Data_Analysis_Intern___Lê_Hữu_Tài.pdf"/>
        <s v="https://api.typeform.com/responses/files/60bf3328dfba7ff81a60e6bad5534deb69e645ca825f9e7dc1069eaa805df6cb/Transcript___Data_Analysis_Intern___Nguyễn_Bình_Minh_Quân.pdf"/>
        <s v="https://api.typeform.com/responses/files/6be9ec4d71904347ff7f5f8e5faab8d1dbb6e7d05e2054f9b7dac2e952d52196/Transcript___AI_Engineer_Intern___Nguyễn_Đình_Quân.pdf"/>
        <s v="https://api.typeform.com/responses/files/7d5e3c597cb8e8623d929aa60f9a6c8b3456bf567dbe0f3767767997bc3f584f/Transcript___Game_Design_Intern___Nguyễn_Trương_Trọng_Hiếu.pdf"/>
        <s v="https://api.typeform.com/responses/files/a09f4b7079ae962825f80e6fd51a202be38f1853e4f8ed8f0472c78f081cf6cc/BangDiem2_GameDesigner_Intern_NguyenKhacKy.jpg"/>
        <s v="https://api.typeform.com/responses/files/b8b1562d43425dba367af235ec6038d28ddb7a26e29081acc6c76e4ec9ea0154/CV___Unity_Developer_Intern__Phạm_Thanh_Phong.JPG"/>
        <s v="https://api.typeform.com/responses/files/a6e0d3abf8eb69cad3e142b58af381177c5b4266e7fe4957923348bf4aac3051/Bảng_điểm__FPT_Polytechnic.pdf"/>
        <s v="https://api.typeform.com/responses/files/8e6c5ea4417ac3f6a729c61e81f8c6700aa35d3cc1c9af0bad0d83516199b8c2/Transcript___Game_Design_Intern___Vũ_Trường_Hùng.pdf"/>
        <s v="https://api.typeform.com/responses/files/4f7acd8cd9f1fb6e6d09aea2d7944957c9b3da0c0a79b61b74c8dda816ecdbe5/Transcript____Unity_Developer_Intern___Lê_Đình_Thiện.jpg"/>
        <s v="https://api.typeform.com/responses/files/62eb95305329d9838576d4744feb39ab794350739e79024a34d0da728b02647e/IMG_1720.jpeg"/>
        <s v="https://api.typeform.com/responses/files/50511fecc58f8658467cbe03ad28330c1c26e5238b0fafbee680021fd2887584/Transcript___Unity_Development_Intern___Nguyễn_Anh_Tường.png"/>
        <s v="https://api.typeform.com/responses/files/dd6850e19856682ebf44057545d6322d95f861ef2526e22a64bae0e19d093ff2/Transcript___Data_Analysis_Intern___Võ_Ngọc_Duy.pdf"/>
        <s v="https://api.typeform.com/responses/files/fece274dc73e25ad7a4def9371339d35e70a4e18ed7fe7148d03b46c0860de84/Transcript___Game_Design_Intern___Đinh_Thanh_Tùng.pdf"/>
        <s v="https://api.typeform.com/responses/files/eabe5a8c7d55ada8725f2ed3f1b85f51c540499ed7ee532bc1f641da2c62b8b9/KietTrinh_GPA.pdf"/>
        <s v="https://api.typeform.com/responses/files/710d7818c82ed0f2570ceef6cb6558889d787aa384429200d329f818bcbe16b0/Transcript___AI_Engineer_Intern___Huỳnh_Cao_Tuấn_Kiệt.pdf"/>
        <s v="https://api.typeform.com/responses/files/dd321eee0cdcba6e3d2f48f539481a837df44e45e6bda0b46ea2ff5d7edbb5ec/Transcript___AI_Engineering_Intern____Nguyen_Le_Son.pdf"/>
        <s v="https://api.typeform.com/responses/files/5e922b8ef8531452826f7f70c7f6b0685e4494aa8c063924ee8caa7e52eee1bd/Kết_quả_học_tập.mhtml"/>
        <s v="https://api.typeform.com/responses/files/eb90ca399fc88793c7d791fa6aa159fe77e71423f9f46cbe75fcc28e6e963ed5/Transcript___AI_Engineer_Intern___Luu_Thuong_Hong.pdf"/>
        <s v="https://api.typeform.com/responses/files/7a28bb2fd138bcaeead11add7689ed1690682546f3e088c177a277cbba8131c5/Transcript___Data_Analysis_Intern___Nguyễn_Hoàng_Vũ.pdf"/>
        <s v="https://api.typeform.com/responses/files/67b9e14e91162e6dc26b7f01b8bf93c176ca1aafb0b0c20f3c7c2635e3a6bb2f/Transcript___Data_Analyst_Intern___Tang_Thi_Van.pdf"/>
        <s v="https://api.typeform.com/responses/files/4d07276f921cb86a8a4be214bcfce2418c2320fb662adb7287fc03329189edc1/Transcript___Unity_Development_Intern___Hoàng_Võ_Ngọc_Nguyên.docx"/>
        <s v="https://api.typeform.com/responses/files/2a74944854212f3661c3cf9503cb4073c26a704690dc8f889fbae90ae76548f7/Transcript___Data_Analysis_Intern___Hoàng_Đôn_Thiện_Hòa.png"/>
        <s v="https://api.typeform.com/responses/files/9d47e4f46d61402926c063f8e0d09d93e0f77118744e616f520d5946d84a6dfa/transcript___AI_Engineer_Intern___Phạm_Anh_Huy.pdf"/>
        <s v="https://api.typeform.com/responses/files/0ea850431ceb5b9a26ed5ccb490aae0d55864847201071b13440eed1bf6ad7f3/IMG_1942.png"/>
        <s v="https://api.typeform.com/responses/files/c6a47ea234d93a0daec54aa138027b68233d9821de626a723d4d3ddb0e52fffc/Transcript___AI_Engineering__Data_Analysis___Trần_Bảo_Phúc.pdf"/>
        <s v="https://api.typeform.com/responses/files/aac96dbdaaf92b5934979f569ef4f49b1794ad7943a8a2a99f471154050e9776/CV__AI_Engineering_Intern___Tran_Chau_Phu.pdf"/>
        <s v="https://api.typeform.com/responses/files/3ce1249212233c7d69981dd589f5f573ffd57263db14e8b653dd72b32a185134/AcademicTranscript_KhueNguyenBich.pdf"/>
        <s v="https://api.typeform.com/responses/files/7ae42e6d8a81297a50072a37bad597d80a492b231111de564534e8deb8486d49/Transcript__Unity_Development_Intern_Nguyen_Duy_Tam.jpg"/>
        <s v="https://api.typeform.com/responses/files/8524f2a023060951d3bdda3c6f37a9bf3dbd5dfec973dc787006b830dcde7251/Kết_quả_học_tập.pdf"/>
        <s v="https://api.typeform.com/responses/files/a5f42e616ee77c13476ef7ddc8a8224262b0fc45d3abfa80e8c35e52b2c1a743/Transcript___Unity_Development_Intern___Hoàng_Đình_Ngọc_Quang.pdf"/>
        <s v="https://api.typeform.com/responses/files/c37dda3f7ac2ab76a79f0b4b5395822734fd96dd2fe50a2d3c7af6c3ac6b13d9/Bảng_Điểm.png"/>
        <s v="https://api.typeform.com/responses/files/ea3f40e92803b5df1a0c80e8c0b8aeae965b4f281c3236461cc115cbe5d7aad5/Transcript___Unity_Development_Intern___Trần_Thiện_Thuật.pdf"/>
        <s v="https://api.typeform.com/responses/files/742bdce06f532f229d7c7fa2980f58d3c871ad4c3d30450c36582c089668905e/Transcript___Data_Analysis_Intern___Bui_Thi_Thanh.pdf"/>
        <s v="https://api.typeform.com/responses/files/7cc242f46afc8d4374e5851201271a718ddae19ff7d4e3d0727890cab63e4ac3/Transcript___Data_Analysis_Intern___Phan_Thị_Ngọc_Linh.docx"/>
        <s v="https://api.typeform.com/responses/files/a20de7771c582238d74667cb90ea1872f8f66173172eec28ab52f844061dfdae/Transcript_UnityDevelopmentIntern_TranQuangAnhThuan.pdf"/>
        <s v="https://api.typeform.com/responses/files/9f1b39690d0baaea4fb9a7bf6375fd7c6a3965b2023dde4aeac1deb514b49151/Transcript_UnityDevelopmentIntern_TranQuangAnhThuan.pdf"/>
        <s v="https://api.typeform.com/responses/files/90d63a782e6397b673cf1e2d10e27d42283c3b4eb11c513cd110885f995ba336/Transcript___Game_Quality_Assurance_Intern___Nguyễn_Lâm_Nhã_Uyên.pdf"/>
        <s v="https://api.typeform.com/responses/files/899742377a5f04d68b90cd45c2aad6c3cb54bd4f05d76d291582c21590cbaa2a/Transcript__AI_Engineering_Intern___Bùi_Trương_Thái_Sơn.pdf"/>
        <s v="https://api.typeform.com/responses/files/9298ff89a07630e37ebb90de7b7a7ae5bc365a31e1f1cd8f601324eb8835fccb/Transcript_User_Acquisition_Intern_Tran_Minh_Tam.pdf"/>
        <s v="https://api.typeform.com/responses/files/7ad1ccd86e7e758cf60802d137c2e843f679ab855928239a7616187eff95b299/VoThanhTrong_DEV_TR.pdf"/>
        <s v="https://api.typeform.com/responses/files/197754f93cca9713ea6c19e48a2c22a02674834c05d8eab9823833874ec792ca/Transcript___Data_Analysis_Intern___Nguyễn_Như_Hoàng_Tiến.pdf"/>
        <s v="https://api.typeform.com/responses/files/7fcaa11cf3266082eb0e529d1bb8b29b128b18bee045c6eebefb260659db794e/Academic_Transcripts___AI_Engineer_Intern___Trương_Trí_Khải.pdf"/>
        <s v="https://api.typeform.com/responses/files/f613be3ab695b944a64e4885f32e0f81645b190b585c14ee85e928d5e83caada/Transcript___Data_Analysis_Intern___Nguyễn_Ngọc_Anh_Thư.pdf"/>
        <s v="https://api.typeform.com/responses/files/7c36e3eaab3e7620de0cee3e622097d1fb6d6164ece519f63c19c7c90ff18a84/Transcript___AI_Engineering_Intern___Lê_Hoàng_Minh_Huy.pdf"/>
        <s v="https://api.typeform.com/responses/files/b67f04fc03f821214d8192accd9134ded95094e00bbbf2d1fb2aafbe33bb8ec5/Transcript___Data_Analysis_Intern___Nguyễn_Tân_Niên.pdf"/>
        <s v="https://api.typeform.com/responses/files/d43d6618e5631e482db10f51767dc7c5dc6e44fb8cc711c6083ca05c6bec3089/Transcript___Data_Analysis_Intern___Lê_Quốc_Đạt.png"/>
        <s v="https://api.typeform.com/responses/files/2f8b61f84bfc34b01fc0cf2cd47a80a9a291f1fc97bf4a7dc3063b41b959fa3d/Bảng_điểm__FPT_Polytechnic.pdf"/>
        <s v="https://api.typeform.com/responses/files/829189505b46f30fe22953c4f239e2dc0d5fe5289cb642fc4501ea50456e5d77/inbound7099643817910465525.pdf"/>
        <s v="https://api.typeform.com/responses/files/521c6eee80b0ccf39cc417ed4510ee7eb317aee0a5283cad201c95971306cc1a/Transcript___AI_Engineer_Intern___Ngô_Quang_Thắng.png"/>
        <s v="https://api.typeform.com/responses/files/47ad1bccc0d96235ea0cea7788d1a4325c308b8090bf30e67ddf6982ddd6208f/Transcript___Unity_Development_Intern___Nguyễn_Hoàng_Nhựt_Minh.pdf"/>
        <s v="https://api.typeform.com/responses/files/b8f952efdb4391ab6c9f176cbe504e32ec4920c33540f54b8e9ae7ddbd23cfe8/Transcript___Data_Analysis_Intern___Nguyễn_Đỗ_Bảo.pdf"/>
        <s v="https://api.typeform.com/responses/files/54ddf9056a21b942eaefce0c49985ea288988b8770f9c1c9cb3f00ffb4bdd2de/Transcript___Unity_Development_Intern___Lê_Đức_Ngọc_Bảo.pdf"/>
        <s v="https://api.typeform.com/responses/files/550fa4c9cc9d642447388b1d66ee638c31c525971e78c3ee1eb4088c7101787e/Transcript___Unity_Development___Trần_Duy_Anh_Khoa.pdf"/>
        <s v="https://api.typeform.com/responses/files/fe7e058a2298da1de241d20580e2e35bfc3b9750bbfe7ee1ab653978d205ea3b/Transcript___Data_Analysis_Intern___Trần_Gia_Bảo_Anh.pdf"/>
        <s v="https://api.typeform.com/responses/files/2151f187ae006366c5499804a53fb850071e2c6fdbcd00d2edc9a3a37a4879bf/Transcript___AI_Engineer_Intern___Trần_Thị_Cẩm_Tú.pdf"/>
        <s v="https://api.typeform.com/responses/files/165fbcdfb164b40d39daf9b593b24a781d230a8df9b4d54b85b2dadf34eabd82/Transcript_AI_Engineer_Intern_Đào_Thiên_Phú.pdf"/>
        <s v="https://api.typeform.com/responses/files/f45b99150e6efe4fea979401ceddf1ffadcb0ae92e9b36c1337bd498bc1c231c/Transcript___AI_Engineering_Intern___Nguyễn_Hoàng_Anh_Tuấn.jpg"/>
        <s v="https://api.typeform.com/responses/files/87a3aff02bcaebfc6e087ffad7f8fb10719c4c0a29df83bb9e54e59330e51c9e/Transcript___Unity_Development_Intern___Nguyễn_Hiếu_Thuận.pdf"/>
        <s v="https://api.typeform.com/responses/files/5613931a0bdc98fdc21b76b3f228a064f1d2e732917696f89c19f5b8b659fefc/IMG_1543.jpeg"/>
        <s v="https://api.typeform.com/responses/files/77b1059b80948ab001a9c15facb8f4f6ea9b752d9c6db050777affe6b065370e/Transcript___AI_Engineering_Intern___Lê_Thượng_Đế.pdf"/>
        <s v="https://api.typeform.com/responses/files/4a6be9bb88c7b60a0910532c6a3914e20d8329cdd34d6e55949611f4f40761d5/Transcript___AI_Engineer_Intern___Nguyễn_Tấn_Lộc.pdf"/>
        <s v="https://api.typeform.com/responses/files/d2fb59e96097f4cbcb9aea592b0050d4cbf111b712534a2d71cf235e92dc1a72/Transcript___Quality_Assurance_Intern___Ngô_Thế_Đạt.pdf"/>
        <s v="https://api.typeform.com/responses/files/dc696662f8d3c56da2eb98a90c6777b9992dbdb528117317daab4cc22e00f60f/Transcript___Unity_Development_Intern___Âu_Gia_Quốc.html"/>
        <s v="https://api.typeform.com/responses/files/5352a89c3743e0d2f3725ba577d2859171a2860d5aa98a7f06bb8a861c505249/Transcript___Data_Analysis_Intern___Hồ_Sỹ_Kiên.pdf"/>
        <s v="https://api.typeform.com/responses/files/9d8f722770ab7e9e7658e3298b03ffc1f2f0765545b34d517d7d18a085d48a28/Transcript___Game_Design_Intern___Nguyễn_Trọng_Tín.pdf"/>
        <s v="https://api.typeform.com/responses/files/5358e3fde437753098e705cbbb88ec8a2e702bf7aa294d246d619535854da0b5/Transcript___Game_Design_Intern___Lê_Đức_Ngọc_Bảo.pdf"/>
        <s v="https://api.typeform.com/responses/files/637adfdcf93d4883a6bdfe068955bf91165fb75068794f639548b124baa11c1f/Transcript___Unity_Development_Intern___Dương_Gia_Huy.pdf"/>
        <s v="https://api.typeform.com/responses/files/07fa7e9427a4a1a7e897996fd548bab714719251e83863e62d46d15088dc7b62/Transcript_Game_QA_Tô_Duy_Hào.xlsx"/>
        <s v="https://api.typeform.com/responses/files/a1a8f11bf017dc3d8f86e64e4976d1f22ca2d63c970f33bd1b7bef8859c25ac3/Transcript___Game_Quality_Assurance_Intern___Tran_Thien_Phuc.jpg"/>
        <s v="https://api.typeform.com/responses/files/bb7d872711fb2c4a3b9767e4c9f87c1e1c8cc0305614aa3fa461f5b71309ebf2/Transcript___Game_User_Acquisition_Intern___Nguyễn_Hoàng_Quân.pdf"/>
        <s v="https://api.typeform.com/responses/files/74aa6d908bf0188a41033aac4fa96a3de59c3cafc233d0a0c45de341df5a2254/Transcript___AI_Engineer_Intern___Pham_Nam_Huyen.pdf"/>
        <s v="https://api.typeform.com/responses/files/81406446df5c890b20817b6f7674ddd4b6da2c97c0eb1fc090db290a995c9ac4/Transcript___AI_Engineering_Intern___Lê_Thanh_Hải.pdf"/>
        <s v="https://api.typeform.com/responses/files/afa155bc62564592555b7c202a6e91e55de540654a954279413f986bc3554527/Transcript___Game_Quality_Assurance_Intern___Nguyễn_Thành_Khang.pdf"/>
        <s v="https://api.typeform.com/responses/files/09384fae56aa1d141c2aa820f38ce9fbe0697c2e4d8819f42f435eaabb69bb91/Transcript___AI_Engineer_Intern___Trương_Quang_Huy.pdf"/>
        <s v="https://api.typeform.com/responses/files/8f0723db20415767d8504d21be8b0c7309a7651b953e0aa754a564a3279bef5e/Transcript_AI_Engineer_Intern_Từ_Thế_Phong.pdf"/>
        <s v="https://api.typeform.com/responses/files/b5b106888e92ab7a05ea091336dba9f6cff14c521207973d404bae7c0943376d/Transcript___Human_Resources_Intern___Nguyen_Vu_Tuong_Vy.jfif"/>
        <s v="https://api.typeform.com/responses/files/3e93766e103d8b3b8c6e021a6dfba8ef7efbdc4a0a482b483693a3b715ff5b70/Transcript___Game_Designer___Trần_Thị_Minh_Vi.pdf"/>
        <s v="https://api.typeform.com/responses/files/e0aeb0d7481c48e06cbd8560e3541a1c6275c68d0440c3650669448a39b43d7f/NhanNguyenPhuc_Transcript.pdf"/>
        <s v="https://api.typeform.com/responses/files/47d292cd67ef44255db66d905e40a4d204b201bb0686a4c5363ac1d48b9f46aa/Transcript___Unity_Development_Intern___Mai_Xuân_Hưng.pdf"/>
        <s v="https://api.typeform.com/responses/files/171f51003ca98f221610d69e5129407cb375635c01a0e289abdb91bde32fa7ab/Transcript___Unity_Developer_Intern___Duong_Khanh_Nguyen.png"/>
        <s v="https://api.typeform.com/responses/files/4ed4c03c22e38db4bfdf607843257ae9c74b89baa25c800f303868f53c3361eb/Transcript___AI_Engineering_Intern___Lê_Quốc_Anh.pdf"/>
        <s v="https://api.typeform.com/responses/files/419b31d98ea0765c6bb256fbbb518f38b69e7d8229d9e7e6bde6bb5a7bddc367/Transcript___AI_Engineer_Intern___Nguyễn_Minh_Trí.pdf"/>
        <s v="https://api.typeform.com/responses/files/104146cfb9d015572da096b40f36448996ab731e27af56d82f0d3977b8fe15d7/Transcript___Unity_Developer___Trần_Khôn_Chí.pdf"/>
        <s v="https://api.typeform.com/responses/files/b2d00d4cc3dae58521f49d91d21e70d0c73d1be3c4354fa4f5eb26253e1b3249/Transcript___AI_Engineer_Intern___Hà_Tuấn_Anh.pdf"/>
        <s v="https://api.typeform.com/responses/files/b206e0a89747338c2a5b729ffc40a9da8889e0ccf3ebaf6fa079c84017dc7463/Transcript___Data_Analysis_Intern___Nguyen_Tran_Phuc_Dat.pdf"/>
        <s v="https://api.typeform.com/responses/files/f3eda4832cd42aefcc15cd2104adaefb78f96fefe1570de2a1173bcf0a7f15c6/Bảng_điểm_Dương_Văn_Thắng.pdf"/>
        <s v="https://api.typeform.com/responses/files/0edb1749d9364d57be5803c36ce6d7561a382104c757209d6dc51f43ac3bfbf3/Transcript___AI_Engineering_Intern___Võ_Nguyễn_Thảo_Uyên.pdf"/>
        <s v="https://api.typeform.com/responses/files/6f0ca83af989a79567b3a77bf984a701bc6da54104605cc700804eda7253bd7a/bangdiem.pdf"/>
        <s v="https://api.typeform.com/responses/files/561fc1159a8a6412a3f1dbc31e47cda22a0c9f165e37d26e35fededdc73bdd43/Transcript___Data_Analysis_Intern___Thái_Hữu_Thọ.png"/>
        <s v="https://api.typeform.com/responses/files/8acae817e1ae986900dd890dafccdf7d4b623aff6f992238edd5acda50e49026/Transcript____Unity_Development_Intern___Huỳnh_Tuấn_Phong.pdf"/>
        <s v="https://api.typeform.com/responses/files/a1b4328c0d4ac7939b300fcfa947c95ad2c62df6d5992cf44a5c9067b4343010/Transcript___Data_Analysis_Intern___Trầm_Hữu_Nhân.pdf"/>
        <s v="https://api.typeform.com/responses/files/c52c7584d7f69ffe90f9194148ce56e6774e22f2cd54dc0dabd042de6235f159/Transcript___Game_User_Acquisition_Intern___Đỗ_Nhật_Hạ.pdf"/>
        <s v="https://api.typeform.com/responses/files/eeec9d081944778f629be8ffa2a8b6b505e1ebbb5319150a3c1cbd7a1d13b537/Transcript___Game_User_Acquisition_Intern___Trương_Việt_Hoàng.pdf"/>
        <s v="https://api.typeform.com/responses/files/c066cc4dd02a9cecc16c6d42e4009f0c3e9c0b3585bb8a697836fbaffeb8be25/Unity_Developer_Intern_Ngô_Gia_Thịnh.xlsx"/>
        <s v="https://api.typeform.com/responses/files/c72c71eef495c4496336d90a9b5a89a923d9cd891bf8e7347c330d5cb0dd3993/Tester_Tran_Dat.pdf"/>
        <s v="https://api.typeform.com/responses/files/2cba8f639901c000b4b03facf917168791bf52b240fe6462777f8ec701264c6b/Transcript___HR_Intern___Nguyễn_Thị_Minh_Thư.pdf"/>
        <s v="https://api.typeform.com/responses/files/c1996b732b36a67b5fa12f0c5b2fd422b06a5b3e03f546124430a17bdcb92817/Transcript___Data_Analysis_Intern___Nguyễn_Minh_Đạt.pdf"/>
        <s v="https://api.typeform.com/responses/files/03d1850bd204f0b4979d7bbf5bf4c4a94d82feaf3a92ed7a38fa022f18fb1e6c/Transcript___AI_Engineering_Intern___Trần_Trí_Đức.pdf"/>
        <s v="https://api.typeform.com/responses/files/d48547519ac1eb435adc75998e195e0adae0c24502c95c213756f3585433215f/Transcript___AI_Engineer__Intern___La_Nguyễn_Quốc_Thịnh.png"/>
        <s v="https://api.typeform.com/responses/files/4505dbeabfcfe0860072a384e32ea4325d92ddef9b489a9c0a95eb671043d24a/Bảng_điểm_22120153.pdf"/>
        <s v="https://api.typeform.com/responses/files/7af820a1eac76cc9484a43090d04ca998f831f4502b5a0a4f8b1031d1b73abec/Transcript___Game_Designer_Intern___Trần_Thị_Yến_Nhi.pdf"/>
        <s v="https://api.typeform.com/responses/files/4ff522afe17de6e87f2d0f73fc9dbd51058a7aec12cea317203f9ddb56de3535/Transcript___Unity_Game_Intern___Nguyễn_Tấn_Thắng.pdf"/>
        <s v="https://api.typeform.com/responses/files/cb480e503c01f85b0b809fc05d5771892c3fd0dbc580467257a4891cbb343d98/Transcript___Unity_Development_Intern___Lê_Huy_Toàn.pdf"/>
        <s v="https://api.typeform.com/responses/files/13be79ae651a4614ae23e3e1f43f4532a86192c73dad23da60a9ee096fc333d3/Transcript___Game_user_acquisition_intern___Tiêu_Thị_Kim_Cương.pdf"/>
        <s v="https://api.typeform.com/responses/files/c81e02062339d77b4ede55463281bf041401409b6cfdc9d5af3fb93d3cf93fa6/Transcript___GameDesigner____TranThiThuHoai.pdf"/>
        <s v="https://api.typeform.com/responses/files/a5700be2667366a8aa5cde223638e0061b4b6d204f7ecefec64362269e857402/Transcript___Human_Resource_intern___Phạm_Nguyễn_Tài_Tuệ.pdf"/>
        <s v="https://api.typeform.com/responses/files/042e7060232e0f5b5de0083e7b999826b33f63306029383204b004d1db874243/Transcript___Game_Designer___Le_Minh_Quang.pdf"/>
        <s v="https://api.typeform.com/responses/files/23578bee8b07df5ae2c07b9bad9ee2a65b5f43b24df433d2b97f81e738739d38/Transcript___AI_Engineering_Intern___Vũ_Hoàng_Minh.pdf"/>
        <s v="https://api.typeform.com/responses/files/ade51cd4cd0b0e2d1391b134336d331e932a84bc1acd9efc4b834696fc6bb891/Transcript___Game_Design_Intern___Nguyễn_Trọng_Nhân.pdf"/>
        <s v="https://api.typeform.com/responses/files/5fa6d7b6894d61dbb9ef71c7fad855e48007961912d758a9909aaed8feb0f9a1/Bảng_điểm_học_tập_tiếng_Việt_sinh_viên_ĐHCQ_VLVH.pdf"/>
        <s v="https://api.typeform.com/responses/files/99f100775f319ef6ab0b2d0e6b27f382855722fee4b6eef640971dda8aeced97/Transcript___Data_Analysis_Intern___Trần_Vĩnh_Trường.xlsx"/>
        <s v="https://api.typeform.com/responses/files/584f0c7510b65badfa880d578fdc9598099f2f5a09bf19be80dedaf65d29bf64/Transcript___Game_User_Acquisition_Intern___Nguyễn_Minh_Quang.pdf"/>
        <s v="https://api.typeform.com/responses/files/7c64f301ba79b068b5339ef39b3f64fc732a4b597c07c4a4057964cceff0f8e6/Transcript___Game_Quality_Assurance_Intern___Đinh_Hoàng_Nam.pdf"/>
        <s v="https://api.typeform.com/responses/files/98f21de1b836e8bac282365647b82c1f034f856f9774e3e5e9fefa71ad53f4fc/Transcript___Human_Resources_Intern___Trần_Ngọc_Yến_Vy.pdf"/>
        <s v="https://api.typeform.com/responses/files/1b05b4cb4f2c983e25db1ea1d20da3449f26bddf190577df136e869f8f39c836/Bảng_điểm_học_tập_tiếng_Anh_sinh_viên_ĐHCQ_VLVH.pdf"/>
        <s v="https://api.typeform.com/responses/files/974c87316fa317158594647783e842792908351192c16e52987b5882a3138012/Transcript___AI_Engineer___Trần_Văn_Trường.pdf"/>
        <s v="https://api.typeform.com/responses/files/06966c38c9358611ab72aa71115efe2ca38005bea667808c4a811626d74b0ad8/Transcript___Data_Analysis_Intern___Bùi_Đoàn_Thúy_Vy.pdf"/>
        <s v="https://api.typeform.com/responses/files/ab9413ff9c189224d30207d5eae81f03aeb358121e26dfd486f8535ad2171b5e/Transcript___Unity_Development_Intern___Nguyễn_Gia_Huy.pdf"/>
        <s v="https://api.typeform.com/responses/files/15fefddcdc0af16b12383c78e1194d47838300087b4cdffc0c5c8c30ae068e0a/Transcript___Data_Analysis_Intern___Bùi_Hà_Bảo_Khanh.pdf"/>
        <s v="https://api.typeform.com/responses/files/75cbc0bc41d09a0f4a4a54fef7cbc14bdaed981d5e49a83d6fe55d6e296accb0/Transcript___Game_QA_Intern___Trần_Xuân_Lộc.pdf"/>
        <s v="https://api.typeform.com/responses/files/866efa7eddb039dcbff3844ad3a5094029c2d3de0c694251724661fdde27c8e0/Transcript___AI_Engineer___Đoàn_Nguyễn_Minh_Thư.pdf"/>
        <s v="https://api.typeform.com/responses/files/9ab689d81a6526d051058a5624797bfe005d9bf1a332091f9d67641a52859de8/Transcript___Unity_Development_Intern___Lê_Trọng_Thiện.pdf"/>
        <s v="https://api.typeform.com/responses/files/bf34bc1232b3493200bbba5149887984f94c05a7daacd43efbddaea1a36d5a9f/Transcript___UA_Marketing___Nguyễn_Hoàng_Minh.pdf"/>
        <s v="https://api.typeform.com/responses/files/5e52d1820c9135cfda68525f48ecbc80911f4ded100766e7ce2d03d328557a84/Diem__1_.xlsx"/>
        <s v="https://api.typeform.com/responses/files/fc427bd3a4cbc38fca230cde70906bd0eca13c972bdd2d40cf5a1973d5ec0d6d/Transcript__AI_Engineering_Intern___Vũ_Ngọc_Sơn.pdf"/>
        <s v="https://api.typeform.com/responses/files/25afaa42268e83793c46a32f43a66f83fb94c98cfe4753b6b55616a50fa9b1f3/Transcript___HR_Intern___Lương_Nguyệt_Thuý.PNG"/>
        <s v="https://api.typeform.com/responses/files/65277d9e9a53570364314c6c8da69772882ab82a0f5c61c2d06b3dabece5c9ae/Transcript___Human_Resources_Intern___Hoàng_Kim_Tùng.pdf"/>
        <s v="https://api.typeform.com/responses/files/52fdd8194f5c8b00b2573cbde459dff2e49949479f3e947cd5fe3d59ee9d1f2b/Transcript___AI_Engineer_Intern___Trương_Vĩnh_An.pdf"/>
        <s v="https://api.typeform.com/responses/files/10b080ac4267ed3dcf7becd9fbd9b34530b363f9a13c2b83b7b1a7c2294df481/Transcript___HR_Intern___TRẦN_THỊ_THU_LƯƠNG.pdf"/>
        <s v="https://api.typeform.com/responses/files/7b0c0b400f7832f029dcecbf1c1629021429d4541c95d4161333fa8cd75fa26a/Transcript___AI_Engineering_Intern___Đoàn_Thị_Minh_Anh.pdf"/>
        <s v="https://api.typeform.com/responses/files/935667d0588c4e420f4011e7c8d6742ec82dcccd85694f4317be52077188c293/UTS_Transcript.pdf"/>
        <s v="https://api.typeform.com/responses/files/21c4bc321fe354b2545299dccf8e8543f227dc372158d7b8e6aef2dbec53356c/Transcript___Unity_Development_Intern___Hồ_Trọng_Nghĩa.pdf"/>
        <s v="https://api.typeform.com/responses/files/a4cb7be8d5756438b31586d620e1f41988325fa9559e275327d4f45771f6eabf/Transcript___AI_Engineering_Intern___Vũ_Minh_Chiến.png"/>
        <s v="https://api.typeform.com/responses/files/81359af917e1ea1032934a8c5f4d578b802f1c73f674a0c280bcbfaf675b098e/Data_Analyst_Intern__Dinh_Thi_Thanh_Hang__Transcript.doc"/>
        <s v="https://api.typeform.com/responses/files/d7191e22981cfde4646f4c5ff6726c2e65b576e93aee8930178f57c607526b5f/Transcript___Unity_Development_Intern___Bui_Khanh_Duy.pdf"/>
        <s v="https://api.typeform.com/responses/files/292711307ab29b35f9bcee94742066987856ee1a630728e3ee94350d85777dc6/Transcript___Data_Analysis_Intern___Nguyễn_Trương_Hoàng.pdf"/>
        <s v="https://api.typeform.com/responses/files/6c6dff641f6f23da55dae027a9f27a71b24a4538ff0013002b58e91e1f912f73/Transcript___Data_Analysis_Intern___Phạm_Cao_Trí.pdf"/>
        <s v="https://api.typeform.com/responses/files/e6c09eff031621405c7d00589362cc38b214af28a7d02015c5d24132d6a85c10/Bang_Diem_Tran_Tuan_Anh.pdf"/>
        <s v="https://api.typeform.com/responses/files/8b27164459c77e116788cb2285d1ce88af76c14b68aa40293878c7a4d2c19287/Transcript_UnityDevelopmentIntern_LeNguyenKhang.pdf"/>
        <s v="https://api.typeform.com/responses/files/993e90684571374724efbfa034cf290112a676bd990579db69617a8b8e6d544f/DHNT___GD.pdf"/>
        <s v="https://api.typeform.com/responses/files/b396e14a07480bb201a23fa58cd78714a2df2fa425d6c59e8b8f394b4c9cf92f/Chau_My_Phuong_transcript.pdf"/>
        <s v="https://api.typeform.com/responses/files/c4b19cc25d48a9f9db63bc6e2d18db1c4824924e0547a8a63c61e6d5f57e22b3/Transcript_Unity_Development_Intern_Nguyễn_Vạn_Xuân.pdf"/>
        <s v="https://api.typeform.com/responses/files/c19df85e07e66436976c627696e9ad0b4d063a599a11f63701ab19cb92d44500/bangdiem.pdf"/>
        <s v="https://api.typeform.com/responses/files/7922f1ac1fb90acd9e9d44cae77658e3a9d7c1687196e3f2e26c57218f241172/Bảng_điểm.pdf"/>
        <s v="https://api.typeform.com/responses/files/41e439c62e972b26b0b7fe6a63c2bfccbb5f63b0a5183e7e8de9fa9b98905688/Transcript___Unity_Development_Intern___Nguyễn_Thế_Anh.pdf"/>
        <s v="https://api.typeform.com/responses/files/bf654cabd0a2a0b63ad2273ec3293b9d7a931ed0cfad48e8ce4b4a94bc0e456c/Transcript___AI_Engineer_Intern___Nguyễn_Đặng_Minh_Duy.pdf"/>
        <s v="https://api.typeform.com/responses/files/daa9f3364f0ddcdbad63991f09afbeda13a19753ddf15e13e500655e18589a86/Transcript___Game_Design_Intern___Nguyễn_Quốc_Anh_Quân.jpg"/>
        <s v="https://api.typeform.com/responses/files/32693e98ebe9bf7dffba88acc39bbd6453eafdfcbefedb2389c154028e2c8f49/Transcript___AI_Engineer_Intern___Lâm_Nhật_Minh.pdf"/>
        <s v="https://api.typeform.com/responses/files/5a7ba1a6db9a45d610b9b04d5a58a2615dc1c6ddf19286b4256893c2aae6b0d5/Transcript___Unity_Development_Intern___Game_Design_Intern___Nguyễn_Võ_Ngọc_Bảo.pdf"/>
        <s v="https://api.typeform.com/responses/files/2fb834cb4b2d5d58d06dbfa40f8f690f366e51ef894fc036789cf15b2f3c91cd/Transcript___Game_Quality_Assurance___Bui_Dinh_An_Loc.pdf"/>
        <s v="https://api.typeform.com/responses/files/3e1e6d282fd5db8865c853012ccf0e6a5803e8e49320ff8fe93ea79ea007e117/Transcript___Game_Quality_Assurance_Intern___Lê_Thành_Công.xlsx"/>
        <s v="https://api.typeform.com/responses/files/6d2f3cdf5f36f37e94a83aa28aea6a725e33a193435370001285514bbc6de487/Transcript___Data_Analysis_Intern___Nguyễn_Vũ_Thuỳ_Trâm.pdf"/>
        <s v="https://api.typeform.com/responses/files/813e9e03552f70a19dd7e144a5a3146542aef77bd44767957c89e7abe791eccc/bảng_điểm.pdf"/>
        <s v="https://api.typeform.com/responses/files/bb22ce6a0cc24d8866cc62a2e40c04ecea85d87e0de30d856bb37e49b27777e8/Transcript___Game_User_Acquisition_Intern___Nguyễn_Mai_Phương.pdf"/>
        <s v="https://api.typeform.com/responses/files/b115b669892fd543e2f8da8c16ab7f001b30882048406f020e1ef796da8381e7/Transcript___Game_QA_Intern___Nguyễn_Hồng_Luân.jpg"/>
        <s v="https://api.typeform.com/responses/files/091b9282f0a37e47ce9b3e6ecff6cabfbb19e3b57f0e613018038266def2f283/A0.png"/>
        <s v="https://api.typeform.com/responses/files/8ea9dbf7744b5e97d5ab4b9470f0be1ae88eb8e059fb2b08e685e55ca2998810/Transcript___AI_Intern___Hoàng_Thanh_Lâm.pdf"/>
        <s v="https://api.typeform.com/responses/files/b3284c184c8db7ed6a081bc74836dc6ca5a0b749dfafdd22a3664f903d1e4cc8/Transcript___Unity_Developement_Intern___Nguyễn_Hũu_Tuấn_Tú.pdf"/>
        <s v="https://api.typeform.com/responses/files/86ba9bab334075340838a29e026ffc780438b88711d05eba5980ca374e0df478/Transcript___Game_Design_Intern___Trương_Quang_Nghĩa.xlsx"/>
        <s v="https://api.typeform.com/responses/files/36dbd07f5c2ef9d6d53657cf4975b2836fcac711ca93aad780f766bea253c461/Transcript_AI_Engineer_Intern_NgoQuangMinh.pdf"/>
        <s v="https://api.typeform.com/responses/files/51a8a9fa736587e4e6f0f61d651cc6df8caf17573d80eca4de2b72375202bcac/Transcript___Game_Quality_Assurance_Intern___Nguyễn_Thị_Như_Quỳnh.pdf"/>
        <s v="https://api.typeform.com/responses/files/fa26aa048cf2bb84981b5c55cb18d81d0e9e9633969e6ce26f146b6d2dc7b8ca/Nguyen_Khai_Transcript.pdf"/>
        <s v="https://api.typeform.com/responses/files/2d50a96957fd2030a5bf6d6eb4f551b770414cd4439d7d0646e873e359727303/Transcript___Game_Design_Intern___Trần_Ngọc_Khánh_Huy.pdf"/>
        <s v="https://api.typeform.com/responses/files/39b3d0e9ead852359a6608bbf40aa23ca71aad423fcf74c510d3efdb08e5dda2/Transcript___AI_Engineer_Intern___Trần_Tấn_Tài.pdf"/>
        <s v="https://api.typeform.com/responses/files/93be56b4e61aab7b695f154ea4e0b27b932c8a58ad91f926dccd2ccff98d60a7/Transcript___AI_Engineering_Intern___Nguyễn_Đức_Phúc.pdf"/>
        <s v="https://api.typeform.com/responses/files/f496a5d40a426306854bbc378c8b4770000ae3775ca94c7865a21571c594d52f/Transcipt___Unity_Development_Intern___Phạm_Thành_Đạt.pdf"/>
        <s v="https://api.typeform.com/responses/files/683baddc03b1625cc0b6d964b2dfc8c1169bcc721614eae5a4f2bd4de98e1df4/Transcript___Game_Design_Intern___Nguyễn_Đăng_Khôi.pdf"/>
        <s v="https://api.typeform.com/responses/files/4df8f9099109a6103344d17595a31d666539ae1fddf6ce8ae07c8163cc7e1408/Transcript___AI_Engineering_Intern___Huỳnh_Quốc_Huy.pdf"/>
        <s v="https://api.typeform.com/responses/files/a7d0def9e1c67664cdfa89b006bcb27ff900e2d32b56ba7ff2fb93d0ca02f62f/inbound5568924586459795018.pdf"/>
        <s v="https://api.typeform.com/responses/files/e8c1e4c52570b9e8e70b771ccbae7da5d694ec2c4560980f700011177324194d/Transcript___AI_Engineering_Intern___Nguyễn_Khắc_Tùng_Dương.xlsx"/>
        <s v="https://api.typeform.com/responses/files/0bb19491fbc3d3bf3b6c47ed8971b454b1c09b3da098ad8a79be6de38a65d32b/Transcript___Unity_Development_Intern___Trần_Nguyễn_Khắc_Duy.pdf"/>
        <s v="https://api.typeform.com/responses/files/d6210b6edabf43e7717528f3700a689fe09e97f2dbb64fc528d4717d3facc154/Transcript___Game_Developer_Intern___Mai_Hoàng_Hưng.pdf"/>
        <s v="https://api.typeform.com/responses/files/7230ec95ab51b8727b4cbc9ee511bb6b6cc095256a038f53dc3e7f4b3656f783/inbound7513570420408529610.jpg"/>
        <s v="https://api.typeform.com/responses/files/481835c088e8a0948bfb2927c07fc4cea9d757e5391a89bad84444da058f6897/Transcript___Unity_Development_Intern___Huỳnh_Nguyễn_Minh_Khang.png"/>
        <s v="https://api.typeform.com/responses/files/0b2baf95a989b0b0215a709b2a68d58c2a8dbe64c31f72fc4fa930edf65711d6/CV___Game_Quality_Assurance_Intern___TON_THAT_MINH_TOAN.pdf"/>
        <s v="https://api.typeform.com/responses/files/c8d8d43c467bf0a3c1c1769327819e9dc2efe02f6fa1c8ac8f0b3bbd583135b4/Transcript___Unity_Developer_Intern___Hoàng_Nhân_Khánh.pdf"/>
        <s v="https://api.typeform.com/responses/files/044e30eabdff46b8b40b14b3b3d13f519d050e1fd5e0fbb9735c6716dd7264c9/CV_UnityDevelopment_NguyễnXuânHoài.pdf"/>
        <s v="https://api.typeform.com/responses/files/e0ee87273b4ea523713e5bd22cf17af64d11b5ee11ce087b83c12ae95277e27c/transcript_AI_Engineer_Intern___Ngô_Thị_Ánh_Dương.pdf"/>
        <s v="https://api.typeform.com/responses/files/b55aed26bd183ced22d0d05a5d27821cf2bfd511606dae76284e73f19623586e/Transcript___AI_Engineer_intern__Data_Analysis_intern___Đoàn_Mạnh_Tất.pdf"/>
        <s v="https://api.typeform.com/responses/files/36b94f173ca890df77c1838af7507e864bf7e8e84f352ce970ab5d554d8441f7/Transcript___AI_Engineering_Intern___Tôn_Võ_Hoài_Khiêm.pdf"/>
        <s v="https://api.typeform.com/responses/files/a0f35d866b4e3b34269e0244f179069efe3571350d3289600dc1d5ea52bdfd9f/Transcript___SunRiserIntern___NguyenNhatHieu.pdf"/>
        <s v="https://api.typeform.com/responses/files/06e32e185afb0f4a1a0b048939101def4953b48f902738e7eaa0add28b6ccdc9/Transcript___Game_Designer_Intern___Vũ_Quốc_Bảo.jpg"/>
        <s v="https://api.typeform.com/responses/files/8807a772978818a3eaba285eb59d98207bb9fafe234adc2ce391cc136993b12c/Transcript_Unity_Development_Intern_TranLeHoangHuy.docx"/>
        <s v="https://api.typeform.com/responses/files/0a0703babc579a1249268508adfc3ddbc049919c0b1ac9afb16f1aaafd5895ab/Transcript___Game_Developer_Intern___Nguyễn_Đình_Minh_Nhật.xls"/>
        <s v="https://api.typeform.com/responses/files/5a744069642a259f4645e2002657f36565bf0752558ad4913095a50e6fea4ccd/Bảng_điểm__FPT_Polytechnic.pdf"/>
        <s v="https://api.typeform.com/responses/files/9f56f9490eb7a02292512c8b214bc2e71c1f27c796ff45af3e49e86c13be5c8d/Transcript___DA_Intern_AI_intern___Nguyễn_Tiến_Thịnh.pdf"/>
        <s v="https://api.typeform.com/responses/files/618507352cb077fa9a06783e7b1046ab4a74e51421e6e43f708770d3d6a064d9/Transcript___Data_Analysis_Intern___Nguyen_Thi_Huyen_Trang.PDF"/>
        <s v="https://api.typeform.com/responses/files/33df2b63c2487d4f8bfcd0e62a37f323184fd97252830202264399bfe86cfc7e/Transcript___AI_Engineering_Intern___Nguyen_Thanh_Binh.pdf"/>
        <s v="https://api.typeform.com/responses/files/5200902bd036d8087533e9fb18e377504d6f03ab2cfa864829a0ff872f869624/Transcript___Game_Design_Intern___Dương_Triệu_Vy.jpg"/>
        <s v="https://api.typeform.com/responses/files/8cd8f6b03488f8d36b7aeeabecdbb683c81b616f6b48a8efe65909d08dca4e93/Bảng_điểm___Game_Developer__Game_Designer___Lâm_Thành_Trung.xlsx"/>
        <s v="https://api.typeform.com/responses/files/a297074a11a405dea01adc52a8b8d620a7c33f2d356d41b35a98488534c5d54b/Transcript___Unity_Developer_Intern___Nguyễn_Võ_Minh_Quân.pdf"/>
        <s v="https://api.typeform.com/responses/files/a31bcedc0d831a06ca829342b94ffb0adb02f67543d3a4023ed6ea8d060223be/Transcipt___AI_Engineer_Intern___Đỗ_Việt_Hùng.pdf"/>
        <s v="https://api.typeform.com/responses/files/42c7676b1515a210c3ccf2db3edf84c014e0275845ee66c09830632d83d73edb/TLDA_Soft_Copy_Of_Transcript.pdf"/>
        <s v="https://api.typeform.com/responses/files/2c93636da8a7283edc6cf91f899f2227ae9631a8c8bc559e146ba5fabf12342d/Unity_Development_Intern___Thái_Thanh_Kha.pdf"/>
        <s v="https://api.typeform.com/responses/files/16dea671a718b7812f06f6392b2a83d1abb44c21bf452d3ad3fb1d5a98133978/Transcript___Unity_Development_Intern___Hoàng_Hải_Yến.pdf"/>
        <s v="https://api.typeform.com/responses/files/33f1d72fb1f55c07f914beb7345a053a4e514fa4f8564d9e45bc8fb1149fd2c5/Official_Transcript___Human_Resources___Nguyễn_Thái_Diễm_Quỳnh.pdf"/>
        <s v="https://api.typeform.com/responses/files/852cc3b5f43155bd62ff2736e92a5c65e5ba50b111db1e41dc187690328c3b2a/Transcript___Unity_Development_Intern___Lê_Quốc_Viêt.pdf"/>
        <s v="https://api.typeform.com/responses/files/bb8b79f387d9033fc24a71f84ded902d0a571c992b77feeb8bd5dbd3526048de/Transcript___Game_Quality_Assurance_Intern___Mai_Quỳnh_Châu.pdf"/>
        <s v="https://api.typeform.com/responses/files/76b41cd4206e6a0e1726c5c338fd9fc59420d74c840f9a8ca79e0c5d5a9070f0/Transcript___Data_Analysis_Intern___Nguyễn_Quốc_Tiến.pdf"/>
        <s v="https://api.typeform.com/responses/files/a4d813f4c458ad17e1e12d3fbcb21c31ee30101ebbdc120f48e412d423280634/Transcript___Unity_Development_Intern___Trần_Như_Phú_Quang.pdf"/>
        <s v="https://api.typeform.com/responses/files/285cb1e483c4039d3df5b21c10609f508454c8bb4f5e1f951ee64db92d317919/Transcript___Unity_Development_Intern___Lê_Thanh_Phát.pdf"/>
        <s v="https://api.typeform.com/responses/files/6be9a1641a72d05dd8ece9e42c9e5c8f89beb9ba535a2041968926de36bf9a9a/Cổng_thông_tin_sinh_viên.pdf"/>
        <s v="https://api.typeform.com/responses/files/c26d01a5171c1a4094d54d30dad638deec63028546e24930aa44a07f72d3cbde/Transcript___Unity_Development_Intern___Lê_Công_Tuấn.pdf"/>
        <s v="https://api.typeform.com/responses/files/0bafccbd9fc7414bf400d0911e62921b956ace8fdc522592b6c4a077189b6974/Transcript__Human_Resources_Intern___Nguyễn_Vy_Thảo.pdf"/>
        <s v="https://api.typeform.com/responses/files/31ca3eb24336e3e79e5f71b1e5ed57eefd261c6f1bed067dfbc255c45c092689/Transcript___Game_Quality_Assurance_Intern___Lê_Minh_Chiến.jpg"/>
        <s v="https://api.typeform.com/responses/files/f3ad80031664f70fbd69bb11a55406dcad1b5107b5670e6e2fe0bce7ca5d2576/Transcript___Quality_Assurance_Intern___Ngụy_Thành_Đạt.pdf"/>
        <s v="https://api.typeform.com/responses/files/113f3ed0f567ccf5aed589a138e7ef77b597ca856068c6ed414e9c159391194f/Transcript___Unity_Developer_Intern___Nguyen_Phi_Long"/>
        <s v="https://api.typeform.com/responses/files/eb36b46cf444c77c326bdff52d056ac23e5d5aaaf3d266d300cac817c1489ea5/Transcript___Unity_Developer_Intern___Lê_Nguyễn_Nhật_Trường.png"/>
        <s v="https://api.typeform.com/responses/files/73846813c6c83191fe6bd55a329961eb0ef119b4d53b8786a1bc20c6bdd7ed9f/Transcript___Game_Design_Intern___Hoàng_Hữu_Nhân.pdf"/>
        <s v="https://api.typeform.com/responses/files/4004659545817475238cc8feda509f2f4f58d74bf397d328969d76ec484e43f0/Transcript___Unity_Development_Intern___Trần_Khánh_An.pdf"/>
        <s v="https://api.typeform.com/responses/files/1293d8574505ef8f7037ba11bb16520bbaf14d30dbd684bbec29810801f15b08/Transcript___Game_Design_Intern___Trần_Tiến_Cường.pdf"/>
        <s v="https://api.typeform.com/responses/files/aab8bddceef1687ec09fe80dca9c4733e173702e3f4979a3791836116d1af7cb/Transcript___Game_Design_Intern___Võ_Anh_Khải.zip"/>
        <s v="https://api.typeform.com/responses/files/3641bb2b1361e3acd3c3cb14441bd93708a4ac2ce04ac154189e6bbc81ff8b2a/Transcript___Unity_Development_Intern___Trần_Tấn_Vạn.pdf"/>
        <s v="https://api.typeform.com/responses/files/bb788f3bf50b366e0465dd44960796f637a34cf190603d4d467bed2a7653bd26/Transcript_AI_Engineer_Intern_TranGiaHy.pdf"/>
        <s v="https://api.typeform.com/responses/files/c19c086381bec5756a13ebb791a0eb047e7dca8e0cea586ad855c8ce87ce3db6/Transcript___Game_Design_Intern___Nguyễn_Xuân_Duy.pdf"/>
        <s v="https://api.typeform.com/responses/files/65aac48c32c9c6150d022d89763d50a5d972a85356ccb600682013b6a3b843a5/Transcript___AI_Engineering_Intern___Phạm_Nguyễn_Quang_Thoại.pdf"/>
        <s v="https://api.typeform.com/responses/files/cc729938d88ad95adc4885f7926a25b2fae36e16d71ffccdb7c8de83d5e4aa50/Transcript___Game_Design_Intern___Trần_Thị_Thanh_Vi.pdf"/>
        <s v="https://api.typeform.com/responses/files/42fc6a2d0fe2617a190b4d0fdd47f4266192fad0c2b26d4adc0c046b82db9c28/Transcript___Game_Designer___Tran_Nhat_Duy.pdf"/>
        <s v="https://api.typeform.com/responses/files/3875033f3d752ec437adb0257b1a41836878d649e511801629d55b21de707056/Unity_Development_Intern___Trương_Gia_Hào.pdf"/>
        <s v="https://api.typeform.com/responses/files/07f3273d694c19a4e1692c975568631d0d6031e55d305449a388928d6e8a0d00/Bảng_điểm__FPT_Polytechnic.pdf"/>
        <s v="https://api.typeform.com/responses/files/613e5bacacea9ff25fb519b06c33dac6fa6dd23d576076efe83df6cb1139417d/Transcript___Unity_Developer_Intern___Phạm_Tấn_Đạt.pdf"/>
        <s v="https://api.typeform.com/responses/files/2ff00ebc129e64c095cac0f20267aa9c0c45555de34d8218f3c67771ae457104/MinhNguyenAnh_5.pdf"/>
        <s v="https://api.typeform.com/responses/files/d961099181fa37a2aad9dad5fc1401378ffe218777d0e1523a3c6c7449188a10/Transcript___Data_Analysis_Intern___Lê_Bảo_Quốc.pdf"/>
        <s v="https://api.typeform.com/responses/files/52f67e76f031affe6d5faaf0fd8e31a01d1798b5bec5a0f67b5af832f33ce78e/Transcript___AI_Engineer_Intern___Lai_Ngoc_Phuong_Nam.pdf"/>
        <s v="https://api.typeform.com/responses/files/e3ba2603ae7a2a753893aecbcbe788e185a007bfbae324de822fdded04fe0974/CV___AI_Engineer_Intern___Mai_Anh_Sơn.pdf"/>
        <s v="https://api.typeform.com/responses/files/a84b9139751bf135320ce85ced6ebac08645437c5abe0b141b5fe7b3c2d97677/Transcript___Unity_Developent_Intern___NguyenXuanDangTrinh.html"/>
        <s v="https://api.typeform.com/responses/files/8e10a01856cfd053bfcb5ecd4c216e5ddc23b5cd033cde6f70e33d7a349f2276/Transcript_Unity_Developer_Intern_Ngô_Gia_Thịnh.pdf"/>
        <s v="https://api.typeform.com/responses/files/0f7c826bee059d0a24833e75a565a373a0fe9227704b70c3e18aab591f98e866/Transcript___Unity_Development_Intern___Mai_Xuân_Thường.xlsx"/>
        <s v="https://api.typeform.com/responses/files/61c8175d00238d8f237b66da705427c7f45ffdeb6f6b0c69ae55a13cdf2b82fe/Transcript___Data_Analysis_Intern___Trần_Tiến_Lực.jpg"/>
        <s v="https://api.typeform.com/responses/files/d814802f1a062b144ee1984917cdbee0ecbec672909a7b9924c0ff72cbfebfcc/Transcript___AI_Engineer_Intern___Thạch_Nhựt_Hào.pdf"/>
        <s v="https://api.typeform.com/responses/files/9c222ed6be83d164fe4845b5a51426e3f0cb4fea0f9be970c104f913d56606fd/Transcript_intern_TranDoHoangTan.png"/>
        <s v="https://api.typeform.com/responses/files/405441be9c82bff237a03580acb983eac9d9a07adb2e0c26854debe15ea6eee9/Transcript_Data_Analysis_Intern_Võ_Thị_Tiên_Phước.pdf"/>
        <s v="https://api.typeform.com/responses/files/d0c8a57b5d79a7596d83078269d23aef8d697b73b36e1a85fc831bcb9c88f43a/Transcript___Data_Analysis_Intern___Lê_Thị_Bích_Trà.pdf"/>
        <s v="https://api.typeform.com/responses/files/c96bf5183114dfb9d91f43ccc7288b0d7d977787ee9e09f894d62e631da3ec92/Transcript___Data_Analysis_Intern___Châu_Gia_Bảo.png"/>
        <s v="https://api.typeform.com/responses/files/8fe70278b146f14bf1a989b0593edcf317a5b40d45caa7b9f0a232c651bc4d53/Transcript___Data_Analysis_Intern___Phùng_Trung_Bắc.xlsx"/>
        <s v="https://api.typeform.com/responses/files/1e0b5c69bb915f4cef3e4d72ecaecb4698d8aecd476686304ca68c379973ff84/Transcript___Data_Analysis_Intern___Nguyễn_Thị_Ngọc_Minh.pdf"/>
        <s v="https://api.typeform.com/responses/files/3903894c42a7e8f0c2b4bdca156888493bb282e24fc91a0d4a322558b690f288/CV___Data_Analysis_Intern___Phan_Thảo_Vy.xlsx"/>
        <s v="https://api.typeform.com/responses/files/b39405d40f31bf1f172cb14416893901c7cb4e01cea796bca6e861fd154fe0aa/bangdiem.pdf"/>
        <s v="https://api.typeform.com/responses/files/7efbc8137f36c77a81beea6f530429a28cb1f7b6651ef63bd9a732a3be04c9d2/Transcript___Marketing_Intern___Tô_Võ_Yến_Thơ.pdf"/>
        <s v="https://api.typeform.com/responses/files/8fc9c815eea2a0326eded95c88df731d8286de5a7dbe1832bd0db54be9db943d/Transcript___AI_Engineer_Intern___Nguyễn_Nam_Huy.pdf"/>
        <s v="https://api.typeform.com/responses/files/e79e1922a6f9138f49159ba58c8ebf57b5aa9f5993f75cd4ccf5466269980a18/Transcript_Bui_Thien_Phuc.pdf"/>
        <s v="https://api.typeform.com/responses/files/e0db8e5e8644af347c65b9dc336c84ee3dee4c7d4a12238774031fd52f90fb07/Transcript___Data_Analysis_Intern___Dang_Quynh_Chau.pdf"/>
        <s v="https://api.typeform.com/responses/files/2c83f638458062caa684c4f60b3bf72b1eac859662b89b7ad315a620981f193a/Transcript___AI_Engineer_Intern___Nguyễn_Hoàng_Long.pdf"/>
        <s v="https://api.typeform.com/responses/files/3787794545d411b5dacc46cd5dac51e3fdb04d1e23bc08da215ba5d17a1ca80a/Transcrip___Data_Analysis_Intern___Nguyễn_Khoa_Quang_Duy.png"/>
        <s v="https://api.typeform.com/responses/files/58d248069c9324142e2874a3325a5789fd036f0728a6b93c8e106d9389ca74c4/Transcript___AI_Engineer_Intern___Trần_Tiến_Đạt.pdf"/>
        <s v="https://api.typeform.com/responses/files/09709a2e2a1dd621fb7420f69e4d5f787c62086bbf341df44ad45747ec955fd5/Transcript___AI_Engineering_Intern___Nguyen_Thanh_Danh.pdf"/>
        <s v="https://api.typeform.com/responses/files/76587f2b3416e2ab0271de7eae5dd0c6c34e34269fe1a3709b2d71e516a533ea/Transcript___Game_Design_Intern___Bui_Tuan_Hung.jpg"/>
        <s v="https://api.typeform.com/responses/files/ab2b46d5b049036c4edb4465f2561fe171bba806d64cba2ffceaf2eefdd6029f/CV___AI_Engineer_Intern___Lê_Quân_Đạt.pdf"/>
        <s v="https://api.typeform.com/responses/files/6ae6c4b3ec19e6711ce3c83e138aafb18c20e9366075f4fd8d4ae9e8fa25566b/Transcript___AI_Engineering_Intern___Lê_Hoàng_Việt.pdf"/>
        <s v="https://api.typeform.com/responses/files/cca08a5a64f0991a01cda7d9a26e884c93e33dd8cbccf49b661624765729d270/Transcript___AI_Engineer_Intern___Lê_Võ_Xuân_Hưng.png"/>
        <s v="https://api.typeform.com/responses/files/3a416fa21ce81670b2fa809906de0237cf6097d8578520af81646fbec5c90706/Transcript___Game_Design_Intern___Võ_Đức_Cao_Thượng.pdf"/>
        <s v="https://api.typeform.com/responses/files/5236b273f6fe39a03bb742e5a6b72ade9f6e2b266c8a44c93421095855082619/Transcript___Unity_Game_Developer_Internship___Lê_Văn_Tài.pdf"/>
        <s v="https://api.typeform.com/responses/files/69d722044344eeef0093c61cc66744d77df15a060cb178c842f068447d35edb6/Transript___Unity_Developer___Nguyễn_Thanh_Tùng.pdf"/>
        <s v="https://api.typeform.com/responses/files/8424f0cee6b9fc1fd4fd230f27a3e3058e1f87916c4618c1c5ccf4156a700aad/Transcript_GameDesignIntern_PhamMinhPhat.pdf"/>
        <s v="https://api.typeform.com/responses/files/3b95907238ce194913192f7a629ed85d6d42eaa52790a218ff74c7395412251e/Transcript___AI_Engineer_Intern___Phạm_Anh_Văn.pdf"/>
        <s v="https://api.typeform.com/responses/files/9398200d847916894d8c486fae0fa72e8ed58f55b905d8a14d3f5b52d4114d41/Transcript___AI_Engineering_Intern___Trần_Phan_Đăng_Khôi.pdf"/>
        <s v="https://api.typeform.com/responses/files/a529b1333b693ccdaed75e268bbabea57c01aad2fe0093200d2d6767750edcd5/Transcript___Data_Analysis_Intern___Dang_Quoc_Viet.pdf"/>
        <s v="https://api.typeform.com/responses/files/319c68364c602301a01cd8d8fab42d04435ea8cb884b93b4a9634f62ced99b24/Transcripit___AI_Engineer_Intern___Phạm_Thanh_Tùng.pdf"/>
        <s v="https://api.typeform.com/responses/files/88e757356362c2bf17123eb28aaf2c12de0312cf9683bca39c6e724ea0f99e22/Transcript_Game_Design_Intern_Đoàn_Nguyễn_Đan_Quỳnh_1.pdf"/>
        <s v="https://api.typeform.com/responses/files/9ea942fe5c2bfc84f14dac92144d0c2c46a4c027b71bdbb4f98b6cb060d80e15/Transcript___Data_Analysis_Intern___Vo_Thi_Ngoc_Chi.pdf"/>
        <s v="https://api.typeform.com/responses/files/a506b81cb41d7e88f92b76cfca699788d39a0c7747bce125d08c5cc631c442b6/Transcript___AI_Engineering_Intern___Cao_Huyền_My.pdf"/>
        <s v="https://api.typeform.com/responses/files/8ad30b30c3120cbff3f892acaaf466a5559ba5039e23b214bb7166c304ac3d2b/Screenshot_2026_04_27_223757.png"/>
        <s v="https://api.typeform.com/responses/files/b4bcbc0f5e32d0ce75a8e0dfd4b941516e1a907f5f72ee2b52d84261450dee0f/Transcript_Data_Analysis_Intern_Dụng_Lan_Anh.pdf"/>
        <s v="https://api.typeform.com/responses/files/02dcc5ba5e49d474f704acb299e42fe2ddf89b1af7c001e196366ca70559eb9c/Transcript___Data_Analysis_Intern___Nguyễn_Văn_Lam.pdf"/>
        <s v="https://api.typeform.com/responses/files/608bdf1e7840b8662f3f6ca3afff51e6e7bc0570684aabc3370cbfa1dbe534d5/Transcript___AI_Engineer_Intern___Nguyễn_Tất_Kiên.pdf"/>
        <s v="https://api.typeform.com/responses/files/b65e70b72db3731da6c3b512b1c62caa1531095adf058866c42671b2fbb6f181/Transcript___AI_Engineer_Intern___Bùi_Nam_Việt.pdf"/>
        <s v="https://api.typeform.com/responses/files/6a1cf58191681be6abe30e6eb230dfff9c7a5ac42ac1114b3e3e338f547fb488/Transcript_Game_Design_TranKhanhLinh.pdf"/>
        <s v="https://api.typeform.com/responses/files/acae2c3a29952c0f5126de6da80e04f3367c392fa9f34da3cc95f183f41affa7/Transcript___Quality_Assurance_Intern___Phùng_Ngọc_Tuấn.pdf"/>
        <s v="https://api.typeform.com/responses/files/c5957033c07fad52838b6df329cfc8cb28ca2d2314b71e009dbb2280c3370c55/Transcript___AI_Engineer_Intern___Nguyễn_Việt_Hùng_.pdf"/>
        <s v="https://api.typeform.com/responses/files/dfd396722b57e88e01526c43f40556b4693846b38e6ed81507b47deb27ee4a2e/Transcript___AI_Engineer_Intern___Đỗ_Văn_Đạt.pdf"/>
        <s v="https://api.typeform.com/responses/files/273c273b00c812a4091f42be91af6f0142dd6489744f7dc08d6b656228adc72e/Transcript___AI_Engineer_Intern___Lê_Cường_Thịnh.pdf"/>
        <s v="https://api.typeform.com/responses/files/c2c563cc703208cc9ff3a5b1c8706c6115a041ecbb2bd634e3a41572d19949f0/Transcript___Game_Design_Intern___Nguyễn_Thúy_Thương.xlsx"/>
        <s v="https://api.typeform.com/responses/files/0178355bda90ffad9ca953a4b6eb9e17fc24b31cbf585257cc87e2bf3247e164/Transcript___AI_Engineer_Intern___Nguyễn_Đồng_Thanh.png"/>
        <s v="https://api.typeform.com/responses/files/054f4a33d0427be3733dd54cb5ea5629e46e8506d33d41cbcc0c9540484d593e/Transcript___Unity_Game_Developer___Vu_Hoang_Long.PNG"/>
        <s v="https://api.typeform.com/responses/files/07918f701f043951916e6c9bbfd424c5362f8f18f4588de2def7fdde67094069/Transcript_Nguyen_Duy_Huan.pdf"/>
        <s v="https://api.typeform.com/responses/files/d72291958ed546dae7869acdd92b1954654b69de4c101d4a130fa5c780b792ec/Transcript___Game_QA_Intern___Lê_Thái_Khánh_Ngân.pdf"/>
        <s v="https://api.typeform.com/responses/files/d3079af10677f22cae4d51a9a42526f18ad160865807c05a17f8e6bdda682460/Transcript___Unity_Development_Intern___Nguyễn_Mạnh_Hùng.pdf"/>
        <s v="https://api.typeform.com/responses/files/6f087ab6231e80b1133782c7d35cac9c6dd377a6c1dea6aa8554029334ab08b6/Transcript___Unity_Development_Intern___NguyenTranPhuocLoc.pdf"/>
        <s v="https://api.typeform.com/responses/files/75dc71c33abcb1889468fd4d02d7ae5ad1a235dcfd2b6ea2219962795cefd2e0/Transcript____Unity_Develeoper_Inter___Trần_Trung_Tuấn_Hưng.pdf"/>
        <s v="https://api.typeform.com/responses/files/a6af48fad382b888b7fa025c4f4d6ef31c70c890e7dbee037e6a4dea8ec4561f/Transcript___AI_Engineer_intern___Nguyễn_Minh_Trung_1.jpeg"/>
        <s v="https://api.typeform.com/responses/files/69c086d97da8e731bbb239654feca8b2e7a7d46f1d08e22ba031a5977b5ab1f1/SoftwareEngineer__NguyenPhuThinh.pdf"/>
        <s v="https://api.typeform.com/responses/files/18f9fab060350696abc06435c0a8063d9f98c700d1434aad7b79f5a21f0a1a78/Transcript___AI_engineering__Intern___Nguyễn_Trần_Mạnh_Thắng.pdf"/>
        <s v="https://api.typeform.com/responses/files/a82fd054e4f7f7dbd845aba82116ec73700a31dcfe562db375c3ae23d734a0a6/Transcript___Data_Analysis_Intern___Nguyễn_Thanh_Quân.html"/>
        <s v="https://api.typeform.com/responses/files/c2c8fa9e0bec5781299ed65600ceab916165d7a2f82cd426856c259f95743b34/Transcript____Unity_Development_Intern___Trần_Đình_Phú.xls"/>
        <s v="https://api.typeform.com/responses/files/eef5959ed955f0e5c1cbdac6f1d8278a8a14dcacdb1bbfb5fdebabf218473ef4/Transcript___Data_Analysis_Intern___Nguyễn_Trọng_Khôi.pdf"/>
        <s v="https://api.typeform.com/responses/files/041e715e81dcd4ad9e7f1c30a630e768411050771c742694451bf6827c102943/Transcript___AI_Engineering_Intern___Trần_Anh_Huy.pdf"/>
        <s v="https://api.typeform.com/responses/files/f8fe653a10c2241889182bf24c27a9861c1da47af683c7a5c979959ca282a909/Transcript___Data_Analysis_Intern___Nguyen_Duc_Thang.pdf"/>
        <s v="https://api.typeform.com/responses/files/22c657491499eddf3b82ccf059457264d4fc1b571c7e48e9006c3029bd37d359/Transcript___Game_Developer_Intern___Nguyễn_Nhân_Quỳnh_Như.png"/>
        <s v="https://api.typeform.com/responses/files/7f5642d3e6d49169e284787eb9c73709937e9944eb60c48071823365f8f89c97/Transcript___Data_Analysis_Intern___Triệu_Đoan_Kỳ.xls"/>
        <s v="https://api.typeform.com/responses/files/4900966993706cbddb33f3d6008e9f2432117031fd7a1f0e7e8a2ca86ac4f4e6/Transcript___Data_Analyst_Intern___Nguyen_Van_Quoc.pdf"/>
        <s v="https://api.typeform.com/responses/files/31cd1c8f1591a2c0c460a421ca4a47a8050d64528509945e88824bd954045fb7/Transcript___AI_Engineer___NguyenHoangQuan.pdf"/>
        <s v="https://api.typeform.com/responses/files/ca20ee235d6264931064ccf6396a75c84e14f3b0c680fb094b52a40c9a3fe08b/Transcript___AI_Engineering_Intern___Lê_Phước_Thái.pdf"/>
        <s v="https://api.typeform.com/responses/files/a8ae18abc12184f859e395d523ca41b76ea8b37b10bd86a2978dfe88bc5f91b0/Transcript___Data_Analysis_Intern___Lê_Phan_Xuân_Dũng.pdf"/>
        <s v="https://api.typeform.com/responses/files/06a72adec2ec70f02eca43134146773001ba633156a92ee9da456351a7b9d274/Transcript___Data_Analysis_Intern___Biện_Hữu_Khang.png"/>
        <s v="https://api.typeform.com/responses/files/e55b79b5f52853282305ba5c27c39dda478c7a42c6863c406fdc471cd77f6008/Transcript___Data_Analysis_Intern___Ngô_Nguyên_Thảo.pdf"/>
        <s v="https://api.typeform.com/responses/files/50b34be58b42ac969baf6bf43ac92cdf10161eacb964ae51f19552d6a59569c3/Transcript___AI_Engineer_Intern__Tiêu_Trí_Bằng.pdf"/>
        <s v="https://api.typeform.com/responses/files/d40db7e4108c1546e4c24bf498dd458c41572bdcd61723c2d6c3b0926c2af69e/Transcript___Data_Analysis_Intern___Võ_Nguyễn_Bảo_Ngọc.pdf"/>
        <s v="https://api.typeform.com/responses/files/35bcda81661c1ccf84833e628913df16041771719939565f4eb15bd709d15f53/Transcript___AI_Engineering_Intern___Trần_Anh_Thái.pdf"/>
        <s v="https://api.typeform.com/responses/files/108d0aa2051e9c3e6220dd3146418e3af7b85e7894b26eb1256dc7c7f0ac6b6f/Transcript___Unity_Developer_Intern___Trần_Quốc_Đạt.pdf"/>
        <s v="https://api.typeform.com/responses/files/e98addfbcab47fa2cc3c0b11ce0535b61407de12f121e4b4ecd0948a918073ff/Transcript___AI_Engineer_Intern___Nguyễn_Hạnh_Bảo_Ân.pdf"/>
        <s v="https://api.typeform.com/responses/files/cae5711f2c4e3985149fd97cc42c2e9db4bec9f78abdd90b0dd74719d50b711f/bảng_điểm.jpg"/>
        <s v="https://api.typeform.com/responses/files/bc07ba8bca73ba896d0ef009c5c5a1edb25e8d311ea134f7a42403f32c3e73a5/Transcript___Data_Analysis_Intern___Ha_Xuan_Hoang.html"/>
        <s v="https://api.typeform.com/responses/files/65e4387582a800677b90df4f6b83e303cf055a3f01a83606353cb710a9e586a5/Transcript___QA___Trần_Doãn_Thanh_Quý.pdf"/>
        <s v="https://api.typeform.com/responses/files/5cbca643946f91e154082095a1f55c16a8671d91faf0e6f9c826be42e16c5799/Transcript___Game_Quality_Assurance_Intern___NguyenTranXuanNhi.pdf"/>
        <s v="https://api.typeform.com/responses/files/c3585b9f0afde92207aadc44225126e0b1762a8a439c5d7a74937c3ae5443df6/Transcript_UnityDevelopmentIntern_PhamDoQuangLong.xls"/>
        <s v="https://api.typeform.com/responses/files/3191ebc4dbfd8528f3011fc06fe83de5221e818638eeef51f9c6243087687e2e/Nguyễn_Duy__DiemSinhVien.xls"/>
        <s v="https://api.typeform.com/responses/files/f74e518f23f08a935c07b4fd8f0211d0dda0ccb81ee5084ccb6f3413bab65977/Transcript_Game_Design_Intern___Lê_Hà_Bảo_Khanh.pdf"/>
        <s v="https://api.typeform.com/responses/files/6ea7b197f3bdd72d5cc46dd869aef8f53efe1d1d260067f40b3cf1041f0ff071/Transcript___AI_Engineer_Intern___Lê_Quân_Đạt.pdf"/>
        <s v="https://api.typeform.com/responses/files/0594b4edd3cd039fe46f306258b58eefd0bd99b3c63c554756bc2567e2eed2cd/Transcript___Unity_Development_Intern___Nguyễn_.pdf"/>
        <s v="https://api.typeform.com/responses/files/cbcd39da2dcf70f373a71eee2b80a8ce0952bb8b213151d3c5ae190c2dfd058f/Transcript___Data_Analysts_Intern___Nguyen_Ngoc_Phuong.pdf"/>
        <s v="https://api.typeform.com/responses/files/4870f30309d041b7dfcd103762b312c6afdd04dfc571c04851081ed340138cd1/Transcripts___Game_Design_Intern___Nguyen_Toan_Phuc.xls"/>
        <s v="https://api.typeform.com/responses/files/cd63636f6c4271bfae779951cff445da7fc81b65927c469d6a2a26359867d736/Transcript_Data_Analyst_Intern_Huỳnh_Duy_Khanh.pdf"/>
        <s v="https://api.typeform.com/responses/files/073f4b967cceb7b59b99ddf380fb9c85ff6be2b2ba8507269c1dc5af29df424a/bangdiem_QAIntern_NguyenThanhTruc.xlsx"/>
        <s v="https://api.typeform.com/responses/files/281095dac50ea0e003ac74573e0b79867153330cde4ac3f08e83c779ef43bdc5/Transcript___Game_Development_Intern___Bùi_Bình_Nguyên.xlsx"/>
        <s v="https://api.typeform.com/responses/files/33323c9db922ac831bc1edb5c96d9eaeaa334ab373b5bc1dafd7a4e7c2a2b0e8/Transcript___Unity_Development_Intern___Hồng_Chung_Lâm.pdf"/>
        <s v="https://api.typeform.com/responses/files/7affece3b59943dec900f944585b8f6098547bee27f0d851d8730286fb224466/Transcript___AI_Engineer_Intern___Cu_Thanh_Tuong.pdf"/>
        <s v="https://api.typeform.com/responses/files/abf1dec5884f570495fe11cfc8c96893b91c3cfdcc1ad86f103d6cedab961112/Transcript___Data_Analysis_Intern____Nguyễn_Thị_Khánh_Đoan.pdf"/>
        <s v="https://api.typeform.com/responses/files/4911e0cf736f938b7ae0c0ab098f7bd8fe726f679b8484ab1f0d24f56a11c075/Transcript___AI_Engineer_Intern___Lê_Minh_Kha.pdf"/>
        <s v="https://api.typeform.com/responses/files/0ac37181f3a7b728a6b1a8b17d226ec21646b5c6b1bad34a223c27c8b8c8861d/file_không_có_gì.txt"/>
        <s v="https://api.typeform.com/responses/files/abfdcd463dc8a05a6267c065cdf959dfc4818334bea861f9676448a3d3638e00/Academic_Transcript.pdf"/>
        <s v="https://api.typeform.com/responses/files/255e5cbffa6645c86f1fdc8a1835a47854db0aea59bcf97108502c351da73e6e/Bảng_điểm_Tran_Dai_Hai.pdf"/>
        <s v="https://api.typeform.com/responses/files/9300a7c6ad7420557ab24e7381d29fe130cd1d5381121b71f5c09071c2cdf065/inbound8485158347175733156.xlsx"/>
        <s v="https://api.typeform.com/responses/files/917636c0e7a2c7d2c3528abb1aa1a22c944022da0938fa5c17d98e26209bbcc7/Transcript___Data_Analysis_Intern___Trần_Tiến_Dũng.pdf"/>
        <s v="https://api.typeform.com/responses/files/b95948e937dce5975288cfacb88429c674a8423691a331d6dec90a27f07132f8/Transcript___AI_Engineering_Intern___Lê_Nguyễn_Kiều_Oanh.pdf"/>
        <s v="https://api.typeform.com/responses/files/e53a7484052e14c4581f8e2d64331498bcefb5b94b7428478957bb1db7d4f50c/Transcript___AI_Engineering_Intern___Nguyễn_Hồng_Yến.pdf"/>
        <s v="https://api.typeform.com/responses/files/d4367f0e75e7df144d14254959d2771df6794f39ce81779e41fc9f2bddecb5ec/Transcript_Unity_Development_Intern_Phạm_Tuấn_Đăng_Khoa.pdf"/>
        <s v="https://api.typeform.com/responses/files/ebe2077dc45c5c666d17008d94e763c0bbb9c721f3ec2f642566dda59b7aeca6/Transcript___Unity_Development_Intern___Nguyễn_Trung_Tín.pdf"/>
        <s v="https://api.typeform.com/responses/files/446f2e1282e32c61010d7977dd9c94d761e6c13afe6a8202a795593b2a0ef64d/Screenshot_2026_04_28_210334.png"/>
        <s v="https://api.typeform.com/responses/files/c7822a5d7bd88de88e7c5696e9e1dc1107e0f31d58646896c2852416159615c0/Kết_quả_học_tập.pdf"/>
        <s v="https://api.typeform.com/responses/files/a77f8b2673efbb5e00d87a81f6e8d019d1573a51f5bbf6e6cf5087c65e738849/Transcript___Game_Unity_Intern___Nguyễn_Hoàng_Phúc.pdf"/>
        <s v="https://api.typeform.com/responses/files/4b725c8f43e6ffdc69c16498806cec8e36e21524f525e7d8bc29e58c11efe152/Transcript___Data_Analysis_Intern___Dinh_Bao_Thy.pdf"/>
        <s v="https://api.typeform.com/responses/files/748f03eb3eebbb27d9119d38dc9f6985db95a2f1b4a4414c795f9151f9fbf8a8/Transcript___Unity_Development_Intern___Dương_Thị_Bảo_Trân.pdf"/>
        <s v="https://api.typeform.com/responses/files/55ba2f35f56fcd41e799f875878da5b2400c450f30eb19277302cc96da946f90/Transcript_Game_Developer_Intern_Trần_Tiến_Đạt.pdf"/>
        <s v="https://api.typeform.com/responses/files/01e07568ab9ffca741156a54b113fb2915a844e8326f0d9f88423da48a6be628/Transcript___Data_Analysis_Intern___Nguyễn_Quốc_Huy.pdf"/>
        <s v="https://api.typeform.com/responses/files/e2eda6d7f75cc8b4c6db25ede274e1f31b8a66c83a67d4ba8e18dd33da0176bb/Phòng_Đào_tạo___Academic_Affairs_Office.pdf"/>
        <s v="https://api.typeform.com/responses/files/1a1571085663750d7c1f2ce81e81df49e074caf9760c50524d5a53f00b06192a/KQHT_31231023720__1_.xlsx"/>
        <s v="https://api.typeform.com/responses/files/06e3156e7080ddb9a8d2b58e6549470b15616a6474c8a93ad34421ed274bd5c9/Transcript___AI_Engineer_Intern___Phan_Tấn_Lộc.pdf"/>
        <s v="https://api.typeform.com/responses/files/80b6610a03cebc2e250a0d3bf5f4f537fb45429ccbf9f216802617067484ba5c/Transcript___Unity_Development_Intern___Lê_Tấn_.pdf"/>
        <s v="https://api.typeform.com/responses/files/bdf2847420efd67977237ef01c0bb48b82ddcdae6fdc71b233f157d0b83ba5f7/Transcript___Data_Analysis_Intern___Lê_Tuấn_Khôi.jpg"/>
        <s v="https://api.typeform.com/responses/files/cf9dc8f2b14c4800336fcc3af63cf31eae0308215abf2a9832075c0cdac49cc9/LamTheRin___AcademicTranscript.pdf"/>
        <s v="https://api.typeform.com/responses/files/2ff98c8072412e0dad09463c0c0e8e912db15ebff0d18a0ed1266cd813237314/Transcript___Game_Quality_Assurance_Intern___Tran_Truong_Lan_Anh.JPG"/>
        <s v="https://api.typeform.com/responses/files/2466465742b7f24905ac67e4b3d7aba26401dc24cccc8ef12ab83be539e9c660/Transcript___Data_Analysis_Intern___Nguyễn_Hoàng_Tùng_Linh.pdf"/>
        <s v="https://api.typeform.com/responses/files/bf4e693a715446252f8f51cd003b7dcd5dceb4fdd24cead89d487f927658e296/Transcript___AI_Engineer_Intern___Data_Analysis_Intern___Huỳnh_Thái_Bảo.pdf"/>
        <s v="https://api.typeform.com/responses/files/45dc1c0b82b25e54a63451a68110ea7db7e8d71ea600f0d96524eafa9e5425cf/Transcript___Data_Analysis_Intern___Nguy.pdf"/>
        <s v="https://api.typeform.com/responses/files/12f8088c40e19fe383dcafe894a03302b0394f9b9e490275ca47f425c1d5e880/Transcript___Data_Analysis_Intern___Thái_Thị_Mỹ_Quyên.pdf"/>
        <s v="https://api.typeform.com/responses/files/3eb718a363b111f561d1c6ba1f16cea0b99d2dacb4ea8a61cf7bad9c0f580958/Transcript___HR_Intern___Võ_Phạm_Gia_Long.pdf"/>
        <s v="https://api.typeform.com/responses/files/1a2e74a3aa3a9c42ed7f54d18a8ae2c8a2552f37bb82bae151bba31c4dceba16/Transcript_HR_INTERN_HO_NGOC_NHUNG.pdf"/>
        <s v="https://api.typeform.com/responses/files/d848efdd81cd15d678794a3c4b827bf3bf31e1a49af5d8fdb657a646db96f0d1/Transcript___Data_Analysis_Intern___Nguyễn_Phi_Long.pdf"/>
        <s v="https://api.typeform.com/responses/files/5dfe9c684340036fe9cb07573118f09de9c32dd49f3d024b01e25f02c44e8dd6/Bảng_điểm_sinh_viên.pdf"/>
        <s v="https://api.typeform.com/responses/files/bf44dceea9fc1735af5e9a312a3261cd299d33aad8a9a385b90cb5678a405b07/Transcript_Data_Analysis_Intern_Nguyen_Thao_Ly.xlsx"/>
        <s v="https://api.typeform.com/responses/files/0b811d1e88c29c52575709f06b43dba7d2450a65f017475bf2f2d66971c2f58a/Bảng_điểm__FPT_Polytechnic.pdf"/>
        <s v="https://api.typeform.com/responses/files/d364ab1c0c8f536be92ad775772fdbc842d318bcf2e8319d3237c213fc212e09/Transcipt_AI_Engineering_Nguyễn_Quốc_Duy.pdf"/>
        <s v="https://api.typeform.com/responses/files/08329fdbfda6c739ede485c94e9c12bea317c442cb59459f740f08ddd81f3489/CV___Game_Quality_Assurance_Intern___Hồ_Tài_Liên_Vy_Kha.pdf"/>
        <s v="https://api.typeform.com/responses/files/75c4f44c21ac5e858f1bdf2c664880cdb3c24ce407cdc706c1e76717cf458d7e/Transcript___AI_Engineer_intern___Pham_Nguyen_Khanh_Minh.pdf"/>
        <s v="https://api.typeform.com/responses/files/d4f84ff943591ed1c9cefc7fbf176ba86e415d6a8232c940ce19fa04c3113935/Transcript___Unity_Development_Intern___Bùi_Tuấn_Cường.pdf"/>
        <s v="https://api.typeform.com/responses/files/2d94e16ebd3551aff7c49b2995ec81e1536b60c0fff63f1139d1d8955db8a73b/DangThiThuyVi_Resume.pdf"/>
        <s v="https://api.typeform.com/responses/files/cf219a7dad9e144cd43ef8d910ba56f9e6b66d3fce5d3533e1007f756e668af4/Vu_Bich_Vi___CV.pdf"/>
        <s v="https://api.typeform.com/responses/files/1ed1016c2ceef7755cd1cd1a96f90677ad608497fc33751520d945074a4706e3/Vu_Bich_Vi___CV.pdf"/>
        <s v="https://api.typeform.com/responses/files/1df14ed49353dbc0eb8900f7ba227103b7ab7bdf2a58d9b7857c7b979b020f77/Phòng_Đào_tạo___Academic_Affairs_Office.pdf"/>
        <s v="https://api.typeform.com/responses/files/9f309a4987210c0eab47c981ec6f1c12fb91474f317c6b3a1b90d26ae4c3b1a0/Transcript___Game_QA_Intern___Lê_Trương_Thiên_Bảo.png"/>
        <s v="https://api.typeform.com/responses/files/c4c85713658901ce41343d1d67f99683fbc2bd5b38c9d732e0be9fe3a99282aa/Transcript___Game_Quality_Assurance_Intern___Vũ_Kim_Khanh.pdf"/>
        <s v="https://api.typeform.com/responses/files/f9882e203f3438c22e681e3a0308e1451829ba3e3ef2331273603f7c9d00e476/Transcript___Game_User_Acquisition_Intern___Trần_Hữu_Kim_Quý.pdf"/>
        <s v="https://api.typeform.com/responses/files/e158bc377d387467af20989fe7376bc15f09727e333d4b2fbca15c63d3cd7994/Transcript___Game_User_Acquisition_Intern___Hoàng_Nguyên_Hương.pdf"/>
        <s v="https://api.typeform.com/responses/files/b11b18c345840677e79ac926e2a55d8d64aa18aff3ad7c6127858f7f673507bb/Transcript___AI_Engineering_Intern___Nguyễn_Văn_Trí.pdf"/>
        <s v="https://api.typeform.com/responses/files/a78e3d80353eef1c65e6aa8ea5b6c324a13886a1c11ab97e9f817901b02c7d91/Transcript___AI_Engineering_Intern___Nguyễn_Văn_Đăng.pdf"/>
        <s v="https://api.typeform.com/responses/files/a8d74b18ec2e1c2ac595117e670a6133a8a42fec986ef8a11de51bcad1ccde63/Transcript___Game_User_Acquisition_Intern___Trần_Thị_Cát_Tường.pdf"/>
        <s v="https://api.typeform.com/responses/files/af5a19272fc50f4b46c9bb57385d50cefcc8de943569bfff11cecd5a1670c2ba/Transcript___Game_Design_Intern___Nguyen_Tieu_Anh.pdf"/>
        <s v="https://api.typeform.com/responses/files/ee860ca48d9683da61b7aa8fbf68cbac7ae049de7ec2906f07c6ef1229259f0c/Transcript___AI_Engineering_Intern___Phạm_Hồng_Nhân.pdf"/>
        <s v="https://api.typeform.com/responses/files/a12bdb58a2b75a0f66103d2bcfb43248be6b88f340d5d5d1fafa0b01a260ad5c/Transcript___Unity_Development_Intern___Trương_Dương_Thùy_Trang.pdf"/>
        <s v="https://api.typeform.com/responses/files/14b50256ddfe71d5f90255a6b45fbba5cdb00574c67b830edb3544456635b556/Transcript_USER_ACQUISITION_INTERN__Trần_Duy_Phát.pdf"/>
        <s v="https://api.typeform.com/responses/files/482ebc8f91760a08ca38c3924b208c79756a615c2086389ea33277feb32f1f02/Transcript___Game_User_Acquisition_Intern___Quach_Thao_Vy.pdf"/>
        <s v="https://api.typeform.com/responses/files/cf6d4977e826340fa8e6b04efe7171058268108cfd3a78f3699e76301a47da0f/Transcript___Game_User_Acquisition_Marketing_Intern___Nhi_Nguyen.pdf"/>
        <s v="https://api.typeform.com/responses/files/6eddd9d205be05ff8fe34087f189066eb4dbf45d106eed2cfc79a85742a031b1/Bảng_Điểm_NgoChiCuong.pdf"/>
        <s v="https://api.typeform.com/responses/files/73342adf3cb852a4f59f3ec9dddb3ad652396f6bd2d5e0ecc47726821356a11a/image.jpg"/>
        <s v="https://api.typeform.com/responses/files/612e7296ea8faaa33f179a47924795f3199130cb43781d013d2232168972025e/Transcript___Data_Analysis_Intern___Nguyễn_Phúc_Loan.pdf"/>
        <s v="https://api.typeform.com/responses/files/8085744a4409ee214be12edee9c6ef9cbea7e066764c32d6b24425dac6b284f0/Transcript___Data_Analysis_Intern___Cao_Thiên_Quang.pdf"/>
        <s v="https://api.typeform.com/responses/files/9b70bffdabe7a8df6551d84f1cf8d7979a889f23b4097e5937803ccb482c361f/Mon_hoc_CTDT_2352991.xlsx"/>
        <s v="https://api.typeform.com/responses/files/de9d9bd9b456634cc25f52ee14f6e3d87f673a6ec7cf49657b69f04cb0e8fbcf/Transcript___Data_Analysis_Intern___Nguyễn_Phương_Tùng.zip"/>
        <s v="https://api.typeform.com/responses/files/4f829ff9d06f5d2febf1c7c0bf9e6334782970b55c4be61771adaae121c0cb47/Transcript.pdf"/>
        <s v="https://api.typeform.com/responses/files/87233d5708452ce06be8d9f9f160d21f400a6b0e48dcef025af54471bf9ecf75/Transcript___AI_Engineering_Intern___Nguyễn_Đình_Việt_Hoàng.pdf"/>
        <s v="https://api.typeform.com/responses/files/a02ea864ad4e7d50d690f2b6711684355cbc9d46e1869ef4c9db14f2a8255966/Official_Academic_Transcript_Nguyen_Ngoc_Thang.pdf"/>
        <s v="https://api.typeform.com/responses/files/8c77fb7d03e6dccf667717e95baacb754d21ea52eaf71d4751a87627dbc26040/Transcript___Data_Analysis_Intern___Nguyễn_Phú_Toàn.pdf"/>
        <s v="https://api.typeform.com/responses/files/94ba18126cc11d73993d6e38066bb195c9c88932972ef132c106bb9b00292dea/Transcript___AI_Engineering_Intern___NguyenThiYenLinh.pdf"/>
        <s v="https://api.typeform.com/responses/files/8961cd1606b031decca85e9149fec8c58a393f0f40123908e0cc102f074f08c1/Transcript_AI_Intern_PhamHongPhat.pdf"/>
        <s v="https://api.typeform.com/responses/files/d9f6812b7ec84f26c2a70c867e3dfd4689be122752ba4953a50abbf9ba9b1b42/Transcript___Data_Analysis_Intern___Nguyễn_Đức_Toàn.pdf"/>
        <s v="https://api.typeform.com/responses/files/191089411987cbaa6cb3eea5625f78293344c1094b8cd39af458fa157f93464c/Transcript___Game_Designer_Intern___Nguyễn_Nguyên_Bảo_Phú.xlsx"/>
        <s v="https://api.typeform.com/responses/files/80f265428f5ca9ad9072410d626a247fd2ee9c8828b072cf5660b95a1dcc55eb/Transcript___Marketing_Intern___Nguyễn_Thị_Hồng_Nhung.png"/>
        <s v="https://api.typeform.com/responses/files/41828a4b1b6ab798cf5c70b50ed9cb4e202e2793a1d739a2bcdaa0ec299a208b/Bảng_điểm__FPT_Polytechnic.pdf"/>
        <s v="https://api.typeform.com/responses/files/78cee04ea9a54a5db1342b702acd46f8c06cefdd99119a13c0e0fae5e218a14a/Transcript___Human_Resource_Intern___Vòng_Nguyên_Hy.pdf"/>
        <s v="https://api.typeform.com/responses/files/cd5a625ba8624d2265d4c4f46506b2d3c3fd3b6bb1b2b1d8eb5a69bb1a3b1fd0/Transcript___Data_Analysis_Intern___Lục_Minh_Phú_.jpg"/>
        <s v="https://api.typeform.com/responses/files/23db1d2663ae18aeaed860a3ba9367eb8dae206ce1acd8dc0e58a08223f5ffd3/Transcript___Game_Design_Intern___Triệu_Hoàng_Duy.pdf"/>
        <s v="https://api.typeform.com/responses/files/eb1f8b936b2fec4c67a38e56f690f3449aecfcf1ee7e5a38fb1455d0e2aed445/Transcript_HR_Intern_Vũ_Trần_Khánh_Như.pdf"/>
        <s v="https://api.typeform.com/responses/files/9d08f9187582d179bdd238f3be5d886f3a185f4dac27d0853c0e50e19b824044/Bảng_điểm___Game_Quality_Assurance_Intern___Ngô_Trương_Thiên.pdf"/>
        <s v="https://api.typeform.com/responses/files/6085dd2179c2d33c8062bac72529b7505288769a99cf42c3cbf1ae06da2f9b24/Transcript___Game_Quality_Assurance_Intern___Lê_Anh_Khôi.pdf"/>
        <s v="https://api.typeform.com/responses/files/3eafd6265c5125030e7d4790189de6ecb6c25d44a4e4a19a4ad862a570c79d4b/Transcript___Data_Analysis_Intern___Duong_Khanh_Trang.pdf"/>
        <s v="https://api.typeform.com/responses/files/990fde180ac0274ab3b18f980742f91ddbdab86d48d2a74e7cc0f7b671197a8c/Phân_hiệu_FTU___Cổng_thông_tin_sinh_viên.pdf"/>
        <s v="https://api.typeform.com/responses/files/7278cbe0b440cfdef0be431f400eca781f0d189f79eb7e9cfdf1c671ee24c2cb/Transcript___Data_Analysis_Intern___Nguyễn_Lê_Yến_Nhi.pdf"/>
        <s v="https://api.typeform.com/responses/files/fbcb20924b98c64bb736c9276c4e5232aa439ded6e7a4791fc0561d296194be8/AcademicTranscript_VNese_10.pdf"/>
        <s v="https://api.typeform.com/responses/files/e8ea1d88e1bd4399c5ad09ad672a938de3dfbc44dde05afb0c642124036c99f2/Transcript_AI_Engineering_Intern_Phan_Huynh_Chau_Thinh.pdf"/>
        <s v="https://api.typeform.com/responses/files/16a9664261f28b6f42ea7316010d80fb2325e5972311099b719b7b28f9b58dff/Transcript___AI_Engineering_Intern___Trần_Phan_Đăng_Khôi.pdf"/>
        <s v="https://api.typeform.com/responses/files/4870601bfe848c8d1dfdc89822f46c01449d55d91e0977d9fc91f5f5a8bb3ef9/Transript___Game_Design_Intern___Trần_Duy_Anh_Dũng.pdf"/>
        <s v="https://api.typeform.com/responses/files/900c3beae71fe4b01d6805c20750ff31ed56e65bc8ef8b3b6b9c850cb56d254b/Transcript___Data_Analyst_Intern___Luong_Nguyen_Anh_Quan.xls"/>
        <s v="https://api.typeform.com/responses/files/8da4d66f7e53b06f638fd4b8ff02cb60b3d821ca8b9d6a3b8e3494f7b09ebef6/Transcript.pdf"/>
        <s v="https://api.typeform.com/responses/files/ecdb1145566fd5cd9066f8821b856caf1705139444cc82c0b0f009f6f66e7967/Transcript___AI_Engineer_Intern___Trương_Hoài_Phong.pdf"/>
        <s v="https://api.typeform.com/responses/files/2b5d0e2d7c44563154361af2ced6194e180ebdb67b86f146914a5f1bd3a54572/Transcript___AI_Engineer_Intern___Trieu_Tan_Huy.pdf"/>
        <s v="https://api.typeform.com/responses/files/c2abf3101259b3f1ffbd8800a119b7dd13c6e3b86f08eba229228a623b3ecf97/inbound8582114021282658067.pdf"/>
        <s v="https://api.typeform.com/responses/files/602ddeab97c70b4b827bcc9b843d8b1b5bfc004b1e932d4753b0e4304a842d45/CV_NgoTheKietIS.pdf"/>
        <s v="https://api.typeform.com/responses/files/9130f0bd6aca5f3235642ae1c8415ecbe99085528cad2382c3acf72bd548c791/CV_Data_Analyst_Intern_Nguyen_Thi_Anh_Thanh.pdf"/>
        <s v="https://api.typeform.com/responses/files/071f03bed2692d94bc4feba9742bfa849803525871850928619ff80b90b44448/Transcript___Game_User_Acquisition_Intern___Nguyễn_Thị_Tuyết_Nữ.pdf"/>
        <s v="https://api.typeform.com/responses/files/6b6e0fc8783520ea4d22a0096f9c81bba61338472b147f0f58574118c1d88b86/Transcript___AI_Engineering_Intern___Le_Duc_Long.pdf"/>
        <s v="https://api.typeform.com/responses/files/b76bbc604592c37edc225107e70ee5d206ca569e37a1d8432fb9bc2537513069/Transcript___Unity_Development_Intern___Huỳnh_Thị_Kim_Ngọc.docx"/>
        <s v="https://api.typeform.com/responses/files/028601f8448ef4f630cbd02ca787bc68e7c0c0b67d1db87674628bcf27fe90dd/bangdiem.pdf"/>
        <s v="https://api.typeform.com/responses/files/93b878e83a3d33af0689914fc7678ee190675ecd526f89669378a9ab09358807/Transcript___Data_Analysis_Intern___Đỗ_Nguyễn_Khoa_Duy.pdf"/>
        <s v="https://api.typeform.com/responses/files/f721d468bfc862d0092fd219b7fd0c70682d4423a105e6bfbac23bf877ece142/Transcript___Unity_Development_Intern___Hồ_Nhật_Tiến.pdf"/>
        <s v="https://api.typeform.com/responses/files/9a4db6219821113a693bfef6df7574f1585272f6765fc2a82a71fa9fe72145ce/Transcript___AI_Engineer_Intern___Châu_Văn_Minh_Khoa.pdf"/>
        <s v="https://api.typeform.com/responses/files/43893d85106c80e9519ef9020246bf47aaae8a17eb83ca599881bfd69db9fd1c/Transcript___AI_Engineer_Intern___Trần_Đắc_Thịnh.csv"/>
        <s v="https://api.typeform.com/responses/files/d4743bf1a7f55cb96b27ca04dca21383c53b7e37814e667fbb94d00cb37f337f/Transcript___Data_Analysis_Intern___Nguyễn_Trần_Thị_Phi_Yến.pdf"/>
        <s v="https://api.typeform.com/responses/files/53bd736f24133ecbfe55bcef55721b350e95872cb2fdbf83a5fb8c74f9896fd7/inbound3265838176833139098.pdf"/>
        <s v="https://api.typeform.com/responses/files/d16c9b37fda3e2e915afbd1f013f07ab831be8b30cfc7f39fd8b0651be895fd9/Transcript___Unity_Developer_Intern___Lê_Ngọc_Hiền.pdf"/>
        <s v="https://api.typeform.com/responses/files/62829f228de3a21ecc9b22eec1f45cf483cd6b652eb73832509a7ed517f75011/Transcript___QA_Intern___Trần_Đắc_Phú.pdf"/>
        <s v="https://api.typeform.com/responses/files/4d8c500e8689b4ed5792c4c28e7095c05abcf3c2a89b8d8feabe97cbba999c36/Transcript___AI_Engineer_Intern___Nguyễn_Lưu_Anh_Huy.pdf"/>
        <s v="https://api.typeform.com/responses/files/b5631a549f8e85eaf5cbe3c1eb66f682aec914a06a8db71580d2769cb14e07af/Transcript___Game_Design_Intern___Nguyễn_Hà_Viết_Thống.pdf"/>
        <s v="https://api.typeform.com/responses/files/5340795c077b015a0fd499bdec5e67e2b71d397df44e476a5bbf18982a2187b3/Transcript__Data_Analysis_Intern___Lê_Hà_Chức.pdf"/>
        <s v="https://api.typeform.com/responses/files/1596ccb3042e229395fd56e66ea5ed5952b63cb397a6e67c3bdd3f7cc6cbedd2/Transcript___Game_QA_intern___Võ_Đức_Thiện.jpg"/>
        <s v="https://api.typeform.com/responses/files/1c2e34aa6219bffa2a388b09f76827f82979414eaffd05a05c002c4ac772d9a0/Transcript_AI_Engineer_TrinhQuangHien.pdf"/>
        <s v="https://api.typeform.com/responses/files/7749f84a525a8fd90dd0f5d5e7fb87ce29c521003dd7c40b37acae2b02eff955/transcript_AI_engineer_intern___Lê_Thành_Đạt.pdf"/>
        <s v="https://api.typeform.com/responses/files/a21bfa0911264874bcc95e8673eb35e45c014943bcdfd07f08e2cb8250cb976d/Bảng_Điểm___Lê_Nguyễn_Trung_Vĩnh.pdf"/>
        <s v="https://api.typeform.com/responses/files/d9b12fd863cc5fe6ff34a93d7088c893f2fbaa67d0ca2c5d30d9ee89725cf5c0/Transcript___Game_UA_Marketing_Intern___Nguyễn_Huỳnh_Hạnh_Nguyên.png"/>
        <s v="https://api.typeform.com/responses/files/774926f6fabc26ff8ad4125fa46d6cc1f0477b2fd7e124bccb2acb47372bcdff/Transcript___Data_Analysis_Intern___Nguyễn_Bùi_Duy_Anh.pdf"/>
        <s v="https://api.typeform.com/responses/files/e6943449492dc8829cb6a03786a834a81fbc2d666cfd36e6d20ec510290b634b/Transcript___Game_User_Acquisition_Intern___Tsằn_Cá_Thành.jpg"/>
        <s v="https://api.typeform.com/responses/files/2256e2708716e336a1f97890491f40a286a5fac83624743f30406f4bfbf861e8/Transcript_AI_Engineer_LamTanPhat.pdf"/>
        <s v="https://api.typeform.com/responses/files/09feca279a19b10d7942f6b7692a72b1848532903a4a725ef544ad7ca248ca14/Transcript___Human_Resources_Intern___Nguyễn_Đăng_Khoa.pdf"/>
        <s v="https://api.typeform.com/responses/files/c149e8d416ccda3927f2850ee781a1296329f647374f48a2ed29568294c4828a/Transcript___AI_Engineering_Intern___Trương_Phúc_Trường.pdf"/>
        <s v="https://api.typeform.com/responses/files/6c8ef2f9e223df6cafeb5ad47c117b3cf554b89a6ddd289e733d20291bc5fecb/Transcript____Game_Quality_Assurance_Intern___Lê_Minh_Kiệt.pdf"/>
        <s v="https://api.typeform.com/responses/files/912d7957abdd03dbcb35596a2ca29d1d826e3c8be5f89d070d7da644009a5898/Transcript___AI_Engineer_Intern___Nguyễn_Quyết_Giang_Sơn.pdf"/>
        <s v="https://api.typeform.com/responses/files/df8e31909d72e0171c01784533d78451e85058e5f2b4d3a819c3d05af73eae50/Transcript___Intern_AI_Engineer___Dương_Quốc_Thành.pdf"/>
        <s v="https://api.typeform.com/responses/files/4364f1dda4072cfc3f49ba9686af362e58efe89c526a9678e5975bed2289fcca/Transcript___Data_Analysis_Intern___Nguyễn_Hoàng_Trang.pdf"/>
        <s v="https://api.typeform.com/responses/files/758c1a490cc226b12017262bca96effcff1e938bf83f0cb670bad69e961e10fa/Transcript___Unity_Development_Intern___Phan_Nguyễn_Trung_Hiếu.pdf"/>
        <s v="https://api.typeform.com/responses/files/8749365fc3ac5cb4ce5ae7c83f7481437e730b095c25bee24f1216bd3478cab5/Transcript___Game_Design_Intern___Nguyễn_Đặng_Thanh_Duy.pdf"/>
        <s v="https://api.typeform.com/responses/files/39213c9b95324f5766f8bf3990b8d3bf9b34d5ef35f3eb7ba37a1ffb99962905/Transcript___Unity_Development_Intern___Võ_Nhân_Hồng_Phúc.pdf"/>
        <s v="https://api.typeform.com/responses/files/4f9bff26974978f4da865f488b2d20de222b061d1dc1923f81727a60a648921d/Transcript___Unity_Development_Intern___Lê_Bá_Đoàn.png"/>
        <s v="https://api.typeform.com/responses/files/1c0f3d35a3b7fead480b8865579f16844380a75e729069c4ce9062c76ede13c2/BangDiem_PhanNgung.pdf"/>
        <s v="https://api.typeform.com/responses/files/22c4a2ea78abb0508d6342d9a929d8c82dfa180bc16006a89ce1ae9ed168338a/Transcript___Unity_Development_Intern___Nguyễn_Trường_Thịnh.pdf"/>
        <s v="https://api.typeform.com/responses/files/b07db60d9bb807e53d820f8eb78537a0dcb25718486629bcee7299fe98d16048/Transcript___Data_Analysis_Intern___Nguyễn_Hoài_Như.jpg"/>
        <s v="https://api.typeform.com/responses/files/358b36f9b007c77ffa1a78785c19ed036a89ab75d7406bf4dac83d80d58a6e4a/Transcript___AI_Engineer_Intern__Nguyễn_Xuân_Lộc.pdf"/>
        <s v="https://api.typeform.com/responses/files/44820028c9f6bdf417245027bcb6476bf529a29f4e3e6b007a75cfb2883ba47f/KetQuaHT_31221025382__2_.pdf"/>
        <s v="https://api.typeform.com/responses/files/98ff7aece6dd374e9744269b5028f93c9ba2b01a80a6ad882ccb8839cb511174/Transcript___AI_Engineer_Intern___Lê_Quốc_Vương.png"/>
        <s v="https://api.typeform.com/responses/files/088cc9336580f806e0eeb40331e930bea5fb0206e2ca5c6296ac6e5b1d4daf88/Transcrip___Data_Analysis___Bui_Tran_Thy_Thy.jpeg"/>
        <s v="https://api.typeform.com/responses/files/541d1584601fced3213298d2ae9f6b4bd28c61286febc42cdc358f782ff62621/Transcript___Game_Quality_Assurance_Intern___Nguyễn_Hoàn_Báu.pdf"/>
        <s v="https://api.typeform.com/responses/files/187c29f5a2c0e49e623e8d9369175a58df9f98585fa5426d5e9e9f613f11cae6/Transcript___Game_Quality_Assurance_Intern____Lương_Nguyễn_Xuân_Minh.xls"/>
        <s v="https://api.typeform.com/responses/files/525ec51b1f10724d272e43de8e82cdaf4d4a85a5efe6acf341e392821e4cf83f/Transcript___AI_Engineering_Intern___Bui_Le_Hong_Tam.pdf"/>
        <s v="https://api.typeform.com/responses/files/588db81f5f70215a45e2d446cbed458407cd0792ee932f78d6fd49866fa2847c/Transcript___Human_Resources_Intern___Lê_Hoàng_Châu_Anh.jpeg"/>
        <s v="https://api.typeform.com/responses/files/e82e64af8d6fc023d4e87d7c48efd40e3a1f670df055d0f19fb0c5387ed6890d/Transcript__GAME_QUALITY_ASSURANCE_INTERN_Truong_Tan_Phat.pdf"/>
        <s v="https://api.typeform.com/responses/files/77ecfada525d5c8262205a1159d680484861e75ce5fbceed8def8d469958965b/Transcript__Game_QA_Intern__Nguyễn_Lâm_Đức_Hòa.zip"/>
        <s v="https://api.typeform.com/responses/files/5deb68dacaa9ef49f4b4a1a840e69e3530756b722aa4717964adce82fb0ef323/Transcript___AI_Engineering_Intern___Nguyễn_Trần_Gia.pdf"/>
        <s v="https://api.typeform.com/responses/files/d6015f4accafa89a6193c12908b27f13b65ebe031c898fb2da3bc7b8eb8d1eeb/Transcript___Game_Designer_Intern___Nguyễn_Nguyên_Bảo_Phú.xls"/>
        <s v="https://api.typeform.com/responses/files/f1d6e40d0fc9476d27310adb0fd052cbd3cad6b3e318b89bfe52a69cbbcee9ca/Transcript___Data_Analysis_Intern___Nguyen_Tu_Nhu.pdf"/>
        <s v="https://api.typeform.com/responses/files/0214a9462cad895a3c7284483eb85bd0e53cddaa65342bfc7cee204cef1e8bbf/Transcript___Data_Analysis_Intern__Lê_Thị_Thu_Hiệp.pdf"/>
        <s v="https://api.typeform.com/responses/files/e1e10d3c237d8a30d9c694b04db32d5c335bcd50acdec4e480686360078c66d1/Transcript___AI_Engineering_Intern___Nguyen_Thanh_Vinh.png"/>
        <s v="https://api.typeform.com/responses/files/3fd4cf491c4d9b57a0c85babfeaf39ca08b8b47480f5357cd45dc5b83dd55e44/TRANSCRIPT.pdf"/>
        <s v="https://api.typeform.com/responses/files/3286ab89a051861f9b89774bd82859d8162cf453b4de853bf624cba2673d6cce/Transcript___Human_Resources_Intern___Lâm_Minh_Khang.pdf"/>
        <s v="https://api.typeform.com/responses/files/801201fd1faff37442ca1a447173662ee647d2138376ded2fd3e1e5788ea9d46/Kết_quả_học_tập.pdf"/>
        <s v="https://api.typeform.com/responses/files/ef48f2bc97b06ef4f88084898d5c0d58cdf9d4e50b24589d5a2e85e9304c8cbc/Transcript___Võ_Hoàng_Phúc.pdf"/>
        <s v="https://api.typeform.com/responses/files/8053da34a84256b30048f13730bf741a46d852829009e121bfb565c50cdfdee2/Transcript___User_Acquisition_Intern___Vũ_Đỗ_Trung.pdf"/>
        <s v="https://api.typeform.com/responses/files/11a327de5ea452480cff0b5a90495170fe45c80a3b95e7097f112477fd36beb3/Transcript___Game_Design_Intern___Phạm_Quang_Duy.pdf"/>
        <s v="https://api.typeform.com/responses/files/909e231eca3674fcad9e6baef8adb188894f9e940aa3818884de196195dd95ec/Transcript___Game_User_Acquisition_Intern___Phạm_Hồng_Phương_Anh.pdf"/>
        <s v="https://api.typeform.com/responses/files/2cfd42a7950c84172a6491bfd875b3e51ea5d8666a7b0d6447f5c8f3b8134582/Transcript_Data_Analysis_Intern_Lê_Nguyễn_Minh_Thư.pdf"/>
        <s v="https://api.typeform.com/responses/files/3e38476519cdc565ae89536dbe008d42f3f29ee4cd2824447d7ad7ffef7960b8/Transcript___Game_Quality_Assurance_Intern___Ngô_Tùng_Khải.pdf"/>
        <s v="https://api.typeform.com/responses/files/553f0d7c5206df864427793ae1ce83cc2ae16f387b833a173683116ce7ee61c2/transcript.pdf"/>
        <s v="https://api.typeform.com/responses/files/9f14686f2a07ad5e2626190bc0fd0cd42e2c5c5d5f8bfd34432d4eaa4ae2d6df/Transcript___Data_Analysis_Intern___Ngô_Minh_Hải_Yến.xlsx"/>
        <s v="https://api.typeform.com/responses/files/70a8134a50e6a9cf7eabc3328a638858565f7af453ea2c2d4460dc58029512ae/Transcript___AI_Engineering_Intern___Nguyễn_Thiên_Ấn.pdf"/>
        <s v="https://api.typeform.com/responses/files/fb4138b07389e06adfdfdc288770d3a8761886f42370b054bfe5319cb34a1ad1/Transcript___Game_Designer___Trần_Phước_Đại.pdf"/>
        <s v="https://api.typeform.com/responses/files/d89fccc9047bcba528a63cda4ff6adcdd6ea61a08985e758e08cdaeae109d405/Transcipt_Game_Design_Intern_Nguyễn_Hoàng_Nhật_Thiên.xlsx"/>
        <s v="https://api.typeform.com/responses/files/487cf55333aa7bfdceb8fa273428af825060fe1a827ae0df17beb2ddcc99e68c/Transcript___HR_Intern___Nguyễn_Mai_Hân.pdf"/>
        <s v="https://api.typeform.com/responses/files/83494503f956819663c34f5489a560250ee42894a7e157fc0a2eae4138a5b005/CV_AI_Intern_Unity_Intern_HaoNg.pdf"/>
        <s v="https://api.typeform.com/responses/files/4c5e476f86c396d9dbc1b7117122a826b90c8d3b434b78197bf5acdc33e32967/Transcript_Data_Analysis_intern_Bùi_Đặng_Quỳnh_Như.pdf"/>
        <s v="https://api.typeform.com/responses/files/43b841da06b905ae918b8d6cbcd821d298d727794225a3e8852575736fcfeea3/Nguyễn_Đắc_Thành_Bảng_Điểm.pdf"/>
        <s v="https://api.typeform.com/responses/files/80deefe1ea67aa0b458bacb5ad0316c21c69f1a0d6691a39ccf536e15c7e16ed/Transcript_GameQualityAssuranceIntern_DangTriNguyen.pdf"/>
        <s v="https://api.typeform.com/responses/files/59da8f9063a5a0cd26f039982e489ac470b1ce45305372dfa6d82ce474cda211/Screenshot_2026_05_04_144948.png"/>
        <s v="https://api.typeform.com/responses/files/c178ea9c782bf3c9d9bdb73d6f275a6f77c43252fa1da54c0679d2411b5be3a5/Transcript___Data_Analysis_Intern___Nguyễn_Phú_Trọng.pdf"/>
        <s v="https://api.typeform.com/responses/files/a948c7d2058f9466b65f2865f43caa37113dcf2b0f94f003ee883da081eabb43/Cổng_thông_tin_đào_tạo.pdf"/>
        <s v="https://api.typeform.com/responses/files/b517753de5eebf68c7eea2152dbd1212364755a76d18a795e0b7b2ac56b32268/Transcript___AI_Engineering_Intern___Phạm_Thị_Cẩm_Nhung.xls"/>
        <s v="https://api.typeform.com/responses/files/dbb3c43b15f6f92f458ca2723d5daafdc5c80a3ba1776b84a9e452aee7321cd1/Transcript___Human_Resources_Intern___Đào_Hương_Giang.docx"/>
        <s v="https://api.typeform.com/responses/files/dd4a72f7d3f5a1cfd3b02d96adc594ea690a4a01da30642b420e62ed7b737094/Transcript___Game_User_Acquisition_Intern__Trần_Thị_Thanh_Nga.png"/>
        <s v="https://api.typeform.com/responses/files/3bd2fb14c2d0df39d65763fc3f2cefc0f13a4f5de553fdb38eb2a8efe2e9a037/Transcript___Unity_Developer_Intern___Dang_Tran_Anh_Hao.pdf"/>
        <s v="https://api.typeform.com/responses/files/428cd4f230694707efd3620ee5a6bdebb6ced4d70200e21c797ae5a4f1f746a9/Transcript___Data_Analysis_Intern___Phạm_Ngọc_Thiện.pdf"/>
        <s v="https://api.typeform.com/responses/files/aa273803d22a48da4ee383b26263419fd511dc08c8deb3a626dac2e7a556afed/Transcript___Game_User_Acquisition_Marketing_Intern___Lê_Phạm_Hoàng_Hà.pdf"/>
        <s v="https://api.typeform.com/responses/files/706aede1180736e948692df286e905762d3d2f17003daed238468bee55dc48f7/Transcript___Game_User_Acquisition_Intern___Le_Bao_Ngoc.pdf"/>
        <s v="https://api.typeform.com/responses/files/a126d72d4fafebdd6899050b2e9914ab55f7160d06dc614b0168a9564dbca1f2/Transcript___AI_Engineering_Intern___Nguyễn_Tấn_Dũng.pdf"/>
        <s v="https://api.typeform.com/responses/files/59393cbf2ee841798cef03929fe08465f3e49f142a48aa32ad4deb8822a3bb66/GIP_2026___Bảng_Điểm___Lê_Quang_Long.png"/>
        <s v="https://api.typeform.com/responses/files/3efa15241b1e42aaec33b2130eaee7e34704418f4be0cc01a2de547901d22e18/Transcript___Data_Analysis_Intern___Nguyễn_Phạm_Chí_Bảo.pdf"/>
        <s v="https://api.typeform.com/responses/files/7f6b4ca5e7ec1a6e664dc1c602ae52ea4b5c90f91edf1d22d18e54daecf79dae/Transcript___AI_Engineering_Intern___Trần_Ngọc_Biên.pdf"/>
        <s v="https://api.typeform.com/responses/files/06477aaba885eb2765ef53346e0650823d361a9d689871f964ffc81c50760037/Transcript___Game_User_Acquisition_Intern___Nguyễn_Phan_Bình_Nguyên.xlsx"/>
        <s v="https://api.typeform.com/responses/files/e6bcf2a4f2a80fa60dca0eb77d67f72766bb6154cdc83ef65af746ccebfe89c5/Transcript___Unity_Developer_Intern___Lê_Tấn_Lợi.pdf"/>
        <s v="https://api.typeform.com/responses/files/75b7c67d2d6df081eeef792a475e73f07de218170ea53b4b34ba3d934793fdde/Transcript___Data_Analysis_Intern___Ho_Nguyen_Thanh_Trung.pdf"/>
        <s v="https://api.typeform.com/responses/files/ba41dd314ab2d93d8f99ec84b48770b7187e724860c93eb631e7b923aa6b7c70/Transcript___Game_Design_Intern___Đoàn_Minh_Trí.png"/>
        <s v="https://api.typeform.com/responses/files/46569e5b363222ec741401dcd012c730b0d5788add1a6839b7949d2997dc808a/Transcript___Unity_Development_Intern___Đặng_Hiểu_Hòa.pdf"/>
        <s v="https://api.typeform.com/responses/files/c076fc532536caabab09349a1b462df778a01d6e64163d646a1d9e3cfa94259b/BẢNG_GHI_KẾT_QUẢ_HỌC_TẬP.pdf"/>
        <s v="https://api.typeform.com/responses/files/e87161d5ccc99f9735a3863df4286ea92ba2e4ab1fffcd3ffe6c9c7d75690643/Transcript___Game_Designer____Lê_Phạm_Quỳnh_Duyên.pdf"/>
        <s v="https://api.typeform.com/responses/files/d5a9838637599da9dc2f0e4d6a8bf7630638450d873c140c198148054fe2ff57/Transcript___Unity_Development_Intern___Trương_Quốc_Bảo.pdf"/>
        <s v="https://api.typeform.com/responses/files/ca7bbfbeff0abade7c72ede2fde86f112f2e6abd369443370c4e286ebacaf1c6/Transcript___Data_Analysis_Intern___Lai_Mộc_Huy.pdf"/>
        <s v="https://api.typeform.com/responses/files/616cf8979a8b9a3b71d29169d61e70de244446f68b624c29c7f3dc465061eaee/Transcript___Unity_Developer_Intern___Nguyễn_Duy_Tân.jpg"/>
        <s v="https://api.typeform.com/responses/files/9afb34ae32c6376f25541059ddf7e1e7a7fc4fa2bb2e26bdd3e28fb5352e79fc/Transcript___Data_Analysis_Intern___Kiều_Tấn_Anh_Minh.pdf"/>
        <s v="https://api.typeform.com/responses/files/1bbf76f8c7dc42c330710182cb31236643cdaca709f36b13962e92cb8be6d50a/Transcript___AI_Engineer_Intern____Nguyễn_Trần_Đức_Hoàng.pdf"/>
        <s v="https://api.typeform.com/responses/files/211c8456dc1fe3b2ba28b91efa7d534ff9b37a0b97cd00c07f98ca486b97fd60/Transcript___Game_User_Acquisition_Intern___Ngo_Anh_Kiet.xls"/>
        <s v="https://api.typeform.com/responses/files/7a8c76b7c0ca0db8306180bdb2372528ef57c4e1c28659a10b7efe008b558aa9/Transcript___Data_Analysis_Intern___Nguyễn_Mai_Xuân_Linh.pdf"/>
        <s v="https://api.typeform.com/responses/files/3d4d0b1fd2e6498a35b09a468d06a144304a132b95bf3a34c70de2965b392854/Transcript___Game_Design_Intern___Phạm_Tiến_Hùng.pdf"/>
        <s v="https://api.typeform.com/responses/files/4147b5c80fe85c7ded38ed1effdddbaa1b835a581e1139ba367380de705ad243/Transcript___Data_Analysis_Intern___Huỳnh_Thị_Kim_Quỳnh.pdf"/>
        <s v="https://api.typeform.com/responses/files/cb681879e5dcf59cc31ba3de2e8ada7170d9362f330b929e72d7169322d1f212/Transcript___Data_Analysis_Intern___Phạm_Trần_Dạ_Thảo.pdf"/>
        <s v="https://api.typeform.com/responses/files/8fabb3b898d3bf6ea6362df1b045d16c7e1a124db81ad85860e5d648dbdaf2af/Academic_Transcript___Game_User_Acquisition_Intern__Hoàng_Thị_Thanh_Tâm.pdf"/>
        <s v="https://api.typeform.com/responses/files/dc769002a9ebba631b9cb3537c94afffac83a4ada43a5fab32fb58b80945ba45/Transcript___AI_Enginneer_Intern___NgoTruongDinh.pdf"/>
        <s v="https://api.typeform.com/responses/files/9ca8ec91e8da44c99d7d30d0fa0b27120c49b3a95b24f2662d1da8c673088f07/Kết_quả_học_tập.pdf"/>
        <s v="https://api.typeform.com/responses/files/a6824022f886125990700fa993e38ff0dadb5245f98610ebb0c6857e9067e374/Transcript___Unity_Development_Intern___Nguyễn_Duy_Nhất.pdf"/>
        <s v="https://api.typeform.com/responses/files/9adf050bbf1573ecfe2eefdb2d2ffd6b20fcea396e258f11776e9ecc45f6a3ed/Transcript___Data_Analysis_Intern___Kiều_Tấn_Anh_Minh.pdf"/>
        <s v="https://api.typeform.com/responses/files/b921ac5a51406d0e712139e1e7af6b0d8c2e53cbd41dd23b9bae686649955919/Transcript___GAME_DESIGN_INTERN___Lê_Nguyễn_Tấn_Thịnh.pdf"/>
        <s v="https://api.typeform.com/responses/files/1c8b50340ea1f0d03e6d0c42665192ef274e503f757b0d9eeed0e5b67791eaed/Transcript___Data_Analysis_Intern___Phạm_Ngọc_Quỳnh_Hương.pdf"/>
        <s v="https://api.typeform.com/responses/files/07ee858c9b26755f474d5e234c9949a3d419aebab32911030190cba6d3faccb2/Transcript___Quality_Assurance_Intern___PhamThiAiNgan.pdf"/>
        <s v="https://api.typeform.com/responses/files/b9b5176ee4e3babc1cdd7b7309d23d07568cd7e43ae96fe5f3ab15c60cd0d2ce/Transcipt___Data_Analysis_Intern___Huỳnh_Tấn_Đạt.pdf"/>
        <s v="https://api.typeform.com/responses/files/5d0953b25799a332004d98c9e602f37df7996e0a485aa7009711aa3cb2cd3d6f/Transcript_Data_Analysis_Intern_Nguyễn_Lê_Thiên_Kim.pdf"/>
        <s v="https://api.typeform.com/responses/files/ddd94b121d95703e65ec3185ca14de86faf448829997af1b525907da81ecb0a2/Transcript___Unity_Development_Intern___Lê_Minh_Hoàng.rar"/>
        <s v="https://api.typeform.com/responses/files/6e83430126f5c47d89c179626a6d6e0656ad4cb418e514e9aa19588c6176d21e/Transcript___Data_Analysis_Intern___Nguyễn_Đỗ_Minh_Quân.pdf"/>
        <s v="https://api.typeform.com/responses/files/acd0885f62bf30f8bc56e6014c806f7e832e7a194029ac48b7c70a26f9410d8a/Transcript_Game_User_Acquisition_Marketing_Intern_Nguyễn_Ngọc_Ánh.xlsx"/>
        <s v="https://api.typeform.com/responses/files/09e313108a7006723f8d3cafc09851f64381bb2331aa864a5a8203992291821f/Kết_quả_học_tập.html"/>
        <s v="https://api.typeform.com/responses/files/39d1b08e15f6d51210c56252e51a9b870f04dcd9c057dd7c3c07517588b28383/Transcript___AI_Enginering_Intern___Vũ_Đức_Việt_Anh.pdf"/>
        <s v="https://api.typeform.com/responses/files/d27bb5ed46e74d0a8300af68abe8b4feb6219c1b9a1a6ada0c26168311082908/Transcript___AI_Engineering_Intern___Hoàng_Đức_Hiếu_Anh.pdf"/>
        <s v="https://api.typeform.com/responses/files/7479b0a432a8032393f22585ea197efcab128f73c1486f05ae75e02ac9a8265a/Transcript___Data_Analysis_Intern___Dương_Thị_Quỳnh_Giang.pdf"/>
        <s v="https://api.typeform.com/responses/files/f26a2afd411340445d43c9dd6f5644107cdc32345c33e63c659172c7aff65893/Transcript___Game_Design_Intern___Trần_Hùng_Sơn.pdf"/>
        <s v="https://api.typeform.com/responses/files/4de4e2544337a5427db847ac704664215eae10ff24512bd22d81ef83feabd324/Transcript___Data_Analysis___Hà_Quang_Đại.pdf"/>
        <s v="https://api.typeform.com/responses/files/1e720ffb17c140dcd4c9932b10302a11a6bff7f6f97d67f7075cf3475a59ddf2/Transcript___Unity_Development_Intern___Nguyễn_Văn_Anh_Quân.png"/>
        <s v="https://api.typeform.com/responses/files/02f008602504f9e450a3cb7f7e1a0115233f5434d444174c07cfd43bf5b58f4d/Transcript___Game_Design_Intern___Hồ_Kim_Ngọc.pdf"/>
        <s v="https://api.typeform.com/responses/files/499994f39c77d128fe422d3485209f7f1523b31e5c42ce22d699bcd101693eb5/Transcript___Game_Design_Intern___Nguyễn_Thị_Mỹ_Nữ.pdf"/>
        <s v="https://api.typeform.com/responses/files/ae017aa0d7d113d62627f4cc45439f18379142799305c0633c655db11e4a418b/Transcript_Game_User_Acquisition_Intern_Trần_Ngọc_Tuyền_Vy.pdf"/>
        <s v="https://api.typeform.com/responses/files/319a1023240fc7026bc9d85ee1b7be7828af3a6879e572b847868eb8a16d84d8/Transcript___Data_Analysis_Intern___Phạm_Nguyễn_Thế_Hào.pdf"/>
        <s v="https://api.typeform.com/responses/files/f5abe6301963e78e5a76a1f782e65ce38712f9f6ff6e9db8f5a4bf4a0ad23626/Transcript___Game_Quality_Assurance_Intern___Bế_Trương_Dương.xlsx"/>
        <s v="https://api.typeform.com/responses/files/d7d211530515ad6db112ed1bca58cf2a6d287795d060785973820a94656b0649/Transcript___Game_QA_Intern___Dinh_Quoc_Tien.jpg"/>
        <s v="https://api.typeform.com/responses/files/2aee2a00dfb61de3e01eb2268f9206943742e14d16f491abb9601cc81cb6e0d5/Game_Designer_Intern___Lê_Hoàng_Tâm.zip"/>
        <s v="https://api.typeform.com/responses/files/562d0dfc491ad55815a9b1d606f9b696437fd558d9a3dafff4d857da442f684f/Transcript___Game_Design_Intern___Giao_Thái_Bảo.pdf"/>
        <s v="https://api.typeform.com/responses/files/ea4a02844ff77af8937368b644aff639f847a1b1c5dd6ec9656a7a6ed6776b58/20260506_112840.jpg"/>
        <s v="https://api.typeform.com/responses/files/94698ddcb2b7aee40c4e884a98c16fd1f737ebd7d4b6ce02e7b06ffe9c435621/Transcript___Data_Analysis_Intern___Nguyễn_Huy_Quang.pdf"/>
        <s v="https://api.typeform.com/responses/files/179d97a6ce8854ae78de6bc21149aba1276e80ee3b3eed04c98a58367ea7d6f3/Transcript_Game_User_Acquisition_Intern_Nguyễn_Văn_Minh_Quân.pdf"/>
        <s v="https://api.typeform.com/responses/files/cd34a024f6bdab93756832ae038ea84275a452b4d7d1bc206cf1deb4978c2f13/Transcript___Game_Design_Intern___Lâm_Vũ_Bội_Nhi.pdf"/>
        <s v="https://api.typeform.com/responses/files/311f7a062b5d768ae8342bd24785e3e43256a039cd1e290a52c91ff5c408b36b/Transcript_AIEnginnerIntern_HuynhAnhQuoc.pdf"/>
        <s v="https://api.typeform.com/responses/files/aaab1ca80cc8629bef050780023d0d12354b6bfcb367e63a48baf9e1afeea04a/Transcript___Game_Design_Intern___Trương_Lê_Đán_Phúc_Nguyên_.pdf"/>
        <s v="https://api.typeform.com/responses/files/db9d702e1539e0438a562540dd7fcab37373ab61a04c6ec70684a63b6157d738/Transcript___Game_Data_Analysis_Intern___Trần_Minh_Tài.pdf"/>
        <s v="https://api.typeform.com/responses/files/0cd3c374730e09fcf8c5a80b24ff5f1f3ded607b1415be125701e8e964693df4/Transcript___Unity_Development_Intern___Trương_Lâm_Gia_Vỹ.xlsx"/>
        <s v="https://api.typeform.com/responses/files/0377bea85423f7523c23eb4d8932831a0d6abfb263bc40a4c6c04e72fabaaa5c/Transcript___GameDeveloper___Tô_Gia_Lợi.pdf"/>
        <s v="https://api.typeform.com/responses/files/d677f7c6eb58b6fd4e9add5ea7a1956740accfdf64d40d74bb277f513703d558/BangDiem.pdf"/>
        <s v="https://api.typeform.com/responses/files/f19fa210ca0851c827e2ba1e8790eb800f1f779fe072e3c0c61d398f3354b765/Transcript___Game_Disigner_Intern___Phan_Vũ_Trường_An.xlsx"/>
        <s v="https://api.typeform.com/responses/files/cddb7ed7c3445a09ade9574a925e71c5f94e3f6d5d8f49f1dbc613bf12a10063/Transcript___AI_Engineering_Intern___Nguyễn_Cang_Trường.pdf"/>
        <s v="https://api.typeform.com/responses/files/7982f6b3511b5c284a9e5507d3be1166962217211ee98f9fee7ccb8b646a86c5/Transcript___AI_Engineer_Intern___Hồ_Ngọc_Hiếu.pdf"/>
        <s v="https://api.typeform.com/responses/files/a1d504bc322f40d121277e142d00898fa604aa597f203eff2c7f6709d6716d84/Transcript___Data_Analysis_Intern___TranCamTu.pdf"/>
        <s v="https://api.typeform.com/responses/files/5fc8e05305eec332884489c409024320a2b3866ac17d5a30bbb9b41e6dd90f44/CV___Game_User_Acquisition___Trần_Thị_Trúc_Linh.pdf"/>
        <s v="https://api.typeform.com/responses/files/d07cbc82284fcbb36f7b77e77c9f04852c3fc283ff90bc55efc60106a480e051/Transcript_Human_Resources_Intern_Tran_Nguyen_Hanh_Trang.pdf"/>
        <s v="https://api.typeform.com/responses/files/232d72402a3fa22cfbc3e556e4adb04f3139e3864891977fe2207c494ce8acbf/Transcript___AI_Engineering_Intern___Nguyễn_Trần_Phương_Mai.pdf"/>
        <s v="https://api.typeform.com/responses/files/36050fdee38f55174ad95ed500e1bc75fae6f68d2b7c5059fc507b7e69231cf2/inbound6583833467137997340.pdf"/>
        <s v="https://api.typeform.com/responses/files/0d95d878c6edd6639a54c30e87b8c3a045ffb9685dd3c8ca1a65624ccd7871f4/Transcript___Data_Analysis_Intern___Phạm_Quang_Vinh.pdf"/>
        <s v="https://api.typeform.com/responses/files/3bcc4f2be4fdbee9e51a4a7152d0d40da0fc5f221475349032b6c0d891ef3579/Transcript___Data_Analysis_Intern___Nguyễn_Thị_Anh_Thư.pdf"/>
        <s v="https://api.typeform.com/responses/files/d54e1d944bcde48fc25331cdd8eb8cc11062edbf97b483ded8cd79d04b20a1da/Transcript___Game_User_Acquisiotion_Intern___Nguyen_Quoc_Lap.pdf"/>
        <s v="https://api.typeform.com/responses/files/24fdf0ff46c36df91905a6cba9e04af97370fb41d377fe559c592fc031a419e5/Transcript___AI_Engineering_Intern___Nguyen_Le_Dang_Khoa.pdf"/>
        <s v="https://api.typeform.com/responses/files/18d2bb1a934c77bd6880771de2e2b520057ac128accb56e37af10ed1b5327686/Transcript_Intern_Game_Design_TRAN_GIA_HUY.jpg"/>
        <s v="https://api.typeform.com/responses/files/b7a12e50255b8d81a73fb7c141d05b466fb3d5887788a000314b63b244977e6c/Transcript___Unity_Development_Intern___Dương_Thanh_Phụng.pdf"/>
        <s v="https://api.typeform.com/responses/files/0c05e5586b6debd915d0962122ac1880ba564275f74d4e91323e354f652f6c83/Transcript__Game_Quality_Assurance_Intern___Thi_Kiều_Thơ.png"/>
        <s v="https://api.typeform.com/responses/files/b668a99bb43dc243dee046326b9600cef3bfdb2767762c955e2768c8945b776d/Transcript___Game_Development_Intern___Tiền_Minh_Dương.pdf"/>
        <s v="https://api.typeform.com/responses/files/60bfe2fc569b97ced3cd0ea1fe82ca2793bba730d0572a0ded7389ff0ebaf555/Transcript___Game_Design_Intern___Lê_Hồ_Nhật_Tân.pdf"/>
        <s v="https://api.typeform.com/responses/files/7405caefa2fa21cb9b02b8c0ecd41b6d8c3905485d750c34fd425ac3b01b8298/Transcript___Unity_Development__Intern___Lữ_Nguyễn_Duy_Đức.pdf"/>
        <s v="https://api.typeform.com/responses/files/ca701e00c43212fe12505da698bae11ab895a75b4fe143f894fc4f9c429b68f8/Transcript___UA_Marketing_Intern___Nguyễn_Đức_Hiệp.jpg"/>
        <s v="https://api.typeform.com/responses/files/016d0f7aaa7c7e22f5ed8e1bd8add0e473670f0c556ef4f3f4ff9cd9084deaef/bảng_điểm.png"/>
        <s v="https://api.typeform.com/responses/files/f087067ced0588938b366c628e111ef5ca2e8bdead36a5a8dff846d006a9a197/Transcript_Game_User_Acquisition_Intern_Nguyễn_Thế_Văn.pdf"/>
        <s v="https://api.typeform.com/responses/files/acd3bb35847a7e3548d40ec6d36df3be6ab77ac65c3f78847debcb0f0727d0fe/Transcript_DataAnalysisIntern_NguyenHuuThien.pdf"/>
        <s v="https://api.typeform.com/responses/files/9b6ba7e3b367615cf0387b6ddb8a5c6e1b6ce272c24321f9b8a4764cc85b602a/Transcript___Game_Design_Intern___Nguyễn_Thị_Minh_Thư.pdf"/>
        <s v="https://api.typeform.com/responses/files/15559a95ec64c4704d7902bb414540693b196cd9f976eda5db81782eaaa4a07f/Transcript___Unity_Development_Intern___Nguyễn_Quốc_Tiến.pdf"/>
        <s v="https://api.typeform.com/responses/files/ff6f45564d6f72075dbf46622c7eb778a9ef82bad3848d0557c4fc0ee4580f13/Transcript___AI_Engineering_Intern___Võ_Duy_Anh.pdf"/>
        <s v="https://api.typeform.com/responses/files/42cfaf56032d8d52e6d062c5b924fdfd85024797f0030ad0ca71f5af112ce71a/Transcript___Data_Analysis_Intern___Nguyễn_Lê_Diễm_Ngọc.pdf"/>
        <s v="https://api.typeform.com/responses/files/ae06ccfb4aa687518384b3f5f43e09752451472311956f15fc52ab5c3825b87b/Transcript___Game_Designer_Intern___Diệp_Thái_Phong.pdf"/>
        <s v="https://api.typeform.com/responses/files/7bc8b80c74607e54fcfc1f029ac32b4ee84e3139942d7ef449a27d5cbee6ad6f/Transcript___Game_Design_Intern___Lâm_Tấn_Vũ.pdf"/>
        <s v="https://api.typeform.com/responses/files/dbbb3f489a3f4cceb51187c6a5eddd3a313ccfd81a37fe13b939b593c3bfb969/Transcript___Unity_Developement_Intern__Luong_Linh_Khoi.pdf"/>
        <s v="https://api.typeform.com/responses/files/37496f16a7e280622286f6b28444c4192941c746ecd86ab75c334af97baaa49e/Transcript_Game_Designer_Trương_Quốc_Cường.pdf"/>
        <s v="https://api.typeform.com/responses/files/acbc3d88f7a4a5435caf63a947cad6f7d4624b0374ec4f73e2287465f7f33d88/Transcript___Game_Quality_Assurance_Intern___Bui_Trong_Tin.pdf"/>
        <s v="https://api.typeform.com/responses/files/7e9e7ac98293a39bb14d5fc234366566f3d2ae951b9f17e304e178538e92de6d/Transcript___Game_Design_Intern___Lâm_Mai_Hương_Giang.pdf"/>
        <s v="https://api.typeform.com/responses/files/dc496fe622ecf3f955f0b44d49909e1a756c8f38f085f978f2ecc9b3e631b560/Transcript___Unity_Development_Intern___Nguyễn_Nhật_Huy.docx"/>
        <s v="https://api.typeform.com/responses/files/d3c072df59ee74531eb275bf2e3d16484811493959e6331cdb869b1b30e048c7/Transcript___AI_Engineering_Intern___Huỳnh_Ngọc_Anh_Thư.pdf"/>
        <s v="https://api.typeform.com/responses/files/0059ed1d7f89fad4c9a372da3192ffa47fc1495827e5993b8744f8a4aa16c739/Transcript___AI_Engineering_Intern___Hoàng_Văn_Minh.pdf"/>
        <s v="https://api.typeform.com/responses/files/bc39f9fbe92f05f93d06f57069ac8cc8fa17e19338797c1f7f111782d628d3ae/IMG_6894.png"/>
        <s v="https://api.typeform.com/responses/files/bf4f05ef5f202edd1da8b5a37e6bb70577b2e23e24e701010d3c2793e8d49005/Transcript___AI_Engineering_Intern___Nguyễn_Phước_Thành_Tâm.pdf"/>
        <s v="https://api.typeform.com/responses/files/e6900a4c50719fe948fcc02ead287948ba4bd6942322d5565fc2031a213813d0/Transcript___Game_Design_Intern___Nguyễn_Bùi_Quang.pdf"/>
        <s v="https://api.typeform.com/responses/files/3e7265a94e7cf4ba9d74f037fce3c927011671afb8846882ccddf72a4dd938f1/Phạm_Thị_Thùy_Dương__Game_User_Acquisition_Intern.pdf"/>
        <s v="https://api.typeform.com/responses/files/4a82d09f8c0a18165abcfa7308e0932725388a2650c83357e7c00e2937c1c0f6/Bảng_điểm__FPT_Polytechnic__2_.pdf"/>
        <s v="https://api.typeform.com/responses/files/836f9557edbe9427b53e87d21978f0ff6e5632c8c03cdd2a76ffb90a6b2666fc/Transcript_Data_Analysis_Intern_Trần_Ngọc_Nhi.xls"/>
        <s v="https://api.typeform.com/responses/files/db9582f71ef33dd1a5a9c263809716366ffba542ceff68e28fab85f80eedee3a/Transcript___Data_Analysis_Intern___Nguyen_Thi_Khanh_Ly.pdf"/>
        <s v="https://api.typeform.com/responses/files/d9e6ae581f9317c4b7e1bb407498c0e999607e01357df1b06a0da757a375f1d1/Transcript_GAME_DESIG_INTERN__HÀ_NGỌC_TUYẾT_NHƯ.pdf"/>
        <s v="https://api.typeform.com/responses/files/c55a84cb11e29d2961bdd1d1547985b528dc62d9b3510d8292438e643822d16e/Transcript___Game_User_Acquisition_Intern___Trần_Xuân_Mai.pdf"/>
        <s v="https://api.typeform.com/responses/files/7ce6ca216df89d9165328b81e086dad7b7159d755772a34bb5501439df90d556/Transcript___Data_Analysis_Intern___Võ_Thị_Đông_Nghi.pdf"/>
        <s v="https://api.typeform.com/responses/files/7f7563944540a870649de08553849a508ff6d6f2d53e78725463d163d7ebed4d/Transcript___Data_Analysis_Intern___Nguyễn_Ngọc_Phương.pdf"/>
        <s v="https://api.typeform.com/responses/files/3fdc113d17502784c46eb54f1abceb1957a6f917e3e933759db1227c6a225fb1/Transcript___Data_Analysis_Intern___Lê_Hiếu_Ngân.pdf"/>
        <s v="https://api.typeform.com/responses/files/9d09ef9827c92bf59b640fd89373e0789316ae3ccde732642d4d89af3e4a2aab/Transcript___Game_Designer___Le_Minh_Quang.pdf"/>
        <s v="https://api.typeform.com/responses/files/39b19fad813b9848576a900c98e80327dc811674b87a613f4dea3ff509f4206b/Transcript_Game_Quality_Assurance_Intern_Nguyễn_Thị_Ngọc_Hân.pdf"/>
        <s v="https://api.typeform.com/responses/files/bd7f753c0903feb807d40472f9639b528f75a3c204e464f5f96b0c13f0c615aa/Transcript_AI_Engineer_Intern_Phan_Văn_Hoàng.pdf"/>
        <s v="https://api.typeform.com/responses/files/a873d402ddea8b5f7473b25a989f77a9baec13a731848d73d02b336f37ee3f3c/Transcript.pdf"/>
        <s v="https://api.typeform.com/responses/files/16c24a2f1ab7a0c7980cae48717e30249cd39e70868a79a757685f815d29f4a0/Statement_of_Completion___BP318.pdf"/>
        <s v="https://api.typeform.com/responses/files/e51cc7832950fad1ff8f2b88d3167430957cc91a396cda9bbaece399ee5e2f5a/Transcript___HR_Intern___Phùng_Nguyễn_Khánh_Trâm.pdf"/>
        <s v="https://api.typeform.com/responses/files/942ee7c9875d38368a3d715ec9f166b32ce68c913189492c351fc9333f7a89d3/Transcript___Data_Analysis_Intern___Nguyễn_Lợi_Thanh_Dũng.pdf"/>
        <s v="https://api.typeform.com/responses/files/fb883a43dde023cb6ded7edf512b7988e541ec51dd84409473cd042ef44c4049/Transcript___Unity_Development_Intern___Game_Design_Intern___Nguyễn_Gia_Bảo_Danh.pdf"/>
        <s v="https://api.typeform.com/responses/files/ef9c8f57e43175d8b83ad14a40ee78362bf7de842452fb6893de05fc7f2fd402/Transcript___AI_Engineer_Intern___Lâm_Nhật_Minh.pdf"/>
        <s v="https://api.typeform.com/responses/files/7eae848533cba60faf8ff67340a73b1aaffec81f85620edcccc1c73b992d594c/StudentTranscript_DE170764__LeDucManh.xls"/>
        <s v="https://api.typeform.com/responses/files/09e76fc81ef2cd4dc1ce640382279e074be26f605bee3361a5d5ce26270f7500/bangdiem.pdf"/>
        <s v="https://api.typeform.com/responses/files/d99bba9225861d4965f8fb47f9c2d54cd580bac203e95d6a71227fdd1495572b/Transcript___Unity_Development_Intern___Nguyễn_Hữu_Sang.pdf"/>
        <s v="https://api.typeform.com/responses/files/a3800d928aaf803124ce4e3acececcc1e54cab75cc5244e92aadc071f1fd36ac/Transcript___Data_Analysis_Intern___Nguyễn_Công_Minh.pdf"/>
        <s v="https://api.typeform.com/responses/files/868d275b38ae89ec57bc47ae4fb8706274b4b1af271723aeb3ebe105b8ad150b/Transcript___Game_Designer_Intern___Vo_Van_Chi_Thuan.xlsx"/>
        <s v="https://api.typeform.com/responses/files/bdbbf104ebaca25c2791166d6236a01028247767cdf5ed5062037708282bdaa6/Transcript___Data_Analysis_Intern___Tô_Trần_Nhã_Uyên.pdf"/>
        <s v="https://api.typeform.com/responses/files/4d4341fe7fa6204df48f084229b4c92bce0df6caf43538f51eb31d27206c9e11/Transcript___Game_Designer_Intern___Bùi_Bách_Nguyên.pdf"/>
        <s v="https://api.typeform.com/responses/files/b682d2a15c5a2d88dcaaf4a2c906e8f469f1deb506d61d929897b52e024973a4/Transcript___Game_User_Acquisition_Intern___Pham_Ngoc_Yen_Nhi.pdf"/>
        <s v="https://api.typeform.com/responses/files/768a6b07b6d7567d80f726bf0f0670ae6adad21213eb8425c33ebea770d23ce2/Transcript___Data_Analysis_Intern___LÊ_HOÀNG_NHƯ.pdf"/>
        <s v="https://api.typeform.com/responses/files/fc3c566d694710b0bfab752d773dcb4324551ea0435c8eaa097095d89feb9274/Transcript___Data_Analysis_Intern___Huỳnh_Chơn_Thành_Nhân.pdf"/>
        <s v="https://api.typeform.com/responses/files/4727cf3b0fd098f098cc5c8a7d20b2a2980032bb1c79ecd0a740be0b709e3bfd/Transcript___AI_Engineering_Intern___Võ_Công_Khanh.pdf"/>
        <s v="https://api.typeform.com/responses/files/63424e1100dfe3186d771326b22fdf827b3a110be0f146389697680a804635b6/Transcript___Unity_Development_Intern___Nguyễn_Thanh_Vũ.pdf"/>
        <s v="https://api.typeform.com/responses/files/3c3c098192749fe9b8699c609bafbcbf255809e71b5391f0ae8eb1244a923f63/Transcript___Game_Design_Intern___Huỳnh_Phước_Tài.pdf"/>
        <s v="https://api.typeform.com/responses/files/7b60266f23cd581a3ca8bd5d06b5f3ef2a135796f74fdbc5d5f87d7f18959caa/Transcript_Game_User_Acquisition_Marketing_Intern___Data_Analysis_Intern__Võ_Nguyễn_Lan_Nhi.pdf"/>
      </sharedItems>
    </cacheField>
    <cacheField name="*Have you had any game-related or job-related experience before (personal project/coursework/competition…)?*&#10;_Bạn đã có kinh nghiệm liên quan đến Game hoặc vị trí ứng tuyển trước đây chưa (dự án/bài tập/công ty/cuộc thi,…)?_" numFmtId="0">
      <sharedItems>
        <b v="0"/>
        <b v="1"/>
      </sharedItems>
    </cacheField>
    <cacheField name="*If yes, please briefly describe your roles and the project outcomes*&#10;_Nếu có, hãy mô tả ngắn về vai trò của bạn và kết quả của dự án/bài tập đó._" numFmtId="0">
      <sharedItems>
        <s v="Tôi chưa có kinh nghiệm trong dự án game"/>
        <s v="I have experience as a Data Analyst Intern at OFI Vietnam, where I built Power BI dashboards for QC monitoring, enabling faster issue detection and improving data consistency through automation. &#10;In my Social Media Ads Analytics project, I built ETL pipel"/>
        <s v="Đã từng thực tập ở một công ty game, vị trí thực tập là Playable Ads Developer. Vị trí này đảm nhận công việc xây dựng và thiết kế quảng cáo mà cho người dùng tương tác. Kết quả là mình đã tạo được 2-3 quảng cáo cho công ty.  Ngoài ra còn có dự án làm gam"/>
        <s v="1.Mình có khoảng 3 năm học làm việc với Unity. ( các dự án mình đều tự làm ).Từng đi phỏng vấn và pass vòng technical ở vị trí Middle Unity Developer tại Tech Anatomy Studio. &#10;2.Có 2 đồ án game mình làm trên trường ( đồ án cơ sở và đồ án chuyên ngành ) và"/>
        <s v="Lên kế hoạch phát triển dự án game cá nhân nhỏ hoặc 1 prototype về tựa game muốn làm.&#10;Sưu tầm, chỉnh sửa asset game để đưa vào unity.&#10;Tiến hành code theo kế hoạch đã đề ra từ các bước tạo object, animation từ các asset trước đó, cấu trúc folder, code và c"/>
        <s v="Tôi code chính,design,quản lí dự án trong các Dự án 2d/3d"/>
        <s v="Đối với dự án BarbarQ2 (Tại Gihot Studio)&#10;Vai trò: Game Design Intern.&#10;Kết quả: Nắm bắt quy trình thực tế, trực tiếp tham gia thiết kế chức năng và hoàn thiện tài liệu GDD cho các thành phần mới của game.&#10;Đối với dự án Veggie Heist (2D side-scrolling)&#10;Vai"/>
        <s v="Em đã hoàn thành tốt 3 dự án môn học , 2 dự án môn học em là nhóm trưởng và 1 dự án em là thành viên và kết quả trung bình của 3 dự án trên là 8 điểm."/>
        <s v="Tôi có kinh nghiệm 2-3 năm làm việc trong vị trí Developer, và đa số là dự án về puzzle và hyper, 2D, 3D. Đã từng tích hợp với SDK, ADs và IAP, có kinh nghiệm public game trên store."/>
        <s v="Mình có kinh nghiệm thực tập tại studio nhỏ về việc Tester game viết báo cáo lỗi.và các tính năng nâng cao khác dựa theo Design"/>
        <s v="Em chủ yếu phụ trách thiết kế map, UI/UX, xây dựng gameplay cơ bản cho player và lựa chọn SFX.&#10;&#10;Dự án được đánh giá cao, và có tiềm năng phát triển đây là những lời mà giảng viên và giám khảo đánh giá dự án em tham gia ạ."/>
        <s v="No"/>
        <s v="During my academic years, I worked as a Game Designer(main role) and Game Developer on a project that won an honorable mention at a game competition organized by FPT Polytechnic. On the professional side, I took on the same roles and successfully delivere"/>
        <s v="Mình từng làm qua một số dự án cá nhân và công ty với các công việc như sau: xây dựng hệ thống Inventory, Quest System và Popup UI cho game RPG và Tower Defense. Thiết kế tài liệu GDD (Game Design Document) mô tả chi tiết gameplay loop, progression, và UI"/>
        <s v="những dự án indie của bản thân, và là lead của các nhóm tại trường"/>
        <s v="Chưa có"/>
        <s v="I developed a classic Breakout arcade game in C++ by designing a modular game engine architecture built on core OOP principles including encapsulation, inheritance, and polymorphism. Also, I implemented real-time collision detection between ball, paddle, "/>
        <s v="N/A"/>
        <s v="Không"/>
        <s v="Beta game tester: testing gameplays and events before the patch is officially released"/>
        <s v="Vai trò của em trong đồ án game là: biên kịch, 2d artist, 2d animation, UX UI.&#10;Kết quả môn đồ án game: được hội đồng đánh giá tốt và nhận được con điểm 8"/>
        <s v="Em từng tham gia làm 1 tựa game kinh dị đơn giản lúc còn ở trên trường nhưng lúc đó kỹ năng còn hạn chế nên được 6.9 điểm ạ. Em có cơ hội được làm thử test Game Designer Intern bên VNG nhưng kết quả không đậu ạ."/>
        <s v="Lập trình và tạo một tựa game cơ bản thể loại FPS và 2D Platforms cho các môn Software project (1,2,3) và được điểm khá cao lần lượt từng project là 8.5, 8 và 7"/>
        <s v="Chưa từng"/>
        <s v="I don't have any personal projects related to the game industry yet, but I would be happy to learn and apply my knowledge in this field."/>
        <s v="I haven’t had the opportunity to work on related projects yet, but I’m highly interested in this field and eager to learn and gain hands-on experience."/>
        <s v="None"/>
        <s v="I do not have direct game-related experience yet. However, I have worked on AI projects such as computer vision and recommendation systems, where I built models and worked with real-world data, and I am eager to learn and apply my skills in the game indus"/>
        <s v="Dự án gần đây nhất của em là capstone project để tốt nghiệp. Em làm nhóm 2 người. Ngoài phụ trách phân công, lên kế hoạch, em phối hợp lên ý tưởng gameplay, thiết kế feedback UI, cut scene trong game. Ngoài ra, em cũng xây dựng 1 vài hệ thống quản lý game"/>
        <s v="Tôi đã thực tập tại Gihot, nơi tôi được học kiến thức nền tảng về Game Design, quy trình làm việc và các chỉ số vận hành game. Tôi cũng đã viết Game Design Document về chế độ chơi mới của game BBQ2."/>
        <s v="I have practical experience with C# through a university project where I developed a Hotel Management System using Winforms. I was responsible for implementing the business logic and managing the database. This project helped me master OOP principles and "/>
        <s v="Tham gia dự án game nhóm &quot;Xoul's Era&quot; với vai trò Game Designer &amp; Unity Developer: chịu trách nhiệm thiết kế cốt truyện, xây dựng hệ thống gameplay (chỉ số nhân vật, item), đồng thời phát triển và triển khai UI/UX trong Unity. Dự án giúp tôi tích lũy kinh"/>
        <s v="Twin Blades (Multiplayer): Tìm hiểu và triển khai cơ chế đồng bộ hóa nhân vật, AI và hệ thống vật phẩm thông qua Mirror Networking.&#10;Void Seeker (Top-down Shooter): Tự xây dựng logic di chuyển, chiến đấu và hệ thống chỉ số nhân vật (RPG stat system)."/>
        <s v="Dạ em trước đây em có thực hiện một số dự án game mobile, nhưng tiêu biểu là 2 dự án outsource do em phụ trách toàn bộ phần gameplay, UI và xử lý logic theo yêu cầu của khách hàng, phối hợp với team design để hoàn thiện game, kết quả là 2 game đã hoàn thi"/>
        <s v="Tham gia các cuộc thi vẽ do VNG - Play Together tổ chức"/>
        <s v="Dự án thực tập tại trường tôi đã tự thực hiện đề tài &quot;xây dựng AI trong lập trình game&quot;. Ở dự án này tôi đã xây dựng một game nhỏ áp dụng Behavior tree, A* cho pathfinding, KD-tree để phân hoạch không gian, AABB để phát hiện va chạm,... trên framework Mon"/>
        <s v="mình đã từng tham gia thiết kế một tựa game Metroidvaina trong một môn học. Trong đó, mình đảm nhận vai trò thiết kế màn chơi, luật chơi, cốt truyện và hệ thống combat. Kết quả là nhóm mình đã được 9.5/10 cho môn học đó và được nhận giải thưởng nhóm xuất "/>
        <s v="A Super Mario game with C++ and SFML and ECS architecture (10/10 score for Final Exam)"/>
        <s v="At Neurond Technology JSC, I worked as an AI Engineer Intern/Probation, where I developed a full-stack internal AI chatbot platform powered by LLMs to internal usage and task automation. I also conducted LLM evaluation to optimize performance, cost, and l"/>
        <s v="Tôi cùng một bạn khác xây dựng AI hỗ trợ cho chẩn đoán bệnh Ung Thư Xương dựa vào hình ảnh. Tôi lúc đấy trong vai trò là trưởng nhóm, lập trình, soạn đồ án. Kết quả dự kiến là hệ thống cho ra kết quả dự đoán là khoảng 51% khi sử dụng mô hình Transformer."/>
        <s v="Bài tập làm game pvp bằng server socket sử dụng c#"/>
        <s v="Đó là dự án về Maze Game. Ở dự án này em đóng vai trò cầu nối giữa logic và phần UI của game. Kết quả dự án khả quan: có giao diện người dùng trực quan, áp dụng các thuật toán tìm đường đi, thuật toán tạo mê cung."/>
        <s v="Em có kinh nghiệm ở vị trí data engineer intern tại Pizza 4P's như đã trình bày trong CV"/>
        <s v="Em từng làm Data Intern tại GalaxyJoy, công việc chính là hỗ trợ xử lý và phân tích dữ liệu, tạo report/dashboard phục vụ cho team. Ngoài ra, em cũng hỗ trợ các task liên quan đến data trong dự án."/>
        <s v="Em chưa có project Unity hay game dev cụ thể nào. Tuy nhiên, background của em là web development — em đã làm project website tìm kiếm việc làm, có một chút kinh nghiệm thực web development ở 1 công ty nhỏ ở Hà Nội.&#10;Từ đó em có kinh nghiệm với component-b"/>
        <s v="Hiện tại em đang có một dự án Casual Game nhỏ và vẫn đang hoạt động với một số lượng người chơi vừa phải. Em là người phát triển tính năng khi game chưa phát hành, và về sau là người cố vấn chính cũng như thu thập dữ liệu, ý kiến từ người chơi và đánh giá"/>
        <s v="Trong thời gian qua, em  đã có kinh nghiệm 3 tháng thực tập vị trí AI Engineer tại FPT Quy Nhơn AI Center với dự án akaOCR, tại đây em giữ vai trò nghiên cứu và xây dựng giải pháp cho bài toán trích xuất thông tin hoá đơn đa ngôn ngữ và mô hình đã đạt độ "/>
        <s v="In my projects, I mainly took end-to-end roles, including designing system architecture, building AI/ML models especially LLM and RAG-based systems, and developing backend pipelines for real-world applications. The outcomes include improving recommendatio"/>
        <s v="Dạ em có tìm hiểu và thực hành một project nhỏ về mảng game. Cụ thể, em áp dụng học tăng cường (Reinforcement Learning) để xây dựng agent chơi game Dò Mìn (Minesweeper).  &#10;&#10;Trong quá trình này, em tập trung vào việc thiết kế trạng thái (state), hành động "/>
        <s v="Tôi đã tham gia vào cuộc thi Game Viet Hackathon 2023. Đạt được giải sản phẩm ấn tượng. Vai trò của tôi trong dự án tôi xây dựng map trong game, lập trình những chức năng di chuyển, hành động của nhân vật."/>
        <s v="một dự án nhỏ (cỡ project môn học) về làm game trên blockchain để phổ biến 1 phương thức bảo mật mới cho các sản phẩm trên blockchain, sử dụng Phaser, MUD.DEV. &#10;Là dự án 1 thành viên."/>
        <s v="I have experience working on small projects, including developing a few simple games using Unity when I was exploring game development. However, through that process, I realized I’m more interested in AI, so I shifted my focus and worked on AI-related pro"/>
        <s v="I have developed a 2D platformer game. The game focuses on progressing through levels using movement, jumping, dashing and wall-climbing skills."/>
        <s v="Forecast routing at NinjaVan company"/>
        <s v="Em chưa có kinh nghiệm trong lĩnh vực này."/>
        <s v="Coding AI enemy, Enemy spawn, Sound Manager, Sprite editing, creating different attack skill by OOP and Scriptable Object"/>
        <s v="Create enemy, Implementing enemy spawn, Player skill by OOP and Scriptable Object"/>
        <s v="-Weather-based Health Consultation Chatbot - AI Developer  - Developed an AI chatbot for cardiovascular and allergy patient consultations, earning a Consolation Prize at the UIT Data Science Challenge&#10;&#10;Logo Similarity Search - AI Engineer - Phát triển thà"/>
        <s v="Video Editors and Sound Designer"/>
        <s v="Dù chưa làm game chuyên nghiệp, em có nền tảng vững chắc và sát với yêu cầu công việc qua các dự án cá nhân:&#10;Về kỹ năng lập trình: Em đã phát triển hệ thống backend cho dự án E-commerce (Java, Spring Boot) và nền tảng AI Tech Blog. Quá trình này rèn luyện"/>
        <s v="Có. Trước đây em đã thực tập ở vị trí DA/DE Intern tại INTER-K JSC, nơi em hỗ trợ thu thập, làm sạch và biến đổi dữ liệu phục vụ báo cáo. Em cũng tham gia xây dựng dashboard và hỗ trợ tự động hóa ETL bằng SQL và Databricks, đồng thời phối hợp với team để "/>
        <s v="Em chưa có kinh nghiệm từ trước"/>
        <s v="Em đã thực hiện một dự án phân tích dữ liệu game theo thời gian thực. Em phụ trách xây dựng API, dashboard và trực quan hóa dữ liệu. Hệ thống sử dụng Kafka – Spark – MongoDB để xử lý dữ liệu từ Steam API, giúp theo dõi các chỉ số như CCU và hành vi người "/>
        <s v="I started my freshman year by coding logic and supporting UI/UX design for a C++ Tic-Tac-Toe project. Later, I co-developed &quot;Tom-Jerry Maze Solver&quot;, focusing on implementing pathfinding algorithms and dynamic maze generation within a game framework.&#10;&#10;Resu"/>
        <s v="Tôi từng làm Data Labeling ở ThinkWare VietNam. Công việc chủ yếu là xử lí ảnh cho hệ thống lái xe tự động."/>
        <s v="Em từng tham giải &quot;Ai hiểu code AI&quot; của trường FPT polytechnic Đà Nẵng và đặt được giải 3, em nắm vai trò cho game design thiết kế gameplay và design UI/UX và DEV cho dự án đó"/>
        <s v="I was involved in a project of designing and developing a running game from scratch. It was a 2D platformer endless runner. The result is a good and short game with dynamic gameplay loop that is fit for short term entertainment but with decent cognitive e"/>
        <s v="Developed a real-time typing game in Unity (C#) with a custom input system for low-latency keystroke validation and dynamic WPM calculation. Implemented game loop, state management, and UI, integrating visual assets and animations."/>
        <s v="Thực hiện phân tích dữ liệu (EDA) và rút trích đặc trưng trên bộ dữ liệu sinh học nhiều chiều để xác định những đặc trưng then chốt cho việc dự đoán."/>
        <s v="Vai trò của tôi là trưởng nhóm code logic cho game pikachu nối hình. Kết quả của đồ án game pikachu đó là 10. Và tôi có kinh nghiệm level design cho game puzzle Hole Em All cho công ty Lihuhu"/>
        <s v="-Cuộc thi thách thức tư duy thuật toán:&#10;+Nhóm chúng tôi làm game về tư vấn trường&#10;+Vai trò của tôi là dev chính cho toàn bộ dự án&#10;+Kết quả dự án: đạt giải nhì trong dự án đó&#10;-Các bài tập Assignment (về các game như tower defense, bắn tank online, bắn zomb"/>
        <s v="Chưa có kinh nghiệm làm việc với game"/>
        <s v="Bài tập: Sử dụng các thuật toán BFS, DFS, A* đếm tổng số đường đi để chiến thắng game Sudoku. Đây là bài tập đơn giản chỉ demo thuật toán&#10;Bài tập: Sử dụng kĩ thuật Tree of Thought + gọi API LLM để giải Games of 24 và tiến hành so sánh với các với cách giả"/>
        <s v="No game-related experience yet"/>
        <s v="CI-OCR là một Capstone project. Trong suốt thời gian project, tôi đảm nhận vai trò là một Team Leader, dẫn dắt nhóm 3 người xây dựng hệ thống OCR cho hình ảnh thành phần mỹ phẩm và tích hợp LLM để hỗ trợ người dùng mỹ phẩm nhận diện được đâu là sản phẩm p"/>
        <s v="Tôi đã từng có 1 đồ án xây dựng Pacman game, áp dụng các thuật toán dò đường cho các &quot;Ghost&quot; để bắt &quot;Pacman&quot;. &#10;Tôi tham gia phát triển các thuật toán như BFS, UCS và A* để tối ưu đường đi của Ghost. Đồng thời thiết kế các bit map để hỗ trợ dựng lên được g"/>
        <s v="design background, character, poster, anim 2d animation,..."/>
        <s v="Trong dự án này, em tham gia xây dựng hệ thống image captioning bằng cách fine-tune các mô hình vision-language (Qwen-VL, LLaMA-Vision) trên bộ dữ liệu tiếng Việt do nhóm tự xây dựng. Em phụ trách xử lý dữ liệu, hỗ trợ huấn luyện và đánh giá mô hình. Kết "/>
        <s v="Đánh giá của em là em mới chỉ làm một số game cơ bản có áp dụng AI như đánh cờ, còn lại các cuộc thi thì liên quan đến computer vision, multimodal là nhiều"/>
        <s v="No i don't have any game-related or job-related experience before"/>
        <s v="Vai trò của em trong dự án cá nhân: Unity Developer, Game Designer, 2D Artist. &#10;Dù project của em đang trong giai đoạn phát triển nhưng em cũng đã hiểu thêm về cách xây dựng cách cơ chế inventory, animations (idle, run, jump) cơ bản, cách fix bug khi nhân"/>
        <s v="In my projects, I was responsible for building end-to-end data pipelines (ETL), performing exploratory data analysis, and developing dashboards to communicate insights. I worked with datasets such as airline reviews, Amazon sales, and train ticket data to"/>
        <s v="Thiết kế màn chơi, giao diện người dùng và trực tiếp lập trình các hệ thống quản lý trạng thái (Save/Load)"/>
        <s v="Em sẽ phụ trách thiết kế level game Hole Em All theo các ràng buộc nhất định như theo độ khó level, thời gian chơi, phối màu cho level sao cho đẹp, dễ nhìn, sử dụng các pattern giúp tăng trải nghiệm người chơi nhưng không quá ép buộc để đảm bảo ưu tiên ch"/>
        <s v="Tôi đã độc lập phát triển game 2D platform, phụ trách toàn bộ từ việc lập trình hệ thống bằng Unity và C# cho đến thiết kế toàn bộ các Asset. Trong quá trình phát triển, tôi đã tự xây dựng hệ thống quản lý túi đồ bằng cách ứng dụng Scriptable Object để có"/>
        <s v="Vai trò: Game QA và Game Developer (Hỗ trợ). Kết quả: Đạt được mục tiêu đồ án đề ra. Đảm bảo phiên bản nghiệm thu cuối cùng vận hành ổn định, tối ưu tốt hiệu năng, không tồn đọng lỗi nghiêm trọng và truyền tải trọn vẹn thông điệp gameplay đến người chơi."/>
        <s v="I worked on a Unity game project inspired by a fruit-slicing game. I handled core gameplay mechanics like spawning objects and player input, and the result was a playable prototype"/>
        <s v="Co-Founder – Kani&#10;Led partnerships and early growth strategy.&#10;→ Secured $40,000+ in liquidity, onboarded 20 beta users, built a waitlist of 45 users, and pitched at major ecosystem events.&#10;&#10;Co-Founder – BlockUni&#10;Built and scaled a blockchain academic comm"/>
        <s v="Developed a Unity-based game inspired by Vietnamese culture (“Ông Táo Về Trời”), applying data structures and algorithms to optimize object behaviors"/>
        <s v="Trong đồ án ABSA, em đảm nhiệm thiết kế pipeline dữ liệu và fine-tuning LLM Qwen3. Sử dụng prompt engineering và fine-tuning để trích xuất dữ liệu JSON, giúp tự động phân loại cảm xúc dựa trên review các sản phẩm công nghệ, giúp người dụng dễ dàng hơn tro"/>
        <s v="I participated in a hackathon where I worked as a Backend + AI Developer. My responsibilities included building APIs, handling data processing, and integrating AI models into the system. The project successfully delivered a working prototype within a limi"/>
        <s v="Em đã từng làm: Tech Leader trong 1 số dự án - lên kế hoạch cho phần Technical của đồ án (các mô hình cần triển khai, phân chia công việc cho các bạn), Data Engineer (thu thập và xử lý dữ liệu trước khi huấn luyện mô hình), NLP Engineer (triển khai các mô"/>
        <s v="Em từng làm intern vị trí Business Support (full-time) tại Manpower. Vai trò chính của em là hỗ trợ các công việc admin như hợp đồng, format CV cho các anh chị Consultant. Kết quả: Trung bình 1 ngày em phải giải quyết 20 CV và 2-3 hợp đồng trong 1 tuần.&#10;N"/>
        <s v="In individual projects, I played as both the game designer and developer, and worked out playable prototypes from 1 week to 1 month.&#10;In collaborative projects, I mostly contributed to the team as a lead game developer and QA tester, and published small pl"/>
        <s v="Em từng phát triển các dự án cá nhân viết Bot AI thi đấu trên nền tảng CodinGame và đạt được một số kết quả:&#10;- Ứng dụng C++ và thuật toán Minimax (Alpha-beta pruning) để giải quyết bài toán Ultimate Tic-Tac-Toe, đạt hạng Gold.&#10;- Lập trình Bot Python xử lý"/>
        <s v="- EcoBub (Global Game Jam 2025): I handled UI integration, audio design, and the market news-feed logic using Godot Signals. Our team successfully shipped a functioning market simulator within the 36-hour deadline.&#10;&#10;- Pikachu Matching Game (Coursework): S"/>
        <s v="I completed a Unity Developer internship where I implemented gameplay features and UI systems. I was responsible for developing and delivering assigned tasks, contributing to the completion and improvement of multiple systems in a 2D mobile game project."/>
        <s v="Đây là một game unity nhỏ để chuẩn bị cho hội trại THPT dựa theo game khủng long trên trình duyệt."/>
        <s v="Em lập trình cho xử lý UI, menu, xây dựng cấu trúc dữ liệu và bảng highscore. Dự án thành công và tựa game đã hoàn thành ở mức prototype chơi được với các tính năng chính (shuffling, matching, score, time-limit)"/>
        <s v="Em hiện tại đang nghiên cứu khoa học về 1 vấn đề sử dụng Generative AI ở bên mảng music giúp tách âm thanh trong bài nhạc ra riêng lẻ. Em đóng vai trò là người viết và chạy proposal model, cũng như là đồng tác giả của paper đó. Hiện tại paper của  em đã đ"/>
        <s v="Không có ạ."/>
        <s v="vai trò là backend dev, pentest, devops. kết quả dự án là đáp ứng  yêu cầu dự án"/>
        <s v="I don’t have any experience yet."/>
        <s v="- Xây dựng matching game với các level khác nhau bằng C++ (Role: Dev)&#10;- Xây dựng Pacman game trong đó áp dụng các thuật toán search khác nhau cho các Ghosts (Role: Dev + Leader)&#10;- Dự đoán doanh thu bán hàng bằng Linear Regression. Tập trung vào EDA, prepr"/>
        <s v="Trước đây em có cùng tham gia startup với vai trò là Business Analysis"/>
        <s v="Em đã làm game cờ thú trên nên web (html/js/css) là project cuối môn AI. Thì trong đó em đã thiết kế giao diện và thuật toán cho AI của game bằng thuật toán Iterative Deepening Alpha-Beta trong vòng 2 tuần. Project này là hoàn toàn from scratch không xài "/>
        <s v="Bản thân đã từng làm những dự án liên quan đến các vấn đề về dữ liệu và ứng dụng AI (học máy), vai trò chủ yếu sẽ thường là nhóm trưởng (người định hướng và giải quyết vấn đề) và là người phân tích chính"/>
        <s v="No/ Chưa từng"/>
        <s v="Trong dự án game 2D, mình đảm nhận vai trò lập trình gameplay bằng C# trong Unity, đồng thời là leader của nhóm. Mình phụ trách xây dựng cơ chế điều khiển nhân vật, xử lý va chạm bằng Rigidbody2D và tích hợp UI cơ bản.&#10;&#10;Với vai trò leader, mình phân chia "/>
        <s v="Thực tập Tester QA cho một Stuidio nhỏ 4 tháng."/>
        <s v="I was a HR Admin Intern at a logistics company, I supported daily HR operations, including managing employee records, preparing contracts and documents, and coordinating interview schedules. I also assisted in onboarding activities such as preparing mater"/>
        <s v="Em chưa có kinh nghiệm liên quan đến lập trình Game nhưng em có hứng thú với các trò chơi điện tử cũng như nghiên cứu về nó. Nếu có cơ hội được đồng hành cùng phát triển thì em rất sẵn lòng."/>
        <s v="FPT Software: Built a hybrid RAG system with multi-stage retrieval and query routing, improving response quality and system reliability.&#10;Passport Lounge: Developed AI automation workflows and a chatbot system, reducing manual workload and enabling faster "/>
        <s v="One of my recent projects is AeroEyes, where I developed an object detection system using YOLO for aerial and satellite imagery. In this project, I was mainly responsible for preparing and cleaning large-scale image data, building training pipelines, and "/>
        <s v="Trong dự án cá nhân Don't let the cake drop, em đảm nhận 100% vai trò thiết kế từ ý tưởng đến thực thi. Em đã xây dựng hệ thống Throw &amp; Catch độc đáo: ném chiếc bánh để tấn công nhưng phải nhanh tay hứng lại để sống sót. Bằng cách tối ưu hóa sự cân bằng g"/>
        <s v="Em chưa có đồ án làm game thuần tuý nhưng mà em nắm được tư duy thiết kế 1 sản phẩm"/>
        <s v="Em đã tự làm lại 1 game flappy bird và thêm 1 số tính năng để game trở nên thú vị hơn, anh/chị có thể hiểu rõ hơn ở video này: https://www.youtube.com/watch?v=0ZdoOE-_SFc"/>
        <s v="I worked as a Level Designer, Developer, and QA Tester, where I designed levels, balanced difficulty, and improved gameplay flow through playtesting and iteration. The project resulted in a polished 2D platformer with well-paced levels and a smoother play"/>
        <s v="In Dungeons &amp; Diners, I worked as a game designer, focusing on system design and balancing the in-game economy while iterating through playtesting, which resulted in a more stable progression and player flow. I also led design in Dungeon Farmer, where I c"/>
        <s v="Vai trò của em: thiết kế gameplay, vẽ asset (pixel art), viết 1 phần game loop&#10;Kết quả: Chỉ hoàn thành được core loop và logic game, nhóm chưa có kinh nghiệm làm game nên trong sản phấm cuối cùng, game còn khá đơ, chưa có animation, VFX, visual feedback, "/>
        <s v="Customer Segmentation   &#10;Top 1 Final Project DA57 course - MindX &#10;Description: This project aims to analyze customer datasets from Kaggle to help business departments gain deeper insights into their customers, allowing them to tailor products to meet the "/>
        <s v="Applying Java to display the interaction between character. Using health, power, point to calculate the attacking power and build matrix for simulating a map. Another likely assignment but developing in C++. All the assignment just only implemented in bac"/>
        <s v="Not yet"/>
        <s v="Em đã có kinh nghiệm thực chiến trong mảng nhân sự tại HLV Joint Stock Company và Đoàn UEH, tập trung vào:&#10;Tuyển dụng &amp; Onboarding: Trực tiếp đăng tin, sàng lọc hồ sơ và điều phối phỏng vấn. Em cũng thiết kế lộ trình hội nhập giúp thành viên mới thích ngh"/>
        <s v="I have worked on personal projects related to AI and automation, including building LLM-based tools to support workflows such as task automation and data processing.&#10;&#10;I also have hands-on experience in web application testing, where I performed black-box "/>
        <s v="I developed a complete BI system for airline analytics. I built an ETL pipeline with SSIS to manage and clean complex datasets before loading them into a Data Warehouse. I also created Power BI dashboards to track KPIs like OTP and Delay trends. Additiona"/>
        <s v="Em đã có kinh nghiệm thông qua các dự án cá nhân.&#10;Cụ thể, em đã phát triển một game đua xe 2D bằng Unity, trong đó người chơi điều khiển xe bằng chuyển động đầu sử dụng MediaPipe FaceMesh. Em đảm nhiệm việc xây dựng gameplay, xử lý input và tích hợp AI và"/>
        <s v="I have worked on several academic projects related to data analysis and machine learning.&#10;&#10;In a household electricity demand forecasting project, I analyzed time-series data, performed preprocessing (feature engineering, seasonality analysis), and built m"/>
        <s v="Em từng học môn phát triển game và đã tạo ra một tựa game 2D sử dụng Unity.&#10;Ngoài ra em từng làm cộng tác viên manual tester cho tựa game metados."/>
        <s v="Hiện em đang thực hiện đồ án về nhận diện tiền Việt Nam và trình bày ý nghĩa của từng tờ tiền. Em phụ trách xây dựng và triển khai mô hình CNN cho bài toán nhận diện hình ảnh. Kết quả, nhóm em đã demo thành công hệ thống, thể hiện khả năng áp dụng AI vào "/>
        <s v="Em đã có trải nghiệm liên quan đến hướng User Acquisition trong vai trò Global Marketing Intern tại Viện giáo dục Quốc tế của chính phủ Hàn Quốc. Trong dự án xây dựng kênh kênh truyền thông về du học Hàn Quốc, em chịu trách nhiệm từ nghiên cứu thị trường,"/>
        <s v="I redesigned a simple 5x5 Go-playing bot using the AlphaGo algorithm, and I can play against it, but it's not really that smart yet."/>
        <s v="Built a Pacman agent (Double DQN + Prioritized Experience Replay) from scratch in PyTorch without RL libraries. Key decisions: decoupled Q-networks to eliminate overestimation bias; SumTree-based PER to focus learning on high-TD-error transitions; 3-layer"/>
        <s v="I have worked on several AI-related personal and academic projects, mainly focused on building practical applications of machine learning and generative AI. One notable project was developing a Vietnamese fake news detection system using LLMs and RAG, whe"/>
        <s v="."/>
        <s v="Yes, I have game-related experience from a coursework project where I helped build a Gomoku (Caro) game. My main responsibilities were designing the user interface and debugging the core game logic. Specifically, I fixed logic bugs related to the win, los"/>
        <s v="Không có"/>
        <s v="Làm game VR ngắm bắn mục tiêu đơn giản để học về các hệ thống trong Unity, về hiệu năng và framerate, và API C# để tương tác với các hệ thống và dữ liệu trong Unity."/>
        <s v="When I joined Amiras as an AI Engineer Intern, the company needed to build a RAG chatbot to leverage its internal knowledge base — but there was no foundation at all: no codebase, no pre-defined tech stack, no documentation. I was practically starting fro"/>
        <s v="I have led a team of 3 members to engineer a data pipeline by Pyspark to transform 0.5 million rows of unstructured data into analytics-ready format. I act as the main Data Analyst, diagnosed early-stage user lifecycles and identified a critical retention"/>
        <s v="I finished my internship as a web developer where I joined a team of five members to develop a website for the company's English language center. My responsibilities included front-end website development and implementing several back-end features as assi"/>
        <s v="Trong cuộc thi đó em sẽ đảm nhận nhiệm vụ đọc hiểu, tiền xử lý và phân tích sơ bộ, trích xuất dữ liệu theo yêu cầu từ các bạn làm phần Business và thiết kế dashboard để trình bày. Kết quả của dự án là nhóm em đạt quý quân cuộc thi RMIT business analytics "/>
        <s v="Yes. I have strong experience working on AI-related systems through both academic projects and practical work. As a Computer Science student focusing on AI, I have built and contributed to projects such as real-time object detection systems and AI-powered"/>
        <s v="chưa có kinh nghiệm về dev game"/>
        <s v="Thiết kế kịch bản mode chơi Main Story.&#10;Thực hiện các nhiệm vụ thiết kế game: kịch bản, hệ thống, màn chơi, cân bằng, UX Wireframes tiền&#10;tệ, level design, gameplay…"/>
        <s v="Hiện tại chưa có những dự án liên quan đến game nhưng rất mong muốn có cơ hội được thực tập. Tôi có vài project liên quan đến DA và programming tại https://github.com/chaumyphuong?tab=repositories"/>
        <s v="-Đầu tiên là về sokoban thì mục tiêu của nó là hiện thực 1 màn chơi với mục tiêu là đẩy thùng đúng ô đồng thời hiện thực giải thuật tìm đường đi để tự giải nó&#10;-Trò chơi thứ 2 là cờ vua thực hiện 2 model AI để chơi thử"/>
        <s v="I developed a farming simulation game using Pygame, where I implemented core gameplay mechanics such as character movement, interaction systems, and basic game logic. I used visual assets from itch.io and focused on integrating them into a consistent game"/>
        <s v="Tôi có 1 dự án cá nhân đó là clone lại con game KitchenChaos của youtuber Code monkey nó là thể loại cooking simulation kết hợp multiplayer có thể chơi với bạn bè"/>
        <s v="During my Game Development concentration at Ho Chi Minh City University of Technology (HCMUT), I acted as the Team Lead for several high-intensity projects:&#10;- Infinite Flyer (2D Game Development Coursework): I directed a 4-person team to deliver a complet"/>
        <s v="Bài tập: Thiết kế chế độ Tower Defense&#10;Nội dung thực hiện: &#10;- Xây dựng cơ chế thủ thành, thu thập tài nguyên và thăng cấp nhân vật.&#10;- Lập bảng cân bằng cho hệ thống quái vật, Boss và lộ trình 20 đợt tấn công.&#10;- Xây dựng hệ thống Buff Roguelike và Cây kỹ n"/>
        <s v="I have worked on AI projects like document intelligence and retrieval systems, focusing on reducing manual work and improving efficiency. I also built recommendation and search pipelines, gaining experience in end-to-end AI system development."/>
        <s v="Yes. I developed Unity 2D platformer projects such as Celeste 2D Lite and Super Mario Bros 2D. My roles included implementing player controls, movement, jumping, dash/wall mechanics, checkpoints, UI, audio and VFX. The outcomes were playable PC game proto"/>
        <s v="I have experience through my projects, particularly a full-stack web application (StayHub), where I developed features and worked with system workflows and APIs. During development, I frequently tested different scenarios, checked data flows, and identifi"/>
        <s v="In the &quot;Surf n' Survive&quot; project, I served as Team Lead, coordinating a group of 6 people and directly programming the gameplay. A notable achievement was that the project made it to the Top 37 of Vietnam GameVerse 2025 and was exhibited at the FPT Meta A"/>
        <s v="I haven’t  had experience in the gaming field yet, but i’m interested in it and willing to learn quickly to adapt to the role."/>
        <s v="- Dự án Nhiếp ảnh &quot;Dương Gian&quot; (Đồ án môn học).&#10;- Vai trò: Đảm nhiệm vị trí Thiết kế Album và Hậu kỳ hình ảnh, ứng dụng nghệ thuật &quot;Khảm xà cừ&quot; truyền thống vào bố cục đồ họa.&#10;- Kết quả: Đạt 9.7 điểm (cao nhất lớp) và được đánh giá là đồ án xuất sắc nhất."/>
        <s v="I don't have direct game industry experience, but my background in social media management, viral content creation and data analysis transfers well to UA marketing. I'm a fast learner who's genuinely passionate about mobile games and I'm committed to quic"/>
        <s v="Từng thực hiện test game 2D nó dạng giống như trò Mario"/>
        <s v="Tôi từng phụ trách xây dựng kênh Tiktok về một tựa game MOBA trên điện thoại, nhằm marketing và thu hút thêm user cho game."/>
        <s v="I don’t have direct game development experience, but I have worked on AI projects in computer vision and OCR, focusing on building pipelines and improving performance. I believe these skills can be applied to game-related systems."/>
        <s v="Mình đã tham gia gamejam làm game trong 3 ngày ( Winter MelonJam 2025) với 3 bạn khác với vai trò là Unity Dev. Theme của jam đợt đó là &quot;Mask&quot; (mặt nạ) nên mình và team bàn và chốt ý tưởng về chú hề có mặt nạ dịch chuyển giữa hiện tại và quá khứ để giải đ"/>
        <s v="Đồ án Find Anyone Online là một hệ thống nhận diện khuôn mặt thông minh với các thông tin chi tiết sau:&#10;&#10;    Công nghệ sử dụng: Kết hợp sức mạnh của CNN (FaceNet) để trích xuất vector đặc trưng cao chiều cùng khung phát triển Spring Boot (Backend) và Reac"/>
        <s v="I have experience in software testing through projects like a social networking app and an e-commerce system. I worked on test case design, bug reporting, regression testing, and data validation using SQL, and also applied automation testing with Selenium"/>
        <s v="I have developed personal game projects where I served as the Lead Developer. My roles included architecting gameplay mechanics in C#, managing assets in Unity, and optimizing UI performance. These projects resulted in functional prototypes with smooth ch"/>
        <s v="I served as Operations Manager at VTC Online for 2 years, managing user accounts and monitoring player trends to provide data-driven strategic insights. Additionally, I developed an AI-Powered Travel Planner using Python and Search Algorithms , and a Food"/>
        <s v="AI Engineer Intern: phát triển chatbot nội bộ dùng RAG/LLM, tối ưu chất lượng phản hồi và cải thiện phân loại dữ liệu.&#10;Tham gia cuộc thi UIT - Data Science Challenge 2025: fine-tune mô hình LLM, đạt Top 7 vòng Private Test."/>
        <s v="Tôi giữ vai trò developer, trực tiếp thiết kế logic trò chơi, xây dựng cơ chế điều khiển vật lý và quản lý vòng đời của các đối tượng trong môi trường Unity.&#10;Hoàn thiện Gameplay: Xây dựng thành công cơ chế hạ cánh tàu vũ trụ dựa trên trọng lực và quán tín"/>
        <s v="Developed a deep learning-based Optical Character Recognition (OCR) system to accurately extract and recognize Vietnamese handwritten text from images."/>
        <s v="Em từng làm game Sudoku, Em là người làm việc chính về các thuật toán giải Sudoku. Ví dụ, Hint khi chơi game sẽ theo hướng đó là có cơ sở để ra được đáp án tại ô đó (có kèm giải thích cho người chơi), chứ không phải chỉ ra đáp án từ trên xuống dưới thì kh"/>
        <s v="Relic Seeker&#10;Vai trò: Thiết kế UI/UX, sửa lỗi và tối ưu.&#10;Kết quả: Đơn giản hóa các cơ chế giải đố phức tạp thành tương tác dễ hiểu, đồng thời cải thiện hiệu năng giúp game chạy ổn định trên nhiều thiết bị mobile.&#10;&#10;StreetBeat&#10;Vai trò: Xây dựng core gamepla"/>
        <s v="I've worked on several projects using Unity and C#. Most recently, I interned at IMBA where I worked on two live games, handling gameplay features and UI. I also built a full roguelike game as my graduation thesis, where I led a team of 2 and handled core"/>
        <s v="Em chưa làm qua dự án game nhưng em đã có làm qua app đọc tuyện"/>
        <s v="Dự án 1: Arrows&#10;&#10;Công nghệ: Unity 2D, C#&#10;&#10;Vai trò: Solo Developer&#10;Kết quả: Xây dựng thuật toán tạo màn chơi tự động, có khả năng mở rộng vô hạn, đảm bảo các câu đố luôn có cách giải và cho phép dễ dàng tích hợp các tài nguyên đồ họa (assets) mới. Xử lý lo"/>
        <s v="Tôi đã có kinh nghiệm xây dựng 1 vài dự án cá nhân nhỏ liên quan đến phát triển game bằng Unity. Vai trò của tôi là lập trình chính, chịu trách nhiệm xây dựng gameplay, xử lý logic."/>
        <s v="Em có làm một vài tựa game nhỏ để tự học về Unity tuy nhiên các tựa game đó quy mô chưa lớn và em cũng chưa có cơ hội tiếp xúc với môi trường làm việc chuyên nghiệp hơn."/>
        <s v="In rag chatbot project, I engaged in building vector database and rag retriever pipeline using tech stack like qdrant, langchain or llamaIndex."/>
        <s v="trong dự án dự đoán churn khách hàng, em xử lý dữ liệu (missing, mất cân bằng bằng SMOTE), xây dựng mô hình XGBoost và tối ưu bằng Optuna, đạt ROC-AUC &gt; 0.95, đồng thời xây dựng dashboard bằng Streamlit để trực quan hóa insight.&#10;&#10;Trong dự án dự đoán giá b"/>
        <s v="Mình đóng vai trò chính trong việc phát triển và thiết kế: xây dựng web chess app với AI Minimax để tính nước đi và thiết kế giao diện/asset; ngoài ra phát triển game Tetris bằng C++ với đầy đủ cơ chế gameplay như collision, scoring và level. Kết quả là c"/>
        <s v="Trong project C++ game engine cơ bản này, mình đóng vai trò là nhà phát triển chính, trực tiếp xây dựng nền tảng hệ thống bằng ngôn ngữ C++. Công việc của mình tập trung vào việc hiện thực hóa các mẫu thiết kế (design patterns) như Composite để tạo cấu tr"/>
        <s v="Dù chưa có kinh nghiệm thực tập ở những công ty khác nhưng em có kinh nghiệm phân tích game và viết GDD cơ bản."/>
        <s v="game cốt truyện - game dev&#10;phát triển phòng mẹ và em với cơ chế drag &amp; drop và chọn trắc nghiệm sử dụng scriptableobject. Raycast để check đồ vật, highlight vật phẩm, góc nhìn thứ nhất cho nhận vật."/>
        <s v="Chưa làm qua"/>
        <s v="Dự án Game Việt 2024 do em làm leader của team và dẫn dắt team đạt được giải sáng tạo Game Việt, em phụ trách review code, merge git và làm một vài chức năng của game.&#10;Dự án tốt nghiệp cũng được em dẫn dắt team và phụ trách về review code, backend và làm "/>
        <s v="I participated in a Game Developer recruitment process at a game development company and passed the technical test round. This experience helped me strengthen my problem-solving skills and understanding real-world development requirements."/>
        <s v="During my internship as a Data Analyst Intern at Bosch, I worked with real-world datasets, performing data cleaning and analysis to ensure data accuracy. I also supported reporting tasks and collaborated with team members to identify and resolve data-rela"/>
        <s v="Mình chỉ thiết kế bài post về game để đưa vào portfolio ứng tuyển thực tập thôi. Rất tiếc là vẫn chưa có cơ hội thử sức về mảng game."/>
        <s v="Tôi đã được thực hiện thiết kế xây dựng map, giao diện UI, lập trình gameplay bằng Unity (C#).&#10;kết quả hoàn thành game chạy ổn định, các chức năng chính hoạt động đúng và được thầy cô khen ngợi."/>
        <s v="Thiết kế cơ chế gameplay, tinh chỉnh giao diện, animation, test game. Kết quả đạt giải sáng tạo cuộc thi Game Việt 2024"/>
        <s v="I built a house price prediction system that improved accuracy by 27%, achieving a MAPE of 14.9% on real-world data.&#10;I also developed a conversational recommendation system that delivers personalized suggestions using NLP and hybrid retrieval techniques.&#10;"/>
        <s v="Cleaned and structured large‑scale datasets (50,000+ records), applied SQL/Python for preprocessing, and ensured data quality for analysis.&#10;Conducted exploratory data analysis and predictive modeling (clustering, regression) to identify 3 high‑potential c"/>
        <s v="The game is KYS, a 2D Stealth-Roguelike built with Unity. It features stealth action with a loop mechanic similar to Hades: players lose items upon death but keep permanent upgrades. The project strongly focuses on system design and optimizing the user ex"/>
        <s v="I have completed 3 Unity game projects, achieving a 9.7/10 in Game Development with Unity:&#10;- As Lead Core Systems for ChillFarm, I architected an Event-driven framework and engineered the custom Economy Balancing model &#10;- For Tom &amp; Jerry: Cheesy Runner, I"/>
        <s v="Em chưa có nhiều kinh nghiệm trực tiếp với ngành game, nhưng có góc nhìn người dùng từ việc trải nghiệm một số game mobile."/>
        <s v="- Triển khai toàn bộ Gameplay mechanic&#10;- Triển khai UI (UI Toolkit)&#10;- Triển khai Sound, Effect, Animation.&#10;- Tối ưu hiệu xuất cho android&#10;- Manual test, Debug và build/release sản phẩm.&#10;- Upload sản phẩm lên Itch.io"/>
        <s v="Trong môn Lập trình căn bản, em đã tham gia phát triển game Rắn săn mồi và đạt 8/10 điểm. Trong quá trình thực hiện, em đã kiểm tra hoạt động của game, phát hiện và xử lý một số lỗi logic cơ bản."/>
        <s v="22/12/2025 - 06/02/2026&#10;Thực tập Game Design Gihot Studio: Phân tích đánh giá một số dự án game nội bộ; Quy trình thiết kế game; Lý thuyết thiết kế game."/>
        <s v="During my previous internship, I had hands-on experience in working on playable ads projects. My role involved rebuilding interactive gameplay scenes from a base game in Unity, and adapting them for platforms such as Luna or Unity Playworks Creative Cloud"/>
        <s v="- Vào năm ngoái, em có làm đồ án tốt nghiệp với chủ đề là phát triển game 3D hỗ trợ trẻ em học Tiếng Anh bằng Unity.&#10;- Vai trò của em là developer chính của dự án, đồng thời thiết kế giao diện cho trò chơi.&#10;- Kết quả là có một sản phẩm hoàn chỉnh được pub"/>
        <s v="At Aladin Contract, I work as an AI/Blockchain Off-Chain Engineer, where my main focus has been OriLife — a biological identification pipeline I co-built in Python with PyTorch. The system combines Meta's DINOv3 for feature extraction and SAM3 for segment"/>
        <s v="I completed a Game Design and Development course from Michigan State University (Coursera), where I built a 2D top-down shooter in Unity — implementing player movement, enemy AI, and collision detection. I also independently developed a 3D Solar System si"/>
        <s v="(1) Recruitment Intern tại Giao Hàng Tiết Kiệm&#10;Tại đây, em phụ trách sàng lọc và liên hệ 50 - 70 ứng viên mỗi tuần cho các vị trí tuyển dụng số lượng lớn. Em tham gia đăng bài tuyển dụng, tối ưu nội dung đạt hơn 30.000 lượt tiếp cận, phối hợp sắp xếp phỏn"/>
        <s v="..."/>
        <s v="Space Defend – Unity 2D Survival Game&#10;- Phát triển game sinh tồn 2D modular trong Unity bằng C#, thiết kế framework có khả năng mở rộng để tích hợp các hành vi AI steering phức tạp, hệ thống cấp độ quái (wave) linh hoạt và quản lý đối tượng hiệu suất cao."/>
        <s v="Em đã học qua 2 Pathway miễn phí của Unity Learn là Essentials và Junior Programmer, qua đó em cũng được làm nhiều Prototype, trong đó em tự hào nhất là game top-down Sumo Wrestling và knockoff Fruit Ninja.&#10;Ngoài ra, em đang là Lead Developer cho dự án Ga"/>
        <s v="Tui chưa từng có kinh nghiệm làm về game trước đây."/>
        <s v="No, I haven’t had such experience yet."/>
        <s v="I served as the Developer and Designer for projects including a Snake Game, Rush Hour puzzles, Wumpus World AI Agent. Beyond coding the logic, I designed diverse level layouts and visual assets, creating distinct gameplay scenarios with escalating difficu"/>
        <s v="I completed a personal project called &quot;Parking Car&quot;, where I built the core gameplay based on a tutorial, then expanded it by designing additional levels and adding new features.&#10;My role was handling the full development process. The outcome was a fully c"/>
        <s v="Data Analyst Intern: Thu thập và xử lý dữ liệu quảng cáo (Facebook, Google, TikTok Ads), giúp tối ưu hóa ngân sách và tăng 25% ROI cho doanh nghiệp."/>
        <s v="Hiện tại em đang trong dự án làm game Action RPG đồ họa Pixel, HD - 2D. Vai trò chính của em trong dự án là Game Designer, ngoài ra em cũng tham gia vào các vai trò khác như Tester, Developer, do đây là dự án nhóm nhỏ nên cần làm nhiều việc. Hiện tại dự á"/>
        <s v="Chưa có kinh nghiệm"/>
        <s v="Em đã có kinh nghiệm thông qua dự án học phần “Red Hood’s Adventure” – một trải nghiệm VR mang tính giáo dục dựa trên câu chuyện Cô bé quàng khăn đỏ.&#10;&#10;Trong dự án, em tham gia thiết kế gameplay flow, logic tương tác và UI concept, đồng thời đóng góp vào v"/>
        <s v="Dự án thực tập tại trường: Leader của nhóm 5 người về trò chơi ăn cá, kết quả đạt được đánh giá tốt bởi doanh nghiệp. Cuộc thi FPT Hackathon AI 2025: Lập trình Front-end lên Server cuộc thi cho ô tô được chạy đoạt giải khuyến khích ở vòng chung kết."/>
        <s v="Em là leader của nhóm qua các dự án game ở trường, thông qua các dự án đó em biết sâu về cách thức hoạt động của nhân vật trong unity, tổ chức file code theo mvc, biết cách xử lý UI game, xử lý animation, dùng các AI cho npc (behavior tree, finite state m"/>
        <s v="- Bài tập lớn môn Kỹ năng chuyên nghiệp cho kỹ sư (Turn-based/chiến thuật)&#10;+ Vai trò: Team Lead (nhóm 8 người) và là Sole Developer đảm nhận mảng kỹ thuật. Em chịu trách nhiệm thiết kế kiến trúc code, hiện thực logic cho 3 nhân vật, quản lý hệ thống vật p"/>
        <s v="Dự án SaigonHappyTour (Automation &amp; BI): Vai trò chính là xây dựng pipeline tự động (n8n, Selenium) và Dashboard Power BI để theo dõi xu hướng thị trường. Kết quả: Tăng tốc độ thu thập dữ liệu và giúp team ra quyết định dựa trên Insight thực tế thay vì cả"/>
        <s v="I'm develop product of retrieval events system as a product for competition AI Challenge HCMC 2024. My team over 3000 participants and engage in the finalists with great system with AI integration."/>
        <s v="Trực quan hóa dữ liệu doanh thu về game trên kaggle"/>
        <s v="From Jan 2025 - Sep 2025: I developed 2 prototypes, a Unity web-based 3D platformer and a React-interactive game. Both of them I have trouble in optimizing it to run smoothly on the company's website, but the games run smoothly locally.&#10;From Sep 2025 - Ma"/>
        <s v="Trong dự án game 2D mình thực hiện tại trường, mình đảm nhận vai trò Unity Developer và Leader nhóm.&#10;Mình phụ trách xây dựng gameplay, xử lý va chạm, hệ thống bắn đạn, máu nhân vật, UI cơ bản và tối ưu hiệu năng. Đồng thời mình quản lý task, phân chia côn"/>
        <s v="I’ve developed two complete Unity games, Helix Smash and Hole Master, where I worked as a solo developer. My responsibilities included developing gameplay mechanics, implementing core systems like UI, audio, and data management, and optimizing performance"/>
        <s v="Tôi chưa có kinh nghiệm làm trong Data Analysis nhưng có kinh nghiệm sử dụng SQL và Python"/>
        <s v="Em đã có kinh nghiệm test game và viết review. Cụ thể, em thường xuyên chơi và phân tích gameplay, phát hiện lỗi (bug), đánh giá trải nghiệm người dùng (UX), cũng như đề xuất cải tiến về cơ chế chơi và cân bằng game."/>
        <s v="quản lý dự án ,code chính ,vẽ map .Dự án đạt 8.5/10 điểm"/>
        <s v="Em tự phát triển game Pikachu Onet Connect Animals bằng C#.Net, đảm nhận toàn bộ từ thiết kế logic gameplay, xử lý thuật toán tìm đường kết nối đến giao diện người dùng. Kết quả là hoàn thiện sản phẩm chạy ổn định và đúng yêu cầu."/>
        <s v="Mình chưa có kinh nghiệm thực tế trong lĩnh vực game analytics, tuy nhiên mình đã tích lũy nền tảng phân tích dữ liệu qua các dự án học thuật liên quan đến hành vi người dùng và xây dựng dashboard — và mình tin đây là bước đệm tốt để nhanh chóng thích ngh"/>
        <s v="Tôi đang thực tập ở vị trí Data Processing Intern tại công ty Infocus Mekong Research, vài trò của tôi là viết testcase, testlink, xử lý dữ liệu survey từ SPSS"/>
        <s v="Hiện tại tôi chưa có dự án thực tế liên quan trực tiếp, tuy nhiên tôi đã chủ động học và luyện tập các kỹ năng như SQL, Excel và phân tích dữ liệu cơ bản thông qua bài tập cá nhân. Tôi cũng thường xuyên tìm hiểu cách áp dụng dữ liệu vào việc phân tích hàn"/>
        <s v="Em đã có kinh nghiệm thông qua các dự án học tập ở trường và khóa đào tạo tại Cybersoft về Data Analysis. Trong đó, em phụ trách làm sạch dữ liệu, xử lý bằng SQL hoặc Python (Pandas), sau đó hỗ trợ xây dựng dashboard trên Power BI hoặc Python (matplotlib,"/>
        <s v="As a Data Science Intern at TMA Solutions, I developed a recommendation system for an e-commerce platform using a 2.7M+ interactions dataset. I applied data processing and the LightGCN model to improve personalization, achieving a 2.7× increase in ranking"/>
        <s v="việc làm liên quan đến hỗ trợ người dùng và xử lý dữ liệu nội bộ công ty"/>
        <s v="I worked on a mobile game analytics project where I analyzed player behavior, retention, and monetization.&#10;I identified a Day-1 retention rate of 13.69% and detected early-stage drop-offs through funnel analysis. I also evaluated monetization metrics such"/>
        <s v="Dự án: AnVie Spa Intelligent Chatbot System (Multi-Agent Architecture)&#10;&#10;Vai trò:&#10;- Phát triển hệ thống Backend bằng FastAPI và triển khai cơ chế &quot;message debouncing&quot; để tối ưu hóa lưu lượng truy cập API.&#10;- Thiết kế pipeline dạng module (modular pipeline) "/>
        <s v="1. Customer Behavior Analysis (Personal project): Project about customer behavior using Python, SQLserver and PowerBI. Created data visualization and conducted customer segmentation to provide actionable insights for personalized customer care and engagem"/>
        <s v="Chưa có nên em muốn thử sức"/>
        <s v="Viết truyện tranh, thiết kế nhân vật dựa theo cốt truyện, chạy commission"/>
        <s v="I developed a puzzle game where players merge tiles with the same even number such as 2 and 2 to create 4 and earn points. After each move, a new random even-number tile appears. The game ends when the board is full and no more moves are possible. My role"/>
        <s v="Dự án này do tôi tự làm nhằm mục đích tự học về pygame. Tôi chưa từng có kinh nghiệm về làm game từ trước. Tôi đã làm một game chiến thuật theo lượt dạng bàn cờ. Tôi đã thực hiện code các logic xử lý, vẽ hình ảnh theo từng frame dựa trên sprite sheets. Vi"/>
        <s v="Có. Em đã thực hiện một dự án game Wumpus trong quá trình học. Vai trò của em là xây dựng logic game và thiết kế chiến lược ra quyết định cho agent dựa trên suy luận luật. Kết quả, hệ thống có thể hoạt động ổn định và agent có thể hoàn thành mục tiêu tron"/>
        <s v="Em đã có kinh nghiệm thông qua các dự án học tập tại trường liên quan đến lập trình, phân tích hệ thống và thiết kế sản phẩm số. Em từng tham gia xây dựng ứng dụng theo nhóm, đảm nhận vai trò phân tích yêu cầu, thiết kế luồng chức năng và hỗ trợ phát triể"/>
        <s v="Em đảm nhiệm vai trò Reskin, build và publish game lên Google Play tại OZINY. Trong dự án PuzzleStepper và Farmy Days, em giữ vai trò Developer, phối hợp cùng team hoàn thiện game và nộp bài cho trường. Với dự án Sort Animal Puzzle, em đóng vai trò Develo"/>
        <s v="Đóng góp vào quy trình phát triển core gameplay, tạo hệ thống cho game (Raycast, Contact, Phase Boss Attack), thiết kế hiệu ứng nhân vật (head bobing và break cho game kinh dị), sử dụng post-processing để tạo hiệu ứng hậu kì cho game. Đã hoàn thành 3 dự á"/>
        <s v="Lập trình viên chính cho hai dự án cá nhân:&#10;- WacWac: Game đua vịt casual, ứng dụng kiến trúc tất định và nội suy Cubic để tối ưu hóa chuyển động mượt mà - kết quả đạt 10 điểm môn học Quản lý dự án phần mềm&#10;- NumStrata: Game puzzle giải đố số học hiện đan"/>
        <s v="No, I did not"/>
        <s v="In my university coursework, I developed several game projects, including a Mario-style game. As the main developer, I built the core mechanics using Pygame and Unity. I also successfully implemented AI algorithms like Minimax for the game logic. The outc"/>
        <s v="từ mô tả GDD thiết kế cơ chế game, căn chỉnh cảm giác chơi."/>
        <s v="Prompt engineered, generated and directed ai videos for Facebook and KitKat's official commercial campaign"/>
        <s v="Developed a simple Minesweeper (dò mìn) game on PC using Java. The project includes basic features such as grid generation, mine placement, cell revealing, and simple win/lose conditions. This project helped me improve my logical thinking and understandin"/>
        <s v="During my internship at Seedcom Food, I worked with HR data using SQL (BigQuery) to support reporting and analysis. I built dashboards to track workforce and operational metrics, and analyzed cost data to support financial monitoring. My work helped impro"/>
        <s v="Mình đã từng có kinh nghiệm làm việc phần AI intern về xử lý giọng nói và hình ảnh"/>
        <s v="I have worked on an A/B testing project (Cookie Cats), where I analyzed player behavior and retention using SQL and Power BI. I performed statistical testing (Z-test) and built dashboards to visualize insights. The project showed that early gameplay exper"/>
        <s v="This is a personal project where I built an end-to-end pipeline analyzing 24 years of World Bank data across 10 Southeast Asian economies — from ETL with Python and SQL Server, to advanced analytics with T-SQL window functions, to a final Power BI dashboa"/>
        <s v="Em có làm hai dự án nhỏ về game: Ứng dụng searching và heuristics để tìm đường ngắn nhất cho game đưa đón hành khách; Tối ưu thuật toán alpha-beta và ứng dụng Reinforcement Learning cho bài toán đánh cờ gánh trong thời gian ngắn (sau khi tối ưu thuật toán"/>
        <s v="I have experience with both game development and AI-related projects:&#10;Rush Hour Solver Game (Python, Pygame): Implemented and visualized multiple search algorithms (BFS, DFS, UCS, A*) to solve puzzles. I handled algorithm design, performance evaluation (t"/>
        <s v="Em có làm project ở trường và hiện tại đang tự phát triển một game RPG nhỏ trên Roblox. Em tập trung thiết kế gameplay loop như progression và reward system, đồng thời sử dụng framework riêng để phân tích và cải thiện gameplay. Qua đó em hiểu rõ hơn cách "/>
        <s v="Ở năm nhất, em đã thực hiện lập trình 1 game cho đồ án môn học, đó là game platformer mà em thực hiện lập trình phần logic của các power-up và quản lí, chỉnh sửa sprite cho game. Em cũng đã thực hiện kiểm thử cho trò chơi để đảm bảo không có lỗi đáng kể ả"/>
        <s v="_ Sử dụng LLM để trích xuất thông tin từ bài báo, xuất ra JSON để phục vụ cho pipeline xây dựng data flow. Đánh giá kết quả đầu ra của LLM và đảm bảo JSON sinh ra đủ chính xác, nhất quán cho các bước xử lý phía sau."/>
        <s v="I have worked on personal projects such as GraphRAG, NER with PhoBERT, and CNN models, where I designed pipelines, developed models, and handled data processing for practical AI tasks."/>
        <s v="Vietnamese Traffic Law Chatbot&#10;Python, Hugging Face, Sentences Transformer, RAG, Qdrant, API, Selenium, Beautifulsoup&#10;June 2025 Github&#10;• Description: Develop a Vietnamese traffic law question-answering system using advanced Retrieval-Augmented Generation "/>
        <s v="Dự án Boardgame &quot;Truy Vết&quot; - game về phòng chống bạo lực, vai trò: tham gia xây dựng gameplay, cơ chế và thiết kế, minh họa phe Gây rối; Kết quả: đồ án đạt điểm tốt (8.0 môn Thiết kế game)"/>
        <s v="Em chưa có kinh nghiệm liên quan đến Game, nhưng chơi game và phân tích game để chơi tốt hơn thì em có"/>
        <s v="Em từng tham gia cuộc thi SEE tại trung tâm Green Academy về thiết kế game và đạt giải nhất với tựa game Knight And Dragon."/>
        <s v="Hiện tại em chưa có kinh nghiệm trực tiếp trong lĩnh vực game hoặc vị trí AI Engineer. Tuy nhiên, em đã có nền tảng về Python và machine learning thông qua các bài tập và dự án cá nhân.Em tham gia một số dự án cá nhân về AI/ML.  &#10;Trong dự án DistillPhoBER"/>
        <s v="Trong đồ án, em đảm nhận vai trò kiểm thử, cụ thể là viết test case và thực hiện test để phát hiện lỗi. Em cũng viết bug report để mô tả chi tiết các lỗi cho team phát triển. Kết quả là giúp cải thiện nhiều lỗi chức năng, góp phần nâng cao trải nghiệm của"/>
        <s v="I completed a 3-month internship at VGames Studio, where I worked as a developer in a cross-functional team with Game Designers, UI artists, 3D artists, and other programmers to build a 3D casual smashing game for mobile. My role involved implementing gam"/>
        <s v="Tự thiết kế GGD theo đúng chủ đề của cuộc thi Game Jams trên Itch.io. Sau đó tự build trong khoảng thời gian quy định, thường là 3-5 ngày tùy cuộc thi. Kết thúc thời gian sẽ phải public game để ban giám khảo và người dùng khác chấm điểm, có nhiều hạng mục"/>
        <s v="- Vai trò: Leader team 4 người cho dự án freelance&#10;+ Quản lí nhóm và phân chia công việc&#10;+ Lập trình spawn khách hàng, order của khách hàng, tương tác trên điện thoại, bảng xếp hạng&#10;+ Thiết kế UI - UX: DOTween cho hiệu ứng chuyển cảnh&#10;+ Âm thanh&#10;+ Debug v"/>
        <s v="I engineered a dual-stream Multimodal Emotion Recognition System using PyTorch, where I integrated a 2D-CNN for facial expression analysis and an LSTM for speech processing. By architecting a fusion model to process these diverse data types, I successfull"/>
        <s v="I intergrated Gemini AI to process and read the data that's gotten from the text in the diary, the text was parsed before it's sent to Gemeni AI"/>
        <s v="trong quá trình làm đồ án: vai trò là hỗ trợ tìm kiếm chuẩn bị và lọc data cùng với đánh giá kết quả của mô hình trong việc phân loại bệnh. Kết quả dự án khá tốt khi có thể phân loại nếu ảnh không quá mờ vì chưa có các phương pháp làm rõ ảnh"/>
        <s v="As a lead contributor under Dr. Nguyen Van Hoi, I orchestrated an anomaly detection project by leveraging NFST techniques and the ADBench dataset to optimize model performance. Through proactive coordination and systematic experimentation, I archieved hig"/>
        <s v="Em tự thực hiện 100% dự án từ khâu lên ý tưởng đến đóng gói sản phẩm, giúp em nắm vững mọi công đoạn trong Unity và xây dựng được một sản phẩm demo"/>
        <s v="Vai trò của tôi là thu thập, xử lý và phân tích dữ liệu, đồng thời xây dựng các hệ thống quản lý và dashboard hỗ trợ vận hành. Tôi trực tiếp phát triển các công cụ như HR Management System, Leave Management System và Data Scanning Tool bằng Google Apps Sc"/>
        <s v="Vai trò: Illustrator &amp; Developer.&#10;Đạt 7,5 điểm môn đồ án chuyên ngành."/>
        <s v="Hiện tại chưa có dự án nào"/>
        <s v="I developed SteamWeb/Bot, this is my personal project. A game discovery platform that helps players find suitable games faster by combining Steam catalog data, trend signals, and user preferences. I design the backend system, building data ingestion pipel"/>
        <s v="Đó là một solo project và không nằm trong môn học. Tôi tạo ra một con game nhỏ dùng Unity và tôi chỉ code với thiết kế màn chơi thôi còn assets thì tôi lấy ở unity store. Sau đó tôi build và deploy nó lên itch.io"/>
        <s v="Tôi có thực hiện một vài dự án liên quan tới Machine Learning/Deep Learning và Computer Vision như là: Hệ thống tự động giám sát giao thông thông minh, Hệ thống tự động đếm số người trong 1 khung hình,...."/>
        <s v="Tôi từng thực hiện dự án phân tích dữ liệu Bitcoin và Ethereum, với vai trò thiết kế và triển khai pipeline bán tự động từ CSV → HDFS → Hive → PostgreSQL → Power BI. Tôi phụ trách xử lý, làm sạch dữ liệu và xây dựng dashboard trực quan để phân tích hiệu s"/>
        <s v="During my six-month research internship at a lab in Taiwan, I worked on a Rice Yield Prediction project. I focused heavily on Exploratory Data Analysis (EDA) to understand the correlation between climate variables and crop growth. I performed advanced pre"/>
        <s v="I briefly tried to build a 2D platformer game using the Pygame library back with my friends. However, I had a lot of issues with finding free assets legally at the time, so the project had been temporarily suspended since."/>
        <s v="No experiences"/>
        <s v="Trong môn Python, em đảm nhận vai trò lập trình và thiết kế trò chơi. Em đã xây dựng một game đua xe với đường đua dạng khung hình chữ nhật, người chơi điều khiển xe theo bốn hướng để tránh va chạm. Trò chơi có các tính năng như tăng tốc độ theo thời gian"/>
        <s v="I have worked on simple hyper-casual games such as Flappy Bird-style projects using Unity. My role involved implementing core gameplay mechanics, handling player input, and basic UI. The projects were completed successfully and helped me strengthen my und"/>
        <s v="Game racing 3D bằng unity :&#10;Phối hợp làm việc trong nhóm để phát triển các hệ thống gameplay cốt lõi cho game đua xe, bao gồm thiết kế đường đua, cơ chế checkpoint và reset xe, đếm vòng đua, theo dõi tiến trình cuộc đua, triển khai mini-map tương tác, quả"/>
        <s v="Em có kinh nghiệm qua dự án đồ án chuyên ngành và các dự án cá nhân:&#10;Chaos Dungeon (Roguelike 2D): Dự án đồ án chuyên ngành, em tự làm tất cả các phần từ gameplay mechanics, core loop, procedural generation, adaptive difficulty, skill system đến balancing"/>
        <s v="Yes. I have experience through personal data projects. I built a football player market value prediction project where I collected data using Selenium, processed it with Python and pandas, and applied machine learning models like XGBoost. I also used Powe"/>
        <s v="Yes. I have been a QA as part of my coursework. In this project, I was responsible for testing key features such as searching, ordering, and user management,...&#10;&#10;I designed test cases, executed manual testing, and reported bugs to improve system functiona"/>
        <s v="- System Testing &amp; Logic Validation: Designed test cases and conducted rigorous functional testing for complex data synchronization between the ATS and HRM systems. I specifically tested edge cases to ensure data integrity, such as verifying that system u"/>
        <s v="Em đã lập nhóm cùng với một thành viên khác trong môn Lập trình di động và đã cùng nhau làm một tựa game Match 3. Em đảm nhận làm phần cốt lõi của trò chơi: Swap Tile, Generate Board, Score, Obstacle,... Còn thành viên sẽ tạo thêm các bomb đặc biệt cho tr"/>
        <s v="Mình đóng vai trò là &quot;đầu têu&quot; trong các dự án. Mình sẽ tham gia vào không đóng góp idea, dựng gameplay cơ bản và xem xét vì sao nó sẽ thu hút người chơi. Sau đó mình sẽ quay về phần code các phần base và phụ trách phát triển tool giúp các thành viên thao"/>
        <s v="I developed a puzzle game project where players match tiles with the same even number, for example 2 times 2 equals 4, to earn points. After each successful match, a new, randomly generated even-numbered tile appears on the board. The game ends when the b"/>
        <s v="I am currently working as a Game Developer Intern at Gameloft. My responsibilities include implementing new features based on sprint planning and Game Designer updates, writing technical design documents (TDD), and fixing bugs. I collaborate with the team"/>
        <s v="Hiện tại em đang là Mentor tại Mindx Technology School, công việc của em là giảng dạy kiến thức về Scratch, Gamemaker, Python và hướng dẫn các bạn học viên thực hiện các dự án về game."/>
        <s v="Advanced Battleship: Redesigned the classic game with three projectile types and a dual-mode bot AI, delivering a more strategic experience while preserving the core fun.&#10;Modified Tic Tac Toe: Eliminated the draw condition entirely with a single rule chan"/>
        <s v="Dạ em từng có các dự án sử dụng PowerBi, Microsoftsql, và Python để phân tích doanh thu bán hàng ạ."/>
        <s v="Em đã tham gia khóa học Manual Test của VTI Academy và có làm một số bài tập về test web"/>
        <s v="- Em đã và đang phát triển một game 2D ARPG có tên Chronicles of Knight and Mage, và phát triển máy chủ Restful API để quản lý dữ liệu người dùng trên server, và .&#10; - Vai trò của em tại các đồ án này là fullstack từ khâu thiết kế, lên kế hoạch làm các chứ"/>
        <s v="I have worked on several small game projects, and this is one of my main ones. I developed a 2D MMORPG in Unity, where my role focused on gameplay design and implementation. I handled map design, character animation, and built core systems such as charact"/>
        <s v="Yes, I previously worked as an AI Engineer Intern, where I supported the development of an AI chatbot workflow project using GitHub Copilot in Visual Studio Code.&#10;My role involved assisting with prompt design, workflow testing, and improving the chatbot’s"/>
        <s v="As team leader, I was responsible for conducting market research, identifying gaps in Vietnam's Fintech landscape, delegating tasks, and proposing the core product idea—FinQuest. The project resulted in a comprehensive research paper covering customer seg"/>
        <s v="I don't have direct game industry experience, but my project and research work closely mirrors what this role demands. I built GymFlow Agent - a multi-tool agentic pipeline with intent routing, RAG, and JSON-structured outputs - and conducted research on "/>
        <s v="I worked on Folk Games Collection, a Godot coursework project: a browser-playable 2.5D festival hub containing 4 Vietnamese minigames: Nối Từ, Cờ Gánh, Ô Ăn Quan and Trốn Tìm.  I was responsible for the Nối Từ game, API-backend gameplay integration, API d"/>
        <s v="Các dự án của tôi liên quan đến phân tích dữ liệu, và business Intelligence, tôi lựa chọn case study và đưa ra được insight để giải quyết các vấn đề đó"/>
        <s v="Em có tham gia một bài tập lớn là phân tích dữ liệu về GPU với dataset khoảng hơn 3000 mẫu. Trong project này em phụ trách phần tổng quan dữ liệu, gồm việc tìm hiểu cấu trúc dataset, ý nghĩa các biến và phân loại các kiểu dữ liệu khác nhau. Thông qua đó e"/>
        <s v="Em có kinh nghiệm xử lý và phân tích dữ liệu qua nhiều bối cảnh khác nhau. Tại Miquant, em trực tiếp theo dõi hiệu suất các kênh marketing qua dashboard và rút ra insight để tối ưu chiến dịch. Trong cuộc thi Dazone 2024, em xử lý dataset thực tế với Pytho"/>
        <s v="Yes, I worked on a simple Snake game project in C++ for an Object-Oriented Programming course. My role included implementing basic features such as color changes and testing the game. Although the project was simple, it helped me understand core programmi"/>
        <s v="I have experience in prompt engineering and RAG infrastructure from my AI Engineer Internship , which resulted in optimized document processing and stable AI Agents. In my projects and the 2025 Datathon (1st Place), I focused on designing end-to-end pipel"/>
        <s v="I was the Leader for a 2D Top-down game project in my OOP course. I created the game ideas, character concepts, and maps. I used Java to code the game logic with OOP concepts like classes and objects. The project was a success, and it helped me understand"/>
        <s v="I have had numerous game-related experiences before, specifically working with the Unity Engine as well throughout multiple projects and games. In a personal game mod project, I have reverse engineered a rather complex Unity game as well as created and ut"/>
        <s v="Trong các dự án đã thực hiện, em đảm nhận vai trò lập trình chính, tập trung vào xây dựng gameplay, hệ thống điều khiển nhân vật và logic game. Em sử dụng Unity và C# để phát triển các tính năng như di chuyển, chiến đấu và AI cơ bản.&#10;&#10;Kết quả là em đã hoà"/>
        <s v="1. Airline Pricing Analysis and Recommendation System: Built a system to predict flight prices from records crawled from Traveloka. Cleaned data, trained models, and created a tool to suggest when to buy tickets (R2 &gt; 0.7).&#10;2. Aspect-Based Sentiment Analy"/>
        <s v="Soul in Forge (Game 2D mô phỏng thợ rèn - Đã hoàn thành): Tôi đảm nhận vai trò lập trình viên, chịu trách nhiệm phát triển hệ thống chế tạo bao gồm ba trạm chính: lò nung, đe rèn, và bàn chế tạo. Tôi thiết kế và vẽ các vật phẩm trong game như kiếm, cung v"/>
        <s v="Em đã có kinh nghiệm thông qua các dự án cá nhân trong quá trình học Unity. Cụ thể, em đã phát triển một số game nhỏ như game puzzle và game kinh dị đơn giản.&#10;Trong các dự án này, em đảm nhận vai trò lập trình chính, chịu trách nhiệm xây dựng gameplay (di"/>
        <s v="Dự án giả lập game &quot;TẾT - TÔI - TA&quot;&#10;Vai trò: Lên ý tưởng và phát triển một mô hình mô phỏng gamification để thể hiện mức độ tương tác của người dùng trong chiến dịch marketing. Thiết kế hành trình người dùng và cơ chế trò chơi nhằm phản ánh cách khách hàn"/>
        <s v="Em đang tham gia nhóm nghiên cứu khoa học DAIS ở trường Đại Học Bách Khoa TP.HCM.Nhóm nghiên cứu về cấu trúc RAG và ASR(audio,near realtime,livemeeting),em thuộc nhóm bên ASR.Hiện tại phần xử lí audio đã khá hoàn chỉnh nhưng phần near realtime và livemeet"/>
        <s v="tôi chưa có kinh nghiệm nhiều"/>
        <s v="Dù em chưa có kinh nghiệm trực tiếp về Game QA, em đã có kinh nghiệm liên quan thông qua dự án học tập và thực tập về kiểm thử phần mềm, gồm viết test case, bug reporting và regression testing"/>
        <s v="Yes, I worked on a Caro game project. I focused on testing gameplay, identifying bugs, and ensuring a smooth user experience. The project was completed with stable functionality and minimal issues."/>
        <s v="As a Data Analyst Intern at AA Global Group, I collected and cleaned datasets using Excel and Python. Under the supervision of my team lead, I practiced data querying and visualization to support reporting needs. This experience allowed me to deliver clea"/>
        <s v="Chưa từng ạ"/>
        <s v="Trong dự án, em đảm nhận việc làm sạch và chuẩn hoá dữ liệu, xây dựng dashboard phân tích doanh thu bằng Power BI và sử dụng DAX để tính toán các chỉ số. Em cũng phân tích hành vi khách hàng theo độ tuổi và mức độ trung thành.&#10;Từ đó, em đưa ra một số insi"/>
        <s v="Em từng tham gia Gameverse 2025 và đã đăng ký Gameverse 2026. Ngoài ra tại đại học em cũng là người khởi xướng, kết nối mọi người vào những giờ nghỉ trưa dài bằng việc tạo nhóm chơi game. Em cũng là một người chơi game lâu năm và có hiểu biết cơ bản về ng"/>
        <s v="Tôi đã có thời gian thực tập tại Kim Tín, tôi hỗ trợ đăng tin tuyển dụng trên các nền tảng như Facebook, Threads và trao đổi với ứng viên về mô tả công việc, giải đáp thắc mắc.&#10;&#10;Ngoài ra, tôi hỗ trợ nhập liệu và cập nhật thông tin nhân viên trên Excel, so"/>
        <s v="Yes, I have job-related experience through my bachelor thesis, ViMUNCH – a Vietnamese Metaphor Understanding Benchmark for LLMs. In this project, I worked on data collection, manual annotation, and evaluation of multiple large language models across diffe"/>
        <s v="These are my school projects that for apply the data structure and algorithms"/>
        <s v="Mình tự thực hiện dự án HR Data Analysis từ đầu đến cuối xây pipeline xử lý 4.410 bản ghi nhân viên bằng Python và BigQuery, phân tích attrition bằng SQL và phát hiện nhóm rủi ro cao nhất là nhân viên 25–34 tuổi có thâm niên dưới 2 năm. Kết quả được trình"/>
        <s v="During my internship as a Unity Developer, I worked on a music-themed game. My primary responsibilities included core development and refining the UI/UX.&#10;​Outcomes: I successfully implemented smooth gameplay mechanics and optimized the user interface, res"/>
        <s v="Mình từng tham gia dự án làm RAG cho công ty DIGINET, mình nhận việc tạo các file pdf và xây dựng RAG pipeline cho mô hình gemma3:12b:qat:it, kết quả là mô hình cơ bản nắm được các nội dung tài liệu kiến thức của công ty và trả lời các câu hỏi đã cung cấp"/>
        <s v="Tôi đã từng tham gia vai trò Tester cho game Net 24h: Vietnamese Internet Cafe Simulator: tôi test đi test lại các chức năng của game, report bug cho Dev và góp ý phát triển game; và tham gia đóng góp ý kiến cho game Đồng cỏ lau của Việt Nam."/>
        <s v="I worked as a Fullstack AI Intern, where I built and deployed a real-time voice AI system with low latency.&#10;&#10;I have also developed several end-to-end AI projects, including LLM-based and recommender systems, covering model training, backend development, a"/>
        <s v="Trong các dự án game trước đây, em đóng vai trò là nhà phát triển chính, chịu trách nhiệm xây dựng logic gameplay. Em là người chịu trách nhiệm đưa ra ý tưởng gameplay, xây dựng giao diện người dùng (UI/Menu), việc kiểm thử chất lượng (QA) và khắc phục cá"/>
        <s v="I built Slither Game as a personal project and handled the full front-end implementation using HTML5 Canvas and JavaScript, including game logic, controls, collision detection, scoring, animation, and responsive UI. The result is a playable web game with "/>
        <s v="My professional background is built on a balance of technical recruitment and internal development. During my time at FPT Software, I gained hands-on experience in Talent Acquisition, where I mastered candidate sourcing and end-to-end recruitment workflow"/>
        <s v="Mình từng đảm nhận vai trò Manual QA Tester hỗ trợ nhóm sinh viên FPT University phát triển dự án game trên nền tảng Unity. Vai trò chính là viết kịch bản kiểm thử (test cases) chi tiết và thực hiện test thủ công các cơ chế cốt lõi của game và chịu trách "/>
        <s v="Yes. I worked on academic projects such as a Hotel Management System and a Cinema Management System, where I was involved in both development and manual testing. My role included building core features, designing test cases, and validating business logic "/>
        <s v="One project I worked on was Sac Xe Viet, a student project focused on redesigning street-vendor carts to improve their visual identity and help vendors stand out. As a Co-founder and Digital Communications member, I worked in a team of five, planned and p"/>
        <s v="I have not earned any game-related or job-related experience before, but I'm very eager to embark my journey to the game industry with Sun Studio through SUN.RISER Internship Program 2026."/>
        <s v="Từng có kinh nghiệm trong việc xây dựng chatbot về lĩnh vực Y tế sử dụng LLM và RAG để tạo ra một trợ lý ảo hỗ trợ giải đáp các câu hỏi về kiến thức Healthcare cũng như đặt lịch cho phòng khám dựa trên triệu chứng khi hỏi."/>
        <s v="Tôi có hơn 1 năm nghiên cứu về AI trong phòng LAB của trường, và cũng là co-author của một bài báo nghiên cứu khoa học Q1 được chấp nhận tại tạp chí IEEE-Access 2026, đồng thời là fisrt author của một nghiên cứu khoa học sẽ được nộp sắp tới tại hội nghị G"/>
        <s v="I have not worked on a digital game project before. However, I once took part in creating a board game for a contest. I was actively involved in developing the game concept, rules, card design, and player experience. &#10;&#10;Although it was not a digital game, "/>
        <s v="Em chưa từng có kinh nghiệm"/>
        <s v="Trong quá trình thực tập trước đó tại agency, tôi đã tích lũy được kinh nghiệm thực tế với các công việc:&#10;Tối ưu SEO và nghiên cứu từ khóa.&#10;Viết và biên tập content chuẩn SEO.&#10;Hỗ trợ theo dõi và báo cáo hiệu suất quảng cáo."/>
        <s v="Yes. In a coursework IMC project on the MoMo x ePass cashless toll product, I led a team to build a full campaign plan from research to execution strategy. I was responsible for market research, social listening, and analyzing user behavior to identify ke"/>
        <s v="I didn't have one"/>
        <s v="Không có ạ"/>
        <s v="Em từng tham gia một bài tập làm Game ở trường qua môi trường Socket và cũng chỉ là nhưng Game đơn giản để hiểu cơ chế hoạt động của server và client nên giao diện có phần hạn chế"/>
        <s v="Perform EDA on real datasets, use models to analyze &amp; predict, visualize data"/>
        <s v="In my coursework and personal projects, I have extensive experience in software development and quality assurance. As the Lead Developer for a real-time Chat Ecosystem and a Trip-Planning app, I managed full-stack development (PERN stack) and ensured syst"/>
        <s v="In a Bike Sales analysis project, I was responsible for data cleaning, exploratory analysis, and building a dashboard. I used Excel and Python to preprocess the data, create pivot tables, and visualize key factors affecting purchase decisions such as age,"/>
        <s v="I only have experience writing prompts and responses for AI models, I do not have experience in game development."/>
        <s v="Em là Người đề xuất và Phát triển chính dự án 'Vietnamese Sentiment Analysis'. Em đã xây dựng framework Hybrid Stacking kết hợp TF-IDF và Transformer-based embeddings để tối ưu hóa việc phân loại cảm xúc tiếng Việt. Dự án đạt độ chính xác cao (91.81% trên"/>
        <s v="In my practical projects, I have primarily taken on Data Engineer and Analyst roles. Most notably, I engineered an end-to-end Data Warehouse, building robust ETL pipelines with SSIS and interactive KPI dashboards using Power BI. Additionally, I have succe"/>
        <s v="I have had experience with AI-related projects and internships, mainly focused on building practical LLM applications and workflow automation systems.&#10;&#10;During my internship at FIRIS Consulting and Investment, I worked as an AI Engineer where I developed P"/>
        <s v="I have worked on AI-related projects involving NLP and system design. For example, I built a transformer-based system for detecting hallucinations in LLM outputs, focusing on evaluation, reliability, and handling long-context inputs. I also worked on a mu"/>
        <s v="I have a strong foundation in both data analysis and game systems through major university and independent projects:&#10;Home Credit Default Risk Analysis (Team Leader &amp; EDA Lead): Led a team of five to build a credit risk pipeline for a dataset of 307,511 re"/>
        <s v="In the thesis project, I handle all the job by myself in Unreal Engine 5, including optimize the game."/>
        <s v="Phát triển gameplay, xây dựng hệ thống ( quest, UI, cốt truyện,…) xây map (2D/3D)&#10;Làm animation cho Player/ Enemy&#10;Tạo các VFX hiệu ứng cơ bản như skill ( lửa , sấm chớp, lốc xoáy ,…)"/>
        <s v="Mình chưa có"/>
        <s v="About my internship, my scope of work is building Power BI dashboards (Sales, Customers, Marketing Strategies), writing and optimizing Oracle SQL queries to extract, transform, and validate enterprise data for business analysis and system reporting. Moreo"/>
        <s v="Ngoài những game em đã làm tại trường, em còn có tự làm qua 1 game casual cho bài phỏng vấn của công ty khác. Trong vòng 1 tuần em đã tự vẽ sprite, design level, bố trí UI (PC/Android), tự code từ a tới z, tích hợp vfx, kiểm thử và export lên itch.io cho "/>
        <s v="Trong vai trò Thực tập sinh Quan hệ Doanh nghiệp tại Trường đại học Văn Lang, em đã trực tiếp hỗ trợ kết nối nguồn nhân lực trẻ với các doanh nghiệp thông qua việc sàng lọc, tư vấn chỉnh sửa CV và rà soát chuẩn hóa các bản mô tả công việc (JD). Nhờ sự chủ"/>
        <s v="I completed a Data Analyst Internship at The Saigon Times, where I analyzed over 50,000 daily user sessions using Google Analytics and Python to uncover traffic patterns and user behavior. I built automated reporting dashboards with Pandas and Matplotlib,"/>
        <s v="Yes. In a midterm Business English project, my team developed and hosted an interactive “bidding &amp; guessing” game for the class. I contributed across the full process - from ideation, to designing the game using software, and directly hosting it. By struc"/>
        <s v="Một job-related project: Cải thiện độ ổn định và nâng cao độ chính xác của các hệ thống hỏi đáp đa phương thức bằng một quy trình (pipeline) nhiều giai đoạn: (1) Sử dụng các loại prompting để kích hoạt khả năng reasoning của mô hình hỏi-đáp đa phương thức"/>
        <s v="I have experience through academic projects related to AI and software development. I worked in a team to build a Vietnamese AI Tutor using RAG, where I contributed to document retrieval and model integration. I also developed ML projects such as spam ema"/>
        <s v="Developed fully playable 2D games using Pygame (Python). I independently handled all game logic and UI, applying my competitive gaming background to optimize mechanics and ensure smooth gameplay&#10;&#10;GitHub repository: https://github.com/dangkhoi-dev/Game-Pro"/>
        <s v="I have done some small game like Flappy bird, Tetris, Chess or Snake in C# using Monogame when i was in high school. For a bigger personal project, I was re-making Minecraft from scratch using GLFW/Glad"/>
        <s v="Phân tích &amp; Tối ưu hóa Dữ liệu tại ScanCom International A/S: Cost Improvement Assistant. Tôi sử dụng SQL và Python để phân tích dữ liệu vận hành, tìm ra các điểm nghẽn gây lãng phí. Giảm hao hụt nguyên liệu lên đến 40%.&#10;Phát triển Hệ thống AI (Computer V"/>
        <s v="I am the Winner (First Prize) of the Bright Data Track at HackHarvard 2026 with the project Unibuddy. Serving as the AI engineer, I specialized in large-scale web scraping and data processing to build a real-time data analytics platform. This project outp"/>
        <s v="I worked as an AI intern at ACB Securities, contributing to a stock market support chatbot by handling data processing and assisting in model development.&#10;Additionally, I developed projects like a scene classification system and a health consultation chat"/>
        <s v="As a member of the HR Department at Young Economist Club, I supported recruitment activities including CV screening and interviewing over 100 candidates. I also handled logistics and coordinated materials for internal events, ensuring smooth operations. A"/>
        <s v="Project Flood-It Game - Phân tích Chiến thuật &amp; Hành vi Người chơi&#10;​Vai trò:&#10;​Trong dự án này, tôi đóng vai trò là người thiết kế và vận hành hệ thống phân tích dữ liệu toàn diện. Cụ thể, tôi đã:&#10;​Xây dựng Data Pipeline: Tự động hóa luồng dữ liệu từ Cloud"/>
        <s v="I do not have direct experience in the gaming industry yet. However, I have experience in content creation with strong SEO performance and have been actively learning about user acquisition, including basic campaign metrics. I’m eager to apply and develop"/>
        <s v="Em có kinh nghiệm chuyên sâu về AI/ML qua đồ án tốt nghiệp ứng dụng XGBoost và Transformer để phát hiện tấn công mạng từ dữ liệu PCAP. Trong kỳ thực tập tại Motorola Solutions, em đã trực tiếp xây dựng pipeline xử lý dữ liệu quy mô lớn và huấn luyện các m"/>
        <s v="Đó là dự án cá nhân, trong đó em lên ideas cho game, viết cốt truyện, tạo các ending, tạo lựa chọn phù hợp, lên ideas cho tuyến phát triển cho các npc, viết code, và test thử. Dự án đó vẫn chưa hoàn thành và cũng không public, chỉ có trên git. Còn một bài"/>
        <s v="backend developer"/>
        <s v="em không có"/>
        <s v="Adventure RPG Project (Unity): Served as the Lead Developer for Map 2. Programmed the entire combat system and AI behaviors for mobs and the final Boss using C#.  Outcome: Delivered a fully functional 6-level action game while mastering the Unity workflow"/>
        <s v="Là 1 bài tập xây dựng trò chơi tìm đường đi trong mê cung, có sử dụng các thuật toán tìm đường. Mình xây dựng thuật toán DFS và giao diện. Nhóm được điểm tốt trong bài tập đó."/>
        <s v="Chưa có."/>
        <s v="In the ArtemisSearch project at AIC 2024, I worked on developing an AI-based search system, focusing on data processing, embeddings, and improving retrieval performance. The project resulted in a functional prototype for intelligent multimedia search. Our"/>
        <s v="Đã từng tham gia thực tập trong vòng 4 tháng với vai trò là unity developer intern. &#10;Tham gia phát triển dự án game mobile với team gồm 2 unity developer intern và các bộ phận khác trong công ty. Công việc chính: xây dựng hệ thống UI, phát triển hệ thống "/>
        <s v="I haven’t had formal experience in game-related or professional projects yet. However, I have worked on academic projects in machine learning, and I’m currently building my skills. I’m highly motivated to learn and gain practical experience through this o"/>
        <s v="Mình đã có kinh nghiệm làm 2 dự án game bằng Python: Minesweeper sử dụng DFS và Chess AI có GUI, tích hợp Alpha-Beta Pruning và MCTS (làm chung với nhóm). Trong các dự án này, mình tham gia xây dựng logic gameplay, giao diện, xử lý luật chơi và chạy thử n"/>
        <s v="Vai trò: Independent Data Analyst&#10;&#10;Chịu trách nhiệm toàn bộ vòng đời phân tích dữ liệu: từ khâu làm sạch, xử lý dữ liệu lớn (SQL/BigQuery &amp; Python) đến việc xây dựng mô hình dữ liệu (Data Modeling) và thiết kế Dashboard tương tác (Power BI).&#10;&#10;Kết quả đạt "/>
        <s v="Em đã có kinh nghiệm kiểm thử phần mềm thông qua dự án Event Management System (JavaFX) với vai trò Tester. Em đã thiết kế và thực thi hơn 120 test case, phát hiện và báo cáo hơn 28 lỗi với mô tả chi tiết và các bước tái hiện lỗi. Ngoài ra, em thực hiện k"/>
        <s v="Dạ, em đã có kinh nghiệm thông qua kỳ thực tập tại Novaha và các dự án cá nhân.&#10;&#10;Trong quá trình thực tập, em đã xây dựng pipeline xử lý dữ liệu, giúp giảm 40% thời gian xử lý thủ công và làm việc với hơn 1,000+ dữ liệu hình ảnh. Bên cạnh đó, em thực hiện"/>
        <s v="As an AI Research Mentee at AIMA (mentored by a CMU PhD candidate), I built a robustness evaluation pipeline benchmarking Ferret-7B and NVIDIA DAM 3B under image corruption. I engineered a UniversalDataset abstraction unifying 5 benchmark formats and impl"/>
        <s v="Mình chưa có kinh nghiệm về game"/>
        <s v="Mặc dù tôi không có kinh nghiệm liên quan đến Game, nhưng tôi có kinh nghiệm làm việc phù hợp thông qua các dự án và cuộc thi học thuật. Ví dụ, tôi đã làm việc trên một hệ thống thử nghiệm cảnh báo rủi ro sớm dành riêng cho Sale tín dụng tại VPBank trong "/>
        <s v="Trong dự án nền tảng học trực tuyến, em đảm nhận vai trò fullstack developer, phụ trách cả frontend (React) và backend (NestJS). Em thiết kế API, xây dựng hệ thống quản lý khóa học, video và người dùng. Ngoài ra, em triển khai tính năng xử lý video và bướ"/>
        <s v="Em từng tham gia Ban Nhân sự của Bach Khoa Ambassador Club, nơi em hỗ trợ đăng tin tuyển dụng, sàng lọc hồ sơ và điều phối phỏng vấn cho các vị trí trong câu lạc bộ. Em cũng tham gia trao đổi với ứng viên và hỗ trợ quá trình onboarding thành viên mới. Kết"/>
        <s v="Em đã thực hiện nhiều dự án trong trường liên quan đến AI/ML, chủ yếu trong lĩnh vực Computer Vision và Deep Learning. Các dự án bao gồm phân loại ảnh, phát hiện đối tượng và nội suy khung hình video sử dụng Python và PyTorch. Trong các dự án này, em tham"/>
        <s v="Yes, I have hands-on testing experience as a freelance tester on Test IO. I performed exploratory testing for web and mobile applications, identified functional and visual issues, and reported over 30 valid bugs in English. This experience strengthened my"/>
        <s v="Yes. I worked as an AI Engineer Intern, where I contributed to a project developing a CV evaluation system to support HR in filtering applications. My role was to research and extract features for scoring CVs, and I also used n8n to automate retrieving CV"/>
        <s v="Hiện tại em có nền tảng về phát triển mobile app và website. Tuy chưa có nhiều kinh nghiệm trực tiếp trong lĩnh vực game, nhưng em tin rằng các kỹ năng lập trình, tư duy logic và kinh nghiệm xây dựng sản phẩm của mình có thể áp dụng tốt vào quá trình phát"/>
        <s v="I don’t have direct experience in the gaming industry yet, but I have worked with data through coursework, mainly using Excel for organizing and analyzing data.&#10;In addition, I’m very interested in games and often try to understand how player behavior and "/>
        <s v="Có, tôi đã tham gia các dự án game, ví dụ như game Tower Defense với vai trò Gameplay Developer, chủ yếu phát triển gameplay bằng Unity, xây dựng cơ chế chơi. Qua đó, tôi hoàn thành sản phẩm đúng mục tiêu và tích lũy thêm kinh nghiệm thực tế về Unity, C# "/>
        <s v="Trước đây chủ yếu em chỉ làm về các trang web để nộp bài tập thôi ạ. Chủ yếu dùng C# VÀ C++"/>
        <s v="Trong dự án FPS Multiplayer, tôi làm Game Play Developer. Tôi triển khai cơ chế di chuyển và bắn súng, đồng bộ người chơi, tạo phòng chơi bằng Photon PUN2, cùng xây dựng hệ thống điểm và bảng xếp hạng.  Dự án hoàn thành với gameplay ổn định ở 60 FPS và kh"/>
        <s v="Em quản lý hệ thống game trong dự án nhóm Debt or Dead trong khóa học Unity tại trường, được đánh giá 9/10 điểm."/>
        <s v="MMORPG C++, Unity Puzzle C#"/>
        <s v="Trong dự án gần nhất, em đóng vai trò từ thiết kế đến lập trình và kiểm thử. Đây là dự án game cá nhân đầu tiên của em."/>
        <s v="- Em có thu thập dữ liệu các loại bánh yêu thích theo mùa trên internet, sau đó làm sạch dữ liệu, phân tích các loại bánh nào sẽ được yêu thích vào mùa nào, ví dụ: Mùa valentine thì ưa chuộng bánh socola, &#10;- Đồng thời em cũng xây dựng dashboard cho websit"/>
        <s v="I have developed a game pokemon using Unity, and I have contributed into design and develop the skills, movement, strength balancing, and design the mana, blood bar for the character and pokemon"/>
        <s v="Trong môn Tư Duy Thiết kế trong Kinh doanh, vào phần bài tập nhóm lấy điểm cuối kỳ: nhóm em xây dựng ý tưởng cho một game mobile (thể loại: casual/puzzle) từ giai đoạn lên ý tưởng đến đề xuất mô hình kinh doanh. &#10;Sau thời gian cùng bàn luận với các thành "/>
        <s v="Dạ chưa có"/>
        <s v="1. ABSA on Tiki Reviews project&#10;I worked on a semi-automatic dataset construction project using LLM-assisted labeling. My role involved preprocessing crawled raw data and designing annotation guidelines to create a gold dataset (~30% of processed data). I"/>
        <s v="Tôi đã từng làm đồ án môn Game Aventure 2D, vai trò chính của tôi trong nhóm là viết kịch bản game, thiết kế map, lên ý tưởng nhân vật, thiết kế nhân vật, kiểm tra và báo lỗi khi trải nghiệm game"/>
        <s v="Trong quá trình thực tập và các dự án cá nhân, em đã tham gia kiểm thử hệ thống web với nhiều module như product, order, dashboard và quản lý người dùng. Em thực hiện API testing bằng Postman, kiểm tra luồng chức năng, xác nhận dữ liệu và phát hiện lỗi. N"/>
        <s v="During my previous AI internship, I worked on a project focused on generating infographics from news articles. My role involved researching LLM-based approaches, designing prompts to extract and structure key information, and supporting the pipeline for t"/>
        <s v="While I have not had direct experience in the gaming industry yet, I have gained relevant experience through a university project where I worked as an Operations Intern for the financial website “5PhutTaiChinh.” In this role, I supported coordination task"/>
        <s v="Tôi đã thực tập vị trí Tester Intern ở công ty Testing VN, sau 3 tháng thực tập tôi đã làm những công việc như viết Testcase, Test API, SQL,.... Sau khi thực thi các testcase em tìm ra những con bug và em đã post lên Jira để DEV có thể fix lại sau khi fix"/>
        <s v="Chưa có kinh nghiệm liên quan tới game"/>
        <s v="Vietnamese Historical Weather Dashboard: Mình tham gia với vai trò Data Analyst và Designer, sử dụng Python (NumPy, Pandas, Matplotlib, Dash, Plotly) để phân tích và trực quan hóa dữ liệu thời tiết. Đồng thời, mình xây dựng chatbot hỗ trợ truy vấn và phát"/>
        <s v="This project is a personal thesis project. An improved AI made enemies behave in a more realistic and unpredictable manner, thus adding suspense by contrasting NPCs with zombies. The implementation of the Depth of Field technique added to the game's reali"/>
        <s v="DAZONE 2025 – National Data Analytics Competition (Top 10)&#10;- Cleaned and standardized a large-scale e-commerce dataset with missing, duplicate, and unstructured records to ensure data quality and consistency;&#10;- Performed EDA to identify user behavior patt"/>
        <s v="I have experience working with data through academic projects and part-time roles.&#10;In my graduation thesis, I performed data preprocessing and analysis on user behavior data, applied NLP techniques (TF-IDF, Word2Vec, BERT), and supported building a recomm"/>
        <s v="Em đã có kinh nghiệm làm dự án liên quan đến game mang tên &quot;Mummy Maze Game AI Solver&quot;. Về vai trò, em đảm nhiệm việc thiết kế game engine bằng công cụ Pygame và xây dựng một agent. Em đã trực tiếp cài đặt và đánh giá các thuật toán tìm kiếm (như DFS, BFS"/>
        <s v="I served as Co-Project Leader in a recruitment project in my club, where I led the end-to-end hiring process, including planning, candidate sourcing, screening, and interview coordination. I also managed a pipeline of over 200 candidates and coordinated a"/>
        <s v="Em đã tham gia một số dự án học tập liên quan đến phân tích dữ liệu, trong đó em phụ trách làm sạch dữ liệu, phân tích và trực quan hóa bằng Power BI/Excel.&#10;&#10;Kết quả là xây dựng được dashboard giúp theo dõi và rút ra insight từ dữ liệu. Qua đó, em cải thi"/>
        <s v="No, i haven't"/>
        <s v="Digital Commerce Executive (Client Nutifood):&#10;Media Management (20%): Collaborated with the Performance Marketing team to develop media plans for Shopee, TikTok Shop, Lazada forecast ROI, and plan sales activities.&#10;Promotion Management (30%): Responsible "/>
        <s v="As a Customs Declaration Intern at Long Phu Logistics, my role involved processing complex cargo data and verifying shipping documentation to ensure strict compliance with international trade policies and Incoterms. The primary outcome was facilitating sm"/>
        <s v="I have experience in both community growth and data analysis. I directed a viral TikTok strategy that achieved 107,000+ likes and 10,000+ followers by analyzing audience trends and testing content hooks. Additionally, at Gateway Learning, I managed Facebo"/>
        <s v="I conducted a Sales Data Analysis project where I built an end-to-end data pipeline using SQL, Python, and Power BI. My role involved data modeling and mining to uncover actionable trends, leading to more data-driven operational insights."/>
        <s v="Trước đây, em đã từng thực tập với vị trí Software QC tại SPERANZA INTERNATIONAL SOFTWARE DEVELOPMENT COMPANY LIMITED trong vòng 3 tháng. Ngoài ra, đối với ngành công nghiệp game thì em đã từng làm việc với vị trí Content Writer, Video Editor cho một số d"/>
        <s v="Overview: Designed and operated a server-authoritative backend supporting real-time multiplayer gameplay and live services.&#10;&#10;Key Contributions:&#10;&#10;&#10;Developed socket-based networking using TCP/IP:&#10;   + TCP for authentication, lobby, chat, and session managem"/>
        <s v="CS Staff: Quản lý lớp học, chăm sóc khách hàng và tổ chức sự kiện tại trung tâm.&#10;QC Staff: Kiểm soát chất lượng hàng hóa, quản lý tồn kho và vận hành đơn hàng thương mại điện tử."/>
        <s v="Data Security Intern (TRG International) - Create Usage Guide Documents; Setup, configure Data Loss Prevention Policies; Create Sensitive Auto-Labeling for 100+ Internal Documents; Collaborate with 5 Cross-function departments to guide them input and clas"/>
        <s v="em từng thiết kế game 2D based turn, game đi cảnh tương tự mario, game đánh bóng 2D, game dạng đập chuột thời xưa."/>
        <s v="I am interested in the gaming industry, but I have not had direct experience in this field. I hope to gain hands-on experience and learn more by applying for this role."/>
        <s v="I have self-developed a 2D game using Godot Engine. I was responsible for the entire development process, including game design, implementing core gameplay mechanics, player controls, UI, and basic animations.&#10;Through this project, I gained practical expe"/>
        <s v="- Data Analysis Intern | IDG Vietnam: Analyzed quantitative and qualitative data across multiple customer segments to evaluate and rank banking products for national awards&#10;- Top 5 | RMIT Business Analytics Champion 2025: Analyzed manufacturing data and p"/>
        <s v="Trong dự án Flight Delay Prediction, em phụ trách data cleaning và xây dựng mô hình ML. Kết quả, mô hình đạt ~80% accuracy, xác định 3 yếu tố chính gây delay (thời tiết, hãng bay, lịch bay) và hỗ trợ dự đoán xu hướng trễ chuyến."/>
        <s v="Có dựa theo video trên Youtube để làm một tựa game trên Unity giống với mario"/>
        <s v="Nhiệm vụ chính: Hiện thực hóa thuật toán tìm đường với tối đa 2 bước ngoặt, cơ chế tự động xáo trộn (Shuffle) và hệ thống gợi ý (Hint) thông minh.  &#10;&#10;Kỹ thuật xử lý: Quản lý dữ liệu mảng đa chiều, đồng bộ hóa trạng thái trò chơi và tối ưu hóa hiệu suất vậ"/>
        <s v="Prioject: User Behavior and Demographic Analysis in Online Advertising&#10;Role: Data Analyst&#10;Description: Conducted a full-cycle data analysis project to understand user behavior in online advertising. Performed data preprocessing, exploratory data analysis "/>
        <s v="Chưa từng có kinh nghiệm liên quan ạ"/>
        <s v="Tôi có làm dự án về LLM và RAG cho tư vấn bệnh tiểu đường"/>
        <s v="Tôi đã có kinh nghiệm quản lý hồ sơ, hõ trợ kết nối giữa giảng viên và phụ huynh qua công việc làm trợ giảng tiếng anh. Bên cạnh có, tôi cũng từng thực hiện dự án môn Hành vi tổ chức yêu cầu nghiên cứu về động lực thúc đẩy khả năng làm việc của nhân viên,"/>
        <s v="Em đã tham gia 1 project nhóm phân tích dữ liệu Airbnb, sử dụng Excel và Power BI để phân tích các yếu tố như giá và tỷ lệ lấp đầy, từ đó rút ra insight và đề xuất hướng tối ưu. Ngoài ra, em có kinh nghiệm cơ bản trong việc theo dõi và tối ưu các chỉ số t"/>
        <s v="Em đã hoàn thành 7 tựa game. Trong đó, em đảm nhận việc lập trình, thiết kế game, đồ họa, âm thanh. Qua các dự án ấy em học được cách thiết kế hệ thống tương tác nhau một cách chỉnh chu cũng như là những thiết kế sai để có thể né tránh những lỗi lầm ấy."/>
        <s v="I have 1 personal project and 1 coursework:&#10;The first coursework is &quot;Customer churn analytics and prediction in telecommunication&quot;, it's a project of &quot;Statistical Analysis&quot; subject. I began by performing Exploratory Data Analysis (EDA) - with using Python"/>
        <s v="I haven't had any game-related or job-related experience before"/>
        <s v="During my &quot;Magazine and Publication Production&quot; course, my team created a game-themed magazine called GAME VERSE.&#10;&#10;Role: I was the Head of Content, where I was responsible for coordinating the editorial team, planning the topic, managing the content strat"/>
        <s v="I worked on RecipeLens, an AI-powered full-stack application.&#10;I integrated AI models into application workflows, built backend APIs, and handled async processing. This project gave me hands-on experience with AI pipelines and deploying an end-to-end syste"/>
        <s v="Real‑Time Sentiment Analysis for E‑Commerce – Role: System Designer and Model Developer. I built a big data pipeline with Kafka/Spark and fine‑tuned PhoBERT for multi‑aspect sentiment classification. Outcome: Delivered sub‑5 second latency and F1‑Score 0."/>
        <s v="Em đã có kinh nghiệm làm các dự án liên quan đến phân tích dữ liệu trong quá trình học. Ở dự án HR Analytics, em thực hiện xử lý dữ liệu, phân tích hiệu suất nhân sự và rút ra insight để hỗ trợ báo cáo.&#10;&#10;Ngoài ra, em có làm dự án Rice Leaf Disease Classif"/>
        <s v="- Dự án &quot;AiAction&quot; tại FPT Telecom: Với vai trò Software Engineer, em chịu trách nhiệm tích hợp các API nhận diện hành vi bằng AI vào kiến trúc backend. Kết quả: Kỹ sư hóa thành công dịch vụ AI lên môi trường production, đáp ứng được các tiêu chuẩn về giá"/>
        <s v="I was responsible for managing the social media for a project in the Digital Marketing course. In particular: &#10;● Concepted and executed the complete brand ecosystem, including naming, logo design, mascot development, and a cohesive color palette.&#10;● Direct"/>
        <s v="GameMeoAn(thả vật phẩm từ trên xuống người chơi sẽ nhặt thức ăn để được cộng điểm , nhặt phải vật dụng thì bị trừ máu)&#10;GameRoBot(Người chơi sẽ vào vai nhân vật robot rắn đi phiêu lưu và tiêu diệt quái vật )&#10;DreamRPG(nhập vai vào hiệp sỹ nguyên tố phiêu lư"/>
        <s v="I managed user acquisition campaigns across TikTok, Facebook, and LinkedIn as a digital marketing analyst (intern) at OTSU LABS, analyzing retention signals and audience behavior to drive a 20% increase in video watch-through rates and over 120K impressio"/>
        <s v="No."/>
        <s v="Vai trò của em trong dự án Battleship Game là 1 leader, em chịu trách nhiệm nghĩ ra ý tưởng, phân chia công việc cho các thành viên trong team, quản lý tiến độ công việc, tổng hợp kết quả của team. Về phần coding, em chịu trách nhiệm hiện thực 1 phần UI, "/>
        <s v="Em có kinh nghiệm làm việc với SQL, database và ETL, bao gồm xử lý, làm sạch và chuyển đổi dữ liệu phục vụ lưu trữ và phân tích. Những trải nghiệm này giúp em xây dựng tư duy làm việc dữ liệu một cách logic và có hệ thống."/>
        <s v="In the project part in my CV"/>
        <s v="Tôi Là một thành viên trong team chịu trách nhiệm thiết kế UI, logic xử lý backend, kết nối database, xử lý hiệu ứng cho các thành phần giao diện. Kết quả hoàn thiện được game multiplayer, đồng thời deploy bằng Railway, đúng deadline và đạt được điểm cùng"/>
        <s v="Data-focused research on medical image datasets (preprocessing, data quality standards) and relational database design for a workspace management project. Won Overall Champion — Business Case at One Day Boschler 2026 (Bosch) as a team, applying analytical"/>
        <s v="Yes. I've worked on a few projects across my studies. My thesis was RogueLearn, a WebGL multiplayer game built with Unity Netcode and hosted on a Docker server, where I handled the full stack solo. I also built Overrun, a 3D roguelite arena shooter where "/>
        <s v="While I do not have direct experience in the gaming industry yet, I have gained hands-on experience through coursework and personal data analysis projects. In these projects, I worked with datasets to perform data cleaning, exploratory analysis, and visua"/>
        <s v="Tôi dùng giải thuật A* để tìm đường đi ngắn nhất để giải bài toán trong bài tập lớn Sokoban, kết quả giải thuật hoàn thành tốt, giải được bài toán đặt ra"/>
        <s v="I have experience in Marketing-related projects and competitions.&#10;I worked as a Marketing Lead in a startup project called Laceup, where I was responsible for defining the communication direction, conducting user insight research, and executing marketing "/>
        <s v="I have experience working with large-scale retail data during my internship, where I cleaned, validated, and built reports to support operations monitoring&#10;I also worked on academic projects related to data analysis and system testing, including test case"/>
        <s v="I only used to implement the game via my course at my university, using javaFX for frontend and Java for backend logic"/>
        <s v="I worked as a Project Manager and Tester in the “FunnyRacing” project, a 3D racing game developed in Java. The project was successfully completed with full features, including user management, multiple race tracks, betting and minigames."/>
        <s v="Em đã có kinh nghiệm từ kỳ thực tập với vị trí Business Development, chủ yếu làm về research thị trường, phân tích dữ liệu bán hàng từ 20+ cửa hàng và theo dõi các chỉ số để đưa ra insight và đề xuất cải thiện. Em cũng có tham gia lên ý tưởng sản phẩm dựa"/>
        <s v="Trong WorldQuant IQC, em đảm nhận vai trò research, thử nghiệm các phương pháp trên toán tử do công ty cung cấp để tạo alpha dự đoán xu hướng thị trường chứng khoán. Kết quả đạt Giải 3 tại IUH và Top 18 Việt Nam.&#10;&#10;Trong UIT Data Science Challenge 2024, em"/>
        <s v="Em đã thực hiện một số project game cá nhân bằng Unity trong quá trình sinh hoạt ở câu lạc bộ GameDev Club HCMUT và các bài tập lớn của môn Lập trình game. Bên cạnh đó, em từng đậu vòng tuyển chọn thực tập tại VGames, giúp em có thêm góc nhìn về quy trình"/>
        <s v="While I have not worked on game-related projects yet, I have experience working with diverse datasets from multiple sources and developing projects that appropriate with the role’s requirements. These experiences have helped me build a strong foundation t"/>
        <s v="Tôi đã tham gia phát triển một dự án game multiplayer mang tên Number Finding Game (05/2024 – 08/2025) với team 3 người, trong đó tôi đảm nhiệm vai trò Frontend &amp; Client–Server Multiplayer.&#10;Trong dự án này, tôi phụ trách xây dựng giao diện người chơi và t"/>
        <s v="Vai trò của em trong dự án là gameplay development. Em đã hoàn thành xây dựng hệ thống kẻ địch, lính đồng mình. Thiết kế và lập trình cơ chế cho 2 boss chính của game. Dự án hoàn thành mức playable với đủ chức năng nhưng vẫn còn một số vấn đề UXUI và bug."/>
        <s v="Dạ không có ạ"/>
        <s v="Capstone Project: Lost Between Realms 3D RPG – Roguelike&#10;- Vị trí đảm nhiệm: Leader&#10;- Quản lý thông tin vận hành trong nhóm, hỗ trợ giải quyết khi thành viên gặp khó khăn trong quá trình làm việc.&#10;- Kiểm tra chất lượng asset/object của các thành viên tron"/>
        <s v="Trong đồ án về đề tài đánh giá hiệu quả vaccine COVID-19, em đảm nhiệm vai trò xử lý, phân tích dữ liệu time-series và đưa ra các insight về tác động của vaccine lên diễn biến dịch. &#10;Kết quả là chứng minh được mối tương quan nghịch giữa mức độ bao phủ vac"/>
        <s v="Ngoài các hoạt động được ghi vào CV, em đã thực hiện nhiều báo cáo cuối kỳ ở các môn như Digital Marketing, Phân tích Digital Marketing, Search Marketing và Quản trị khách hàng số. Vai trò của em chủ yếu là nghiên cứu thị trường, phân tích dữ liệu và đề x"/>
        <s v="Tôi đã từng phát triển 3 con game trong thời gian đi học, trong đó có một con game tôi đã làm trong đề tài khoá luận tốt nghiệp của tôi.&#10;Tôi đã đi thực tập ở một công ty game, ở đó tôi được code về kỹ năng nhân vật(Tôi rất thích làm cái này), logic skill,"/>
        <s v="Mình chưa có kinh nghiệm trực tiếp liên quan đến game hay vị trí AI Engineering. Tuy nhiên, mình đã tự làm một số dự án AI cá nhân liên quan đến LLM và prompt engineering, và đang tích cực học thêm về agentic workflows."/>
        <s v="Yes. I am currently working on a research project about a TravelPlanner chatbot using LLM-based agents. My role involves studying agent workflows, prompt design, constraint handling, and structured response generation for travel-planning tasks. The projec"/>
        <s v="Em chưa có kinh nghiệm thực tập"/>
        <s v="In my university Game Programming Course, I am the team leader and take the role of designing game project mechanic, team representator"/>
        <s v="Tuy chưa từng có kinh nghiệm trực tiếp trong lĩnh vực game, tôi đã thực hiện một dự án cá nhân phân tích dữ liệu khách hàng ngân hàng, đảm nhận từ khâu xử lý dữ liệu đến phân tích và trực quan hóa. (Chi tiết tại repo: VP Bank Customer Segmentation &amp; Reven"/>
        <s v="Developed a match-3 game using Unity, implementing gameplay logic, UI, and systems such as special gems, shop, and audio. The project is fully playable and published on GitHub."/>
        <s v="UI Design, Concept Design, Game Flow Design"/>
        <s v="góp phần tạo ra giao diện app game, các tính năng cơ bản và dựng nhân vật. Kết quả của đồ án đó được A"/>
        <s v="Từng thi cuộc thi giải case e-commerce, cộng tác viên cho sự kiện"/>
        <s v="Em thực hiện các bài tập game nhỏ bằng Unity, trong đó em xây dựng gameplay cơ bản, UI và logic game đơn giản bằng C#. Các bài tập đã hoàn thành theo yêu cầu môn học và giúp em nắm được các khái niệm nền tảng về phát triển game."/>
        <s v="Thực tập sinh Game Devoloper cho công ty Ace Galaxy. &#10;Vai trò: Trưởng nhóm&#10;Tham gia hỗ trợ việc giao tiếp giữa nhóm thực tập và công ty, thông qua hình thức nhắn tin trên Telegram. Hỗ trợ kiểm tra lỗi, phân công công việc cho các thành viên trong nhóm.&#10;Đạ"/>
        <s v="I was a game designer on the Anime Auto Chess project"/>
        <s v="Developing a personal Unity (C#) game project, responsible for gameplay programming and system design. Implemented core mechanics (movement, interaction, animation, basic AI) and focused on scalable architecture and clean code. The project is ongoing."/>
        <s v="Project ETL end-to-end cho dữ liệu bán hàng bằng Python và Power BI; thực hiện trích xuất dữ liệu từ Excel, làm sạch và biến đổi bằng Pandas, NumPy nhằm đảm bảo tính chính xác và nhất quán. Tiến hành phân tích khám phá dữ liệu (EDA) với Seaborn và Matplot"/>
        <s v="Em có từng làm đồ án nhỏ về thiết kế game với vai trò thiết kế nhân vật cùng với môi trường trong game."/>
        <s v="Yes, I have experience developing a Caro (Gomoku) game using sockets. The game supports real-time multiplayer, allowing players to connect and play with each other.Through this project, I worked on client–server communication"/>
        <s v="Em chưa có kinh nghiệm liên quan đến game, em có nghiên cứu, biết một chút kiến thức về các công việc liên quan đến game."/>
        <s v="Trong dự án phân tích dữ liệu game tại VNG Corporation, em đóng vai trò khai thác và phân tích dữ liệu về hành vi users, theo dõi các chỉ số như retention, ARPU và funnel. Kết quả là xác định được điểm rơi churn và đề xuất cải tiến cho sự kiện trong game,"/>
        <s v="Worked as both game designer and developer in personal Unity projects since 2023. Responsible for gameplay systems, UI implementation, feature development, balancing, debugging, and overall game flow. Built playable prototypes and completed small game pro"/>
        <s v="Đã từng giữ vai trò leader trong 3/6 dự án tại trường học."/>
        <s v="Em chưa có kinh nghiệm trực tiếp trong mảng game, nhưng em đã làm Marketing Intern với các công việc liên quan đến nội dung và quảng cáo. Em cũng chơi game như Liên Quân Mobile và game casual nên có hiểu biết về hành vi người chơi và em tin mình có thể họ"/>
        <s v="I have worked as a QA game for 1 year at Hopper Games Studio. As a QA game, I ensure the quality and performance of mobile games across multiple genres including Idle, Casual, Merge, RPG, and Tower Defense."/>
        <s v="Dự án nhỏ về pokemon matching game trên console bằng C++."/>
        <s v="Dạ em chưa có"/>
        <s v="Tại FN Trading Lab, em đảm nhận vị trí Content Writer với các kết quả nổi bật:&#10;• Tăng trưởng lượt xem: Tối ưu hóa kịch bản video (TikTok/Reels), đưa lượt xem từ mức 300 - 3.000 lên mức đột phá 20.000 views mỗi clip.&#10;• Chuyên môn hóa nội dung: Sản xuất bản"/>
        <s v="I independently developed an end-to-end RAG system, covering the full pipeline from data ingestion to LLM response optimization. Using LangChain for orchestration, I integrated the Google Gemini API and built an interactive user interface with Streamlit. "/>
        <s v="Xây dựng dự án cá nhân là web game Flappy Bird vào năm 4 đại học"/>
        <s v="Em đã hoàn thành hai dự án phân tích dữ liệu toàn diện. Với Xóm E-Com, em phân tích hành vi và tỷ lệ giữ chân khách hàng cho nền tảng thương mại điện tử quy mô 2,3 triệu USD, áp dụng phân khúc RFM và tư duy Cohort để giải mã lý do người dùng rời bỏ sau lầ"/>
        <s v="Em đã từng tham gia một cuộc thi giải case study do Logitech giao đề bài. Tuy Logitech là thương hiệu về gaming gear nhưng em đã có cơ hội được tìm hiểu và khai thác về đối tượng chơi game và hành vi của họ một cách sâu sắc hơn. Tuy chưa đạt được kết quả "/>
        <s v="-"/>
        <s v="Vai trò của em là hỗ trợ nghiên cứu và thử nghiệm triển khai hệ thống chatbot RAG. Kết quả sau 3 tháng thực tập là một chatbot có thể phản hồi được các vấn đề cơ bản đã được đặt ra ban đầu. Đồng thời đảm bảo chatbot có thể trả lời đúng phạm vi, nhiệm vụ."/>
        <s v="Mặc dù chưa có nhưng em sẽ phát triển hơn  ạ"/>
        <s v="Tôi có gần 1.5 năm kinh nghiệm phát triển game WebGL bằng Unity tại công ty, tập trung vào gameplay systems, multiplayer synchronization và tối ưu hiệu năng. Tôi đã tham gia phát triển các dự án multiplayer farming simulation và idle game, phối hợp cùng b"/>
        <s v="- Tester Intern: Đảm bảo chất lượng sản phẩm trước khi đến tay khách hàng thông qua kiểm thử chức năng, UI và API; quản lý bug và task trên Odoo; hỗ trợ automated testing với Playwright và Git workflow. Đồng thời áp dụng các công cụ AI như ChatGPT và Clau"/>
        <s v="Em từng tham gia ở các vai trò khác nhau trong một nhóm từ thành viên đến leader khi thực hiện bài tập hoặc tham gia cuộc thi. Trong đó kết quả cao nhất là giải Nhì cuộc thi SeApp2024, một cuộc thi do khoa Công nghệ Phần mềm trường UIT tổ chức, với tựa ga"/>
        <s v="Tôi đã tự thực hiện nhiều concept game puzzle/casual cá nhân, chủ yếu tập trung vào gameplay design, level flow và viết GDD. Vai trò của tôi là phân tích market references, đề xuất gameplay twist, thiết kế core loop và xây dựng prototype concept trên Unit"/>
        <s v="- Em đã từng clone lại vài màn chơi của game NamelessCat để làm đồ án môn học Lập trình trực quan, em đã làm phần di chuyển player, âm thanh, UI, xây dựng màn chơi, kết quả là em đã đạt điểm cao ở môn đó.&#10;- Hiện tại em đang cùng các bạn trong câu lạc bộ G"/>
        <s v="Tại Dmobin, em có cơ hội tiếp xúc với các dòng game Hyper-casual/Casual. Điểm em học được nhiều nhất là cách lên ý tưởng sáng tạo cho creative. Bên cạnh đó, em cũng hỗ trợ thiết lập và giám sát các chiến dịch trên Google Ads."/>
        <s v="Em chưa ạ"/>
        <s v="During my Brand Marketing internship at WinEco – Masan Group, I supported various activities related to market research, communication, and marketing plan execution. Specifically, I conducted regular research on pricing, competitor promotions, and consume"/>
        <s v="- Em có một dự án cá nhân về Phân tích chỉ số kinh doanh và Hành vi người dùng của game Autogun Heroes: Run and Gun. &#10;&#10;- Vai trò: Là người thực hiện dự án độc lập, chịu trách nhiệm toàn bộ quá trình từ khâu xử lý, mô hình hóa dữ liệu đến việc thiết kế Das"/>
        <s v="Em phát triển game Match-3 theo phong cách Bejeweled bằng C# WinForms. Vai trò chính gồm xây dựng gameplay cơ bản như swap, kiểm tra match, tính điểm và quản lý lưới game. Thông qua dự án, em hiểu thêm về gameplay loop, logic hệ thống và trải nghiệm người"/>
        <s v="Em từng tham gia thự tập về Game designer tại Gihot Studio.&#10;Trong quá trình tham gia, em được giới thiệu về công việc game designer, các khái niệm lý thuyết. Được tham gia đánh giá sản phẩm đang phát triển của R&amp;D. Quan trọng hơn là các chia sẻ về Văn hóa"/>
        <s v="Trong dự án xây dựng hệ thống dịch video Anh–Việt ứng dụng Machine Learning, em đảm nhiệm vai trò AI Engineer, tập trung vào nghiên cứu, tích hợp và tối ưu các mô hình AI cho toàn bộ pipeline xử lý video tự động. Hệ thống được thiết kế theo hướng end-to-e"/>
        <s v="Tôi đã phát triển game Kéo – Búa – Bao bằng C# WinForms với các chức năng xử lý logic trò chơi, tính điểm và giao diện người dùng cơ bản. Tham gia thiết kế giao diện, xử lý sự kiện và kiểm thử chức năng nhằm đảm bảo game hoạt động ổn định và dễ sử dụng."/>
        <s v="Em đã có kinh nghiệm thực hiện các dự án Game Design và cọ xát qua bài test của doanh nghiệp:&#10;&#10;Bài Test Chuyên môn Game Designer (Athena Studio):&#10;&#10;Vai trò: Thực hiện bài test phân tích và thiết kế game theo yêu cầu thực tế của studio.&#10;&#10;Kết quả: Bài làm đư"/>
        <s v="Trong dự án DIGI (App E-learning tích hợp Gamification), em đảm nhận vai trò Product Lead tập trung vào System &amp; UX Design. Cụ thể, em chịu trách nhiệm xây dựng lộ trình bài học (tương đương Level Design) và thiết kế các cơ chế giữ chân người dùng (như hệ"/>
        <s v="Pathfinding Visualizer: Led a team Unity project by implementing the UI and Tilemap-based maze system, while designing the pathfinding function template for team member implementation. Achieved a project score of 9/10.&#10;&#10;Sky Hopper: Independently developed"/>
        <s v="em đã và đang phát triển một dự án game cá nhân, lấy chủ đề là chuyển đổi giữa 2 thế giới thật và thế giới gương để giải câu đố, người chơi sẽ vào vai một nhân vật tạm thời mất kí ức sau cú rơi vào thế giới gương, trong quá trình tìm kiếm cách để trở về t"/>
        <s v="I do not have professional game industry experience yet, but I have been a long-time gamer and have always been curious about how game systems and user experiences work. I enjoy observing gameplay flows, features, and inconsistencies, which is one of the "/>
        <s v="I have worked on several game projects involving gameplay design, level design, UI/UX, and player experience. In “REGROVER HILL,” I focused on puzzle progression, level flow, and gameplay systems. In “MIRACLE,” I worked on combat gameplay, UI/UX, feedback"/>
        <s v="Đây là dự án cá nhân nên em đóng vai trò chính, một mình hoàn thành tất cả các giai đoạn phát triển của dự án. Sau khi hoàn thành dự án em có thêm được những kiến thức cũng như những kinh nghiệm quý báu được rút ra từ dự án cá nhân đấy"/>
        <s v="Em đã thực hiện nhiều dự án AI cá nhân và tham gia các cuộc thi/hackathon liên quan đến AI Engineering, LLM và workflow automation.&#10;&#10;Dự án nổi bật nhất là DentAI – hệ thống AI hỗ trợ chẩn đoán X-quang răng, trong đó em xây dựng pipeline gồm Computer Visio"/>
        <s v="Em từng tham gia nhiều dự án và cuộc thi liên quan AI/LLM. Trong dự án DentAI v2, em tham gia xây dựng pipeline AI gồm RAG, Prompt Engineering và tích hợp LLM với hệ thống xử lý ảnh X-quang. Ngoài ra em từng hỗ trợ technical workflow và tích hợp AI API ch"/>
        <s v="Em chưa có kinh nghiệm thực tiễn về game, tuy nhiên em đã tự bổ sung kiến thức của mình bằng các khóa học bên ngoài và thử sức cho case study giả định như trong CV"/>
        <s v="Tại Nekotech, em từng làm Game User Tester với công việc kiểm thử gameplay, tìm lỗi và đưa ra feedback để cải thiện trải nghiệm người chơi.&#10;Trong dự án Game Verse 2025 – Xoul’s Era, em đảm nhận vai trò Game Designer và Unity Developer, tham gia thiết kế g"/>
        <s v="Em có làm Snake Game (đính kèm trong CV) cho môn DSA. Đây là dự án cá nhân, em dùng Java để mở rộng trò chơi Snake Game cổ điển, trong đó em xây dựng các gameplay systems chính như di chuyển của rắn, collision detection, obstacle generation, enemy behavio"/>
        <s v="Nthiết kế UI/UX đến phát triển ứng, trực tiếp đảm nhiệm toàn bộ quy trình từ nghiên cứu trải nghiệm, em đã lên ý tưởng wireframe, thiết kế luồng người dùng. Hoàn thiện toàn bộ bản thiết kế UI/UX ."/>
        <s v="Em từng thực hiện một dự án VR game mô phỏng trải nghiệm pha chế cà phê, trong đó em phụ trách research người dùng, testing trải nghiệm và đóng góp ý tưởng cải thiện tính năng, đồng thời quản lý và điều phối công việc của cả nhóm. Dự án đạt điểm 10 và nhậ"/>
        <s v="I have completed several independent projects focused on data analysis and engineering. I built CineB, a cinema analytics dashboard using SQL Server and React, writing advanced T-SQL queries including window functions and CTEs to surface revenue trends, s"/>
        <s v="Hiện tại em đang là giảng viên tại MindX Technology School, em đang phụ trách giảng dạy các môn liên quan đến lập trình game như Scratch, GameMaker cho các bạn học sinh từ 10-16 tuổi. Nhiệm vụ của em là truyền đạt kiến thức và hướng dẫn các bạn thực hiện "/>
        <s v="As a Commercial Data Analyst Intern at Hello Health Group, I was responsible for collecting, validating, and analyzing financial and operational data to ensure accurate reporting.&#10;I also supported building dashboards to track sales performance and assist "/>
        <s v="In university projects, I worked mainly as a Game Designer, focusing on gameplay design, level balancing, playtesting, and documentation. I also collaborated closely with programmers and artists during development. The projects resulted in playable Unity "/>
        <s v="Trong dự án AI-Generated Text Detector, mục tiêu là phân biệt văn bản tiếng Việt do người và AI viết. Em có vai trò trong việc trực tiếp thiết kế Prompt Engineering để tạo dữ liệu phù hợp văn phong giống con người viết, xây dựng AI Pipeline chuẩn hóa văn "/>
        <s v="I am currently analyzing a game-related personal project, in which I am responsible for data cleaning, exploratory analysis, and building interactive dashboards to analyze player behavior, retention, and in-game purchasing patterns. The project helped ide"/>
        <s v="Project: &quot;Stars Speak&quot; English Speaking Contest &amp; AHB Tết Fair.&#10;&#10;Responsibilities: Conceptualized and designed the &quot;event journey&quot; as a gamified experience for over 250 students. I was responsible for creating interactive activity booths, point-reward sys"/>
        <s v="As Project Leader for the Debate competition FIM, I spearheaded the end-to-end execution, from defining the academic themes to managing a cross-functional team of organizers and judges. I successfully streamlined the competition’s operations and organized"/>
        <s v="I built an e-commerce dashboard analyzing $1.94M revenue, engineered 4 SQL views across 6 tables, built a Power BI dashboard with 11 DAX measures, and uncovered $85K in refund risk. &#10;I also built a banking BI pipeline on 1M+ transactions, applying ML to s"/>
        <s v="Tôi đã thực hiện các dự án cá nhân trên Unity như game 2D.&#10;Tôi chịu trách nhiệm chính lên ý tưởng - sau đó là lập trình hệ thống và xây dựng cấu trúc dữ liệu cho game. Kết quả là hoàn thiện các bản Prototype có cơ chế vận hành mượt mà và đồng thời nắm vữn"/>
        <s v="Có. Tôi từng thực hiện một dự án game Battleship bằng Python với giao diện Tkinter trong môn học/dự án cá nhân. Trong dự án này, tôi xây dựng logic trò chơi và bot AI, bao gồm Random AI và Hunt &amp; Target AI, trong đó bot chuyển sang chế độ nhắm mục tiêu sa"/>
        <s v="Yes. I have experience developing personal Unity game projects, mainly focused on gameplay programming and game systems.&#10;&#10;One of my projects is an online multiplayer game inspired by social deduction gameplay. In this project, I worked on player movement,"/>
        <s v="Vai trò: Full-stack Developer (Người phát triển chính)&#10;Mô tả: Hoàn thành sản phẩm &quot;Cẩm nang cho Cộng đồng người chơi game Gacha&quot;, giúp người dùng tra cứu dữ liệu nhân vật nhanh chóng. Hệ thống vận hành ổn định với khả năng đồng bộ dữ liệu thực tế (real-ti"/>
        <s v="Vai trò: Lập trình viên chính (Solo Developer). Trực tiếp xây dựng Core Gameplay trên Unity 6, thiết kế hệ thống AI (State Machine) cho 5 archetype kẻ thù và ứng dụng workflow UI Toolkit để tối ưu hóa hiệu suất hiển thị.  &#10;Kết quả: Hoàn thiện bản Demo chơ"/>
        <s v="Although I have not had professional working experience yet, I have worked on several academic and personal data analysis projects involving data cleaning, transformation, querying, dashboard visualization using SQL and Power BI, as well as applying basic"/>
        <s v="In one of my previous project (an education game), my job is analysis the requirement of the customer, and then design the function for each of it. My second project is made game from scratch, begin with find new idea, design UI, find music, and testing t"/>
        <s v="Em là Team Leader phụ trách data processing và exploratory analysis trong dự án DATATHON 2026 – The Gridbreakers. Vai trò chính của em gồm data cleaning, EDA, feature engineering và visualization để tìm business insights từ dữ liệu e-commerce thời trang. "/>
        <s v="Từng tham gia các cuộc thi Game Jams (DEV-GD)&#10;Có kết quả tốt trong các môn học về game (&gt;=9.0)&#10;Đạt top 3 game xuất sắc nhất trong Môn học đồng đào tạo với VNGxUIT"/>
        <s v="Em có khoảng 1 năm kinh nghiệm ở vị trí UA Marketing trong ngành game mobile. Công việc chính của em là triển khai và tối ưu campaign trên Facebook, TikTok, Google, Unity cho thị trường global; theo dõi data qua Adjust và Looker để tối ưu ngân sách, creat"/>
        <s v="Tôi từng làm Sales Data Analyst cho công ty mảng tech insurance. Công việc của tôi gồm có: Fix data hệ thống; clean data thô do lỗi nhập liệu còn thô sơ; tinh chỉnh hệ thống nhập liệu; xử lý dữ liệu và push lên report hàng ngày cho các phòng ban/khách hàn"/>
        <s v="/"/>
        <s v="Trong suốt quá trình học tập ở trường tôi đã tham gia phát triển một số dự án game bằng Unity với vai trò là một game developer, hầu hết là các dự án làm với team bên cạnh đó cũng có một số dự án cá nhân.&#10;Các game thành phẩm đều được đánh giá tích cực bởi"/>
        <s v="I worked as a level designer so I joined for around 6 different games and designed more than 300 levels"/>
        <s v="independent research, content optimization"/>
      </sharedItems>
    </cacheField>
    <cacheField name="*Please attach your related Portfolio or Project links here*&#10;Vui lòng đính kèm Portfolio hoặc Link dự án liên quan đến kinh nghiệm của bạn tại đây. " numFmtId="0">
      <sharedItems>
        <s v="http://113mobile.somee.com/"/>
        <s v="(Social Media Ads Analytics) https://github.com/triphamday/social-media-ads-datawarehouse  (Airline Loyalty Analysis) https://github.com/triphamday/airline-loyalty-analytics"/>
        <s v="https://github.com/nghiantrong/HorrorGame_Loop"/>
        <s v="Kênh Youtube : https://www.youtube.com/@HomemadeGames-v7y  Github:https://github.com/AnhAnIT/CombatFramework2D"/>
        <s v="https://culicoder.itch.io/shadow-dash-2d"/>
        <s v="https://github.com/Cow040606/EcoWorld"/>
        <s v="https://surl.li/qfueni, https://surl.li/bhmajq, https://surl.li/bhmajq"/>
        <s v="https://embaotoichoi.github.io/my-profile/"/>
        <s v="https://drive.google.com/drive/folders/1yPEC87Mw-r_ciPQ2hC6jdqNbwutx3KD9?usp=sharing"/>
        <s v="Đã tạm dừng được 2 năm.thực tập năm 3(2024)"/>
        <s v="https://github.com/hotaru0906/CDOnline"/>
        <s v="https://github.com/xxxmvppmn/FoodWaste-OLAP-Project"/>
        <s v="https://drive.google.com/drive/folders/1up0IN9ytXdY2yyhp9giNVKS7Kr7L0q_3?usp=sharing"/>
        <s v="Portfolio:&quot; https://www.notion.so/Project-Overview-3189f5ea2d9f80d69291f9c032848b8d?source=copy_link&quot; -- Link github: https://github.com/ShiaKhan."/>
        <s v="https://github.com/haidang0201/Shooting_Bird_2D"/>
        <s v="Chưa có"/>
        <s v="https://phandinhthai012.github.io/"/>
        <s v="https://github.com/DilysT/Break-out-game/tree/main/Breakout_game"/>
        <s v="https://github.com/tdv1610"/>
        <s v="https://github.com/phat9824"/>
        <s v="https://github.com/huutai-le"/>
        <s v="NDA"/>
        <s v="https://tranphuonganhjeon.wixsite.com/tranphuonganhh"/>
        <s v="https://www.behance.net/gallery/195606085/My-Portfolio"/>
        <s v="https://play.unity.com/en/games/42d2e361-a359-44e2-bea1-f47fc7822c46/adventure?zarsrc=30&amp;utm_source=zalo&amp;utm_medium=zalo&amp;utm_campaign=zalo&amp;gidzl=vewLO_t1WpJXbv1d-TcADUwPdsBlreeqfCgHPRxMWM2bp9emxDQ1DQ7DbZEvW8qqzSxBO30lU29a-yMECG"/>
        <s v="Linkedin: linkedin.com/in/dpduy, Github: github.com/DuyEz13"/>
        <s v="https://github.com/ngoncovenduoq"/>
        <s v="https://www.linkedin.com/in/quannguyendinh/"/>
        <s v="https://drive.google.com/file/d/1HxEtcMO8zWRfg5BxIBgA3idMNYzM_4GA/view?usp=sharing"/>
        <s v="https://docs.google.com/spreadsheets/d/1Z2sy0iIVYIgvID-2GslEQJGdTSdNt5hj/edit?usp=drive_link&amp;ouid=113921569029709747633&amp;rtpof=true&amp;sd=true"/>
        <s v="https://github.com/ZiKPham/HotelManagementApplication"/>
        <s v="https://drive.google.com/drive/folders/17Qhha8fPtMw5hK34qnOXQhIsu8JOmnhy"/>
        <s v="https://hungvu.itch.io/void-seaker"/>
        <s v="https://drive.google.com/drive/folders/1_NjdY_zSRoZhGjL-7oPmn3UvNe1fl-lr"/>
        <s v="https://drive.google.com/file/d/1hyPJPqg3cZ8XCWQd3b_Foc-AoJwjKiQ1/view?usp=drivesdk"/>
        <s v="https://anhtuong6904.itch.io/demotribe"/>
        <s v="vnd.id.vn"/>
        <s v="https://drive.google.com/file/d/1pYfORHL0BnjjR8Jp1-8pQlmgXOouYi1I/view?usp=drive_link"/>
        <s v="https://github.com/namkiet/SuperMario/"/>
        <s v="None"/>
        <s v="Không thể đưa link do kí kết với bệnh viện liên quan đến bảo mật dữ liệu và hệ thống."/>
        <s v="https://github.com/pexa8335"/>
        <s v="https://github.com/ThuongHong/Maze"/>
        <s v="https://github.com/vunewbie/from-warehouse-to-lakehouse"/>
        <s v="https://github.com/Daniiislo/Flights-DW/"/>
        <s v="https://kabaxp.vercel.app/"/>
        <s v="Link game: https://pokiguard.online/. Link github cá nhân: https://github.com/CauVang3061"/>
        <s v="There is no links"/>
        <s v="Chưa từng"/>
        <s v="https://portfolio-dsbaophuc.vercel.app/"/>
        <s v="https://github.com/auster-vn"/>
        <s v="https://github.com/bichkhue23"/>
        <s v="https://github.com/duytammm/projectLuom"/>
        <s v="không có"/>
        <s v="https://github.com/quanghoang112/zk-game"/>
        <s v="https://github.com/chiongnaunau/FlappyBird"/>
        <s v="https://www.youtube.com/watch?v=v6HQ2pIcOXo"/>
        <s v="Bảo mật thông tin công ty không thể công khai"/>
        <s v="Em chưa có dự án liên quan đến game."/>
        <s v="https://lovely-niece-ab8.notion.site/UNITY-GAME-DEVELOPER-2d8c0afeae6780a99c82f322eaa4748e"/>
        <s v="No"/>
        <s v="https://github.com/sonbui25"/>
        <s v="https://f.io/7ZUiliXw"/>
        <s v="trongvt.me, github.com/thanhtrongvo/BlogMernStack, github.com/thanhtrongvo/e-commerce, github.com/thanhtrongvo/SieuThiMiniWebOnion"/>
        <s v="https://www.linkedin.com/in/ti%E1%BA%BFn-nguy%E1%BB%85n-5986ba354/"/>
        <s v="https://github.com/TruongTrikhai?tab=repositories"/>
        <s v="https://drive.google.com/drive/folders/1oOxnmgZPdjn3_SlRv5AGaUrFVwf6v71H?usp=sharing"/>
        <s v="Radiance: https://github.com/BrdH7940/Radiance; SCALAR: https://github.com/BrdH7940/Hybrid-Event-Based-Image-Retrieval; COMPASS: https://github.com/PhamPhuHoa-23/ROOMELSA-SHREC2025; TicTacToe: https://github.com/sabertoaster/TicTacToe-HCMUS; Tom-Jerry Maz"/>
        <s v="https://github.com/tnien/super-store-business-intelligence"/>
        <s v="https://www.linkedin.com/in/l%C3%AA-qu%E1%BB%91c-%C4%91%E1%BA%A1t-305602325/details/projects/"/>
        <s v="https://github.com/huuHoanGsr/END_GAME"/>
        <s v="https://github.com/binhba186"/>
        <s v="https://github.com/Ganth1811/NMLT_Project_game"/>
        <s v="https://play.unity.com/en/games/265201ad-a04d-439b-8106-3a636187b761/typenimalv1"/>
        <s v="https://github.com/LeNgocBao145/Project-Game-Pikachu.git"/>
        <s v="Link Portfolio: https://github.com/AnhKhoa2005"/>
        <s v="https://github.com/ball7905"/>
        <s v="https://tuttc.github.io/"/>
        <s v="No game-related experience yet"/>
        <s v="https://github.com/jin0507/OCR-Cosmetic-Ingredients.git"/>
        <s v="https://github.com/nguyenhieuthuan3105/Pacman_ghost_AI"/>
        <s v="https://drive.google.com/file/d/1i1xSdMWUMYGIEBJkk_ZOBPkYhxl5SEyt/view?usp=drivesdk"/>
        <s v="https://drive.google.com/drive/folders/1LCL4HeHlAdphW9SUZO2dsfHdTaheTaeZ"/>
        <s v="https://github.com/Unlockne"/>
        <s v="No i don't have any related Portfolio or Project"/>
        <s v="https://drive.google.com/file/d/1RFKHsV3KLCpEb_9D-xduuCcAvWTo2AYW/view?usp=drivesdk"/>
        <s v="https://github.com/kienlqd1234"/>
        <s v="https://github.com/tinnguyen0706/Tower-Denfense"/>
        <s v="Xin lỗi do source, và các tài liệu liên quan là của nội bộ công ty nên không thể chia sẻ được"/>
        <s v="https://github.com/Pipi1225/Wisp-shooting"/>
        <s v="https://github.com/Shunnio/LightOfKindness"/>
        <s v="https://sweetkingdark.itch.io/clicky-crates"/>
        <s v="https://nguyen-hoang-quan-chs7460.gamma.site/"/>
        <s v="https://github.com/CallmeAndree/UnityGame-AIProject"/>
        <s v="https://github.com/JuzHarii/tts-on-local-mobile-device"/>
        <s v="https://vnshort.com/cw9u, https://vnshort.com/Dg9x, https://vnshort.com/YkSg"/>
        <s v="https://github.com/huyquangtruong05/AISawsn-RAG-ChatBot.git"/>
        <s v="Github cá nhân: https://github.com/hiIamShiba, dự án cá nhân: https://github.com/hiIamShiba/YLE-FAQ-RAG,  https://github.com/hiIamShiba/English-Vietnamese-Parallel-Sense-Tagger"/>
        <s v="Kinh nghiệm đã đính kèm trong CV"/>
        <s v="https://labeurre.itch.io/"/>
        <s v="https://www.codingame.com/certification/ynuRgEvfKb6dEnoGjG6xzg"/>
        <s v="https://dreckiez.github.io/"/>
        <s v="https://portfolio.nguyendk.me/"/>
        <s v="Link tải game: https://drive.google.com/file/d/1oUh4t1s9FG6_NjWaEdMXfqf0lf-53TsZ/view?usp=sharing"/>
        <s v="https://github.com/tri21723"/>
        <s v="https://github.com/Chisgamble/pokemon"/>
        <s v="Vì paper đang trong quá trình hoàn thành nên em không thể công khai ạ"/>
        <s v="Dạ không có ạ"/>
        <s v="github.com/ptg14"/>
        <s v="https://github.com/vn-thaouyen"/>
        <s v="https://github.com/thanhowen2005/Projects-at-University.git"/>
        <s v="https://ftes.vn/vi"/>
        <s v="https://github.com/HTuanPhong , https://github.com/HTuanPhong/Euclidean-tessellation-game , https://github.com/HTuanPhong/Animal-Chess"/>
        <s v="https://github.com/Feelitx/intro-data-science.git"/>
        <s v="https://drive.google.com/drive/folders/1VB0PCsz_L-5fXw_QNRqf-oGxcd-F0uAc?usp=drive_link"/>
        <s v="N/A"/>
        <s v="không có Lưu Trữ"/>
        <s v="I don't have any link of my previous intern job"/>
        <s v="https://github.com/quangtangcf12"/>
        <s v="Due to confidentiality constraints, I’m unable to share certain project details publicly. However, I can discuss my experience and system design approach in detail during the interview."/>
        <s v="https://github.com/KenyaWashed/FinalProject_GGWP.git"/>
        <s v="https://www.notion.so/Y-n-Nhi-Game-Design-Portfolio-3313446cc537804290cef3d4cb65d4f2?source=copy_link"/>
        <s v="https://www.porfolio.id.vn/"/>
        <s v="https://yan25-06.github.io/my-portfolio/"/>
        <s v="https://eliorvance.itch.io/group-3-foxy-adventure-shard-of-hope"/>
        <s v="lmquang.uwu.ai"/>
        <s v="https://github.com/CrossManger"/>
        <s v="https://drive.google.com/drive/folders/1dy1UoqI3MNSap-Od_Ho9mATRLu2SYdD2?usp=drive_link"/>
        <s v="https://drive.google.com/drive/folders/1W00HOMmKv1bQj0oxEQ-ipY6mZS-ovhje"/>
        <s v="https://github.com/TVTruong777/PF242-Assignment2.git"/>
        <s v="https://drive.google.com/drive/folders/19iUpxRaz_4I63Lm1pa_hOOv0knfDNmUl?usp=sharing"/>
        <s v="https://www.canva.com/design/DAHGYMmxBLU/9d6XP2P3Cyk0U6yXHvtYcw/view"/>
        <s v="Em không có link dự án"/>
        <s v="https://github.com/paultheal1en/VulCan"/>
        <s v="https://drive.google.com/drive/folders/1pzhcZjMrn7OvshenE3pnISkrt3ND6FVK?usp=drive_link"/>
        <s v="https://huyagto.itch.io/racingai"/>
        <s v="https://github.com/KhanhBaoBuiHa/Classification-of-environmental-noise . https://github.com/KhanhBaoBuiHa/RecommendationSystem-"/>
        <s v="https://github.com/tathankochi/Fantasy2D"/>
        <s v="https://github.com/DoanThu-collab/CS231-vietnamese-currency-recognition"/>
        <s v="Em chưa có dự án làm game trực tiếp, nhưng em xin gửi link dự án Đồ họa 3D do em tự code. Dự án này thể hiện tư duy không gian và nền tảng lập trình 3D của em, rất có ích cho việc dùng Unity sau này ạ: https://github.com/Thien-lee-44/3D-editor"/>
        <s v="https://canva.link/znqiptynu6amqi0"/>
        <s v="Not record yet"/>
        <s v="https://github.com/Reinforcement-Learning-Pacman/Double-DeepQ-Learning"/>
        <s v="Chưa có kinh nghiệm về game"/>
        <s v="No experience"/>
        <s v="https://github.com/kNhung/ClaimCheck"/>
        <s v="."/>
        <s v="https://github.com/notDuyLam/DO-AN-CO-CARO"/>
        <s v="https://www.linkedin.com/in/hotrongnghia/"/>
        <s v="https://github.com/Chien-VuMinh"/>
        <s v="https://github.com/CeciliaDinh"/>
        <s v="https://github.com/kduy138"/>
        <s v="https://drive.google.com/drive/folders/1-M3xFXu_k2xw-Ne4QYyt4rqBlTKU1cbT?usp=sharing"/>
        <s v="https://github.com/Trantuananhk4x6, INTERVIEWAI.VN"/>
        <s v="không có"/>
        <s v="https://docs.google.com/document/d/1lUNvJ5kgSAYmrJrSJ9F6KnwofAkloqj7/edit?usp=drivesdk&amp;ouid=110842693275530401308&amp;rtpof=true&amp;sd=true"/>
        <s v="https://github.com/chaumyphuong?tab=repositories"/>
        <s v="https://github.com/xuanday/Sokoban-project"/>
        <s v="https://github.com/DOANHONGBAO/NongTraiVuiVe"/>
        <s v="https://github.com/phtan2005/Anime-recommendation-system-project"/>
        <s v="My projects at HCMUT: https://github.com/hachiware-the-dreamer/LapTrinhGame"/>
        <s v="https://github.com/Alterix53"/>
        <s v="https://docs.google.com/spreadsheets/d/1ECnHCKTiqNeS68UvrZ8GpTwlecUwfbSacd0VvdFHQf4/edit?usp=sharing"/>
        <s v="GitHub: https://github.com/nhatminh280  Related Projects:  Heartify — Document Intelligence &amp; Retrieval System E-commerce Hybrid Retrieval &amp; Recommendation System Video Object Retrieval System — Champion AI Contest PTIT"/>
        <s v="https://github.com/AdamNbz/celeste-2d-pc-version"/>
        <s v="https://github.com/locbuidinhan/StayHub"/>
        <s v="https://github.com/LeThanhCong1506"/>
        <s v="https://github.com/NguyenTram05"/>
        <s v="https://drive.google.com/file/d/1qqdBeuUmqDAp_XIHDgG_gp09iZABrbUX/view?usp=sharing"/>
        <s v="https://trianthach0311.my.canva.site/nguyenmaiphuong"/>
        <s v="Vì lí do bảng quyền nên mình không thể public được"/>
        <s v="https://www.behance.net/anhcphm2"/>
        <s v="https://github.com/jin0507/OCR-Cosmetic-Ingredients"/>
        <s v="https://akkii0609.itch.io/washed-up-clown"/>
        <s v="quanghia.dev"/>
        <s v="https://my-portfolio-seven-blond-96.vercel.app/"/>
        <s v="https://github.com/nwyn-07, https://bit.ly/4dvlHo5, https://bit.ly/4meA9D6"/>
        <s v="https://ngkhai.itch.io/demo-owlet-adventure"/>
        <s v="https://github.com/rosenberg-2002; https://github.com/SirGreen/Advanced-Money-Management-App; https://github.com/YokkaLuv/ConveyorSystemApplication-FE; https://github.com/HieNguyen08/Introduction-AI-Assignment; https://github.com/rosenberg-2002/Foodiness"/>
        <s v="Vì lý do bảo mật và cam kết với công ty trước đây, em không thể public source code hoặc chi tiết các project nội bộ. Tuy nhiên, em sẵn sàng chia sẻ tổng quan về vai trò, công nghệ sử dụng, quy trình triển khai và những kết quả đạt được trong buổi phỏng vấ"/>
        <s v="https://github.com/DucPhuc1"/>
        <s v="https://github.com/thanhdatttt/LuaLander.git"/>
        <s v="https://drive.google.com/drive/folders/1AqYgrCIBqCMUOdmwBu4rbAfgWU6MBjm7?usp=sharing"/>
        <s v="https://github.com/QuocHuy1202/VN_handwritting_ocr"/>
        <s v="https://github.com/cownon/Sudoku-Game"/>
        <s v="Github Portfolio: https://github.com/D157D"/>
        <s v="Source code: https://github.com/mhhung0811/ammoria; Demo: https://www.youtube.com/watch?v=3DLvVD6CTE4; Store:  https://just-a-wind.itch.io/ammoria"/>
        <s v="https://github.com/thutrang3772/CNPM_Ca1_N1"/>
        <s v="dodgero11.itch.io, github.com/dodgero11"/>
        <s v="Not yet"/>
        <s v="GitHub: https://github.com/HNKhanh031/HeroGame"/>
        <s v="Chưa có ạ"/>
        <s v="https://github.com/anhduong77/rag_agent"/>
        <s v="https://drive.google.com/drive/folders/1hzbf4vI9mRg9FNdrf-POgsqO1kNciqmU?usp=drive_link"/>
        <s v="https://github.com/19406"/>
        <s v="https://github.com/hieu180230/Game-Test-w-SDL.git"/>
        <s v="https://drive.google.com/file/d/1ju5FfPTUwoRLZ44EyeLizsuXqop9cx0-/view?usp=sharing"/>
        <s v="https://github.com/0382896246"/>
        <s v="Chưa làm"/>
        <s v="thp1923.github.io/Portfolio/"/>
        <s v="https://github.com/thinhnt-uit"/>
        <s v="I look forward to the opportunity to discuss my application further in the next round."/>
        <s v="https://github.com/thanhbinh21"/>
        <s v="https://drive.google.com/drive/folders/1jMmU4AVjpXLGmMo9dJLJcPpL1N3uqcj1?usp=drive_link"/>
        <s v="https://github.com/DeeMupply/Palmon.git"/>
        <s v="https://nvmq1011.github.io/Portforlio/"/>
        <s v="https://github.com/doviethung11192023/predicting_house_price_in_HCM_city"/>
        <s v="https://drive.google.com/drive/folders/1PB32umB5PelthyP4r6gd4RRqmPQU_hn9?usp=sharing"/>
        <s v="https://github.com/MomonTK/KYS-Game"/>
        <s v="https://zussic.itch.io/"/>
        <s v="https://canva.link/diemquynh2026portfolio"/>
        <s v="vietlq0204-gif.github.io/LeQuocViet_Portfolio/"/>
        <s v="https://drive.google.com/file/d/1N9uVh3EYPNYXcBzxOY1sh81tXB9YYtiO/view?usp=sharing"/>
        <s v="https://docs.google.com/spreadsheets/d/1ub-Ek-CcdLdU8WaKBI7gn69qGV2dcNl1pFoLeCVtOj4/edit?usp=sharing"/>
        <s v="https://portfolio-seven-tawny-34.vercel.app/"/>
        <s v="https://bit.ly/ltphat-portfolio"/>
        <s v="https://github.com/winnguyen1905-aladin"/>
        <s v="2D Shooter (Unity): https://utan0710.itch.io/2d-shooter 2D Space Adventure (Unity): https://utan0710.itch.io/2d-space-adventure 3D Solar System (Unity): https://utan0710.itch.io/solar-system GitHub: https://github.com/Otcuan"/>
        <s v="Không"/>
        <s v="https://www.linkedin.com/in/chien-le-minh-3a6263196/"/>
        <s v="https://github.com/Thanhdatlevi"/>
        <s v="https://github.com/PhiLong1st/space-defend-game, https://github.com/fpt-devteam/climb-to-the-star,  https://github.com/PhiLong1st/dice-puzzle-game"/>
        <s v="Unity Play: https://play.unity.com/en/user/17261eda-8dd0-4172-a177-d3139d57e1a1"/>
        <s v="https://github.com/nhanhoanghenrykaka/frontend_DATH_HK251"/>
        <s v="ThinkFirst: https://github.com/nhunguyen133/kms-hackathon-noleHCMUT.git; EcoStamp: https://github.com/phuoc147/EcoStamp-FE.git;"/>
        <s v="https://github.com/nhquana2/ai-project02-23clc01; https://github.com/nhquana2/ai-project01-23clc01; https://github.com/nhquana2/snake-game-ktlt"/>
        <s v="kaitodeus.vercel.app"/>
        <s v="https://vantrannnn.itch.io/parking-car"/>
        <s v="https://github.com/TranGiaHy"/>
        <s v="https://subdued-country-04d.notion.site/Portfolio-Game-Designer-3478bf3b3ac58041a6f4cff10d4059c8"/>
        <s v="https://thanhvi.framer.website/"/>
        <s v="https://github.com/yangg205/DATN (Dự án tốt nghiệp), https://github.com/XTH-CNTT-FPOLY-HCM/SU25-LTGA-PressStartxFPoly-Team11 (Dự án thực tập)"/>
        <s v="https://github.com/yangg205/DATN"/>
        <s v="https://github.com/dat-phamtan"/>
        <s v="https://www.linkedin.com/in/nguy%E1%BB%85n-minh-14577330a?utm_source=share_via&amp;utm_content=profile&amp;utm_medium=member_ios"/>
        <s v="https://github.com/Tuprott991/AIthena-Multimodal-Video-Retrieval-System"/>
        <s v="https://github.com/anhsown/"/>
        <s v="https://github.com/TrinhDang1811"/>
        <s v="https://github.com/Cow040606/EcoWorld.git"/>
        <s v="https://maithuong-portfolio.notion.site/Portfolio-c69142bc270a824d80388152f13e9017?pvs=143"/>
        <s v="www.github.com/luctr1509"/>
        <s v="https://github.com/haothach"/>
        <s v="https://github.com/Cow040606/EcoWorld   ||   https://drive.google.com/file/d/1h6oEsNJsrg9O8H85lxNttwiLZ-9dotrZ/view?usp=sharing"/>
        <s v="https://drive.google.com/drive/folders/1hDl49IFep6qwD60zlChXMOQNfrddOytQ?usp=sharing"/>
        <s v="https://github.com/Meden-121?tab=repositories"/>
        <s v="https://chgiabaoportfolio.netlify.app/"/>
        <s v="Tôi chưa có dự án thực tế nào."/>
        <s v="https://github.com/ngocminh0123"/>
        <s v="https://canva.link/pojghvb0lev36jz"/>
        <s v="https://www.canva.com/design/DAGg92Kqsc4/nojKXr66BQZ0MDLA3_11vA/view"/>
        <s v="https://github.com/HuyChill2406"/>
        <s v="https://bit.ly/4mdXIfn"/>
        <s v="https://github.com/LongNguyen1101/spa_bot"/>
        <s v="1. https://github.com/Back-number212/customer_behavior_analysis"/>
        <s v="https://github.com/danhkuqn09/ecommerce-backend-laravel"/>
        <s v="https://www.deviantart.com/yunnir"/>
        <s v="https://www.linkedin.com/in/quandat-ai-engineer/"/>
        <s v="https://github.com/rivaille1704/The-Knight-Has-Arrived"/>
        <s v="https://github.com/hungle123-dev/lumina-rag"/>
        <s v="https://github.com/nguyen2966/HCMUT-ROOMS-BOOKING-APP"/>
        <s v="1. Dự án nhóm: PuzzleStepper (3D Logic Puzzle)  Github: https://github.com/letai1854/PuzzleStepper  Demo: https://youtu.be/_TSHY_yE0CU  2. Dự án cá nhân: Sort Animal Puzzle (Casual)  Github: https://github.com/letai1854/Sort-Animal  Demo: https://youtube."/>
        <s v="Link Portfolio (có thể xem trong CV): https://www.figma.com/proto/sPCodpBG9D529Asx6XtLFD/Portfolio-ThanhTungNguyen?node-id=228-65&amp;t=wqNJFzucyY3p8XM7-1&amp;scaling=scale-down-width&amp;content-scaling=fixed&amp;hide-ui=1"/>
        <s v="https://phatpham.id.vn/"/>
        <s v="https://www.linkedin.com/in/vanphamanh/"/>
        <s v="https://github.com/dangkhoi-dev/Game-Programming"/>
        <s v="Hiện tại tôi chưa có portfolio để chia sẻ."/>
        <s v="https://www.tiktok.com/@kitkat_vietnam/video/7558119989279083783 and https://www.facebook.com/reel/2378591482639008"/>
        <s v="https://drive.google.com/file/d/1cLVDCQqCiNt66VJBAzBx8r9fFlZyLqC_/view?usp=sharing"/>
        <s v="https://chivtn.github.io/chi-portfolio/"/>
        <s v="https://github.com/22520896/LawChatBot"/>
        <s v="Đó là dự án private không có link"/>
        <s v="https://www.datascienceportfol.io/lananh310305 (The first project)"/>
        <s v="https://github.com/LAMXO"/>
        <s v="https://github.com/tatkien/intro_to_AI_project; https://github.com/tatkien/BTL2_AI_2526"/>
        <s v="Wumpus World Agent: https://github.com/namviet157/Wumpus-World-Agent.git"/>
        <s v="https://drive.google.com/file/d/1y7h18WjMHieEgKvAZ9PTgCiJHyyeoJ2Y/view?usp=sharing"/>
        <s v="Dự án của công ty. Not available."/>
        <s v="GitHub: https://github.com/vandat2614"/>
        <s v="https://github.com/CuongThinh-Le"/>
        <s v="https://www.behance.net/gallery/248092077/Portfolio"/>
        <s v="Em chưa có"/>
        <s v="https://github.com/vulong2832k/Design-game-Platform-2D.git"/>
        <s v="https://rag-diabetes.onrender.com/"/>
        <s v="https://docs.google.com/spreadsheets/d/1hRiW8673ikAm-seB4fOK8F9siTnhFjFD/edit?gid=384532806#gid=384532806"/>
        <s v="https://nmhung-gamedev.vercel.app/"/>
        <s v="www.linkedin.com/in/phuocloc742"/>
        <s v="https://drive.google.com/drive/folders/19DmeeSJ_VbAhcyB4A00Y-HrEydPKiSNy?hl=vi"/>
        <s v="https://github.com/trunnguyen/Personal-Project/tree/main/Multimodal_emotion_recognition"/>
        <s v="Please read my CV"/>
        <s v="https://github.com/Pdz28/FA25AI64_GFA14_AIP491"/>
        <s v="https://github.com/Thanhquan1404/Spectral-Fisher-Framework-for-Anomaly-Detection.git"/>
        <s v="https://drive.google.com/drive/folders/1cu7wbRoPH1rhlVy4wfP7a3bCS4e_Y4vW?usp=drive_link"/>
        <s v="https://github.com/NTKhoii"/>
        <s v="https://trananhhuy-portfolio.vercel.app/"/>
        <s v="Do vấn đề bảo mật thông tin từ công ty trước, hiện tại tôi chưa thể đính kèm Portfolio hoặc chia sẻ trực tiếp các dự án đã thực hiện."/>
        <s v="https://github.com/QNhu21DTH/endlessrun"/>
        <s v="https://github.com/KivicDu/child-safety-simulator"/>
        <s v="https://github.com/blacki0214"/>
        <s v="https://huggingface.co/spaces/wuann/TrOCR_VN_Handwritting https://wuannlab.id.vn/ https://wuann15325.itch.io/journeytospace"/>
        <s v="https://github.com/LePhuocThai2502"/>
        <s v="https://drive.google.com/file/d/1hgX1mMZqW__3oxsYK5XkaU4KQHCizqUp/view"/>
        <s v="https://github.com/bhuukhang/BTC_ETH"/>
        <s v="https://drive.google.com/drive/folders/1A3gxxSaSYOyGPykkOeokEl1Qxo_WUDdx?usp=sharing"/>
        <s v="https://github.com/DarynBang"/>
        <s v="https://github.com/Audrey175"/>
        <s v="Github: https://github.com/AnhThai19"/>
        <s v="https://github.com/TranQuocDat0405/Unity_Flappy_Bird"/>
        <s v="https://www.youtube.com/watch?v=FQ_yJkyQVKg&amp;t=39s"/>
        <s v="Portfolio: https://senseiikuiku.github.io/, Itch.io: https://senseiikuiku.itch.io/"/>
        <s v="https://github.com/Arashikage-XuanHoang/PREDICTION-OF-FOOTBALL-TRANSFER-VALUES-FOR-THE-2025-26-SEASON"/>
        <s v="https://github.com/tientaiuu/Readify-BookWeb"/>
        <s v="https://github.com/xuannhi2908/LapTrinhCSharp/tree/main"/>
        <s v="https://github.com/StevensJamara/Match3_CandyGame"/>
        <s v="https://znews.vn/tua-game-mang-y-nghia-tich-cuc-cua-nam-sinh-lop-12-post1262084.html"/>
        <s v="https://www.linkedin.com/in/nguyen-hung-7258b3334/"/>
        <s v="https://drive.google.com/drive/u/0/folders/1Kng1rcX_BXb2LOIeuIr6kxwLGx0hyPv-"/>
        <s v="https://www.linkedin.com/in/toan-phuc-nguyen-24044a244?utm_source=share&amp;utm_campaign=share_via&amp;utm_content=profile&amp;utm_medium=ios_app"/>
        <s v="https://drive.google.com/drive/folders/1llbA16htVLjGDQ5HMBUJwuK6XbGAamoD"/>
        <s v="https://1drv.ms/x/c/185b75a9cc69d9ad/IQDBthYNweFZRrpk0BGymkOnAdAxuo5kN-n_CzyPbBNzthE?e=uWnge4"/>
        <s v="https://github.com/SuKem0703/BNG_Group.git"/>
        <s v="Crimson Knight: https://github.com/HongLam-dev/Crimson-Knight-Blockchain, Hollow Knight: https://github.com/HongLam-dev/HollowKnight_Code, Battleground: https://github.com/Vminhkiet/BattleGround"/>
        <s v="https://github.com/TuongCuThanh/AI_Agent"/>
        <s v="https://drive.google.com/drive/folders/1r6X72oLorJrUQuwZAW3xTS9FpYD9QSEh?usp=sharing"/>
        <s v="https://github.com/DazKha/"/>
        <s v="https://github.com/itshoang2024"/>
        <s v="https://github.com/TranDaiHai2107/DRM_key_demand_forecasting"/>
        <s v="https://drive.google.com/file/d/1FERVRKxr1cMJ TXSEs7t1Njdx8xnqy3ha/view?usp=drivesdk"/>
        <s v="https://drive.google.com/drive/folders/1SCLsGdteeS5lAf8QArtyULOZQUsYfJ_Q?usp=sharing"/>
        <s v="https://github.com/kolee1902/Crossing-Road-Game"/>
        <s v="https://github.com/hyeiu142"/>
        <s v="https://github.com/Khoataphat"/>
        <s v="github.com/Ultimanemone/MTMT-VFX-Core"/>
        <s v="https://drive.google.com/drive/folders/1m50e3m8Ui29Y63GmU0elPWuKE8w57OFH?usp=sharing"/>
        <s v="Projects can be found at: https://github.com/dbthyy. Easier access through separate links in CV."/>
        <s v="https://drive.google.com/drive/u/0/folders/11mT4--_bI_iW3vqqDm44LXM3eQYAiPbB"/>
        <s v="https://github.com/kunai2312/BraindotClone-Demo-"/>
        <s v="https://github.com/Plitzee"/>
        <s v="https://github.com/PhongThanhNguyen099"/>
        <s v="https://dangduongtamnhu.my.canva.site/vudobinhanportfolio"/>
        <s v="https://locphanportfolio.framer.website/ (một số dự án không công khai mã nguồn vì lí do đang nghiên cứu)"/>
        <s v="tôi chưa có"/>
        <s v="https://github.com/Koikoffee"/>
        <s v="Các dự án và kinh nghiệm liên quan đã được đính kèm trong CV. Em sẵn sàng cung cấp thêm portfolio hoặc tài liệu dự án khi được yêu cầu"/>
        <s v="https://github.com/trantruonglananh931"/>
        <s v="Regarding my internship at AA Global Group, I am unable to provide a project link due to data confidentiality policies. My primary responsibilities involved collecting and cleaning internal datasets, and the results were used strictly for internal team re"/>
        <s v="tbaro19.github.io"/>
        <s v="Link dự án liên quan tới Data Analysis:  [1]: https://drive.google.com/drive/folders/1oXj9u8_gBfV8rUF-_NdDk1JQUT1OcHU3 [2]: https://drive.google.com/drive/folders/1KGdbQAfQ4tNrsNRzeG-ptoxpMq7CLv1m Các link dự án khác:  https://drive.google.com/drive/folde"/>
        <s v="https://github.com/quyen6/powerbi-sales-dashboard"/>
        <s v="Dạ em không có ạ"/>
        <s v="www.linkedin.com/in/hồ ngọc-nhung-134191259"/>
        <s v="https://drive.google.com/drive/folders/1tcnPgIF_UMP6dT62XyeWqyd4vnIlij-n?usp=sharing"/>
        <s v="https://github.com/QuocBinh2708/DSA-Proj"/>
        <s v="https://app.powerbi.com/view?r=eyJrIjoiZmQ1NDMzODYtODFhZi00Zjg2LWE3YjctMDRjM2NlYjJmNjQyIiwidCI6IjVlOGIzMjY5LTc2Y2EtNDU3Yy04NDdmLTQ0NGUzZGI5ODZhNyIsImMiOjl9"/>
        <s v="https://github.com/nqduy276/diginet-ai"/>
        <s v="https://store.steampowered.com/app/2253980/Net_24h_Vietnamese_Internet_Cafe_Simulator/"/>
        <s v="www.linkedin.com/in/minh-phạm-1b8b28287 | https://github.com/johnpham4?tab=repositories"/>
        <s v="https://github.com/SonTrinh235/GameDev_3"/>
        <s v="https://github.com/thzii"/>
        <s v="https://github.com/Bichvi/SkinSyntaxVN---Decoding-Your-Skin-Language"/>
        <s v="https://drive.google.com/file/d/1vKd8mx4OaFhtJwQXrQuTi4d5J8k1b3_2/view?usp=drivesdk"/>
        <s v="https://lebaott.vercel.app/"/>
        <s v="Hotel Management System (C#, WinForms, SQL Server) Role: Development &amp; Manual Testing (test case design, business logic validation) GitHub: https://github.com/vkkhanh/QLyKhachSanRomanceHotel;  Cinema Management System (C#, WinForms, SQL Server) Role: Deve"/>
        <s v="https://www.facebook.com/profile.php?id=61575026425470"/>
        <s v="https://realusioncore.my.canva.site/hnhuong-portfolio"/>
        <s v="Dự án nội bộ khi Intern nên không đính kèm được."/>
        <s v="https://ieeexplore.ieee.org/document/11474809"/>
        <s v="My portfolio: https://cattuongtran9-create.github.io/ My boardgame project: https://sites.google.com/view/duanboardgaemnguvan/"/>
        <s v="https://github.com/hematology-analyzer-system"/>
        <s v="https://github.com/HongNhan27"/>
        <s v="https://www.behance.net/gallery/234786921/Event-App-Cinema-System"/>
        <s v="https://hellocuccung.my.canva.site/tran-duy-phat-portfolio"/>
        <s v="https://vyquachforwork.wixsite.com/vyport"/>
        <s v="https://www.canva.com/design/DAHET3kGnug/GEhjO7Hf6N_OJ-UVrcEolQ/view?utm_content=DAHET3kGnug&amp;utm_campaign=designshare&amp;utm_medium=link2&amp;utm_source=uniquelinks&amp;utlId=h2cc3f717cb"/>
        <s v="https://github.com/OhJiKang"/>
        <s v="Hiện tại chưa có"/>
        <s v="https://github.com/NguyenPhucLoan"/>
        <s v="https://github.com/quangctk24419-dev"/>
        <s v="https://tung-quan.github.io/"/>
        <s v="https://github.com/NgPhTung?tab=repositories"/>
        <s v="https://canva.link/m3s4zf74wz9zlyp"/>
        <s v="github.com/viethoang251004"/>
        <s v="https://github.com/thangnguyen13112004/Vietnamese-Sentiment-Analysis"/>
        <s v="The most related project: https://drive.google.com/drive/folders/1bEJHEcM2mKFsrfdipmnUJch6HaWV9FJu?usp=sharing (More related projects in my CV)."/>
        <s v="https://github.com/liuliu409/ChatAssistantwithSessionMemory/tree/main"/>
        <s v="https://github.com/phatpinkkk?tab=repositories"/>
        <s v="Home Credit Default Risk: https://github.com/toann1405/home-credit-default-risk.git, Customer Churn Prediction: https://github.com/toann1405/customer-churn-ml-system.git, 2D Unity Chess Game: https://github.com/toann1405/Chess.git"/>
        <s v="Youtube portfolio thesis demo link: https://www.youtube.com/watch?v=RD684U095lE&amp;t=116s"/>
        <s v="https://nthongnhung1996.wixsite.com/hongnhungnguyenportf"/>
        <s v="https://github.com/Rudeus1706"/>
        <s v="Mình chưa có"/>
        <s v="https://github.com/MinhPhu2705-uel"/>
        <s v="https://azuretrieu.carrd.co/"/>
        <s v="Em chỉ có kinh nghiệm qua các dự án như Kiểm thử cho web bán vé máy bay và máy POS, với Game thì đây là bước đi đầu tiên của em"/>
        <s v="My Saigon Times internship projects are private and not publicly shareable. However, you can view my Predictive Modeling for Employee Recruitment Outcomes project here: https://github.com/BigDataTechnology-Project/Predictive-Maintenance-System-using-Apach"/>
        <s v="https://canva.link/azl5mu6c1sf3kkq"/>
        <s v="https://github.com/Nhi005/music-web"/>
        <s v="https://github.com/Thinh59"/>
        <s v="Link DA (finding key insight in dataset): https://dangkhoi-dev.github.io/P4AI-DS/ ; Link AI (credit Fraud detection): https://dangkhoi-dev.github.io/Demo-Website/ ; Link AI (YoloFarm - AI applied in Farm): https://dangkhoi-dev.github.io/DADN/"/>
        <s v="https://github.com/Bobonbush/Minecraft"/>
        <s v="github.com/quanxuli"/>
        <s v="https://cv-tau-navy.vercel.app/"/>
        <s v="Không có dự án thực tế"/>
        <s v="Currently updating my portfolio. Available upon request."/>
        <s v="https://www.facebook.com/share/p/18ZovS3qfW/"/>
        <s v="https://github.com/nguyenthanh222/Flood-It-Game-Analytics"/>
        <s v="https://drive.google.com/drive/folders/14n0TnM0HexazxxfEIcJcONASYST5K73p?usp=drive_link"/>
        <s v="Dự án 1: https://github.com/AKN16/eight-days-of-fate . Dự án 2: https://github.com/AKN16/gama-agent-based-simulation ."/>
        <s v="https://hoanghuytoi.github.io/toi-portfolio/"/>
        <s v="em không có"/>
        <s v="https://github.com/tiendatln/PRU_FinalProject"/>
        <s v="https://github.com/quanpro147/Tom-and-Gia-Huy và https://www.youtube.com/watch?v=QvK--n080sU"/>
        <s v="https://www.researchgate.net/publication/401772609_AutoViVQA_A_Large-Scale_Automatically_Constructed_Dataset_for_Vietnamese_Visual_Question_Answering"/>
        <s v="Chưa có."/>
        <s v="https://github.com/LoylP/AIC2024"/>
        <s v="https://lehien6601.github.io/"/>
        <s v="https://github.com/trandacphu321-ai"/>
        <s v="https://github.com/AlphaJCut"/>
        <s v="https://github.com/thongken/Minesweeper-HW1"/>
        <s v="https://github.com/lehachuc/Hospital-Frenzy-Game-Analytics-Portfolio"/>
        <s v="https://github.com/Duc-Thien-22"/>
        <s v="https://hienpro0123.github.io/Data-Portfolio/"/>
        <s v="https://github.com/lethanhdatphumy"/>
        <s v="https://github.com/TrungVinn"/>
        <s v="https://hanacvl.my.canva.site/hanhnguyenportfolio"/>
        <s v="https://drive.google.com/file/d/12XKVHA7X5eJ83t4UC2VMM-l7gzDp4plp/view?usp=sharing"/>
        <s v="https://www.facebook.com/MFEST2024"/>
        <s v="https://learnnest-production.up.railway.app/login"/>
        <s v="Do em apply vị trí Human Resource nên sẽ không có Portfolio ạ"/>
        <s v="https://github.com/Truong99zvc/BiM-RNet"/>
        <s v="GitHub: https://https://github.com/MinhKiet1102/Software-testing  (Due to Test IO's confidentiality policy, I am unable to share client project details directly. The GitHub project above demonstrates my manual testing, test case design, and bug reporting "/>
        <s v="https://github.com/GiangSon-5"/>
        <s v="https://github.com/Thanhdqk/DuAnTotNghiep"/>
        <s v="https://drive.google.com/drive/folders/1PmfMhu13OyPnBC7D99tfm_DhJr8djOuz?usp=sharing"/>
        <s v="https://github.com/Yutaka-ReiRoku/Kingdom-Defense"/>
        <s v="dạ em không còn ạ."/>
        <s v="https://github.com/BuckyPlat/FPS-tutor"/>
        <s v="https://github.com/doanryderrhythm/SE115-Thesis"/>
        <s v="https://github.com/77x17"/>
        <s v="https://bunhiacopxki.itch.io/nummatch"/>
        <s v="https://www.behance.net/gallery/246985267/NguyenHoaiNhu-Portfolio"/>
        <s v="https://github.com/Kandy2705/Pokemon_quiz.git"/>
        <s v="Vì các bạn đã xóa hết dữ liệu cho đỡ nặng máy sau khi kết thúc môn đó nên em cũng không còn giữ nữa."/>
        <s v="Dạ chưa có"/>
        <s v="https://github.com/thybui1903/Bank-Marketing-Customer-Analysis"/>
        <s v="https://github.com/HoanBau/Game2D"/>
        <s v="Rex Centre Management System: https://rexenglish.com (tested UI, API, and data consistency)"/>
        <s v="ecotrack.asia"/>
        <s v="https://docs.google.com/document/d/11e0V9guqGZbNS7fNpOzU0FNs7UJ9L6MjouJblwQmIe8/edit?tab=t.0"/>
        <s v="https://testingvn.atlassian.net/browse/HRM-468?atlOrigin=eyJpIjoiMmFhYjAwOTFiYTM3NGI2NTg1ZmQ5YWQ4MzFhY2Y0MDEiLCJwIjoiaiJ9"/>
        <s v="https://github.com/Yogurt01/Vietnamese-Historical-Weather-Dashboard.git ; https://github.com/kNhung/PDS_FinalProject.git"/>
        <s v="youtube link: https://www.youtube.com/watch?v=RD684U095lE"/>
        <s v="https://nguyentunhu.github.io/portfolio/"/>
        <s v="https://drive.google.com/file/d/11lYhxGQ7NHJo0ijVWolsdr08TVhp9qHs/view?usp=sharing"/>
        <s v="https://github.com/vinhVVN/GameAI-Mummy-Maze-VDG.git"/>
        <s v="https://github.com/Oxazolidinone/DetectDisease"/>
        <s v="https://drive.google.com/file/d/1R-F_nQwPn2eBi6LQuQHCt-cySlQCwmkc/view?usp=sharing"/>
        <s v="https://github.com/kimanhwppe?tab=repositories"/>
        <s v="https://my-portfolio-phucvo1412s-projects.vercel.app/"/>
        <s v="https://drive.google.com/drive/folders/1-2WVYKOkPgbb67RvcPDG_GrDrDF5Upcf?usp=sharing"/>
        <s v="https://monluette.framer.website/"/>
        <s v="While my official portfolio website is currently under development, I have organized my most impactful work in this Drive folder: https://drive.google.com/drive/folders/1DXfQtoAqSyQdsWTP6cfi1g3XYDkHRFBO?usp=drive_link"/>
        <s v="https://drive.google.com/drive/folders/1n433YQm-AP5Ziy-Y4MR2sRmD_BPV3HrG?usp=sharing"/>
        <s v="https://youtu.be/F0TF5F_FhkA?si=fejplqJYUIBxwbo3"/>
        <s v="https://github.com/NVKQ2022/RAG"/>
        <s v="https://github.com/p1neapplechoco"/>
        <s v="Since all of my tasks in my old company is confidential, so I can't put any relevant links in here"/>
        <s v="https://github.com/RuMeoDiNhau/Game-2D-Turn-Based-strategy"/>
        <s v="I haven’t had any project experience yet"/>
        <s v="https://drive.google.com/file/d/1EXQ5k-Q1fEnRZoRIYgN2unfXKavGI34j/view?usp=share_link"/>
        <s v="https://drive.google.com/file/d/1qIjPrLJ_zvlPkIDKMj0uZCbqy8KpGFxv/view"/>
        <s v="https://github.com/thanhndac"/>
        <s v="https://github.com/thanhtai21"/>
        <s v="https://github.com/ngphtrong2003"/>
        <s v="Portfolio - Nguyen Kim Hang.pdf"/>
        <s v="https://github.com/Nhung55555/chatbot-diabetes-prethesis-2025-2026"/>
        <s v="https://www.canva.com/design/DAGXU3zB8u8/zLA1ZzgyCPA1rdfYqOPRiw/edit?utm_content=DAGXU3zB8u8&amp;utm_campaign=designshare&amp;utm_medium=link2&amp;utm_source=sharebutton"/>
        <s v="https://drive.google.com/drive/folders/1pSv0Rlm8V_-XXbIQiHfDtRQVqDPrELRA?usp=sharing"/>
        <s v="https://kohrabi.itch.io/"/>
        <s v="https://github.com/thien1805/teleco-churn-prediction,  https://drive.google.com/file/d/1UvKnRcnEALEC7MKAfsqjH3DRiGZaPRUW/view,  https://github.com/thien1805/Olist-Ecommerce-Data-Warehouse-and-Analytics"/>
        <s v="I haven't had any game-related or job-related experience before"/>
        <s v="https://drive.google.com/file/d/19l_6-ZxC7Bq1nXLsoJvf59Wz5wfFTfLA/view?usp=sharing"/>
        <s v="https://github.com/dungnguyen73/recipelens_recommender"/>
        <s v="https://github.com/Longhehehe"/>
        <s v="https://chibao-v.github.io/chibao-portfolio/"/>
        <s v="https://fpt.vn/tin-tuc/fpt-vmsmart-nen-tang-quan-tri-tap-trung-cho-doanh-nghiep-11576.html"/>
        <s v="https://tinyurl.com/npbinhnguyen"/>
        <s v="Link Github của mình : https://github.com/loigado"/>
        <s v="https://drive.google.com/drive/folders/1hcEGeNvcRhhdhay0gajawGTPCEhgCwRQ?usp=sharing"/>
        <s v="I don't have any project yet."/>
        <s v="https://github.com/Hoauit1305/BattleShip-Game.git"/>
        <s v="https://github.com/khangle103"/>
        <s v="https://www.rmitvn-showcase.com/scd-games-y2/mama-please-wait"/>
        <s v="GitHub: https://github.com/MocHuy LinkedIn: https://linkedin.com/in/laimochuy"/>
        <s v="https://github.com/Ryvvn/Overun https://github.com/Ryvvn/VNR-Mortar-Game  https://github.com/Ryvvn/2D_platformer https://github.com/FA25SE050-RogueLearn/RogueLearn.Unity"/>
        <s v="https://github.com/itzKieuMinh05/CO4033-Weather-forecast"/>
        <s v="https://github.com/hoangdelima09/BTLSokoban/"/>
        <s v="https://ngo-anh-kiet-volcanic-portfolio-535123231210.asia-southeast1.run.app/"/>
        <s v="https://xuanlinhngmportfolio.netlify.app/"/>
        <s v="not"/>
        <s v="https://github.com/nguyen11103/qldacntt_nhom10"/>
        <s v="Hiện tại em chưa có portfolio riêng, tuy nhiên em có thể chia sẻ thêm các project và bài tập liên quan đến marketing, research và phân tích dữ liệu khi cần."/>
        <s v="https://github.com/ngodinhtruong"/>
        <s v="https://drive.google.com/drive/folders/1I_gssGj2J9LXk8rbJhaCvPmxr0Wykk_v?usp=sharing"/>
        <s v="https://github.com/dinhat255/GameDevProject3.git"/>
        <s v="https://intern-portfolio-nu.vercel.app/"/>
        <s v="github.com/tanthinh030203/number-finding-game"/>
        <s v="https://github.com/huongphamngoc/sql-data-warehouse-project"/>
        <s v="Link Github: https://github.com/NganPham-tech/Du_An_Game_Nam_Quoc_Son_Ha ; Link Demo: https://youtu.be/0aRG4Gsuk54"/>
        <s v="https://www.notion.so/Customer-360-Analysis-Understanding-Behavior-Through-Accounts-Credit-Scores-and-Transactions-33461980d77d8071bd83d985d0d15ab8"/>
        <s v="Portfolio: https://drive.google.com/file/d/1jXo8qtySyeSBLHZDBdzgeU4GePvI79PH/view?usp=sharing"/>
        <s v="https://colab.research.google.com/drive/1DjcaIS1eetkqDdQlHsLvXenaU-WWxk0l?usp=sharing"/>
        <s v="https://drive.google.com/file/d/1-P3gl635azgu5eatSr9geZ67qZsJov-u/view?usp=drive_link"/>
        <s v="https://www.youtube.com/watch?v=_o7EdFzF_o0, https://www.youtube.com/watch?v=xKfo8syj80c, https://www.youtube.com/watch?v=3DLvVD6CTE4"/>
        <s v="https://github.com/vietanh1802"/>
        <s v="https://github.com/Kyling815/travel-chatbot-workflow-demo"/>
        <s v="The repo link is currently my teammate's ownership and I cannot contact him about this problem"/>
        <s v="https://github.com/Quang-Dai-Ha"/>
        <s v="https://github.com/AQ129/Gem-hunter-match.git"/>
        <s v="https://drive.google.com/drive/folders/1tJ2VNo_JTXLWkrJ9dOEaD4GlUca05h6c?usp=sharing"/>
        <s v="https://drive.google.com/drive/folders/1z8glwC-7YtlpXnK_lqftltLfqdUmlJt5"/>
        <s v="https://docs.google.com/presentation/d/1KSrT4frNXYEML1U6mH91m33XYujN5461/edit?usp=sharing&amp;ouid=105447179199460469406&amp;rtpof=true&amp;sd=true"/>
        <s v="Hiện tại tôi chưa có portfolio chính thức, nhưng tôi rất mong có cơ hội được học hỏi và xây dựng portfolio thực tế trong quá trình thực tập tại SUN.STUDIO."/>
        <s v="https://shinzole.itch.io/bay-ao"/>
        <s v="https://www.roblox.com/games/16695366828/Anime-Auto-Chess"/>
        <s v="https://www.linkedin.com/in/long-tri%E1%BB%87u-24a248229"/>
        <s v="https://zennnn1203.github.io/Portfolio/"/>
        <s v="https://drive.google.com/file/d/1oM2r48ztyGvZLNfQT8h_lz7x05ga74fO/view?usp=sharing"/>
        <s v="https://huynhanhquoc.lovable.app"/>
        <s v="https://www.behance.net/gallery/245733143/PORTFOLIO-2026-Yoi"/>
        <s v="Dạ project này là dữ liệu kinh doanh của công ty khác nên thật khó để chia sẻ ạ."/>
        <s v="https://tnieyu1706.github.io/"/>
        <s v="https://togialoi.carrd.co/"/>
        <s v="https://www.facebook.com/phanphoimanhinhled              https://www.facebook.com/LEDBluevnn"/>
        <s v="https://www.linkedin.com/in/an-phan-vu-truong-586b25280/"/>
        <s v="chưa có kinh nghiệm liên quan mảng game ạ"/>
        <s v="https://github.com/fantastichaha11"/>
        <s v="https://github.com/trancamtu3518"/>
        <s v="Hiện em chưa bổ sung Portfolio ạ"/>
        <s v="https://www.facebook.com/tuoitreluat/posts/pov-b%E1%BA%A1n-nh%E1%BA%ADn-%C4%91%C6%B0%E1%BB%A3c-th%C3%B4ng-%C4%91i%E1%BB%87p-ti%E1%BA%BFp-s%E1%BB%A9c-m%C3%B9a-thi-t%E1%BA%A1i-ulaw-%E1%BB%9F-%C4%91%C3%A2y-kh%C3%B4ng-c%C3%B3-th%E1%BA%A7n-mu%E1%BB%97ng/115826"/>
        <s v="github.com/mai2005/ChatwMultiPdf"/>
        <s v="https://github.com/nguyenminh183"/>
        <s v="https://vinhpquangporforlio.vercel.app/"/>
        <s v="https://drive.google.com/file/d/1LF3LVT96_gxXc4javFZlO5KQQ3KUFIUv/view?usp=sharing"/>
        <s v="https://lapqnguyen.wixsite.com/portfolio"/>
        <s v="Vì lý do bảo mật dữ liệu doanh nghiệp, đây là dự án nội bộ nên em không thể chia sẻ source code public."/>
        <s v="dạ hiện tại em chưa có ạ"/>
        <s v="https://finn191.github.io/thanhphung-portfolio/"/>
        <s v="Hiện tại không có link dự án hoặc Portfolio"/>
        <s v="https://github.com/tienminhduong/CrocodileInvader.git"/>
        <s v="https://smolrevenant.github.io/portfoliogame/"/>
        <s v="NamelessCat: https://github.com/DucLove1/NamelessCat.git . Tomb of the mask: https://github.com/DucLove1/TombOfTheMask.git . FoxyAdventure: https://github.com/tienminhduong/FoxyAdventure.git"/>
        <s v="Do tính chất bảo mật thông tin dự án tại công ty cũ, em không thể chia sẻ link trực tiếp từ tài khoản. Khoảng thời gian đó, em hỗ trợ lên ý tưởng, viết mô tả, spy ads và thiết lập camp Google Ads thôi ạ. Dự án lúc đó em làm con game people flow."/>
        <s v="Em không có ạ"/>
        <s v="https://drive.google.com/file/d/1OcZIToHrIPmGvYsY6qflegwo0q5PFYI1/view?usp=sharing"/>
        <s v="https://github.com/thiennh1/autogun_heroes_analysis"/>
        <s v="https://github.com/nguyenminhthuvcst-eng/Bejeweled"/>
        <s v="Dự án cá nhân em còn khá sơ xài nên em xin phép không show ạ"/>
        <s v="https://github.com/duyanhvo2103/MLVT"/>
        <s v="Dự án Bus Jam Concept (GDD &amp; Wireframes): https://docs.google.com/document/d/1Ied1DCXFsyG7hTeddeszGpOQfFSjTCZ89IJr5r_e99M/edit?tab=t.0. Dự án web (có áp dụng AI): https://workflowz-ruddy.vercel.app/dashboard."/>
        <s v="https://canva.link/tuy8d46mr7j8zwr"/>
        <s v="- Sky Hopper's GitHub Repository: https://github.com/linhkhoi1309/SkyHopper - Pathfinding Visualizer's GitHub Repository: https://github.com/linhkhoi1309/Pathfinding-Visualizer  - Pathfinding Visualizer's WebGL Build Demo: https://linhkhoi1309.github.io/P"/>
        <s v="cuongtruong.me"/>
        <s v="https://zinc-duke-f6f.notion.site/Bui-Trong-Tin-Quality-Assurance-Intern-3596216b16a08060b368cb3d4b5ecefc"/>
        <s v="https://drive.google.com/drive/folders/1O5bIMCC0c7aHigyYKqG1XBsu0-Xcvuz4?usp=sharing"/>
        <s v="https://www.youtube.com/watch?v=kTPI4lNVEdU"/>
        <s v="https://github.com/hnathuw"/>
        <s v="github.com/VanMinh815"/>
        <s v="https://kimberlynhon.framer.website/?fbclid=IwdGRleARpp99jbGNrBAtZQ2V4dG4DYWVtAjExAHNydGMGYXBwX2lkEDIyMjAzOTE3ODgyMDA4OTIAAR58a50QfNv2z5FglEOiepl7s0UFTalwD5rLl4JCvnKM0YLtPs5PpVz5YHDX2A_aem_IKT4azipqaxWMCT6TzMAqA&amp;utm_source=ig&amp;utm_medium=social&amp;utm_content"/>
        <s v="https://github.com/ThTam-20/HeartRateApp"/>
        <s v="https://docs.google.com/document/d/1tn2TJgm4K2PuXq9YhMncYHqmNBdw-KRQvZFuMIR3QMw/edit?pli=1&amp;tab=t.1g2miupzpmmp"/>
        <s v="https://github.com/nhitr135/SnakeGame"/>
        <s v="https://github.com/klee528/Recommendation_System"/>
        <s v="https://github.com/Tuyetnhu1607"/>
        <s v="https://drive.google.com/drive/folders/1r5xZsyh7o89BOx_SQ-O7HJ7wXgt1EIiB?usp=drive_link"/>
        <s v="https://github.com/NghinnDahlias/CineB-"/>
        <s v="https://drive.google.com/drive/u/0/folders/1Y9wZr6rhNTPaUDrkm4xvv4Ipx8Rt0BT7"/>
        <s v="lmquang.uwu.ai - https://shumoyed.itch.io/"/>
        <s v="https://github.com/ngochan1612/cake4u"/>
        <s v="https://github.com/vanhoangpvh/Seminar-Detect-AI"/>
        <s v="https://github.com/xiaoxigua0503/Logistic-Supply-Chain-Personal-Project.git"/>
        <s v="https://trangphan.my.canva.site/thuytrangportfolio"/>
        <s v="https://www.facebook.com/groups/1151574896283891 , https://www.facebook.com/share/1DguoHJwTb/"/>
        <s v="github.com/dg-ng"/>
        <s v="https://github.com/Aqua239/Meow-Munch"/>
        <s v="https://github.com/nhatminh280"/>
        <s v="https://www.youtube.com/@Duc-d3u"/>
        <s v="https://github.com/leminhtruongtruong12445-creator"/>
        <s v="Portfolio (Notion): https://www.notion.so/Nguy-n-H-u-Sang-Unity-Developer-Portfolio-3580d23507f18070b6ced23eec37544e?source=copy_link ; GitHub (Source Code): https://github.com/Sang-GameStudio"/>
        <s v="https://github.com/minhnguyen290304/Video-Games-Market-Analysis-Trends-Insights          https://github.com/minhnguyen290304/Telco-Customer-Churn-Prediction-and-Customer-Segmentation/blob/main/telco_churn_prediction_segmentation.ipynb              https:/"/>
        <s v="https://thuangd.short.gy/kFiK6z"/>
        <s v="Vanguora Vintelligence Datathon 2026 (https://github.com/totrannhauyen/vanguora-vintelligence-datathon-2026.git)"/>
        <s v="https://tranbin848.itch.io/foxy"/>
        <s v="Hiện tại các document liên quan đến dự án không available do em không còn là nhân sự của công ty."/>
        <s v="https://canva.link/9m7jy6z3lvvuuo0"/>
        <s v="https://drive.google.com/drive/folders/1oIpIbSBkI9PujwFj-RsO_-5Nav4Taghu?usp=sharing"/>
        <s v="/"/>
        <s v="Link gihub cá nhân: https://github.com/NguyenThanhVu028"/>
        <s v="I dont have one"/>
        <s v="https://drive.google.com/drive/folders/1Rszuhfr7yToEVqbru9Ny8ZlFbekKrBNB?usp=drive_link"/>
      </sharedItems>
    </cacheField>
    <cacheField name="*Are you willing to work full-time at least 3,5 days/week and commit to at least 3 months, starting from June 2026?*&#10;Bạn có sẵn sàng làm việc full-time tối thiểu 3,5 ngày/tuần và cam kết tham gia tối thiểu 3 tháng, bắt đầu từ tháng 6/2026 không? " numFmtId="0">
      <sharedItems>
        <s v="Yes / Có"/>
        <s v="Em cam kết làm việc được tối thiểu 3,5 ngày/ tuần, nhưng em xin phép quý công ty đóng dấu mộc khi đến hạn nộp Thực tập cho trường, và sau đó em xin cam kết làm đủ 3 tháng như thoả thuận."/>
        <s v="Tôi đồng ý và tôi sẵn sàng có thể thực tập nhiều hơn, vì tôi ưu tiên phát triển kỹ năng và kinh nghiệm hơn là những yếu tố khác."/>
        <s v="3 days/week"/>
        <s v="Em hiện đang trực dân quân với lại sắp tới em có khả năng đi huấn luyện 15 ngày hiện em ko rõ thời gian như thế nào"/>
        <s v="I can commit fulltime."/>
        <s v="Hiện tại em bị dính môn thực tập ( qua tuần sau chốt danh sách rồi nên tối thiểu  em có thể tham gia tầm 1-2 ngày còn lại thì em có thể sắp xếp meeting online cũng được"/>
        <s v="Có thể làm full-time từ tháng 6 đến giữa tháng 8. Sau đó do lịch học (thứ 2–thứ 6), thời gian sẽ cần trao đổi linh hoạt."/>
        <s v="Em hi vọng sẽ có khả năng làm việc cùng với công ty ngay từ hôm nay"/>
        <s v="Vì em còn học một số môn tại trường, em có thể làm full time bắt đầu từ tháng 7. Tháng 6 em có thể làm part time nhưng vẫn sẽ đủ 3.5 ngày/ tuần."/>
        <s v="Đã hoàn thành chương trình học và trong trạng thái chờ bằng - có thể làm việc full-time cả tuần."/>
      </sharedItems>
    </cacheField>
    <cacheField name="*Sau thời gian thực tập, bạn sẽ có cơ hội được review để thăng tiến vị trí chính thức. Bạn có thể đi làm full-time tối thiểu 3,5 ngày/tuần không?*" numFmtId="0">
      <sharedItems>
        <s v="Yes / Có"/>
        <s v="Tôi sẵn sàng đồng ý."/>
        <s v="Mong muốn tiếp tục làm việc, nhưng ưu tiên full-time sau khi tốt nghiệp. Trước đó có thể trao đổi các hình thức phù hợp."/>
        <s v="Maybe yes because it depend on the schedule in my university"/>
        <s v="Will be considered till that time"/>
        <s v="Sau khi kết thúc kỳ thực tập thì em sẽ phải quay lại trường để tiếp tục chương trình học nên em khó có thể đáp ứng được lịch trình làm việc công ty đề ra."/>
        <s v="Open to it, but will need to align with my university schedule at that time."/>
        <s v="Depends on my personal schedule at university as I'm heading to the final year of the course"/>
      </sharedItems>
    </cacheField>
    <cacheField name="*Bạn biết đến chương trình thực tập SUN.riser của SUN.STUDIO qua kênh nào?*" numFmtId="0">
      <sharedItems>
        <s v="Mạng xã hội"/>
        <s v="SUN.STUDIO LinkedIn"/>
        <s v="Mạng xã hội, TopCV"/>
        <s v="TopCV, Mạng xã hội, SUN.STUDIO LinkedIn"/>
        <s v="Mạng xã hội, SUN.STUDIO LinkedIn"/>
        <s v="Ybox"/>
        <s v="SUN.STUDIO LinkedIn, Mạng xã hội"/>
        <s v="Mạng xã hội, Facebook"/>
        <s v="Trường đại học"/>
        <s v="Recommendation from friends"/>
        <s v="Trường đại học, Mạng xã hội, SUN.STUDIO LinkedIn"/>
        <s v="Nhân viên công ty giới thiệu"/>
        <s v="bạn bè giới thiệu"/>
        <s v="Trường đại học, Mạng xã hội"/>
        <s v="Mạng xã hội, Trường đại học"/>
        <s v="Trường đại học, SUN.STUDIO LinkedIn, Mạng xã hội"/>
        <s v="Trường đại học, Mạng xã hội, TopCV"/>
        <s v="SUN.STUDIO LinkedIn, Trường đại học, Ybox"/>
        <s v="Trường đại học, TopCV"/>
        <s v="SUN.STUDIO LinkedIn, Trường đại học, TopCV"/>
        <s v="Mạng xã hội, TopCV, SUN.STUDIO LinkedIn"/>
        <s v="SUN.STUDIO LinkedIn, Trường đại học"/>
        <s v="Bạn học"/>
        <s v="TopCV, Ybox"/>
        <s v="Facebook"/>
        <s v="Trường đại học, My friends"/>
        <s v="SUN.STUDIO LinkedIn, Ybox, TopCV"/>
        <s v="Trường đại học, Forum UIT"/>
        <s v="Nhân viên công ty giới thiệu, SUN.STUDIO LinkedIn"/>
        <s v="SUN.STUDIO LinkedIn, Trường đại học, TopCV, Mạng xã hội"/>
        <s v="Một người bạn"/>
        <s v="SUN.STUDIO LinkedIn, Mạng xã hội, bạn giới thiệu"/>
        <s v="SUN.STUDIO LinkedIn, Ybox"/>
        <s v="Ybox, Trường đại học, SUN.STUDIO LinkedIn"/>
        <s v="Ứng tuyển qua Chương trình Thực tập hè của Nhà trường (như HCMUS, HCMUT)"/>
        <s v="SUN.STUDIO LinkedIn, Nhân viên công ty giới thiệu, Mạng xã hội"/>
        <s v="Ybox, Mạng xã hội, SUN.STUDIO LinkedIn, Nhân viên công ty giới thiệu"/>
        <s v="Mạng xã hội, Ứng tuyển qua Chương trình Thực tập hè của Nhà trường (như HCMUS, HCMUT)"/>
        <s v="SUN.STUDIO LinkedIn, Ứng tuyển qua Chương trình Thực tập hè của Nhà trường (như HCMUS, HCMUT), Mạng xã hội"/>
        <s v="Mạng xã hội, SUN.STUDIO LinkedIn, TopCV"/>
        <s v="Nhân viên công ty giới thiệu, Mạng xã hội"/>
        <s v="Ybox, Mạng xã hội, SUN.STUDIO LinkedIn"/>
        <s v="SUN.STUDIO LinkedIn, Ứng tuyển qua Chương trình Thực tập hè của Nhà trường (như HCMUS, HCMUT), Trường đại học, Mạng xã hội, UIT Forum"/>
        <s v="TopCV"/>
        <s v="Ứng tuyển qua Chương trình Thực tập hè của Nhà trường (như HCMUS, HCMUT), SUN.STUDIO LinkedIn"/>
        <s v="SUN.STUDIO LinkedIn, Ứng tuyển qua Chương trình Thực tập hè của Nhà trường (như HCMUS, HCMUT)"/>
        <s v="SUN.STUDIO LinkedIn, Mạng xã hội, TopCV, Ứng tuyển qua Chương trình Thực tập hè của Nhà trường (như HCMUS, HCMUT)"/>
        <s v="SUN.STUDIO LinkedIn, Mạng xã hội, TopCV"/>
        <s v="SUN.STUDIO LinkedIn, TopCV, Mạng xã hội"/>
        <s v="SUN.STUDIO LinkedIn, Ứng tuyển qua Chương trình Thực tập hè của Nhà trường (như HCMUS, HCMUT), Trường đại học, Mạng xã hội"/>
        <s v="linkedIn"/>
        <s v="SUN.STUDIO LinkedIn, joboko"/>
        <s v="SUN.STUDIO LinkedIn, Mạng xã hội, I have seen games from Playstore that are from SUN.STUDIO"/>
        <s v="Ứng tuyển qua Chương trình Thực tập hè của Nhà trường (như HCMUS, HCMUT), Trường đại học, Mạng xã hội, SUN.STUDIO LinkedIn"/>
        <s v="Trường đại học, TopCV, SUN.STUDIO LinkedIn, Mạng xã hội"/>
        <s v="Mạng xã hội, Được bạn trong ngành IT giới thiệu"/>
        <s v="Mạng xã hội, Trường đại học, Giáo viên chủ nhiệm"/>
        <s v="Ứng tuyển qua Chương trình Thực tập hè của Nhà trường (như HCMUS, HCMUT), Trường đại học, Mạng xã hội"/>
        <s v="Trường đại học, Ứng tuyển qua Chương trình Thực tập hè của Nhà trường (như HCMUS, HCMUT)"/>
        <s v="Friend"/>
        <s v="Ybox, Mạng xã hội"/>
        <s v="Trường đại học, Mạng xã hội, Ứng tuyển qua Chương trình Thực tập hè của Nhà trường (như HCMUS, HCMUT), Một người bạn"/>
        <s v="Ứng tuyển qua Chương trình Thực tập hè của Nhà trường (như HCMUS, HCMUT), SUN.STUDIO LinkedIn, Mạng xã hội"/>
        <s v="Ứng tuyển qua Chương trình Thực tập hè của Nhà trường (như HCMUS, HCMUT), Mạng xã hội"/>
        <s v="TopCV, Mạng xã hội"/>
        <s v="Trường đại học, Ứng tuyển qua Chương trình Thực tập hè của Nhà trường (như HCMUS, HCMUT), Thầy cô ở trường giới thiệu."/>
        <s v="Threads"/>
        <s v="SUN.STUDIO LinkedIn, Mạng xã hội, Ứng tuyển qua Chương trình Thực tập hè của Nhà trường (như HCMUS, HCMUT)"/>
        <s v="SUN.STUDIO LinkedIn, TopCV"/>
        <s v="TopCV, Mạng xã hội, Trường đại học"/>
        <s v="Trường đại học, Forum của UIT"/>
        <s v="Mạng xã hội, Google Searching"/>
        <s v="Mạng xã hội, Ứng tuyển qua Chương trình Thực tập hè của Nhà trường (như HCMUS, HCMUT), Trường đại học"/>
        <s v="Trường đại học, Ybox, Mạng xã hội"/>
        <s v="Mạng xã hội, Ybox"/>
        <s v="Ứng tuyển qua Chương trình Thực tập hè của Nhà trường (như HCMUS, HCMUT), Trường đại học"/>
        <s v="Mạng xã hội, TopCV, Ứng tuyển qua Chương trình Thực tập hè của Nhà trường (như HCMUS, HCMUT)"/>
        <s v="SUN.STUDIO LinkedIn, Ứng tuyển qua Chương trình Thực tập hè của Nhà trường (như HCMUS, HCMUT), From friends"/>
        <s v="beBee"/>
        <s v="Mạng xã hội, Trường đại học, Ứng tuyển qua Chương trình Thực tập hè của Nhà trường (như HCMUS, HCMUT)"/>
        <s v="Trường đại học, TopCV, Mạng xã hội"/>
        <s v="Thread"/>
        <s v="SUN.STUDIO LinkedIn, Nhân viên công ty giới thiệu"/>
        <s v="Trường đại học, SUN.STUDIO LinkedIn"/>
        <s v="Trường đại học, Bạn bè và Forum trường"/>
      </sharedItems>
    </cacheField>
    <cacheField name="*Tên nhân viên giới thiệu nội bộ*" numFmtId="0">
      <sharedItems containsBlank="1">
        <m/>
        <s v="Trương Anh Khoa"/>
        <s v="Mai Gia Minh"/>
        <s v="Phạm Hùng Thiên"/>
        <s v="Võ Gia Linh"/>
        <s v="Hà Thị Lan Anh"/>
        <s v="Lâm Chu Diệu Nhiên"/>
        <s v="Dương Quang Minh"/>
        <s v="Bế Hải Long"/>
        <s v="Nguyễn Hữu Dũng"/>
      </sharedItems>
    </cacheField>
    <cacheField name="*Is there anything you would like to share with SUN.STUDIO?*&#10;_Bạn có điều gì muốn gửi gắm đến SUN.STUDIO?  _" numFmtId="0">
      <sharedItems containsBlank="1">
        <s v="Xin chào quý nhà tuyển dụng em là Duy Khanh hiện là sinh viên năm cuối của Trường Cao đẳng Giao Thông Vận Tải Hồ Chí Minh. Hiện tại em vẫn đang trong quá trình học hỏi và cũng cố kiến thức cho bản thân việc tham gia thực tập tại Công ty sẽ giúp em rất nhi"/>
        <s v="I’m genuinely excited about the opportunity to join SUN.STUDIO and contribute to data-driven product development in the game industry. I’m eager to learn, take ownership of my work, and continuously improve both my technical and product thinking skills. I"/>
        <m/>
        <s v="Mình không chỉ muốn mang đến kinh nghiệm của một Unity Developer để giúp các dự án của SUN vận hành mượt mà, mà còn muốn cùng mọi người đi tìm lời giải cho những trải nghiệm sâu sắc và tinh tế hơn. Với mình, mỗi sản phẩm tại SUN không chỉ là một ứng dụng "/>
        <s v="Em rất mong có cơ hội để làm việc tại SUN.STUDIO để được tìm hiểu và tiếp xúc với quy trình làm game thực tế mang sản phẩm đến với người chơi."/>
        <s v="Tôi là sinh viên sắp ra trường mong muốn được vị trí thực tập để học hỏi cũng như tiếp thêm kiến thức chuyên nghành,cũng như muốn gắn bó lâu dài và cống hiến hết sức mình cho quý công ty ,Xin chân thành cảm ơn quý công ty đã xem"/>
        <s v="Với tư duy của một Game Designer hiểu rõ nền tảng kỹ thuật và đã có kinh nghiệm viết GDD thực tế, em rất mong muốn được trở thành một phần của SUN.STUDIO. Em đã sẵn sàng bắt tay vào việc để cùng đội ngũ tạo ra những sản phẩm chất lượng"/>
        <s v="Em rất vui và mong muốn có cơ hội được gặp gỡ, trao đổi trực tiếp với anh chị và quý công ty để được học hỏi thêm. Em hy vọng trong tương lai gần, em có thể đồng hành và phát triển cùng quý công ty trong các dự án game chất lượng cao."/>
        <s v="Rất mong muốn được studio để mắt tới nguyện vọng của tôi, tôi rất mong bên studio sẽ gửi mail phản hồi lại. Xin cảm ơn rất nhiều"/>
        <s v="Tôi mong muốn được đồng hành và phát triển cùng Sun.&#10;Nếu được như thế tôi sẽ cống hiến hết mình cùng với những thành viên khác cùng theo chân mentor để cùng nhau bức phá. VẬY THÔI !&#10;Mình Xin cảm ơn và chúc sức khỏe !"/>
        <s v="&quot;Em không chỉ muốn tìm một nơi để thực tập, mà mong muốn được đóng góp sức trẻ vào những dự án chất lượng của SUN.STUDIO. Em tin rằng với sự kiên trì, tư duy sáng tạo và khả năng thích nghi nhanh, em có thể là một nhân tố mới đầy tiềm năng cho team. Rất m"/>
        <s v="Game design isn't just a career choice for me — it's something I committed to fully. I left my previous field to pursue this, because I realized I didn't want to spend my life doing something I wasn't passionate about. Every project I've worked on has rei"/>
        <s v="Mình rất mong muốn có cơ hội được trở thành một phần của SUN.STUDIO để tham gia vào quá trình phát triển game một cách thực tế, từ việc thiết kế gameplay, playtest đến tối ưu trải nghiệm người chơi. Mình tin rằng với tinh thần học hỏi, khả năng tiếp thu f"/>
        <s v="Mong quý công ty xem xét hồ sơ của em và cho em cơ hội, em luôn học hỏi và chủ động trong công việc"/>
        <s v="Tôi có nền tảng tư duy logic tốt, dù là bước đầu, tôi tự tin nắm vững quy trình vận hành và cấu trúc của một trò chơi. Với sự nghiêm túc và khả năng tự học nhanh, tôi tự tin sẽ thích nghi tốt với quy trình chuyên nghiệp tại SUN.RISER.&quot;"/>
        <s v="I’m eager to learn, contribute, and grow within SUN.STUDIO while bringing a proactive and responsible mindset to the team. I hope to gain hands-on experience and deliver meaningful value to your game projects."/>
        <s v="Em mong muốn được học hỏi quy trình làm việc chuẩn mực tại SUN.STUDIO và hy vọng rằng, với sự sáng tạo và năng lượng của một sinh viên năm cuối, em có thể góp phần nhỏ bé vào việc hiện thực hóa những dự án đầy tham vọng mà studio đang ấp ủ."/>
        <s v="Dạ, em mong có thể được đậu CV để có cơ hội được học tập và thử sức làm game và có thể được đóng góp cho công ty ạ. Em cảm ơn ạ."/>
        <s v="Rất mong được hợp tác và đồng hành cùng Sun.Studio trong thời gian tới để tạo nên những tựa game chất lượng cho Gamer"/>
        <s v="Mong có thể đồng hành cùng SUN và cảm ơn SUN đã tạo cơ  hội cho mọi người."/>
        <s v="Thank you for considering my application. I’m excited about the opportunity to learn and contribute at SUN.STUDIO, and I’m happy to provide any additional information if needed."/>
        <s v="I am very interested in the opportunity to learn and contribute at SUN.STUDIO. I would also like to learn more about how AI is applied in real game development workflows."/>
        <s v="Tôi rất mong muốn có cơ hội được trở thành thực tập sinh tại Sun Studio. Tôi sẵn sàng học hỏi, cải thiện kỹ năng Game Design và tích lũy kinh nghiệm trong môi trường chuyên nghiệp. Đồng thời, tôi cũng hy vọng có thể đóng góp những ý tưởng và giá trị của m"/>
        <s v="As a recent Software Engineering graduate, I am highly motivated to pursue a career in the gaming industry. I bring a strong foundation in programming logic and a proactive learning mindset. I am eager to join Sun Studio's professional environment to cont"/>
        <s v="Tôi rất mong có cơ hội được học hỏi và phát triển tại SUN.STUDIO, đồng thời đóng góp vào việc xây dựng những sản phẩm game chất lượng. Tôi luôn chủ động cải thiện kỹ năng và sẵn sàng thích nghi để mang lại giá trị tốt nhất cho công ty."/>
        <s v="Em mong muốn được học hỏi tư duy thiết kế hệ thống và cách cân bằng gameplay thực tế tại studio. Với nền tảng kỹ thuật sẵn có, em hy vọng sẽ hiểu sâu hơn về cách kết nối giữa ý tưởng thiết kế và triển khai kỹ thuật để tạo ra những trải nghiệm game cuốn hú"/>
        <s v="Dạ em định hướng theo game developer lâu dài và mong muốn được làm việc trong môi trường chuyên nghiệp để nâng cao năng lực và hiểu rõ hơn về quy trình phát triển game thực tế. Em sẵn sàng bắt đầu từ vị trí intern để học hỏi và phát triển bản thân."/>
        <s v="Em mong sẽ được đồng hành cùng với SUN.STUDIO, được góp phần và học hỏi môi trường mới những kinh nghiệm mới để đem lại những giá trị cho quý công ty."/>
        <s v="Tôi mong được đồng hành với SUN.STUDIO trong chặng đường sắp tới để được học hỏi và cống hiến sức trẻ của mình."/>
        <s v="Không"/>
        <s v="Nếu được mình rất mong có thể trở thành một thành viên và có thể gắn bó lâu dài với studio"/>
        <s v="Em mong muốn có cơ hội thực tập tại SUN.STUDIO"/>
        <s v="Cảm ơn SUN.STUDIO đã dành thời gian để làm bài test này.&#10;Em biết mình đến với vị trí này mà chưa có kinh nghiệm Unity — nhưng em không xem đó là điểm yếu cố định. Em có nền tảng lập trình, em biết mình học nhanh khi được đặt vào môi trường thực tế, và em "/>
        <s v="Em mong muốn có cơ hội được tham gia cùng công ty và cùng nhau phát triển những dự án tốt nhất"/>
        <s v="I’m really excited about the opportunity to join SUN.STUDIO and contribute to real-world AI projects.&#10;I’m eager to learn, take on challenges, and continuously improve my skills while supporting the team as much as I can."/>
        <s v="I’m highly interested in working on real-world AI systems that create measurable impact, especially in areas like LLM applications and data-driven products.&#10;I would really value the opportunity to contribute, learn from experienced teams, and continuously"/>
        <s v="Dù chưa từng có kinh nghiệm trực tiếp tham gia quá trình sản xuất Game nhưng với em Game luôn là lĩnh vực đầy tính sáng tạo và nhiều thách thức. Em thực sự khát khao được trao cơ hội thử sức tại SUN.STUDIO được học tập và làm việc để có thể đưa những kiến"/>
        <s v="Tôi rất mong muốn được học tập và phát triển trong công ty nói chung và ngành Game nói riêng. Tôi muốn được góp công sức và chất xám vào để giúp công ty phát triển hơn."/>
        <s v="Em mong muốn được làm việc trong môi trường như SUN.STUDIO để vừa học hỏi vừa phát triển kỹ năng QA một cách bài bản. Em sẵn sàng bắt đầu từ những việc nhỏ, không ngại khó, và luôn cố gắng cải thiện bản thân để có thể đóng góp giá trị tốt hơn cho team"/>
        <s v="Cảm ơn mọi người đã dành thời gian xem xét hồ sơ"/>
        <s v="I’m very excited about the opportunity to join SUN.STUDIO and contribute to your products. I’m eager to learn, improve my skills, and support the team in building better and more engaging games. I hope to grow with the company and make meaningful contribu"/>
        <s v="Hãy cho em một cơ hội theo nghề DA, kiếm việc khó quá em sắp bỏ nghề rồi"/>
        <s v="I just want to express how excited I am about this opportunity. While I am in the early stages of my career, my technical foundation, work ethic, and drive to learn are fully ready for the real-world challenges at SUN.STUDIO. I look forward to the chance "/>
        <s v="I am truly inspired by SUN.STUDIO's journey in the gaming industry. I hope to have the opportunity to become a dedicated contributor to your team, leveraging my technical expertise to drive innovation and help strengthen the company’s position in the glob"/>
        <s v="Mình rất ấn tượng với cách SUN.STUDIO xây dựng sản phẩm và đầu tư vào chất lượng sáng tạo, đặc biệt là về hình ảnh và video. Mình mong muốn được học hỏi thêm về UA Marketing trong môi trường chuyên nghiệp như vậy, đồng thời đóng góp thế mạnh của mình về v"/>
        <s v="Là một kỹ sư phần mềm mới tốt nghiệp, điều em muốn gửi gắm lớn nhất là sự nhiệt huyết và tinh thần sẵn sàng dấn thân. Em có nền tảng tư duy logic vững vàng, nhưng em hiểu mình cần cọ xát thực tế rất nhiều để làm ra những tựa game chất lượng. Em rất kỳ vọn"/>
        <s v="Em rất hào hứng với cơ hội được gia nhập SUN.STUDIO và học hỏi từ một đội ngũ sáng tạo, chuyên nghiệp. Dù em vẫn đang ở giai đoạn đầu của sự nghiệp, em luôn sẵn sàng học hỏi, đón nhận thử thách và nỗ lực hết mình để đóng góp. Em hy vọng không chỉ phát tri"/>
        <s v="Em mong là sẽ có cơ hội làm việc với anh chị trong team"/>
        <s v="As a big fan of games, I am highly motivated to apply my background in AI Engineering to enhance the development process at SUN.STUDIO."/>
        <s v="Mình mong muốn được tham gia quá trình thực tập của công ty"/>
        <s v="Em rất mong muốn có được cơ hội được tham gia vào SUN.STUDIO rất muốn đóng góp các ý tưởng của mình cho những giai đoạn phát triển Game trong SUD.STUDIO"/>
        <s v="I am very enthusiastic about the opportunity to join SUN.RISER and contribute to real Unity 2D game projects. I enjoy learning new technologies and continuously improving my Unity and C# skills through hands-on projects.&#10;&#10;I am a proactive and responsible "/>
        <s v="Hi vọng được trở thành một phần của công ty"/>
        <s v="Tôi muốn nói rằng tôi rất hứng thú với cơ hội làm việc ở SUN.STUDIO. &#10;Tôi cam kết sẽ học hỏi từ team, đóng góp hết khả năng, và cùng nhau tạo ra những game chất lượng cao mà người chơi yêu thích.&#10;Tôi sẵn sàng bắt đầu từ ngày đầu tiên và trở thành một thàn"/>
        <s v="Hi vọng quý công ty xem xét thật kỹ"/>
        <s v="Rất vui khi được biết đến công ty ạ"/>
        <s v="I’m very interested in learning and contributing in a game development environment, and I look forward to the opportunity to grow my skills while supporting your team’s projects."/>
        <s v="Tôi muốn gửi gắm đến SUN.STUDIO là tôi ứng tuyển vào SUN.STUDIO không chỉ để học mà còn để đóng góp thực sự. Tôi hiểu rằng ngành Game là một lĩnh vực mới với tôi, nhưng điều đó không làm tôi lùi bước. Với nền tảng về RAG systems, prompt engineering và AI "/>
        <s v="Tôi mong muốn được học tập và trải nghiệm những điều bổ ích thông qua quá trình thực tập ở quý công ty. Hi vọng quý công ty sẽ tạo điều kiện và cơ hội cho tôi được học hỏi nhiều hơn,"/>
        <s v="Cảm ơn đã dành thời gian xem hồ sơ của em. Em rất mong được làm việc và học hỏi từ quý công ty."/>
        <s v="Em cảm ơn SUN.STUDIO vì đã cho chúng em cơ hội để có thể có 1 kì intern nhằm trau dồi, mài dũa kiến thức liên quan đến các project thực tế."/>
        <s v="Em mãnh liệt tin mình là mảnh ghép có thể bổ sung cho bức tranh công nghệ của công ty và em chỉ cần có cơ hội được chứng minh."/>
        <s v="I am deeply impressed by Sun.Studio’s mission to create high-impact products. I want to share that I value accuracy and reliability above all in my work. I am eager to apply my technical skills to help the team minimize risks and ensure a seamless experie"/>
        <s v="Em mong muốn có cơ hội được học hỏi và phát triển tại SUN.STUDIO, một môi trường trẻ và năng động. Em sẵn sàng bắt đầu từ những task nhỏ, chủ động học hỏi và cải thiện kỹ năng để có thể đóng góp tốt hơn cho team trong quá trình làm việc."/>
        <s v="Hi vọng được trở thành một phần của công ty và được trải nghiệm nhiều game hay ho và thú vị"/>
        <s v="Tôi hi vọng là mình có thể cùng làm việc và tích lũy kinh nghiệm với đội ngũ của quý công ty."/>
        <s v="Đến với chương trình SUN.RISE 2026, tôi rất mong muốn được tham gia thực tập để học hỏi để phát triển trong ngành này nếu có thể tôi muốn đóng góp sức mình cho công ty sau này. Mặc dù CV và GPA của tôi và đang còn chưa được đẹp mắt lắm nhưng tôi nghĩ thái"/>
        <s v="I am deeply passionate about technology and how it shapes user behavior and digital experiences. Having worked in fast-evolving environments like blockchain and digital products, I’ve developed a strong interest in building and scaling tech-driven product"/>
        <s v="I’m eager to contribute, learn quickly, and turn real problems into practical AI solutions that bring value to your team."/>
        <s v="Em rất hy vọng sẽ có cơ hội được trở thành một phần của SUN.STUDIO trong kỳ thực tập tới. Em mong muốn được học hỏi từ các anh chị đi trước, trải nghiệm môi trường làm việc thực tế và dùng hết khả năng của mình để cùng team xây dựng những giải pháp tốt nh"/>
        <s v="Dù chưa có kinh nghiệm làm đồ án trực tiếp về Game và nền tảng Mobile, nhưng em đã có nền tảng tốt về phân tích logic và kiểm thử hệ thống phần mềm. Em mang đến SUN.STUDIO một tinh thần nhiệt huyết, không ngại cái mới và vô cùng khao khát được học hỏi ngh"/>
        <s v="I’m really excited about the opportunity to contribute to SUN.STUDIO. I hope to apply my Backend and AI experience to build impactful and scalable products, while also learning from a talented team. I’m especially interested in creating solutions that com"/>
        <s v="Em rất hi vọng được trở thành 1 phần của SUN.STUDIO, giúp cho SUN càng ngày càng phát triển hơn.&#10;Cảm ơn SUN.STUDIO đã đem lại 1 cơ hội rất lớn cho em."/>
        <s v="Em mong sẽ có cơ hội được trao đổi trực tiếp với công ty về hồ sơ của bản thân và hy vọng SUN.STUDIO sẽ có một mùa internship thật thành công ạ."/>
        <s v="Em rất thích chơi game và cũng đam mê làm mảng AI/Dữ liệu nữa. Em hy vọng mùa hè này có cơ hội thực tập ở SUN.STUDIO để được tận mắt thấy một tựa game thực tế vận hành ra sao, và được làm thật, học thật từ các anh chị đi trước"/>
        <s v="Thank you for considering my application. I’m excited to apply for SUN.RISER and learn from SUN.STUDIO. I really hope to have the opportunity to learn and work with the team, improve my Unity skills and contribute to the development of fun and accessible "/>
        <s v="Em tin rằng mới năng lực và sự cố gắng của em thì vị trí AI Engineering này sẽ phù hợp với em. Ngoài ra, em muốn Studio là nơi đầu tiên em được làm với đam mê và xây dựng ước mơ đánh bại VNG vào một ngày nào đó trong tương lai. &quot;Đánh bại&quot; ở đây không phải"/>
        <s v="Tuy em chưa có nhiều kinh nghiệm trong việc lập trình Unity nhưng em sẽ cố gắng học hỏi liên tục để không chỉ bắt kịp với nhịp độ của studio mà còn để góp phần tạo nên các tựa game thực sự hoàn chỉnh cũng như theo đuổi đam mê của mình."/>
        <s v="Em muốn chia sẻ rằng em đến với SUN.STUDIO không chỉ để tìm một công việc, mà là để tìm một nơi có thể biến những dòng code AI khô khan thành những trải nghiệm sống động. Em có một sự 'ám ảnh' tích cực với các chi tiết đời thực trong game và sự phản ứng c"/>
        <s v="Chúc SUN.STUDIO sẽ càng ngày càng phát triển ạ!"/>
        <s v="I am highly interested in applying AI to real-world products and would love the opportunity to learn and contribute at SUN.STUDIO. I am eager to experiment, build practical AI solutions, and grow in a collaborative environment."/>
        <s v="Rất mong có cơ hội được tham gia SUN.STUDIO thông qua chương trình SUN.RISER để học hỏi và đóng góp trong môi trường thực tế."/>
        <s v="Em thực sự nghiêm túc với định hướng Data Analyst và mong muốn được phát triển lâu dài trong lĩnh vực này.&#10;&#10;Em không chỉ tìm một kỳ thực tập, mà tìm một môi trường mà em có thể học cách giải quyết bài toán thực tế, hiểu cách dữ liệu tạo ra giá trị cho sản"/>
        <s v="Em rất mong có cơ hội được học hỏi và đóng góp tại SUN.STUDIO."/>
        <s v="Nếu có cơ hội trúng tuyển vào các vị trí thực tập sinh, em mong rằng SUN.STUDIO sẽ là nơi có một môi trường làm việc thân thiện, cầu tiến. Những mối quan hệ, trải nghiệm và giá trị mà SUN mang đến sẽ giúp bản thân em ngày càng hoàn thiện và phát triển trê"/>
        <s v="I would like to share that I am eager to learn, open to challenges, and excited about the opportunity to grow in a fast-paced environment like SUN.STUDIO. I would value the chance to contribute while developing deeper understanding of growth marketing and"/>
        <s v="Mình rất mong có cơ hội được tham gia và học hỏi tại SUN.STUDIO. Dù còn là sinh viên năm 2, mình luôn chủ động rèn luyện kỹ năng Unity và sẵn sàng tiếp thu góp ý để cải thiện bản thân. Mình hy vọng có thể đóng góp vào các dự án game 2D của công ty và phát"/>
        <s v="Chuyển dịch từ QA sang QE (Quality&#10;Engineering)AI-Augmented Testing&#10;-Tôi Muốn trở thành một QA Tester có tư duy Game Design, không chỉ tìm lỗi (Bugs) mà còn đưa ra các giải pháp tối ưu hóa Gameplay và đóng góp ý tưởng để cải thiện giữ chân người dùng (Ret"/>
        <s v="Em mong muốn được ứng tuyển vào vị trí thực tập để có cơ hội học hỏi, tích lũy thêm kinh nghiệm và đóng góp vào các dự án của công ty."/>
        <s v="Thank you so much for your time and consideration. I truly hope to be given the opportunity to prove my abilities and contribute to SUN.STUDIO."/>
        <s v="Em rất trân trọng cơ hội được ứng tuyển vào vị trí Unity Intern tại SUN.STUDIO. Nếu có cơ hội đồng hành, tôi cam kết sẽ nỗ lực hết mình để học hỏi và hoàn thành tốt các nhiệm vụ được giao, đóng góp vào sự phát triển chung của team. Rất mong nhận được phản"/>
        <s v="Em rất ấn tượng với môi trường sáng tạo tại Sun Studio. Dù đến từ nền tảng chuyên ngành Luật, em tự tin sẽ mang đến sự chỉn chu, tư duy logic và kỹ năng viết lách để đóng góp giá trị thực cho team HR."/>
        <s v="I’m eager to learn, but I also value being involved and contributing as much as I can from the start. I enjoy the process of refining ideas through iteration and feedback, and I’m looking for a team where I can grow through that process. I’d really apprec"/>
        <s v="không ạ"/>
        <s v="Em thấy công ty mình đang tập trung vào các game Casual/Puzzle truyền thống như Bubble Shooter và Match-3. Em muốn hỏi là công ty có định hướng kết hợp thêm yếu tố cốt truyện hoặc các hoạt động tương tác bên ngoài màn chơi không ạ? Em nghĩ làm như vậy sẽ "/>
        <s v="Appreciate for having time to review my application, hope we have a chance to work together. Wish you all the best ! Cheer !"/>
        <s v="I kindly want to know about the development roadmap in SUN.STUDIO related to my position in the future"/>
        <s v="I just wanted to share a small note regarding my transcript. Some of my earlier semesters and math-related courses have lower grades, so I hope the evaluation can be considered as a whole progression rather than focusing too much on the early results."/>
        <s v="I am eager to learn, improve, and contribute through real projects. &#10;&#10;I may not have extensive experience yet, but I am highly motivated, proactive, and willing to put in the effort to grow quickly and deliver real value to the team."/>
        <s v="I am very excited about the opportunity to join SUN.STUDIO. As a final-year student, I am ready to bring my technical foundation in Data Analytics and my proactive mindset to contribute to the team. I look forward to learning from professional mentors and"/>
        <s v="Em rất mong có cơ hội được học hỏi và phát triển tại SUN.STUDIO. Em sẵn sàng tiếp thu kiến thức mới, làm việc nghiêm túc và đóng góp hết khả năng của mình vào các dự án của công ty."/>
        <s v="I am really interested in the opportunity to work at SUN.STUDIO, especially in a data-driven game environment. I am eager to learn how data is used to understand player behavior and improve game performance. I am a fast learner, highly motivated, and will"/>
        <s v="Em rất mong là SUN.STUDIO sẽ cho em 1 cơ hội để có thể được làm việc trong lĩnh vực game"/>
        <s v="Em mong có cơ hội gia nhập SUN.STUDIO để không chỉ phát triển bản thân mà còn đóng góp vào việc xây dựng các sản phẩm chất lượng, ứng dụng AI hiệu quả trong game."/>
        <s v="I would like to have the opportunity to work at your company."/>
        <s v="I genuinely love what SUN.STUDIO builds, and I'd be excited to contribute. Maybe I'm not the perfect candidate for this position, but I'm someone who learns fast, pushes through hard problems, and always looks for what's next to explore. I commit to getti"/>
        <s v="Em cảm ơn các anh chị đã xem xét hồ sơ của em. Rất mong có thể được trao đổi trực tiếp để em được hiểu hơn và đồng hành cùng công ty!!"/>
        <s v="Em mong muốn nếu có cơ hội đồng hành cùng SUN.STUDIO, em có thể học hỏi nhiều hơn về cách xây dựng và phát triển con người trong tổ chức, đồng thời đóng góp sự chủ động và tinh thần học hỏi của mình vào các hoạt động chung."/>
        <s v="I am excited about the opportunity to contribute, learn, and grow within SUN.STUDIO. I believe this internship is more than just a role—it is a chance to build meaningful skills in a real production environment. If given the opportunity, I will bring curi"/>
        <s v="Em mong muốn được trở thành một phần của SUN.STUDIO để học hỏi, đóng góp và phát triển lâu dài trong lĩnh vực Nhân sự. Với tinh thần chủ động và cầu tiến, em hy vọng có thể hỗ trợ đội ngũ xây dựng môi trường làm việc gắn kết, đồng thời cùng SUN.STUDIO. Dù"/>
        <s v="Cảm ơn SUN.STUDIO đã dành thời gian xem qua ứng tuyển của em và mong có thể được gặp gỡ và thực tập với SUN.STUDIO trong thời gian tới."/>
        <s v="I'm really looking forward to having a chance for further conversation."/>
        <s v="I just want to express my genuine enthusiasm for the SUN.RISER program and SUN.STUDIO's vision of creating accessible games for everyone. Your emphasis on the 'Fast' and 'Quality' core values perfectly matches the working style I built during my previous "/>
        <s v="SUN.STUDIO Sunriser internship program has opened a great opportunity for me to be a part of the game industry and to build a long-term career with the company. I will always try to improve my skill through personal game projects, learn new techniques and"/>
        <s v="Em hi vọng là chương trình sẽ process theo như đúng timeline cũng như là có thank you letter nếu như em không thể pass được chương trình ạ"/>
        <s v="Chúc anh / chị có một ngày tốt lành!"/>
        <s v="I would like to express my strong interest in joining SUN.STUDIO. I truly admire the company’s dynamic environment and product-driven mindset. I am eager to learn, take on challenges, and contribute my skills to the team. I hope to grow not only as an int"/>
        <s v="mình mong sẽ nhận được mail phản hồi process sớm nhất từ bên công ty"/>
        <s v="Em mong rằng quý công ty cho em cơ hội để được trở thành thực tập sinh ở công ty."/>
        <s v="Tôi rất đam mê với game và mong muốn có thể làm việc theo lĩnh vực này"/>
        <s v="Chúc công ty ngày càng thành công"/>
        <s v="I’m eager to learn, contribute, and grow while helping build meaningful and engaging products at SUN.STUDIO."/>
        <s v="Tôi mong bản thân sẽ có 1 cơ hội và tôi hứa bản thân sẽ làm tốt nhất khi có được cơ hội này ,đồng thời nếu bản thân tôi có thiếu sót tôi sẽ sửa chữa và cải thiện"/>
        <s v="Beyond my technical skills, I bring an IELTS 8.0 English proficiency, making me fully equipped for collaboration in international team environments. I am a proactive learner who values clean code and constructive feedback. I am eager to align my developme"/>
        <s v="Thank you very much for the opportunity to join your company. I truly appreciate the chance and am excited about the possibility of contributing to your team."/>
        <s v="Em mong có cơ hội học hỏi từ đội ngũ giàu kinh nghiệm của công ty, và hy vọng rằng có thể mang lại đóng góp bằng sự chăm chỉ và khả năng hỗ trợ tốt trong các công việc liên quan đến thiết kế nội dung game."/>
        <s v="I’m really interested in applying AI to real business workflows and creating practical impact.&#10;I may not have direct experience in game development yet, but I’m eager to learn quickly and contribute by building AI solutions that improve efficiency across "/>
        <s v="I would like to thank SUN.STUDIO for creating the SUN.RISER program and giving students the opportunity to learn from real game projects. I am excited about the chance to grow in a professional game studio, contribute with my skills, and keep improving to"/>
        <s v="I am very interested in learning how QA is applied in real game products and how teams ensure quality at scale. I’m eager to contribute, learn quickly from feedback, and take responsibility for my work. I also enjoy analyzing systems and identifying edge "/>
        <s v="I would like to express my sincere gratitude to SUN.STUDIO for creating the SUN.RISER program. It is an invaluable opportunity for me to learn from industry experts and contribute my skills to the studio's creative journey. I am truly excited about the po"/>
        <s v="Currently, there are few internship programs like this one on the job market. So, i hope SUN.STUDIO can develop more programs like this so that students have opportunities to experience real-world project and gain a more comprehensive understanding instea"/>
        <s v="Dù đang là sinh viên năm nhất với những bước đi đầu tiên từ các hoạt động cộng tác viên và phong trào, em tự tin vào tư duy sáng tạo và khả năng tự học của mình. Em không ngại lăn xả để mài giũa kỹ năng và tin rằng sự quyết liệt, tận tâm của mình sẽ mang "/>
        <s v="I'm genuinely excited about this opportunity. Though I'm new to the game industry, I bring a strong work ethic, reflected in my scholarship record and highest-scoring thesis. I learn fast, embrace challenges and am committed to growing with SUN.STUDIO lon"/>
        <s v="Rất mong được đồng hành và cống hiến cùng quý công ty."/>
        <s v="Dù kết quả có như thế nào thì tôi chúc cho công ty SUN.STUDIO sẽ luôn luôn thành công như những gì đã làm và sẽ gặt hái những vinh quang nhiều hơn trong tương lai. Những gì công ty đã và đang làm thực sự rất tuyệt vời và truyền cảm hứng cho nhiều thế hệ n"/>
        <s v="I’m really interested in applying AI to real products and learning how to build practical systems that create impact. I’m eager to learn, adapt quickly, and contribute to improving workflows through AI at SUN.STUDIO."/>
        <s v="Em rất mong có cơ hội được học hỏi và phát triển cùng SUN.STUDIO. Em hy vọng sẽ được đóng góp bằng tinh thần chủ động, trách nhiệm và sự nghiêm túc trong công việc, đồng thời tiếp thu thêm kinh nghiệm từ anh/chị và team để ngày càng hoàn thiện bản thân hơ"/>
        <s v="I hope I can bring my experience to work with the team."/>
        <s v="Với niềm đam mê lớn dành cho AI và kinh nghiệm thực chiến trong việc triển khai các mô hình Deep Learning lên hạ tầng Cloud, tôi mong muốn mang tư duy sáng tạo và khả năng giải quyết vấn đề để cùng SUN.STUDIO tạo ra những giải pháp đột phá, đóng góp vào s"/>
        <s v="I would like to express my strong interest in joining SUN.STUDIO and contributing to delivering high-quality game experiences to users.&#10;&#10;Although I am still at the early stage of my career, I am highly motivated, detail-oriented, and always eager to learn"/>
        <s v="With 2 years as VTC Online's Ops Manager , I’ve lived the player's reality. Beyond 'paper' design, I bring battle-tested insights to SUN.STUDIO to build games players crave, merging tech logic with community heart."/>
        <s v="Em mong muốn được gia nhập SUN.STUDIO để học hỏi môi trường làm game chuyên nghiệp, rèn luyện tư duy sản phẩm và nâng cao kỹ năng kỹ thuật. Với tinh thần chủ động học nhanh, sẵn sàng tiếp thu feedback và trách nhiệm trong công việc, em hy vọng có thể đóng"/>
        <s v="I hope that I will the opportunity to learn valuable experience through the internship"/>
        <s v="Nếu được nhận intern, tôi mong muốn học hỏi từ đội ngũ chuyên gia của studio và đóng góp kiến thức, sự sáng tạo của mình vào những dự án của công ty"/>
        <s v="I am ready to bring my proactive mindset and strong Deep Learning foundation to SUN.STUDIO. I look forward to the opportunity to learn, build scalable solutions, and grow with your engineering team this summer!"/>
        <s v="Em thực sự mong muốn được làm việc với SUN.STUDIO. Qua cách công ty đăng job cũng như qua các câu hỏi phía trên em cảm thấy đây là một môi trường thân thiện, chân thật và có sự chặt chẽ trong cách làm việc. Em không chỉ muốn đến công ty với một vai trò th"/>
        <s v="Em mong muốn có một cơ hội để được làm việc trong môi trường chuyên nghiệp, được hướng dẫn công việc thông qua các dự án game. Em sẵn sàng tiếp thu và cải thiện kỹ năng, không ngừng học hỏi để mang lại giá trị thật cho team. Em cảm ơn ạ."/>
        <s v="Xin chân thành cảm ơn."/>
        <s v="Sun.Studio may consider me overage or not meeting the required educational qualifications. However, I am confident that my passion for games, my knowledge, and my perseverance will enable me to create value for Sun.Studio in the future."/>
        <s v="Tôi rất mong có cơ hội được đồng hành cùng SUN.STUDIO để học hỏi, phát triển bản thân và đóng góp giá trị thông qua khả năng của mình. Tôi tin rằng với tinh thần cầu tiến, trách nhiệm và niềm đam mê với lĩnh vực game, tôi sẽ luôn nỗ lực hết mình để hoàn t"/>
        <s v="Mong công ty sẽ cho em cơ hội tham gia vào kì thực tập này, em sẽ cố gắng hết sức học hỏi để nâng cao kĩ năng và kinh nghiệm."/>
        <s v="I am highly motivated to learn and grow quickly in a professional environment like SUN.STUDIO.&#10;I am proactive, responsible, and enjoy tackling challenging problems through hands-on work.&#10;I would love the opportunity to contribute, learn from the team, and"/>
        <s v="Em rất mong có cơ hội được thử sức cũng như phỏng vấn tại sun.studio, được học hỏi cũng như trải nghiệm những quy trình ở 1 công ty game."/>
        <s v="Mình thực sự mong có cơ hội được trở thành một phần của SUN.STUDIO vì mình đang ở giai đoạn rất muốn học nhanh và làm thật. Mình biết bản thân còn nhiều thiếu sót, nhưng sẵn sàng nhận task khó, tự tìm hiểu và cải thiện liên tục để theo kịp team. Hy vọng c"/>
        <s v="Em rất mong muốn được tham gia Sun và đóng góp công sức của mình trong việc biến những ý tưởng game đầy tiềm năng thành các sản phẩm thành công và có khả năng giữ chân người chơi lâu dài.&#10;&#10;Trân trọng"/>
        <s v="Nếu có sai sót mong anh chị có thể đóng góp thêm cho e với ạ"/>
        <s v="I don’t have direct experience in the game industry yet, but I’m genuinely interested in how data and AI are applied in real products. I’m eager to learn, gain hands-on experience, and understand how my skills can create real impact."/>
        <s v="I look forward to the opportunity to discuss my application further in the next round."/>
        <s v="Hãy cho tôi cơ hội , tôi đảm bảo sẽ mang lại giá trị nào đó cho SUN.STUDIO."/>
        <s v="Mình xin cảm ơn đến SUN.STUDIO"/>
        <s v="Tôi mong sớm nhận được phản hồi từ Quý Công Ty. &#10;Chúc Quý Công Ty ngày càng phát triển và đạt nhiều thành công."/>
        <s v="I believe I have a strong foundation in AI, especially in Python and NLP, and I’m confident in my ability to learn and adapt quickly.&#10;I’m ready to give my full effort and use all my abilities to prove my value through real results.&#10;I hope to contribute me"/>
        <s v="I would love to share that I’m genuinely eager to learn and grow in a professional data environment. I value feedback, take initiative, and adapt quickly to new challenges. I hope to contribute with my analytical mindset while continuously improving my te"/>
        <s v="I have deep respect and admiration for the high-quality products and positive values the studio has brought to the community. My biggest passion is bringing unique game ideas to life and making them profitable through highly professional work."/>
        <s v="As an avid player of SUN.STUDIO’s casual titles during my free time, I have always been impressed by how you balance simplicity with deep engagement. This passion drives my desire to join the team, where I can apply my technical experience in System Archi"/>
        <s v="Em mong muốn có cơ hội được học hỏi và đóng góp tại SUN.STUDIO. Em sẵn sàng học nhanh, chịu khó tiếp thu feedback và nghiêm túc phát triển lâu dài theo hướng Unity Game Developer."/>
        <s v="Em xem đây là cơ hội quý giá để hiểu cách chất lượng định hình trải nghiệm người chơi. Em mong muốn học hỏi từ môi trường thực tế, sẵn sàng nỗ lực nâng cao kỹ năng và đóng góp sự tỉ mỉ của mình để cùng SUN.STUDIO tạo ra những tựa game ổn định, mượt mà nhấ"/>
        <s v="Với chuyên ngành công nghệ phần mềm, điều tự tin nhất em có là khả năng xử lý các bài toán logic, do đó còn rất nhiều thiếu sót trong lĩnh vực phát triển game. Đó cũng chính là lý do em muốn được đến với Sun. Hy vọng Sun sẽ cho em cơ hội tích lũy thêm nhi"/>
        <s v="I'm open to starting from an internship position if needed, as I value the opportunity to learn, gain more hands-on experience, and grow within the company. I'm genuinely interested in developing my technical skills and contributing to SUN.STUDIO's projec"/>
        <s v="Em ứng tuyển vào chương trình này với tâm thế là một người bắt đầu và coi đây như là một cơ hội để đồng hành trên chặng đường phát triển cùng SUN.STUDIO. &#10;Với kiến thức đã học và kinh nghiệm đã có nhờ vào việc đi làm sớm từ lúc còn sinh viên, em tin rằng "/>
        <s v="Thank you for taking the time to review my application. What excites me most about SUN.STUDIO is the chance to apply what I've built in AI and blockchain to a team that ships real products with real users. I'm someone who learns fast, takes ownership, and"/>
        <s v="có bị lỗi chọn No ở mục kinh nghiệm dự án thì vẫn phải bắt điền tên dự án vào, kèm bắt buộc phải gửi Portfolio của dự án đó khi mà không có kinh nghiệm gì?"/>
        <s v="Em rất mong muốn có cơ hội thực tập và phát triển sự nghiệp của mình tại Studio ạ. Hi vọng Studio sẽ cho em cơ hội phỏng vấn để thể hiện khả năng của mình"/>
        <s v="Hi vọng Studio sẽ giúp em phát triển được bản thân theo đam mê của mình."/>
        <s v="Tui thực sự rất mong muốn có cơ  hội làm thực tập ở SUN.STUDIO. Nếu SUN.STUDIO cho tui cơ  hội làm  việc và học tập ở đây, tui hứa sẽ cống hiến hết mình 1000% nỗ lực của  bản thân vì SUN.STUDIO. Tui sẽ không làm SUN.STUDIO thất vọng."/>
        <s v="I’m eager to learn, improve, and contribute as much as I can. Even though I’m still early in my journey with new technologies, I’m committed to putting in the effort to grow and add value to the team."/>
        <s v="Although I am at the beginning of my professional career, I am confident that my strong academic foundation and passion for game design will allow me to contribute effectively to SUN.STUDIO. I am a proactive learner, eager to refine my skills and grow wit"/>
        <s v="I understand that there are very few game development internship opportunities in HCM city, so I truly value this chance and want to make the most of it.&#10;I’m eager to learn, contribute, and grow as a developer, and I hope to have the opportunity to be par"/>
        <s v="Thông qua việc ứng tuyển vào SUN.STUDIO, mong muốn lớn nhất của em là được đặt những viên gạch đầu tiên cho sự nghiệp chuyên nghiệp trong một môi trường năng động và sáng tạo. Là một sinh viên vừa tốt nghiệp, em không chỉ mang theo kiến thức chuyên môn về"/>
        <s v="Với niềm đam mê và sự phù hợp với vị trí này, em hi vọng sẽ có cơ hội được Intern tại SUN.STUDIO, và nếu phù hợp, em rất mong chờ mình sẽ được phát triển sự nghiệp lâu dài ở SUN.STUDIO ạ."/>
        <s v="Em muốn hỏi về những chính sách đãi ngộ cho các thực tập sinh ạ. Hy vọng sẽ có cơ hội được làm việc với công ty."/>
        <s v="Em thật sự rất mong có cơ hội được học hỏi và phát triển tại SUN.STUDIO.&#10;&#10;Dù em biết mình vẫn còn ít kinh nghiệm thực tế trong Game Design, nhưng em sẵn sàng học nhanh, không ngại thử thách và luôn chủ động cải thiện bản thân. Em thật sự muốn được tham gi"/>
        <s v="Mình cảm ơn SUN.STUDIO đã tạo điều kiện cho mình có có hội được làm việc tại công ty. Hi vọng khi được tham gia cùng SUN.STUDIO mình sẽ cố gắng giúp công ty thành công ạ. Chúc công ty mình nhiều sức khoẻ^^"/>
        <s v="I am really excited about the opportunity to join SUN.STUDIO and learn from experienced developers. I appreciate your focus on creating simple and enjoyable games, and I would love to contribute while improving my skills. Thank you for considering my appl"/>
        <s v="Em mong muốn được học hỏi và tích lũy kinh nghiệm thực tế trong môi trường chuyên nghiệp. Hiện tại em đang phát triển các dự án về backend, app và game, nên mình rất mong có cơ hội được áp dụng kiến thức, đóng góp cho team và nâng cao kỹ năng tại SUN.STUD"/>
        <s v="Với những thành tựu mà công ty đã đạt được , SUN.STUDIO là một bến đỗ lý tưởng cho bước đầu sự nghiệp. Em rất mong muốn có cơ hội tham gia đội ngũ SUN.STUDIO và đóng góp sức mình vào các dự án sắp tới của quý công ty. Cảm ơn anh/chị đã dành thời gian đọc "/>
        <s v="N/A"/>
        <s v="Hiên tại, mình chưa xây dựng Porfolio riêng, các dự án về phân tích dữ liệu và tự động hóa đều được trình bày trong CV. Mình rất sẵn sàng thể hiện năng lực ở vòng Test và Phỏng vấn."/>
        <s v="I hope that I have chance to join the interview because I think this position is a great chance for me. The hiring team please contact with me through email: phuongnam23122004@gmail.com to let me updated because my phone number is deactivated now."/>
        <s v="Em iu công ty"/>
        <s v="I has acknowledged and been loving SUN STUDIO for a while now, it is my dream job, and I would do what it takes to achieve a position here at SUN"/>
        <s v="Mình rất mong có cơ hội được học hỏi và phát triển tại công ty. Dù còn là sinh viên, mình luôn nghiêm túc với công việc, sẵn sàng tiếp thu góp ý và cải thiện bản thân mỗi ngày.&#10;Mình hy vọng có thể đóng góp giá trị nhỏ bé của mình vào dự án chung và cùng t"/>
        <s v="I’d like to share that I’m not just looking for an internship - I’m looking for a place where I can seriously level up as a Unity Developer.&#10;&#10;What I’m really looking for at SUN.STUDIO is a challenging environment with high standards, where I can learn fro"/>
        <s v="Em là người tuân thủ kỷ luật, có tinh thần trách nhiệm và luôn nỗ lực trong công việc. Em mong muốn có cơ hội được đồng hành cùng SUN.STUDIO để học hỏi, phát triển và đóng góp giá trị lâu dài cho công ty."/>
        <s v="Em là sinh viên mong muốn có cơ hội được học hỏi và làm việc tại studio ạ,Mong quý công ty cho em có cơ hội được học và làm việc tại studio xin chân thành cảm ơn quý công ty."/>
        <s v="Em rất mong có cơ hội được học hỏi và đóng góp tại SUN.STUDIO. Hy vọng đây sẽ là nơi em có thể phát triển bản thân trong một môi trường sáng tạo và đầy cảm hứng."/>
        <s v="tôi yêu SUN RISER"/>
        <s v="Tôi mong muốn có cơ hội đồng hành cùng SUN.STUDIO để phát triển sự nghiệp trong ngành game. Tôi nghiêm túc với định hướng Data Analyst và sẵn sàng học hỏi, thích nghi nhanh để từng bước đóng góp giá trị thực tế cho sản phẩm và đội ngũ."/>
        <s v="Em rất mong có cơ hội được thực tập tại SUN.STUDIO để tìm hiểu và học hỏi thêm về cách làm việc với dữ liệu trong lĩnh vực game. Đồng thời, em hy vọng có thể đóng góp một phần khả năng của mình để hỗ trợ team và tích lũy thêm kinh nghiệm trong quá trình l"/>
        <s v="I am eager to learn, grow, and contribute in a dynamic environment like SUN.STUDIO"/>
        <s v="No"/>
        <s v="Although I am transitioning into data analytics at a later stage, I believe my previous work experience has helped me develop strong discipline, responsibility, and a structured way of working.&#10;I am fully committed to this path and willing to invest the t"/>
        <s v="Thank you for your chances. I hope we can have opportunity to work in the future."/>
        <s v="Những yêu cầu và đòi hỏi của công ty dành cho vị trí thực tập sinh là gì?"/>
        <s v="Em mong muốn có cơ hội được học hỏi trong môi trường thực tế tại SUN.STUDIO, nơi em có thể phát triển tư duy kỹ thuật và hiểu rõ hơn cách sản phẩm được xây dựng và tối ưu dựa trên dữ liệu.&#10;&#10;Dù chưa có nhiều kinh nghiệm với AI, em sẵn sàng học hỏi nhanh và"/>
        <s v="Mong cùng được hợp tác với công ty"/>
        <s v="Nếu tôi được đồng hành cùng SUN.STUDIO thì tôi sẽ rất vui vì được góp phần vào sự phát triển của ngành game Việt Nam"/>
        <s v="Em mong có cơ hội được đồng hành cùng SUN.STUDIO để học hỏi quy trình phát triển game chuyên nghiệp và đóng góp sức trẻ, tinh thần cầu tiến của mình cho đội ngũ. Em tin môi trường sáng tạo và năng động của công ty sẽ giúp em phát triển tốt hơn về chuyên m"/>
        <s v="Em xin chân thành cảm ơn SUN.STUDIO vì đã tạo ra chương trình SUN.RISER – một cơ hội thực chiến tuyệt vời dành cho các bạn sinh viên như em. Em rất mong được ‘rise’ cùng team và học hỏi nhiều hơn từ anh chị!"/>
        <s v="Mình mong chúng ta sẽ hợp tác lâu dài và bềnh vững&#10;Cùng nhau xây dựng nhiều dự án chất lượng"/>
        <s v="Em rất hy vọng có cơ hội được làm việc tại SUN.STUDIO để thử sức mình trong một môi trường chuyên nghiệp. Em luôn sẵn sàng lăn xả, làm hết sức và học hỏi hết mình để đóng góp cho team."/>
        <s v="Tôi mong có cơ hội được đồng hành cùng SUN.STUDIO để học hỏi, phát triển"/>
        <s v="Em biết mình chưa có nhiều kinh nghiệm thực tế và kỹ năng còn ở mức cơ bản, điểm số lại không cao. Tuy nhiên, em thật sự yêu thích dòng game Puzzle/Casual và có mong muốn được học hỏi, phát triển trong môi trường làm game chuyên nghiệp.&#10;&#10;Em đã tự tìm hiểu"/>
        <s v="I am eager to learn and grow in a data-driven environment like SUN.STUDIO. I hope to gain hands-on experience with real game data, contribute to meaningful insights, and continuously improve my analytical skills while supporting the team."/>
        <s v="I’m eager to learn, take ownership, and contribute to building practical AI systems that create real impact. I would really value the opportunity to work with the team and grow through hands-on experience."/>
        <s v="Em mong được nhận phản hồi sớm từ anh chị"/>
        <s v="I have actually played some of SUN.STUDIO’s games like Wood Block Puzzle and Block Puzzle Ocean, which makes this opportunity even more meaningful to me. Being able to work with data behind games I grew up enjoying is something I’m really excited about. I"/>
        <s v="Em hy vọng mình sẽ có cơ hội được tham gia và làm việc cùng mọi người tại công ty, học hỏi trải nghiệm và mong đây sẽ là nền móng tuyệt vời khi bước vào thị trường lao động."/>
        <s v="Em mong sẽ có cơ hội phỏng vấn với các anh/chị bên công ty."/>
        <s v="I’m very excited about the opportunity to join SUN.STUDIO and learn in a real game development environment. I’m eager to apply my AI and problem-solving skills to contribute to meaningful projects, while also learning from experienced team members."/>
        <s v="Em hy vọng nếu có cơ hội vào SUN.STUDIO, em có thể học được cách team thiết kế và vận hành game thực tế và từ đó cải thiện những gì em đang tự làm ở hiện tại."/>
        <s v="Mình rất hào hứng với cơ hội được tham gia SUN.STUDIO. Là một người đam mê AI và muốn xây dựng các hệ thống ứng dụng, đồng thời là một người hay chơi game, mình rất muốn được trải nghiệm việc ứng dụng AI vào game."/>
        <s v="I’m eager to learn, contribute, and grow in this role, and I would really appreciate the opportunity to be part of your team."/>
        <s v="Em mong muốn được bước ra khỏi phạm vi các dự án cá nhân để tham gia vào môi trường sản phẩm thực tế, nơi AI có thể tạo ra giá trị rõ ràng cho người dùng. Em tin SUN.STUDIO sẽ là nơi phù hợp để em học hỏi từ đội ngũ giàu kinh nghiệm và phát triển bản thân"/>
        <s v="Mình rất thích game, cũng rất ngưỡng mộ và yêu thích SUN.STUDIO, chúc SUN.STUDIO ngày càng phát triển và tạo ra những trò chơi thật hay, thú vị được mọi người biết đến rộng rãi."/>
        <s v="Như nhiều người trẻ khác, game luôn là một sở thích lớn của em, và bây giờ được làm công việc chuyên môn mà còn có liên quan đến sở thích của mình thì thật sự tuyệt vời. Hi vọng em sẽ có cơ hội được trải nghiệm môi trường làm việc trẻ trung năng động chuy"/>
        <s v="Em mong muốn có cơ hội được học hỏi và phát triển trong môi trường chuyên nghiệp tại SUN.STUDIO, đồng thời cống hiến sức trẻ của bản thân cho công ty.&#10;&#10;Em hiểu rằng bản thân vẫn còn nhiều điều cần cải thiện, nhưng em sẵn sàng học hỏi, tiếp nhận feedback v"/>
        <s v="Em rất mong có cơ hội được học hỏi và đóng góp tại SUN.STUDIO. Dù kinh nghiệm thực tế còn hạn chế, em sẵn sàng học nhanh, chủ động trong công việc và nghiêm túc phát triển lâu dài."/>
        <s v="Em mong muốn có cơ hội được học hỏi và đóng góp tại SUN.STUDIO, không chỉ với vai trò một intern mà còn là người luôn chủ động, trách nhiệm trong công việc. Em hy vọng có thể cùng team tạo ra những sản phẩm chất lượng và mang lại trải nghiệm tốt cho người"/>
        <s v="You may see me as a strong candidate for 3D games and may wonder about my ability to make mobile games. I want to assure you that I have been focusing on mobile game development since my internship. I’m confident that my combination of solid 3D experience"/>
        <s v="Em rất mong được góp phần vào đội ngũ Unity của công ty bằng sự nhiệt tình và khả năng học hỏi nhanh. Em cam kết sẽ cố gắng hết mình, chủ động và nhận feedback để phát triển. Em cũng hy vọng công ty sẽ tạo điều kiện để em học hỏi từ anh chị đi trước nhiều"/>
        <s v="Mong công ty cho em cơ hội để được làm việc cùng công ty và chúc công ty sẽ đạt được nhiều dự án thành công trên thị trường"/>
        <s v="I am genuinely excited about the possibility of joining SUN.STUDIO and am highly motivated to secure this opportunity. As a final-year student, I am at a stage where I am fully prepared to dedicate my focus and energy to a professional role. I am looking "/>
        <s v="Em hy vọng được bắt đầu hành trình chuyên nghiệp tại SUN.STUDIO, nơi em có thể chuyển hóa kiến thức Unity của mình thành những giá trị thực tế và cùng studio chinh phục những thử thách công nghệ mới"/>
        <s v="Em hi vọng là có cơ hội thử sức và được phỏng vấn tại sun.studio."/>
        <s v="Nothing"/>
        <s v="Tôi mong muốn có cơ hội được đồng hành cùng SUN.STUDIO để học hỏi, phát triển bản thân và đóng góp giá trị bằng những kiến thức, kỹ năng của mình.&#10;&#10;Tôi tin rằng môi trường chuyên nghiệp và sáng tạo tại đây sẽ giúp tôi hoàn thiện hơn trên con đường trở thà"/>
        <s v="Em mong muốn được cọ sát hơn với công việc thực tế ở môi trường làm việc chuyên nghiệp nên em sẽ cố gắng hết sức để ứng tuyển vào vị trí này, nếu có cơ hội em muốn được gắn bó với công việc này 200% sức mình."/>
        <s v="Tôi rất mong muốn có cơ hội được học hỏi và phát triển trong môi trường năng động tại SUN.STUDIO. Tôi hy vọng có thể đóng góp tinh thần chủ động, trách nhiệm và khả năng làm việc với dữ liệu của mình vào các dự án thực tế của công ty. Đồng thời, tôi cũng "/>
        <s v="As a recent graduate, I am eager to contribute my technical knowledge to SUN.STUDIO while gaining hands-on experience in a professional environment. My 6-month internship in Taiwan has trained me to adapt quickly and learn efficiently, so I’m confident th"/>
        <s v="Thank you for reading all my responses thus far."/>
        <s v="Em rất mong có cơ hội được học hỏi và trải nghiệm thực tế tại SUN.STUDIO. Em tin rằng môi trường năng động và sáng tạo của công ty sẽ giúp em phát triển kỹ năng chuyên môn cũng như tư duy sáng tạo. Đồng thời, em cũng hy vọng có thể đóng góp một phần nhỏ v"/>
        <s v="I would like to share that I recently transitioned from an AI Engineering path to game development. While I may not have many game projects yet, I have gained practical experience working in real-world environments. I am confident in my ability to learn q"/>
        <s v="Em rất mong muốn được tham gia vào SUN.RISER để phát triển kỹ năng Unity Developer.&#10;Với 4 dự án game cá nhân hoàn chỉnh bằng Unity (trong đó Chaos Dungeon là đồ án chuyên ngành), em đã tích lũy kinh nghiệm thực tế về lập trình gameplay, hệ thống và balanc"/>
        <s v="I would like to express my strong interest in joining SUN.STUDIO and contributing to your team. As someone who is passionate about data and eager to learn, I am excited about the opportunity to work in a dynamic environment like yours.&#10;&#10;I am always willin"/>
        <s v="I am highly motivated to learn and grow in the game industry, and I am eager to contribute my attention to detail and passion for quality. I would greatly appreciate the opportunity to gain hands-on experience at SUN.STUDIO and develop my skills further w"/>
        <s v="Em mong có cơ hội được tỏa sáng nghề nghiệp tại đây."/>
        <s v="Em mong HR và công ty có thể cho em một cơ hội để thử sức với vị trí Unity Development Intern.&#10;Với mọi khả năng có thể, em sẽ cống hiến hết mình với công ty và đem lại kết quả tốt"/>
        <s v="Hy vọng studio có thể xem xét profile một cách trực quan và rõ ràng nhất. Vì mình không thể chia sẻ hết trên đây do yếu tố kĩ thuật. &#10;Mình chúc studio may mắn tìm được ứng viên phù hợp ạ.&#10;Mình cảm ơn."/>
        <s v="Em rất ấn tượng với những gì SUN.STUDIO đang xây dựng và hy vọng có cơ hội được trở thành một mảnh ghép của team. Chúc studio ngày càng phát triển và có thêm nhiều dự án bùng nổ trong tương lai. Em rất mong nhận được phản hồi sớm từ phía SUN.STUDIO."/>
        <s v="Is the internship allowance based on performance?&#10;What criteria are used to evaluate interns during the internship?"/>
        <s v="Mặc dù em chưa có nhiều kinh nghiệm trong lĩnh vực Data Analysts nhưng em xin hứa sẽ cố gắng hết sức để hoàn thành nhiệm vụ của mình và em hy vọng sẽ được đồng hành cùng SUN.STUDIO trong thời gian tới. Em xin chân thành cảm ơn!"/>
        <s v="I’m not looking for a summer internship — I’m looking for where I start my career in game design. SUN.STUDIO is where I want to build that foundation.​​​​​​​​​​​​​​​​"/>
        <s v="Em còn ít kinh nghiệm, em hy vọng sẽ có thể học hỏi và đóng góp cho công ty ạ."/>
        <s v="Dạ em rất mong được tham gia vào chương trình đào tạo bên mình. Em cảm ơn anh/chị đã dành thời gian xem xét."/>
        <s v="Em hy vọng được đồng hành cùng Studio trong quá trình thực tập và sau thực tập."/>
        <s v="Thank you for considering my application. I look forward to the opportunity to contribute to SUN.RISER."/>
        <s v="I would like to share that I am genuinely interested in AI and always willing to learn. I hope to gain hands-on experience at SUN.STUDIO while contributing positively to the team and improving my skills through real projects."/>
        <s v="I'm genuinely excited about the opportunity to be part of SUN.RISER 2026. What draws me most to Sun Studio is the chance to work with real, live products—where data has direct impact on player experience and business decisions. I'm a fast learner, highly "/>
        <s v="Thank you for building a program that treats interns as real contributors"/>
        <s v="I love  SUN.STUDIO"/>
        <s v="I am really excited about the opportunity to learn how AI is applied inside a real game studio, beyond academic projects. I have experience with applied AI systems, backend deployment, and a Godot game project, but I know there is still a lot to learn fro"/>
        <s v="Tôi mong muốn được có cơ hội gặp gỡ và phỏng vấn ở công ty. Bản thân tôi muốn được thể hiện năng lực của mình và tinh thần làm việc cho nhà tuyển dụng thấy được. Mong được có cơ hội phỏng vấn ạ"/>
        <s v="Không ạ."/>
        <s v="Dạ không ạ"/>
        <s v="I’m eager to learn and contribute in a practical environment like SUN.STUDIO. I may not have extensive experience yet, but I’m highly motivated, quick to learn, and enjoy solving real problems with AI. I hope to grow here and contribute to building impact"/>
        <s v="I am very excited to apply for this position at SUN.STUDIO. I want to learn from a professional team and grow my skills. I am ready to work hard and contribute to the company’s development."/>
        <s v="It would be amazing for me to be able to dedicate my skills and expertise to the desired positions, and to have an important learning experience alongside your company in return.&#10;I would welcome the opportunity to speak to you in more details. Thank you f"/>
        <s v="Tôi mong rằng chúng ta sẽ có cơ hội làm việc với nhau."/>
        <s v="Em mong muốn có cơ hội được học hỏi thêm về cách game vận hành, đặc biệt là cơ chế AI như quái vật hồi sinh và tấn công người chơi. Hiện tại em đang bị vướng môn thực tập, tuy nhiên em có thể sắp xếp thời gian để tham gia trong 6 tháng. Trong trường hợp c"/>
        <s v="Tôi rất mong muốn có được cơ hội học hỏi tại SUN.STUDIO. Với tinh thần nhiệt huyết và sẵn sàng học hỏi, tôi tin rằng mình sẽ đóng góp tích cực cho team và phát triển bản thân trong thời gian thực tập. Cảm ơn SUN.STUDIO đã xem xét hồ sơ của tôi!"/>
        <s v="Em rất mong có cơ hội được học hỏi và phát triển tại SUN.STUDIO. Em sẵn sàng lắng nghe, tiếp thu góp ý và nỗ lực hoàn thành tốt các nhiệm vụ được giao.&#10;Nếu được trao cơ hội, em hy vọng có thể đóng góp vào các sản phẩm của công ty, đồng thời không ngừng cả"/>
        <s v="None"/>
        <s v="I would like to say that I’m highly motivated to learn and contribute.&#10;I’m eager to work on real-world AI problems, improve my skills, and grow with the team.&#10;If given the opportunity, I will do my best to learn quickly and add value to SUN.STUDIO."/>
        <s v="Cảm ơn SUN.STUDIO vì cơ hội tuyệt vời này. Mình hy vọng sẽ có cơ hội được học hỏi và phát triển cùng team trong thời gian tới."/>
        <s v="Em mong muốn được học hỏi và phát triển trong môi trường chuyên nghiệp như SUN.STUDIO, đồng thời áp dụng kiến thức AI vào thực tế. Em sẵn sàng cố gắng hết sức để đóng góp vào các dự án của công ty."/>
        <s v="Rất mong được tham gia cùng SUN.STUDIO, cảm ơn vì đã cho cơ hội"/>
        <s v="I would like to thank SUN.STUDIO for this opportunity. I am eager to learn, improve my skills, and contribute to real game projects. I hope to have a chance to grow with the team and become a valuable member of SUN.RISER."/>
        <s v="Em mong có cơ hội được học hỏi, đóng góp và phát triển tại SUN.STUDIO. Em rất hứng thú với môi trường làm game năng động và tin đây sẽ là nơi tốt để em rèn luyện tư duy QA, nâng cao kỹ năng và tạo ra giá trị cho sản phẩm"/>
        <s v="I am excited about the professional environment at SUN.STUDIO. Although I do not have professional experience in the gaming industry, I am eager to learn. I am ready to study and improve my knowledge to contribute effectively to SUN.STUDIO. I am committed"/>
        <s v="Tôi chân thành cảm ơn quý công ty đã dành thời gian xem xét hồ sơ của mình. Tôi rất ấn tượng với môi trường chuyên nghiệp của SUN.STUDIO và đã chuẩn bị sẵn sàng để bắt đầu hành trình thực tập. Tôi rất mong đợi có cơ hội được phỏng vấn để chia sẻ chi tiết "/>
        <s v="1. Em hy vọng thông qua quá trình thể hiện của bản thân cùng quá trình tuyển mộ và tuyển chọn của công ty, công ty sẽ có được những nhân tài phù hợp mà công ty đang tìm kiếm, hy vọng trong đó có em.&#10;2. Cùng với hồ sơ này, em xin gửi gắm sự nghiêm túc dành"/>
        <s v="Tôi rất mong có cơ hội được trở thành một phần của SUN.STUDIO để học hỏi và phát triển trong môi trường năng động, sáng tạo. Tôi tin rằng SUN.STUDIO không chỉ tạo ra những sản phẩm thú vị mà còn xây dựng một môi trường làm việc tích cực cho nhân viên.&#10;&#10;Nế"/>
        <s v="I’m genuinely excited about the opportunity to apply data analytics in the gaming industry, especially in a product-driven environment like SUN.STUDIO. I’m eager to learn quickly, contribute with a strong sense of ownership, and turn data into meaningful "/>
        <s v="Mình biết mình chưa có kinh nghiệm ngành Game. Nhưng mình tin rằng môi trường thực chiến sẽ giúp mình phát triển nhanh hơn bất kỳ khóa học nào. Mình không đến để học cho có, mình đến để đóng góp thật sự và mình sẵn sàng chứng minh điều đó."/>
        <s v="I am truly impressed by SUN.STUDIO's creative portfolio. With my solid Unity background and hands-on experience in UI/UX and game logic, I am ready to bring my dedication and fresh perspective to the team. I look forward to the possibility of contributing"/>
        <s v="Mình rất mong được trở thành một thành viên trong mái nhà chung SUN.STUDIO"/>
        <s v="Cảm ơn quý công ty"/>
        <s v="Em muốn chia sẻ rằng mình rất coi trọng cơ hội thực tập tại SUN.STUDIO. Em cam kết sẽ nỗ lực hết mình để học hỏi, thể hiện tinh thần trách nhiệm cao và sẵn sàng tham gia thực tập toàn thời gian từ tháng 06/2026 để có thể đóng góp tốt nhất cho đội ngũ phát"/>
        <s v="I’m really excited about the opportunity to join SUN.STUDIO and grow in the game industry. I’m eager to learn, take on challenges, and contribute my best to the team while continuously improving myself."/>
        <s v="I have been following SUN.STUDIO’s innovative projects for some time and am deeply impressed by your creative tech environment. Currently, I am a final-year student specializing in RAG and LangChain architectures. I am eager to challenge myself in a new f"/>
        <s v="Mình thích uốn cà phê, nếu công ty có chỗ pha cà phê thì mình rất willing OT ạ"/>
        <s v="I am eager to learn and grow in a professional QA environment, and I am willing to take on feedback to improve quickly. I hope to have the opportunity to contribute to SUN.STUDIO’s game products and gain hands-on experience working with a real team."/>
        <s v="Yes. I would like to share that I am very excited about the opportunity to learn and grow at SUN.STUDIO. Although I am still early in my career, I am responsible, willing to learn and ready to contribute with my communication, teamwork and coordination sk"/>
        <s v="To whoever is reading this, what is your favorite game?"/>
        <s v="Nếu được trao cơ hội tôi tự tin có thể làm hoàn thành và làm tốt các nhiệm vụ được giao"/>
        <s v="I am looking forward to your response."/>
        <s v="Em rất trân trọng cơ hội ứng tuyển tại SUN.RISER. Dù kỹ năng kỹ thuật còn mới, nhưng với thái độ cầu tiến và nền tảng, kinh nghiệm hiện có, em chắc chắn sẽ nỗ lực học hỏi và trau dồi để sớm đóng góp giá trị cho những sản phẩm game chất lượng của công ty, "/>
        <s v="Mặc dù em chưa có cơ hội được tiếp cận và vận hành quảng cáo kỹ thuật số một cách thực tế và chuyên nghiệp, nhưng em nghĩ khả năng tự học và chủ động của bản thân sẽ giúp em ngày càng hoàn thiện để phù hợp với vị trí này nếu được trao cơ hội"/>
        <s v="A funny thing about me is that I can’t really “just play” games normally. When I play casual or puzzle games, I start noticing things like level difficulty, ad timing, or what makes me want to keep playing, or quit. Sometimes I even predict when an ad wil"/>
        <s v="Không ạ"/>
        <s v="Dạ em mong đây sẽ có cơ hội được đến học hỏi và phát triển cùng SUN.STUDIO"/>
        <s v="I'm Nguyễn Phúc Loan, a fresh graduate in Data Science, and I'm genuinely excited about the opportunity to join SUN.RISER. I thrive in a dynamic, energetic environment where people ask questions, move fast, and learn together — and I'm ready to contribute"/>
        <s v="Em rất mong được tham gia vào chương trình thực tập tại SUN.STUDIO. Mong những kiến thức, kinh nghiệm và thái độ ham học hỏi của em sẽ được SUN.STUDIO xem xét cho em có cơ hội tham gia thực tập, để em vừa học hỏi vừa tạo giá trị cho quý công ty ạ!!!"/>
        <s v="Em tin rằng sự kết hợp giữa tư duy nghiên cứu và kỹ năng lập trình của mình sẽ đóng góp tích cực cho đội ngũ AI Engineer tại Sun*. Cảm ơn SUN.STUDIO đã trao cơ hội để em được thử sức và phát triển trong một môi trường chuyên nghiệp như SUN.RISER 2026."/>
        <s v="Thank you for taking the time to review my application. I truly appreciate the opportunity to apply for the SUN.RISER program."/>
        <s v="What I would like to share most is my excitement about a role that allows me to combine data analysis with a deep understanding of game logic and systems. I believe that my firsthand experience in game structures will enable me to deliver more practical a"/>
        <s v="I will try my best if I am in the position."/>
        <s v="Cảm ơn công ty đã dành thời gian để xem hồ sơ của em ạ"/>
        <s v="Mình rất mong có cơ hội trở thành một phần của SUN.STUDIO để vừa học hỏi, vừa đóng góp vào việc xây dựng đội ngũ nhân sự phù hợp với môi trường sáng tạo của công ty. Dù là một Intern, mình luôn sẵn sàng chủ động nhận việc, làm chỉn chu từng phần nhỏ và kh"/>
        <s v="Nếu có cơ hội được trở thành một phần của công ty, em mong muốn không chỉ học hỏi về quy trình làm game thực tế mà còn có thể đóng góp giá trị của mình, dù là từ những task nhỏ nhất.&#10;Em hiểu rằng ở vị trí intern thì mình còn nhiều điều cần cải thiện, nên "/>
        <s v="Em rất trân trọng cơ hội được ứng tuyển vào chương trình SUN.RISER. Dù là một người ngoại đạo với game, em lại có niềm đam mê lớn trong việc thấu hiểu và kết nối con người. Em hy vọng sẽ được mang tư duy của một sinh viên Tâm lý học để góp phần xây dựng m"/>
        <s v="Cảm ơn SUN.STUDIO vì đã tạo ra chương trình SUN.RISER, đây là cơ hội tuyệt vời cho những sinh viên sắp tốt nghiệp như em có thể học hỏi, mở mang kiến thức khi bước chân vào ngành Game."/>
        <s v="I'm genuinely excited about the opportunity to contribute to SUN.STUDIO as a Data Analyst Intern. I bring not just technical skills in Python, SQL, and machine learning, but also a mindset of turning data into real business value. I hope to have the chanc"/>
        <s v="I’m genuinely interested in growing within the game industry, especially in user acquisition where performance and creativity go hand in hand. I approach this opportunity with a serious mindset and a willingness to learn fast, take ownership, and continuo"/>
        <s v="I love data, and I love games. Combining these two passions to solve real problems at SUN.STUDIO is my absolute ideal opportunity."/>
        <s v="Bản thân em chưa có nhiều kinh nghiệm triển khai AI cho các dự án thực tế. Phần lớn kiến thức và kinh nghiệm của em đến từ việc nghiên cứu hoặc tham gia các cuộc thi. Em vẫn đang cố gắng học tập và trau dồi thêm những kiến thức mà bản thân còn thiếu. Tuy "/>
        <s v="Thank you for considering my application. I am eager to learn, contribute, and grow through SUN.RISER. I hope to have the opportunity to join SUN.STUDIO and create meaningful products with the team."/>
        <s v="As a passionate player of competitive games, I deeply understand what keeps users engaged. I am eager to combine this gamer's intuition with my technical skills in Data and AI to help build and optimize great products at SUN.STUDIO. I am ready to bring my"/>
        <s v="If any how i will be accepted, I will spend most of my time do the best of my work for the company and cherish any chances of leveling up my game design skills."/>
        <s v="Cảm ơn SUN.STUDIO đã mang đến một cơ hội tuyệt vời để những người trẻ được dấn thân. Gửi gắm lớn nhất của mình là: Dù xuất phát điểm là một Kỹ sư Hệ thống, nhưng năng lực cốt lõi của mình là 'Tối ưu hóa' bằng Dữ liệu và AI. Mình đã sẵn sàng để học hỏi nha"/>
        <s v="As a sophomore, I may be early in my academic journey, but my technical track record is already battle-tested. Having won the Bright Data Track at HackHarvard 2024 and Second Prize at UIT Bootcamp Entrepreneurship 2024, I have proven my ability to learn r"/>
        <s v="Em cám ơn vì đã đọc phần đơn ứng tuyển này của em, em rất mong có cơ hội được hợp tác và làm việc lâu dài cùng với công ty"/>
        <s v="I’m very interested in the opportunity to grow as an AI Engineer at SUN.STUDIO. I’m eager to learn, take on challenges, and contribute to real-world AI products. I would greatly appreciate the chance to be part of your team and develop my skills further."/>
        <s v="I don’t have any further questions at the moment. Thank you for considering my application, and I’m looking forward to the opportunity to learn and contribute at SUN.STUDIO."/>
        <s v="Mình thấy được SUN.STUDIO là một môi trường phù hợp để mình có thể phát  triển trong lĩnh vực phân tích và mình muốn áp dụng những kiến thức mình đã học và làm dự án sẽ giúp Studio đưa ra các quyết định nhanh chóng và tự tin hơn trong thị trường game đầy "/>
        <s v="I may not start as the strongest, but I’m a fast learner who adapts quickly and continuously improves. I’m eager to learn, proactive in taking on challenges, and ready to grow in User Acquisition while contributing positively to your team."/>
        <s v="Bản thân em biết yếu điểm lớn nhất của mình hiện tại là không có project nào làm bằng unity. Nhưng hiện tại em đang và đã tự học và tự thực hành bằng unity. Em hy vọng được có một cơ hội để chứng minh bản thân."/>
        <s v="Em rất mong muốn SUN.STUDIO sẽ là điểm khởi đầu cho một hành trình trưởng thành trên công việc của chính bản thân em. Nếu được trao cơ hội, em sẽ đóng góp đúng như những gì em chia sẻ và quý công ty mong muốn"/>
        <s v="Mình cảm ơn công ty đã trao cơ hội được phỏng vấn và hi vọng sẽ được đồng hành ạ."/>
        <s v="Em muốn gửi đến SUN.STUDIO sự cam kết học hỏi và đóng góp nghiêm túc. Em không ngại thử nghiệm, không ngại sai để sửa, nhưng luôn đặt chất lượng sản phẩm và tinh thần đồng đội lên hàng đầu."/>
        <s v="Dạ không ạ."/>
        <s v="I am eager to learn, take on challenges, and contribute as much as I can. I hope to grow with SUN.STUDIO and gain valuable experience through real projects."/>
        <s v="Chương trình thực tập sẽ tập trung về phát triển instant game trên facebook và các nền tảng khác hay sẽ phát triển game mobile phát hành trên các cửa hàng apple store/google play vậy ạ?"/>
        <s v="Em mong công ty có thể xem xét hồ sơ của em và cho em một cơ hội để thực tập , mặc dù chưa có kinh nghiệm chuyên môn nhiều nhưng em có tinh thần cầu tiến và học hỏi để sẵn sàng gắn bó với công ty lâu dài"/>
        <s v="I’m really looking forward to the chance to join SUN.STUDIO. I’m still early in my journey, but I’m very motivated, enjoy learning new things, and I’m especially interested in AI applications like gaming. I hope I can contribute and grow with the team."/>
        <s v="Em mong có cơ hội được học hỏi, phát triển kỹ năng Game Design và đóng góp vào những sản phẩm game sáng tạo của SUN.STUDIO. Em sẽ luôn cố gắng, chủ động và nghiêm túc trong quá trình thực tập."/>
        <s v="Là một người đam mê các trò chơi nhỏ, thú vị (Casual Games) và yêu thích việc tìm ra những câu chuyện ẩn sau các con số, em tin rằng vị trí DA Intern tại SUN.STUDIO là cơ hội tuyệt vời để em cống hiến sự tỉ mỉ, khả năng phân tích dữ liệu (SQL, Excel) của "/>
        <s v="Em mong muốn được trở thành một phần của SUN.STUDIO để học hỏi và phát triển trong môi trường làm game chuyên nghiệp. Em đặc biệt ấn tượng với định hướng đề cao chất lượng sản phẩm và trải nghiệm người chơi của công ty.&#10;&#10;Nếu có cơ hội tham gia SUN.RISER, "/>
        <s v="Em rất mong muốn có cơ hội được tham gia và học hỏi tại SUN.STUDIO. Đây không chỉ là một vị trí thực tập mà còn là cơ hội để em được phát triển bản thân trong môi trường thực tế.&#10;&#10;Em sẵn sàng dành thời gian, nỗ lực và nghiêm túc trong công việc để học hỏi"/>
        <s v="Mình muốn có cơ hội làm việc và đồng hành cùng SUN.STUDIO"/>
        <s v="I think the company should improve its branding because I haven't been able to research or learn much about it. Therefore, it will be difficult for customers (users or businesses) to reach out and expand the company's business."/>
        <s v="Em rất mong muốn có cơ hội được tham gia phỏng vấn để hiểu rõ hơn về SUN.STUDIO cũng như chia sẻ cụ thể hơn về bản thân. Em tin rằng với tinh thần học hỏi, sự chủ động và khả năng thích nghi, em có thể trở thành một mảnh ghép phù hợp và đóng góp giá trị t"/>
        <s v="Em rất mong có cơ hội được tham gia SUN.RISER để học hỏi từ đội ngũ chuyên môn, đóng góp vào các sản phẩm thực tế và phát triển bản thân theo định hướng AI Engineer. Em sẵn sàng học hỏi, chủ động trong công việc và cam kết nỗ lực hết mình nếu có cơ hội đồ"/>
        <s v="I am excited about the opportunity to join SUN.STUDIO and contribute to creating high-quality gaming experiences. With my passion for games, strong attention to detail, and eagerness to learn, I am ready to grow, take on challenges, and contribute positiv"/>
        <s v="I would like to ask how long it usually takes to receive feedback after applying and whether candidates who are not selected will also receive a response."/>
        <s v="Em mong muốn được học hỏi và phát triển trong môi trường thực tế tại SUN.STUDIO, nơi em có thể tiếp cận các bài toán AI và cách áp dụng vào sản phẩm. Em sẵn sàng chủ động học hỏi, thích nghi nhanh và nỗ lực để không chỉ hoàn thành tốt công việc được giao "/>
        <s v="I know I’m still at the beginning of my journey in Data Analysis, but I’m serious about it. I’m actively improving my skills and looking for a real environment to learn and contribute.&#10;I believe SUN.STUDIO can give me that opportunity, and I’m ready to pu"/>
        <s v="Tôi rất mong có cơ hội được đồng hành cùng SUN.STUDIO để học hỏi, phát triển kỹ năng và đóng góp hết mình vào các dự án game của công ty. Tôi hy vọng có thể mang đến tinh thần chủ động, trách nhiệm và sự nghiêm túc trong công việc, đồng thời không ngừng c"/>
        <s v="Dạ em cảm ơn SUN.STUDIO đã tạo cơ hội cho các bạn trẻ như em có công việc thực tập và phát huy nhiều hơn trong đời sống của mình . Em cảm ơn ạ"/>
        <s v="Tôi mong rằng có thể có được một buổi phỏng vấn và nếu tốt hơn thì sẽ được trúng tuyển vào trong công ty"/>
        <s v="Sau khi thử qua nhiều lĩnh vực thì em cảm thấy ngành game phù hợp nhất với mình. Trong game, em có thể ứng dụng nhiều kiến thức em đã tích lũy được. Em có khả năng đọc hiểu văn bản, viết document bằng tiếng Anh, sử dụng các thuật ngữ chuyên ngành. Ngoài r"/>
        <s v="- Em hy vọng sẽ có cơ hội làm việc lâu dài với SUN trong tương lai và học hỏi được nhiều thứ bổ ích từ anh chị đi trước"/>
        <s v="Dạ em hi vọng được trở thành một thành viên của SUN.STUDIO"/>
        <s v="Tôi mong muốn được trở thành một phần của SUN.STUDIO để học hỏi quy trình phát triển game thực tế, đóng góp vào việc nâng cao chất lượng sản phẩm và phát triển kỹ năng kiểm thử trong môi trường chuyên nghiệp."/>
        <s v="Em mong muốn được trở thành một phần của SUN.STUDIO để học hỏi, phát triển kỹ năng QA và đóng góp vào việc nâng cao chất lượng sản phẩm. Em luôn sẵn sàng tiếp thu, cải thiện bản thân và làm việc nghiêm túc để mang lại giá trị cho team."/>
        <s v="I am truly excited about the opportunity to join SUN.STUDIO and contribute to building practical AI solutions that create real impact. I hope to grow together with the team and deliver meaningful value through my work."/>
        <s v="I would like to express my sincere interest in becoming a part of SUN.STUDIO and contributing as a dedicated and responsible intern. I strongly hope to gain a meaningful and enriching internship experience where I can both support the team and further dev"/>
        <s v="Em mong là em được gắn bó được với công ty và học hỏi từ đó có thể có nhiều kinh nghiệm để đóng góp cho công ty ra những sản phẩm game chất lượng."/>
        <s v="Hi vọng có thể pass để có thể đi làm ạ T_T"/>
        <s v="I am particularly interested in working with user behavior data in a game environment, where data directly informs product and design decisions. I have a strong foundation in data cleaning, preparation, and exploratory analysis, and I am comfortable worki"/>
        <s v="I may not be the most experienced candidate, but I am willing to learn quickly, work seriously, and continuously improve myself. I hope to have the opportunity to work with real data, contribute even in small ways, and grow step by step at SUN.STUDIO."/>
        <s v="Em rất ấn tượng với định hướng tiên phong ứng dụng AI Agent để tái thiết quy trình vận hành của SUN.STUDIO. Điều em muốn gửi gắm là sự cam kết: Em rất mong có cơ hội đồng hành cùng SUN.RISER để biến mục tiêu tiết kiệm hàng nghìn giờ làm việc của công ty t"/>
        <s v="I would like to express my strong interest in contributing to SUN.STUDIO and learning from your team. I am eager to gain hands-on experience, continuously improve my skills, and contribute to meaningful AI projects while growing with the company."/>
        <s v="I am particularly motivated to contribute while continuously learning and taking ownership in my work. I hope not only to grow here, but also to make a meaningful contribution to the team &lt;3"/>
        <s v="Em rất mong có cơ hội được học hỏi và phát triển tại SUN.STUDIO trong vai trò Data Analyst Intern. Em luôn sẵn sàng chủ động học hỏi, tiếp nhận feedback và nỗ lực đóng góp giá trị thông qua dữ liệu.&#10;&#10;Cảm ơn SUN.STUDIO đã dành thời gian xem xét hồ sơ của e"/>
        <s v="I would just like to emphasize how genuinely excited I am about the scale at which SUN.STUDIO operates. Reaching over 1 billion plays is an incredible milestone, and your mission to make games accessible and enjoyable really resonates with me. Thank you f"/>
        <s v="I’m eager to learn, contribute, and grow in a fast-paced game environment. I’m highly motivated to build strong user acquisition skills and create real impact for SUN.STUDIO."/>
        <s v="As expressed earlier, I absolutely love this position and would love to give it a go if there is a chance. If there are more skills needed to become an expert at this, I will definitely use my time to acquire those and try my best at this position:)"/>
        <s v="Beyond my background in data and creative testing, I’m someone who genuinely loves the mobile gaming industry. I chose SUN.STUDIO because I believe your environment is the best place for me to master User Acquisition. I’m committed to learning fast, worki"/>
        <s v="I am very excited about the opportunity to join SUN.RISER. I am eager to bring my analytical skills to the team, learn from experienced mentors, and contribute to the growth of high-quality gaming products at SUN.STUDIO."/>
        <s v="Em hiện đang là sinh viên năm 2 ngành Khoa học Máy tính của trường Đại Học Công nghệ Thông tin, chương trình liên kết với Đại học Birmingham City. Thiết kế của chương trình học hiện tại là kỳ thực tập của em, em không phải tham gia bất kỳ lớp nào ở trường"/>
        <s v="Mình rất hào hứng khi có thể thamm gia vào chương trình thực tập của SUN.STUDIO, nếu như mình không được nhận thì không biết mình  có thể apply lại sau khi đã chuẩn bị kỹ hơn không ạ"/>
        <s v="Mình rất mong có cơ hội được học hỏi và đóng góp tại SUN.STUDIO. Dù là intern, mình luôn giữ tinh thần chủ động, sẵn sàng nhận trách nhiệm và liên tục cải thiện bản thân. Mình cũng luôn cởi mở với feedback và thử thách, và hy vọng có thể cùng team tạo ra "/>
        <s v="Rất cảm ơn SUN.STUDIO đã quan tâm.Em mong muốn có cơ hội được đóng góp kỹ năng và cùng đội ngũ tạo ra những sản phẩm chất lượng, mang lại giá trị thực tế cho người dùng ạ."/>
        <s v="I am eager to learn, open to feedback, and willing to take on challenges. I hope to contribute my best while growing in a professional environment like SUN.STUDIO."/>
        <s v="Thank you !"/>
        <s v="Hope to be a part of SUN.STUDIO"/>
        <s v="I really hope to have the opportunity to work and develop here."/>
        <s v="Em muốn chia sẻ rằng em rất mong muốn phát triển lâu dài trong lĩnh vực Marketing và không ngừng cải thiện kỹ năng của mình. Em đặc biệt quan tâm đến việc sáng tạo nội dung và tìm hiểu hành vi khách hàng để xây dựng các chiến dịch hiệu quả.&#10;&#10;Em tin rằng m"/>
        <s v="Em mong có được cơ hội làm việc và gắn bó với SUN.STUDIO ạ"/>
        <s v="Em rất ấn tượng với văn hóa và môi trường làm việc tại SUN.STUDIO qua các kênh truyền thông. Em hy vọng hành trình sắp tới của mình sẽ được bắt đầu tại đây – nơi em có thể kết hợp tư duy logic của một sinh viên Bách Khoa và niềm đam mê với ngành Nhân sự. "/>
        <s v="Em mong muốn được tham gia vào môi trường thực chiến tại SUN.STUDIO để phát triển tư duy phân tích dữ liệu và tối ưu hiệu quả chiến dịch. Với tinh thần chủ động học hỏi và sẵn sàng thử nghiệm, em tin rằng mình có thể nhanh chóng thích nghi và đóng góp vào"/>
        <s v="Từ lúc em xác định muốn được phát triển trong lĩnh vực UA Marketing thì Sun Studio là môi trường làm việc mà em rất quan tâm và luôn chờ đợi cơ hội phù hợp. Trong quá trình tìm hiểu thì em nhận thấy rất ít công ty game/mobile app ở TP.HCM có chương trình "/>
        <s v="I truly appreciate the opportunity to apply for the SUN.RISER program. I am eager to learn from SUN.STUDIO’s innovative environment, contribute my skills in AI engineering, and grow alongside talented peers. I look forward to making meaningful contributio"/>
        <s v="Em rất mong có cơ hội được tham gia và học hỏi tại SUN.STUDIO. Dù kinh nghiệm thực tế của em chưa nhiều, nhưng em sẵn sàng học hỏi, chủ động trong công việc và luôn cố gắng hoàn thành tốt các nhiệm vụ được giao.&#10;&#10;Em hy vọng có thể đóng góp một phần nhỏ th"/>
        <s v="Em mong muốn được đồng hành cùng SUN.STUDIO để nắm bắt và tham gia phát triển kịp thời trong kỷ nguyên AI. Với nền tảng có sẵn và kinh nghiệm thực chiến với AI, tôi đã sẵn sàng đóng góp vào việc tự động hóa và tăng tốc quy trình sản xuất của công ty. Rất "/>
        <s v="I have always admired how Sun.Studio’s games bring simple, everyday joy to millions of users, including me. While I am just a newbie in the professional game industry, I am confident in my ability to contribute creative value to the game-building process."/>
        <s v="Em xác định Game Development là con đường sự nghiệp duy nhất và dài hạn của mình. Với nền tảng từ dự án đã làm, em khao khát được rèn luyện trong quy chuẩn chuyên nghiệp của SUN.STUDIO để không chỉ hoàn thành tốt vai trò thực tập sinh, mà còn phát triển t"/>
        <s v="I’m really excited about the possibility of joining the team. Beyond the data and the spreadsheets, I’m a huge fan of how gaming brings people together and my time in Japan really deepened my appreciation for that culture. I’m looking for a place where I "/>
        <s v="Em mong sẽ có cơ hội học tập và làm việc lâu dài trong môi trường của SUN.STUDIO"/>
        <s v="Em mong được trở thành một phần của SUN.STUDIO, nơi em có thể học hỏi từ môi trường thực tế, phát triển chuyên môn về Data/AI và tạo ra những giá trị thiết thực cho đội ngũ."/>
        <s v="Thank you for taking the time to review my application. I look forward to having the opportunity to directly discuss how my skills can bring practical value to company."/>
        <s v="Em hi vọng mình có thể trở thành một thành viên được học hỏi kinh nghiệm và làm việc trong một môi trường chuyên nghiệp như SUN.STUDIO."/>
        <s v="I'm a second-year student, so I may not check every box on paper — but I'm a fast learner, I take ownership seriously, and I genuinely want to grow in data. I'd love the chance to prove that in the room."/>
        <s v="I just want to say. I'm genuinely excited about this opportunity, not just to build my skills, but to contribute to something real. I'm still early in my career, but I care deeply about making games that feel good to play, and I'm willing to put in the wo"/>
        <s v="I am truly interested in growing as a data analyst in the gaming industry and see Sun Studio as a great place to start. I am eager to learn, work with real data, and contribute to improving player experience through data insights."/>
        <s v="Hy vọng tôi và quý công ty sẽ có cơ hội được đồng hành và phát triển cùng nhau. Cảm ơn quý công ty."/>
        <s v="I hope to have the opportunity to experience a real game development environment at SUN.STUDIO, where I can develop my product thinking, user understanding, and ability to work in a fast-growing, fast-paced environment, while also contributing directly to"/>
        <s v="Sau khi thấy bài đăng tuyển, em đã dành thời gian tìm hiểu thêm về SUN.STUDIO. Em ấn tượng khi công ty đã phát triển hơn 40 game với hơn 1 tỷ lượt chơi trên toàn cầu. Em đặc biệt quan tâm đến cách công ty tập trung vào game casual và trải nghiệm người chơ"/>
        <s v="Tôi rất mong có được cơ hội cống hiến cho quý công ty"/>
        <s v="I wish to be a part of your team"/>
        <s v="Em mong có cơ hội được học hỏi và tham gia trực tiếp vào các campaign thực tế tại SUN.STUDIO để hiểu rõ hơn về user acquisition. Em sẵn sàng thử, sai và học nhanh để cải thiện mỗi ngày. Hy vọng có thể đóng góp một phần nhỏ vào team trong quá trình đó."/>
        <s v="I hope to have the opportunity to learn, grow, and contribute to SUN.STUDIO as an AI Engineer Intern. I am willing to work hard, learn from the team, and apply my knowledge to real game projects."/>
        <s v="Em hy vọng có cơ hội đồng hành cùng SUN.STUDIO, học hỏi và đóng góp vào các dự án AI thực tế. Nếu chưa phù hợp, em rất mong nhận được feedback để tiếp tục cải thiện bản thân và CV của mình."/>
        <s v="I am truly interested in growing as a data analyst in the gaming industry and see SUN.STUDIO as a great place to start."/>
        <s v="Em mong muốn được phát triển theo hướng lập trình game, đặc biệt là các hệ thống multiplayer và real-time.&#10;SUN.STUDIO là môi trường phù hợp để em rèn luyện kỹ năng này ở mức chuyên sâu hơn, từ việc tối ưu hiệu năng, xử lý concurrency đến cải thiện trải ng"/>
        <s v="Em rất mong có cơ hội đóng góp để tạo ra những tựa game hay. Em sẽ cố gắng học hỏi nhanh để hoàn thành tốt công việc và cùng team mang đến những sản phẩm chỉn chu nhất cho người chơi."/>
        <s v="Tôi muốn chia sẻ rằng mình là một người luôn đặt sự chủ động và tinh thần học hỏi lên hàng đầu. Tôi hi vọng mình sẽ mang đến nguồn năng lượng tươi mới cùng khát khao được thực chiến và đóng góp hết mình. Tôi tin rằng sự bền bỉ và tư duy không ngại thử thá"/>
        <s v="Em mong sẽ có cơ hội được đồng hành cùng SUN.STUDIO để học hỏi trong môi trường chuyên nghiệp, tiếp cận dữ liệu thực tế và phát triển hơn về tư duy phân tích. Em sẵn sàng nỗ lực, chủ động học hỏi và đóng góp hết khả năng của mình nếu được trở thành một ph"/>
        <s v="Mục tiêu lớn nhất của em khi tham gia chương trình SUN.RISER là được đào tạo bài bản và cọ xát thực tế tại vị trí Data Analysis Intern của SUN.STUDIO. Với nền tảng sẵn có về xử lý dữ liệu và phân tích khám phá (EDA), em rất mong được học hỏi cách doanh ng"/>
        <s v="Em mong muốn được học hỏi và tham gia vào môi trường thực chiến tại SUN.STUDIO để phát triển nhanh hơn về kỹ năng chạy ads và tư duy performance. Em sẵn sàng chủ động học, nhận feedback và hỗ trợ team hết khả năng để tạo ra hiệu suất và kết quả ngày càng "/>
        <s v="Tôi muốn SUN.STUDIO sẽ phát triển và đầu tư làm những dự án game lớn hơn vươn tới những người chơi trên toàn thế giới"/>
        <s v="Mình biết mình chưa có nhiều kinh nghiệm thực tế, nhưng mình sẵn sàng học hỏi. Cảm ơn SUN.STUDIO đã tạo ra chương trình thực tập cho trường."/>
        <s v="Thank you for considering my application. I am very interested in this internship because it matches my current focus on LLMs, AI agents, and workflow automation. I am willing to learn quickly, work responsibly, and contribute to practical internal AI too"/>
        <s v="Không có ạ"/>
        <s v="I am committed to contributing long-term and growing within your company, with the goal of becoming a reliable and valuable team member."/>
        <s v="Tôi thực sự mong muốn được làm việc trong một môi trường gắn liền với các sản phẩm game như SUN.STUDIO. Đây có thể là một bước khởi đầu quan trọng trong sự nghiệp của tôi, và có thể là nơi tôi sẽ gắn bó trong những năm sắp tới nếu có cơ hội. Tôi sẵn sàng "/>
        <s v="Thank you for reviewing my application. I am eager to learn, improve my Unity skills, and contribute to real projects. I look forward to the opportunity to work and grow with your team."/>
        <s v="Em mong muốn được trở thành một phần của SUN.STUDIO để học hỏi quy trình phát triển game thực tế . Em sẵn sàng học hỏi, thích nghi và không ngại thử thách để hoàn thành tốt công việc. Hy vọng có thể đóng góp giá trị và đồng hành cùng team trong các dự án "/>
        <s v="Em biết bản thân còn nhiều điều cần học, nhưng em rất mong muốn có cơ hội được trải nghiệm thực tế và phát triển bản thân. Em sẽ cố gắng học hỏi và đóng góp tốt nhất nếu có cơ hội tại SUN.STUDIO"/>
        <s v="Tôi rất mong có cơ hội được đồng hành cùng SUN.STUDIO. Với niềm đam mê game và sự kiên nhẫn trong việc kiểm thử, tôi tin mình có thể đóng góp vào việc nâng cao trải nghiệm người chơi. Tôi sẵn sàng học hỏi, tiếp thu kinh nghiệm từ đội ngũ, và mong muốn cùn"/>
        <s v="Mình muốn biết thêm về lộ trình thăng tiến trong công việc, work flow làm việc của công ty và hi vọng được là mảnh ghép của công ty trong thời gian sắp tới."/>
        <s v="Cho dù có đạt hay rớt thì tôi cũng cảm ơn SUN.STUDIO đã tạo điều kiện cho các sinh viên vừa ra trường, để họ có thể kiếm được một môi trường tốt học tập lấy kinh nghiệm, trong bối cảnh thời nay việc một công ty sẵn sàng bỏ thời gian để có thể mở ra một sâ"/>
        <s v="I love your location in the AP Tower"/>
        <s v="Thank you for taking the time to review my CV. I look forward to the opportunity to meet with you in person."/>
        <s v="Nếu có cơ hội vào SUN.STUDIO, rất mong được hợp tác và phát triển nhiều với team và công ty ở trong những dự án sau này."/>
        <s v="Em rất mong mình sẽ có cơ hội để được học hỏi, tích lũy kinh nghiệm trong môi trường ổn định và chuyên nghiệp. Đồng thời, em hy vọng kỹ năng của bản thân sẽ đóng góp được giá trị cho SUN.STUDIO."/>
        <s v="I hope to grow in a dynamic environment and bring value to the team"/>
        <s v="Em muốn cảm ơn SUN.STUDIO đã cho em cơ hội apply vào vị trí này. Em mong công ty mình sẽ ngày càng phát triển và có những game top đầu bảng xếp hạng ạ."/>
        <s v="Thank you for considering my application. I’m looking forward to learning, contributing, and growing as a game developer through real projects and teamwork at SUN.STUDIO."/>
        <s v="Em mong muốn hồ sơ của mình sẽ được xem xét, và sẽ được trao cơ hội thực tập tại quý công ty, để được cọ xát thực tế với vốn kiến thức của mình về chuyên ngành mà em yêu thích"/>
        <s v="Em chưa có nhiều kinh nghiệm trong mảng game UA nhưng em có nền tảng digital và sẵn sàng học nhanh, làm thật để cải thiện từng ngày. Em mong có cơ hội được thử sức trong môi trường như SUN.STUDIO để hiểu rõ hơn cách một chiến dịch hoạt động và phát triển "/>
        <s v="Thank you for your time to review my application.&#10;I hope that I have the opportunity to contribute my skills and passion for Sun Studio."/>
        <s v="Em sẽ chủ động hiểu mục tiêu của team, nắm rõ công việc của từng thành viên và hỗ trợ để tối ưu khối lượng công việc chung."/>
        <s v="I look forward to the opportunity to be considered for this position. Thank you for your time and consideration."/>
        <s v="Là một người đam mê game tôi rất muốn làm việc tại công ty và góp phần đưa các sản phẩm game hay nhất ra thị trường."/>
        <s v="Em tìm đến với SUN.STUDIO không chỉ vì muốn tích lũy kinh nghiệm mà vì thật sự bị thu hút bởi cách bên mình xây dựng sản phẩm/thương hiệu. Em tin môi trường tại SUN.STUDIO sẽ giúp em phát triển được nhiều hơn và hơn thế nữa em cũng rất sẵn sàng cống hiến "/>
        <s v="Hy vọng SUN.STUDIO sẽ là nơi mở đầu giá trị cho chuỗi hành trình cống hiến và phát triển của em trong tương lai."/>
        <s v="I’m highly motivated to build a long-term career in user acquisition for mobile games, and I’m eager to learn quickly and contribute to real campaigns. I’m also very open to feedback and ready to take on challenges to grow with SUN.STUDIO."/>
        <s v="Em hi vọng có được một cơ hội được học tập, làm việc và đóng góp giá trị cho công ty trong kỳ thực tập. Thông qua đó, em có thể xây dựng được những nền tảng vững chắc cho tương lai của mình trong công việc AI Engineer. Em xin cảm ơn"/>
        <s v="Em mong muốn có cơ hội được học hỏi và phát triển bản thân tại SUN.STUDIO. Dù chưa có nhiều kinh nghiệm thực tế, em luôn sẵn sàng tiếp thu, cố gắng hoàn thiện kỹ năng và đóng góp tích cực trong quá trình làm việc. Em hy vọng sẽ được đồng hành và phát triể"/>
        <s v="Tôi đã có gần 1.5 năm kinh nghiệm phát triển game với Unity trên nền tảng WebGL, chủ yếu tập trung vào gameplay systems và tối ưu hiệu năng. Tuy nhiên, team size trước đây của tôi khá nhỏ, vì vậy hiện tại tôi mong muốn được làm việc trong một môi trường c"/>
        <s v="Em mong có cơ hội được học hỏi và phát triển tại SUN.STUDIO trong môi trường chuyên nghiệp và sáng tạo. Với tinh thần chủ động học hỏi, trách nhiệm và yêu thích kiểm thử game/phần mềm, em hy vọng có thể đóng góp vào việc nâng cao chất lượng sản phẩm cũng "/>
        <s v="Tôi rất mong có cơ hội được học hỏi và làm việc cùng team tại SUN.STUDIO"/>
        <s v="Em mong muốn có thể được đồng hành cùng SUN.STUDIO trên con đường nghề nghiệp của em ạ."/>
        <s v="Mong rằng bộ phận tuyển dụng có thể đọc CV và sắp xếp một cuộc phỏng vấn trực tiếp gần đây nhất."/>
        <s v="Em mong muốn được mang tư duy quản lý chất lượng và sự tỉ mỉ của mình để đồng hành cùng SUN.STUDIO trong việc tối ưu hóa sản phẩm. Với tinh thần trách nhiệm và thái độ cầu tiến , em sẽ cố gắng học hỏi nhanh chóng để đóng góp hiệu quả vào đội ngũ, hướng tớ"/>
        <s v="I have nothing to share further now."/>
        <s v="Với nền tảng kiến thức liên quan đến phân tích dữ liệu mà em đã có được thông qua việc học tập trên trường cũng như các dự án mà em đã thực hiện, em tự tin mình đã sẵn sàng để chuyển từ 'dữ liệu mẫu' sang 'dữ liệu thực'. Em rất mong có cơ hội gia nhập côn"/>
        <s v="Em mong muốn được học hỏi và phát triển trong môi trường làm game thực tế tại SUN.STUDIO, đồng thời đóng góp vào việc tạo ra những trải nghiệm Casual/Puzzle hấp dẫn cho người chơi."/>
        <s v="Chúc cho chương trình mình thành công mĩ mãng và SUN.STUDIO sẽ cho ra lò những sản phẩm làm mới thị trường Game Việt và vươn xa hơn là cả thị trường quốc tế ạ. Nếu được có tên trong đội ngủ sản xuất đó thì thật sự quá tuyệt với đối với em"/>
        <s v="Em rất mong có cơ hội được trở thành SUN.RISER tại SUN.STUDIO để được học hỏi và phát triển trong một môi trường làm game chuyên nghiệp, thực tế. Em đặc biệt ấn tượng với định hướng tạo ra các sản phẩm game dễ tiếp cận và mang lại trải nghiệm tốt cho ngườ"/>
        <s v="Em mong muốn được học hỏi và phát triển trong môi trường năng động như SUN.STUDIO, nơi em có thể vừa nâng cao kỹ năng phân tích dữ liệu vừa tham gia vào các sản phẩm thực tế có tác động đến người dùng. Em tin rằng với tinh thần chủ động, khả năng học nhan"/>
        <s v="Là một người thích tự mày mò 'vibe code' và liên tục thử nghiệm các công cụ AI mới để tối ưu quy trình làm việc, em tin rằng SUN.STUDIO chính là môi trường lý tưởng nhất để em phát huy tinh thần chủ động này. Cảm ơn anh/chị ạ!"/>
        <s v="Em rất ấn tượng với sứ mệnh tạo ra các trò chơi dễ tiếp cận của SUN.STUDIO. Với tâm hồn của một người thích biên tập trải nghiệm em thực sự mong muốn được đóng góp sự tỉ mỉ, logic của mình vào các sản phẩm triệu view của công ty. Cảm ơn anh/chị và chúc te"/>
        <s v="This is the first studio I have applied to for an internship, and I hope to have the chance to make it through and be part of your team."/>
        <s v="Thank you for considering my application. I would really appreciate the opportunity to discuss my background and motivation further, and learn more about the role and team at Sun.Riser."/>
        <s v="I really hope to have the opportunity to work and grow with SUN.STUDIO through the SUN.RISER program. I’m still improving as a Game Designer, but I genuinely enjoy gameplay and player experience, and I would love the chance to learn more through a real ga"/>
        <s v="Em hi vọng có thể tham gia chương trình thực tập bên mình và đồng hành cùng công ty trong lĩnh vực game, chúc công ty thành công hơn nữa trong thị trường game. Cảm ơn nhiều ạ"/>
        <s v="Em rất mong có cơ hội được tham gia SUN.RISER vì em thật sự hứng thú với hướng ứng dụng AI để tối ưu workflow và xây dựng các hệ thống automation thực tế. Điều em thích ở SUN.STUDIO là cách công ty nhìn AI như một công cụ giúp đội ngũ làm việc hiệu quả hơ"/>
        <s v="Em mong được học hỏi trong môi trường nơi AI không chỉ dừng ở ý tưởng mà được áp dụng vào quy trình thực tế để tạo ra sản phẩm có tác động rõ ràng. Em đặc biệt hứng thú với hướng AI automation, prompt engineering và agent workflows mà SUN.RISER đang theo "/>
        <s v="Cảm ơn vì đã xem qua những thông tin mình đã gửi. Dù kết quả như thế nào mình cũng rất trân trọng các giá trị mà SUN.STUDIO đã dành tâm huyết cho cộng đồng game Việt cũng như những ai đam mê game."/>
        <s v="Em mong muốn được học hỏi và phát triển trong môi trường làm game chuyên nghiệp tại SUN.STUDIO. Em có khả năng tự học, chủ động tìm hiểu tài liệu kỹ thuật và kiên trì hoàn thiện giải pháp khi gặp vấn đề. Dù kinh nghiệm thực tế của em còn hạn chế và em vẫn"/>
        <s v="Dạ tạm thời không ạ"/>
        <s v="Em rất mong có cơ hội được học hỏi, phát triển kỹ năng và đóng góp cho các dự án game tại SUN.STUDIO. Em sẽ luôn cố gắng hoàn thành tốt công việc và cải thiện bản thân trong quá trình làm việc. Chúc quý công ty có một ngày làm việc hiệu quả ạ !!"/>
        <s v="Em là một người đã gắn bó với game từ nhỏ và đến hiện tại vẫn thường chơi game để giải trí (Clash of Clans, Subway Surfers,..). Em không chỉ thích chơi để giải trí mà còn thích quan sát cách game giữ chân người chơi, tạo trải nghiệm và xây dựng các hệ thố"/>
        <s v="Hy vọng rằng hồ sơ của em sẽ phù hợp với những gì studio đang tìm kiếm, và em có cơ hội được đồng hành, phát triển cùng mọi người trong thời gian tới, em mong muốn được học hỏi thêm để có thể phát triển bản thân và đáp ứng được sự kỳ vọng của quý công ty"/>
        <s v="Em mong muốn có cơ hội được học hỏi và phát triển thực tế trong môi trường game năng động tại SUN.STUDIO. Em sẵn sàng chủ động học hỏi, thử nghiệm và đóng góp hết mình để tạo ra những chiến dịch hiệu quả cho sản phẩm game của công ty."/>
        <s v="I'm passionate about data analysis and excited to grow alongside SUN.STUDIO. I appreciate the opportunity and look forward to making a positive impact through my work and continuous learning. I'm committed to quickly mastering the tools and technologies r"/>
        <s v="Em rất mong có cơ hội được học hỏi và phát triển tại SUN.STUDIO. Dù chưa có nhiều kinh nghiệm thực tế nhưng em luôn sẵn sàng chủ động tìm hiểu kiến thức mới, có tinh thần trách nhiệm và sẵn sàng tiếp thu feedback để cải thiện bản thân. Em hy vọng có thể đ"/>
        <s v="Thank you for considering my application. As a fresh graduate, I’m eager to learn, grow, and contribute in a professional game development environment. I believe my passion for games, attention to detail, and willingness to improve would allow me to add v"/>
        <s v="Tôi mong muốn được học hỏi những kinh nghiệm và trải từ SUN.STUDIO,"/>
        <s v="I would love the opportunity to join SUN.STUDIO and gain valuable hands-on experience in a real working environment. I’m eager to learn from experienced professionals, improve my analytical and problem-solving skills, and contribute with a proactive and g"/>
        <s v="Thank you for creating real opportunities for young talent. I'm genuinely excited to contribute to Sun.Riser."/>
        <s v="Đầu tiên là do em biết đến SUN.RISER hơi trễ nên chưa chuẩn bị kịp bảng điểm - bảng điểm hiện tại chỉ là em chụp trên hệ thống.&#10;Cuối cùng, em dù biết đến chương trình hơi muộn, nhưng đam mê làm game và mong muốn làm việc trong môi trường chuyên nghiệp như"/>
        <s v="Tôi rất mong có cơ hội tham gia SUN.STUDIO vì vị trí này phù hợp với định hướng của tôi: ứng dụng AI vào các workflow thực tế trong doanh nghiệp, không chỉ dừng lại ở các demo kỹ thuật. Tôi là người học nhanh, chủ động tiếp nhận feedback và sẵn sàng chịu "/>
        <s v="I’m very excited about the opportunity to join SUN.STUDIO&#10; as a Unity Intern.&#10;&#10;I believe this position would be a valuable chance for me to learn from experienced developers, improve my technical and teamwork skills, and gain real industry experience. I’m"/>
        <s v="Tôi muốn gửi lời cảm ơn đến SUN.STUDIO vì đã tạo ra chương trình SUN.RISER – một cơ hội quý giá cho sinh viên tiếp cận môi trường làm việc chuyên nghiệp. Với nền tảng là sinh viên ngành Kỹ thuật phần mềm và kinh nghiệm tự phát triển dự án cá nhân về Game "/>
        <s v="Được theo dõi các sản phẩm của SUN.STUDIO đã truyền cho em rất nhiều cảm hứng để phát triển bản thân trở thành một Unity Developer có tư duy thiết kế trải nghiệm người dùng. Với nền tảng Kỹ thuật Phần mềm và niềm đam mê mãnh liệt với dòng game Casual/Puzz"/>
        <s v="I am highly motivated to learn, adaptable to new environments, and eager to gain hands-on experience in a professional setting. I believe my analytical mindset, willingness to learn, and passion for working with data will allow me to contribute positively"/>
        <s v="Just I truly passion about creating games. I see SUN.STUDIO as an ideal environment where I can dedicate myself, acting as a reliable bridge between creative concepts and technical execution. I am ready to give my best to ensure that make team can deliver"/>
        <s v="Em rất mong có cơ hội được học hỏi và phát triển tại một môi trường năng động, sáng tạo và gắn liền với sản phẩm thực tế như SUN.STUDIO. Em hy vọng có thể đóng góp khả năng phân tích dữ liệu, tinh thần chủ động và sự ham học hỏi của mình để hỗ trợ team tạ"/>
        <s v="Hi vọng sẽ có cơ hội được làm việc cùng các anh chị. &#10;Chúc Studio ngày càng phát triển ạ !"/>
        <s v="Em thật sự rất thích được làm việc trong ngành game và mong muốn phát triển lâu dài với Marketing/Game UA. Đây là lĩnh vực khiến em có nhiều động lực học hỏi và theo đuổi nghiêm túc. Em hy vọng sẽ có cơ hội được đồng hành cùng SUN.STUDIO để vừa phát triển"/>
        <s v="Trình độ giao tiếng bằng tiếng anh của tôi còn hạn chế, không biết JD công việc có yêu cầu cao về tiếng anh không? Nếu có, hy vọng hãy cho tôi một cơ hội để tôi được học tập, trau dồi không chỉ về kĩ năng nghề nghiệp mà còn cải thiện trình độ giao tiếp ng"/>
        <s v="Tôi rất mong có thể được đồng hành cùng công ty, phát triển sự nghiệp, cùng team tạo nên các tựa game chất lượng và gặt hái thành công."/>
        <s v="I want to make games/apps that are #cute , #healing, #stunning visuals. is it possible at SUN.STUDIO?"/>
      </sharedItems>
    </cacheField>
    <cacheField name="Submitted At" numFmtId="166">
      <sharedItems containsSemiMixedTypes="0" containsDate="1" containsString="0">
        <d v="2026-04-22T08:31:53Z"/>
        <d v="2026-04-22T09:58:54Z"/>
        <d v="2026-04-22T10:48:04Z"/>
        <d v="2026-04-22T11:11:47Z"/>
        <d v="2026-04-22T11:34:40Z"/>
        <d v="2026-04-22T12:07:27Z"/>
        <d v="2026-04-22T12:08:47Z"/>
        <d v="2026-04-22T12:14:53Z"/>
        <d v="2026-04-22T12:18:25Z"/>
        <d v="2026-04-22T12:23:01Z"/>
        <d v="2026-04-22T12:52:28Z"/>
        <d v="2026-04-22T12:56:43Z"/>
        <d v="2026-04-22T13:04:21Z"/>
        <d v="2026-04-22T13:25:04Z"/>
        <d v="2026-04-22T13:26:15Z"/>
        <d v="2026-04-22T13:45:32Z"/>
        <d v="2026-04-22T13:54:23Z"/>
        <d v="2026-04-22T13:54:42Z"/>
        <d v="2026-04-22T14:06:07Z"/>
        <d v="2026-04-22T14:16:27Z"/>
        <d v="2026-04-22T14:23:47Z"/>
        <d v="2026-04-22T14:33:04Z"/>
        <d v="2026-04-22T14:36:00Z"/>
        <d v="2026-04-22T14:37:21Z"/>
        <d v="2026-04-22T14:43:24Z"/>
        <d v="2026-04-22T14:45:59Z"/>
        <d v="2026-04-22T15:03:27Z"/>
        <d v="2026-04-22T15:42:02Z"/>
        <d v="2026-04-22T15:57:05Z"/>
        <d v="2026-04-22T16:07:00Z"/>
        <d v="2026-04-22T16:46:23Z"/>
        <d v="2026-04-22T17:27:32Z"/>
        <d v="2026-04-22T18:03:31Z"/>
        <d v="2026-04-22T18:30:56Z"/>
        <d v="2026-04-22T19:36:16Z"/>
        <d v="2026-04-22T19:59:05Z"/>
        <d v="2026-04-22T21:21:40Z"/>
        <d v="2026-04-22T23:49:52Z"/>
        <d v="2026-04-23T01:21:44Z"/>
        <d v="2026-04-23T01:57:19Z"/>
        <d v="2026-04-23T02:11:21Z"/>
        <d v="2026-04-23T02:15:46Z"/>
        <d v="2026-04-23T02:26:14Z"/>
        <d v="2026-04-23T02:35:08Z"/>
        <d v="2026-04-23T02:35:36Z"/>
        <d v="2026-04-23T02:37:17Z"/>
        <d v="2026-04-23T02:42:36Z"/>
        <d v="2026-04-23T02:45:39Z"/>
        <d v="2026-04-23T02:53:31Z"/>
        <d v="2026-04-23T03:02:32Z"/>
        <d v="2026-04-23T03:07:48Z"/>
        <d v="2026-04-23T03:16:22Z"/>
        <d v="2026-04-23T03:16:49Z"/>
        <d v="2026-04-23T03:22:13Z"/>
        <d v="2026-04-23T03:35:22Z"/>
        <d v="2026-04-23T03:42:29Z"/>
        <d v="2026-04-23T03:53:24Z"/>
        <d v="2026-04-23T03:54:49Z"/>
        <d v="2026-04-23T03:58:41Z"/>
        <d v="2026-04-23T04:20:35Z"/>
        <d v="2026-04-23T04:37:06Z"/>
        <d v="2026-04-23T04:38:03Z"/>
        <d v="2026-04-23T04:42:50Z"/>
        <d v="2026-04-23T04:44:06Z"/>
        <d v="2026-04-23T04:54:43Z"/>
        <d v="2026-04-23T05:18:31Z"/>
        <d v="2026-04-23T06:11:28Z"/>
        <d v="2026-04-23T06:33:14Z"/>
        <d v="2026-04-23T06:54:27Z"/>
        <d v="2026-04-23T06:55:47Z"/>
        <d v="2026-04-23T06:58:44Z"/>
        <d v="2026-04-23T07:02:05Z"/>
        <d v="2026-04-23T07:06:13Z"/>
        <d v="2026-04-23T07:07:05Z"/>
        <d v="2026-04-23T07:41:33Z"/>
        <d v="2026-04-23T07:42:15Z"/>
        <d v="2026-04-23T07:45:46Z"/>
        <d v="2026-04-23T07:49:58Z"/>
        <d v="2026-04-23T07:52:53Z"/>
        <d v="2026-04-23T07:53:47Z"/>
        <d v="2026-04-23T07:56:08Z"/>
        <d v="2026-04-23T08:02:09Z"/>
        <d v="2026-04-23T08:04:24Z"/>
        <d v="2026-04-23T08:10:36Z"/>
        <d v="2026-04-23T08:12:37Z"/>
        <d v="2026-04-23T08:16:52Z"/>
        <d v="2026-04-23T08:23:45Z"/>
        <d v="2026-04-23T08:31:40Z"/>
        <d v="2026-04-23T08:33:55Z"/>
        <d v="2026-04-23T08:39:52Z"/>
        <d v="2026-04-23T08:41:53Z"/>
        <d v="2026-04-23T08:44:15Z"/>
        <d v="2026-04-23T08:58:44Z"/>
        <d v="2026-04-23T09:05:43Z"/>
        <d v="2026-04-23T09:08:00Z"/>
        <d v="2026-04-23T09:12:13Z"/>
        <d v="2026-04-23T09:12:53Z"/>
        <d v="2026-04-23T09:14:12Z"/>
        <d v="2026-04-23T09:19:54Z"/>
        <d v="2026-04-23T09:27:03Z"/>
        <d v="2026-04-23T09:29:29Z"/>
        <d v="2026-04-23T09:32:58Z"/>
        <d v="2026-04-23T09:50:03Z"/>
        <d v="2026-04-23T10:00:13Z"/>
        <d v="2026-04-23T10:04:49Z"/>
        <d v="2026-04-23T10:10:22Z"/>
        <d v="2026-04-23T10:12:28Z"/>
        <d v="2026-04-23T10:18:12Z"/>
        <d v="2026-04-23T10:22:19Z"/>
        <d v="2026-04-23T10:23:40Z"/>
        <d v="2026-04-23T10:57:42Z"/>
        <d v="2026-04-23T11:06:41Z"/>
        <d v="2026-04-23T11:48:19Z"/>
        <d v="2026-04-23T12:00:44Z"/>
        <d v="2026-04-23T12:06:53Z"/>
        <d v="2026-04-23T12:12:51Z"/>
        <d v="2026-04-23T12:19:25Z"/>
        <d v="2026-04-23T12:27:45Z"/>
        <d v="2026-04-23T12:28:36Z"/>
        <d v="2026-04-23T12:36:05Z"/>
        <d v="2026-04-23T12:45:54Z"/>
        <d v="2026-04-23T12:50:44Z"/>
        <d v="2026-04-23T13:02:45Z"/>
        <d v="2026-04-23T13:05:22Z"/>
        <d v="2026-04-23T13:36:33Z"/>
        <d v="2026-04-23T13:51:36Z"/>
        <d v="2026-04-23T14:16:15Z"/>
        <d v="2026-04-23T14:24:59Z"/>
        <d v="2026-04-23T14:29:34Z"/>
        <d v="2026-04-23T14:39:05Z"/>
        <d v="2026-04-23T14:40:51Z"/>
        <d v="2026-04-23T15:06:26Z"/>
        <d v="2026-04-23T15:25:48Z"/>
        <d v="2026-04-23T15:26:37Z"/>
        <d v="2026-04-23T16:02:01Z"/>
        <d v="2026-04-23T16:13:25Z"/>
        <d v="2026-04-23T16:15:02Z"/>
        <d v="2026-04-23T16:16:34Z"/>
        <d v="2026-04-23T16:17:05Z"/>
        <d v="2026-04-23T16:36:13Z"/>
        <d v="2026-04-23T16:56:37Z"/>
        <d v="2026-04-23T17:24:20Z"/>
        <d v="2026-04-23T17:42:46Z"/>
        <d v="2026-04-23T18:09:49Z"/>
        <d v="2026-04-23T18:11:20Z"/>
        <d v="2026-04-23T18:18:36Z"/>
        <d v="2026-04-23T18:47:18Z"/>
        <d v="2026-04-23T19:00:04Z"/>
        <d v="2026-04-23T20:16:28Z"/>
        <d v="2026-04-24T00:29:03Z"/>
        <d v="2026-04-24T01:07:09Z"/>
        <d v="2026-04-24T01:09:24Z"/>
        <d v="2026-04-24T01:57:23Z"/>
        <d v="2026-04-24T02:11:20Z"/>
        <d v="2026-04-24T02:14:55Z"/>
        <d v="2026-04-24T02:40:42Z"/>
        <d v="2026-04-24T02:46:54Z"/>
        <d v="2026-04-24T03:13:25Z"/>
        <d v="2026-04-24T03:16:52Z"/>
        <d v="2026-04-24T03:56:44Z"/>
        <d v="2026-04-24T04:05:29Z"/>
        <d v="2026-04-24T04:16:53Z"/>
        <d v="2026-04-24T04:18:23Z"/>
        <d v="2026-04-24T04:46:13Z"/>
        <d v="2026-04-24T04:50:39Z"/>
        <d v="2026-04-24T04:53:33Z"/>
        <d v="2026-04-24T05:27:03Z"/>
        <d v="2026-04-24T05:29:40Z"/>
        <d v="2026-04-24T05:31:19Z"/>
        <d v="2026-04-24T05:37:00Z"/>
        <d v="2026-04-24T06:00:29Z"/>
        <d v="2026-04-24T06:11:39Z"/>
        <d v="2026-04-24T06:21:27Z"/>
        <d v="2026-04-24T06:29:01Z"/>
        <d v="2026-04-24T07:07:38Z"/>
        <d v="2026-04-24T07:16:57Z"/>
        <d v="2026-04-24T07:25:00Z"/>
        <d v="2026-04-24T07:27:02Z"/>
        <d v="2026-04-24T08:00:46Z"/>
        <d v="2026-04-24T08:12:34Z"/>
        <d v="2026-04-24T08:20:22Z"/>
        <d v="2026-04-24T08:26:07Z"/>
        <d v="2026-04-24T08:35:20Z"/>
        <d v="2026-04-24T08:40:27Z"/>
        <d v="2026-04-24T08:45:24Z"/>
        <d v="2026-04-24T09:15:01Z"/>
        <d v="2026-04-24T09:58:59Z"/>
        <d v="2026-04-24T10:05:12Z"/>
        <d v="2026-04-24T10:16:29Z"/>
        <d v="2026-04-24T11:11:48Z"/>
        <d v="2026-04-24T11:41:58Z"/>
        <d v="2026-04-24T12:31:27Z"/>
        <d v="2026-04-24T12:38:44Z"/>
        <d v="2026-04-24T12:51:37Z"/>
        <d v="2026-04-24T13:05:13Z"/>
        <d v="2026-04-24T15:33:35Z"/>
        <d v="2026-04-24T15:48:24Z"/>
        <d v="2026-04-24T16:23:53Z"/>
        <d v="2026-04-24T17:24:56Z"/>
        <d v="2026-04-24T17:30:35Z"/>
        <d v="2026-04-24T17:32:17Z"/>
        <d v="2026-04-24T18:50:25Z"/>
        <d v="2026-04-24T20:49:03Z"/>
        <d v="2026-04-25T02:51:00Z"/>
        <d v="2026-04-25T03:01:17Z"/>
        <d v="2026-04-25T03:18:18Z"/>
        <d v="2026-04-25T04:04:27Z"/>
        <d v="2026-04-25T04:07:17Z"/>
        <d v="2026-04-25T04:55:04Z"/>
        <d v="2026-04-25T05:38:58Z"/>
        <d v="2026-04-25T05:56:53Z"/>
        <d v="2026-04-25T05:58:39Z"/>
        <d v="2026-04-25T06:24:08Z"/>
        <d v="2026-04-25T06:34:23Z"/>
        <d v="2026-04-25T06:37:46Z"/>
        <d v="2026-04-25T07:43:08Z"/>
        <d v="2026-04-25T07:46:27Z"/>
        <d v="2026-04-25T08:04:53Z"/>
        <d v="2026-04-25T08:15:12Z"/>
        <d v="2026-04-25T08:28:18Z"/>
        <d v="2026-04-25T08:39:07Z"/>
        <d v="2026-04-25T08:44:26Z"/>
        <d v="2026-04-25T08:53:48Z"/>
        <d v="2026-04-25T09:28:02Z"/>
        <d v="2026-04-25T10:58:11Z"/>
        <d v="2026-04-25T11:16:32Z"/>
        <d v="2026-04-25T11:21:09Z"/>
        <d v="2026-04-25T12:44:50Z"/>
        <d v="2026-04-25T13:44:13Z"/>
        <d v="2026-04-25T15:21:54Z"/>
        <d v="2026-04-25T15:45:06Z"/>
        <d v="2026-04-25T15:50:26Z"/>
        <d v="2026-04-25T16:15:13Z"/>
        <d v="2026-04-25T17:48:12Z"/>
        <d v="2026-04-25T18:05:34Z"/>
        <d v="2026-04-25T18:17:38Z"/>
        <d v="2026-04-25T18:44:00Z"/>
        <d v="2026-04-25T19:04:26Z"/>
        <d v="2026-04-26T04:02:15Z"/>
        <d v="2026-04-26T06:55:06Z"/>
        <d v="2026-04-26T07:09:47Z"/>
        <d v="2026-04-26T09:56:27Z"/>
        <d v="2026-04-26T10:12:44Z"/>
        <d v="2026-04-26T13:44:20Z"/>
        <d v="2026-04-26T15:44:03Z"/>
        <d v="2026-04-26T15:52:57Z"/>
        <d v="2026-04-26T16:54:54Z"/>
        <d v="2026-04-26T18:11:07Z"/>
        <d v="2026-04-26T18:15:25Z"/>
        <d v="2026-04-26T19:15:52Z"/>
        <d v="2026-04-27T02:54:15Z"/>
        <d v="2026-04-27T02:58:50Z"/>
        <d v="2026-04-27T03:37:50Z"/>
        <d v="2026-04-27T04:07:27Z"/>
        <d v="2026-04-27T04:15:19Z"/>
        <d v="2026-04-27T04:40:08Z"/>
        <d v="2026-04-27T04:44:02Z"/>
        <d v="2026-04-27T05:01:36Z"/>
        <d v="2026-04-27T05:34:35Z"/>
        <d v="2026-04-27T06:30:21Z"/>
        <d v="2026-04-27T06:47:52Z"/>
        <d v="2026-04-27T06:50:21Z"/>
        <d v="2026-04-27T07:44:26Z"/>
        <d v="2026-04-27T07:55:21Z"/>
        <d v="2026-04-27T08:13:34Z"/>
        <d v="2026-04-27T08:17:01Z"/>
        <d v="2026-04-27T08:19:04Z"/>
        <d v="2026-04-27T09:09:05Z"/>
        <d v="2026-04-27T09:13:01Z"/>
        <d v="2026-04-27T09:15:33Z"/>
        <d v="2026-04-27T09:34:14Z"/>
        <d v="2026-04-27T09:38:23Z"/>
        <d v="2026-04-27T09:42:46Z"/>
        <d v="2026-04-27T10:03:20Z"/>
        <d v="2026-04-27T10:13:21Z"/>
        <d v="2026-04-27T10:19:10Z"/>
        <d v="2026-04-27T11:59:12Z"/>
        <d v="2026-04-27T12:10:29Z"/>
        <d v="2026-04-27T13:06:42Z"/>
        <d v="2026-04-27T13:37:48Z"/>
        <d v="2026-04-27T13:40:56Z"/>
        <d v="2026-04-27T13:55:01Z"/>
        <d v="2026-04-27T14:40:01Z"/>
        <d v="2026-04-27T15:06:11Z"/>
        <d v="2026-04-27T15:15:09Z"/>
        <d v="2026-04-27T15:25:18Z"/>
        <d v="2026-04-27T15:26:54Z"/>
        <d v="2026-04-27T15:30:20Z"/>
        <d v="2026-04-27T15:40:40Z"/>
        <d v="2026-04-27T15:52:32Z"/>
        <d v="2026-04-27T15:56:27Z"/>
        <d v="2026-04-27T15:59:55Z"/>
        <d v="2026-04-27T16:04:02Z"/>
        <d v="2026-04-27T16:25:13Z"/>
        <d v="2026-04-27T16:30:37Z"/>
        <d v="2026-04-27T16:31:41Z"/>
        <d v="2026-04-27T16:48:34Z"/>
        <d v="2026-04-27T17:43:48Z"/>
        <d v="2026-04-27T18:55:15Z"/>
        <d v="2026-04-28T02:02:17Z"/>
        <d v="2026-04-28T02:44:06Z"/>
        <d v="2026-04-28T02:50:39Z"/>
        <d v="2026-04-28T03:07:22Z"/>
        <d v="2026-04-28T03:13:32Z"/>
        <d v="2026-04-28T03:25:13Z"/>
        <d v="2026-04-28T03:28:54Z"/>
        <d v="2026-04-28T03:38:21Z"/>
        <d v="2026-04-28T03:41:47Z"/>
        <d v="2026-04-28T03:54:18Z"/>
        <d v="2026-04-28T04:03:56Z"/>
        <d v="2026-04-28T04:06:54Z"/>
        <d v="2026-04-28T04:10:27Z"/>
        <d v="2026-04-28T04:15:20Z"/>
        <d v="2026-04-28T04:16:34Z"/>
        <d v="2026-04-28T04:26:45Z"/>
        <d v="2026-04-28T04:28:57Z"/>
        <d v="2026-04-28T04:37:54Z"/>
        <d v="2026-04-28T04:38:44Z"/>
        <d v="2026-04-28T04:39:58Z"/>
        <d v="2026-04-28T04:41:39Z"/>
        <d v="2026-04-28T04:53:19Z"/>
        <d v="2026-04-28T05:02:57Z"/>
        <d v="2026-04-28T05:14:51Z"/>
        <d v="2026-04-28T05:16:07Z"/>
        <d v="2026-04-28T05:28:07Z"/>
        <d v="2026-04-28T05:30:37Z"/>
        <d v="2026-04-28T05:38:32Z"/>
        <d v="2026-04-28T06:30:19Z"/>
        <d v="2026-04-28T06:40:10Z"/>
        <d v="2026-04-28T07:23:50Z"/>
        <d v="2026-04-28T07:27:17Z"/>
        <d v="2026-04-28T07:44:22Z"/>
        <d v="2026-04-28T07:54:14Z"/>
        <d v="2026-04-28T07:57:54Z"/>
        <d v="2026-04-28T08:09:21Z"/>
        <d v="2026-04-28T08:32:52Z"/>
        <d v="2026-04-28T08:45:55Z"/>
        <d v="2026-04-28T08:53:47Z"/>
        <d v="2026-04-28T09:11:16Z"/>
        <d v="2026-04-28T09:17:22Z"/>
        <d v="2026-04-28T09:48:55Z"/>
        <d v="2026-04-28T09:57:37Z"/>
        <d v="2026-04-28T10:24:48Z"/>
        <d v="2026-04-28T10:40:25Z"/>
        <d v="2026-04-28T10:48:52Z"/>
        <d v="2026-04-28T10:54:49Z"/>
        <d v="2026-04-28T10:57:20Z"/>
        <d v="2026-04-28T11:06:24Z"/>
        <d v="2026-04-28T12:18:31Z"/>
        <d v="2026-04-28T12:45:35Z"/>
        <d v="2026-04-28T12:52:14Z"/>
        <d v="2026-04-28T12:58:00Z"/>
        <d v="2026-04-28T13:35:00Z"/>
        <d v="2026-04-28T13:39:15Z"/>
        <d v="2026-04-28T14:04:47Z"/>
        <d v="2026-04-28T14:05:48Z"/>
        <d v="2026-04-28T14:20:36Z"/>
        <d v="2026-04-28T14:25:47Z"/>
        <d v="2026-04-28T14:46:34Z"/>
        <d v="2026-04-28T14:56:07Z"/>
        <d v="2026-04-28T15:01:07Z"/>
        <d v="2026-04-28T15:11:35Z"/>
        <d v="2026-04-28T15:35:00Z"/>
        <d v="2026-04-28T15:38:25Z"/>
        <d v="2026-04-28T15:54:56Z"/>
        <d v="2026-04-28T16:41:20Z"/>
        <d v="2026-04-28T17:06:18Z"/>
        <d v="2026-04-28T21:11:40Z"/>
        <d v="2026-04-29T02:56:56Z"/>
        <d v="2026-04-29T03:16:38Z"/>
        <d v="2026-04-29T03:22:44Z"/>
        <d v="2026-04-29T03:33:07Z"/>
        <d v="2026-04-29T03:41:55Z"/>
        <d v="2026-04-29T03:55:40Z"/>
        <d v="2026-04-29T04:47:26Z"/>
        <d v="2026-04-29T05:01:53Z"/>
        <d v="2026-04-29T05:03:07Z"/>
        <d v="2026-04-29T05:04:07Z"/>
        <d v="2026-04-29T05:56:00Z"/>
        <d v="2026-04-29T06:23:59Z"/>
        <d v="2026-04-29T06:49:26Z"/>
        <d v="2026-04-29T06:53:34Z"/>
        <d v="2026-04-29T07:24:53Z"/>
        <d v="2026-04-29T08:43:43Z"/>
        <d v="2026-04-29T08:47:39Z"/>
        <d v="2026-04-29T08:56:12Z"/>
        <d v="2026-04-29T09:34:30Z"/>
        <d v="2026-04-29T10:05:18Z"/>
        <d v="2026-04-29T10:06:01Z"/>
        <d v="2026-04-29T10:21:27Z"/>
        <d v="2026-04-29T10:38:40Z"/>
        <d v="2026-04-29T11:02:37Z"/>
        <d v="2026-04-29T11:07:04Z"/>
        <d v="2026-04-29T11:52:29Z"/>
        <d v="2026-04-29T13:02:33Z"/>
        <d v="2026-04-29T13:51:59Z"/>
        <d v="2026-04-29T13:58:25Z"/>
        <d v="2026-04-29T14:00:33Z"/>
        <d v="2026-04-29T14:01:42Z"/>
        <d v="2026-04-29T14:14:07Z"/>
        <d v="2026-04-29T14:49:43Z"/>
        <d v="2026-04-29T15:29:57Z"/>
        <d v="2026-04-29T16:08:08Z"/>
        <d v="2026-04-29T16:39:11Z"/>
        <d v="2026-04-29T16:41:06Z"/>
        <d v="2026-04-29T17:01:38Z"/>
        <d v="2026-04-29T18:09:48Z"/>
        <d v="2026-04-30T00:23:52Z"/>
        <d v="2026-04-30T01:42:45Z"/>
        <d v="2026-04-30T02:50:22Z"/>
        <d v="2026-04-30T03:41:45Z"/>
        <d v="2026-04-30T04:03:32Z"/>
        <d v="2026-04-30T04:21:54Z"/>
        <d v="2026-04-30T04:36:15Z"/>
        <d v="2026-04-30T06:36:14Z"/>
        <d v="2026-04-30T07:08:47Z"/>
        <d v="2026-04-30T08:11:02Z"/>
        <d v="2026-04-30T08:51:10Z"/>
        <d v="2026-04-30T10:50:07Z"/>
        <d v="2026-04-30T10:53:26Z"/>
        <d v="2026-04-30T11:08:05Z"/>
        <d v="2026-04-30T11:23:06Z"/>
        <d v="2026-04-30T13:44:02Z"/>
        <d v="2026-04-30T15:38:59Z"/>
        <d v="2026-04-30T18:49:00Z"/>
        <d v="2026-05-01T03:54:37Z"/>
        <d v="2026-05-01T04:16:44Z"/>
        <d v="2026-05-01T04:52:12Z"/>
        <d v="2026-05-01T05:22:40Z"/>
        <d v="2026-05-01T05:36:04Z"/>
        <d v="2026-05-01T07:25:57Z"/>
        <d v="2026-05-01T09:47:31Z"/>
        <d v="2026-05-01T10:01:04Z"/>
        <d v="2026-05-01T10:06:10Z"/>
        <d v="2026-05-01T11:42:13Z"/>
        <d v="2026-05-01T13:52:16Z"/>
        <d v="2026-05-01T14:13:46Z"/>
        <d v="2026-05-01T15:04:29Z"/>
        <d v="2026-05-01T16:16:27Z"/>
        <d v="2026-05-02T00:44:12Z"/>
        <d v="2026-05-02T01:39:28Z"/>
        <d v="2026-05-02T03:15:53Z"/>
        <d v="2026-05-02T04:17:08Z"/>
        <d v="2026-05-02T05:03:10Z"/>
        <d v="2026-05-02T05:45:18Z"/>
        <d v="2026-05-02T06:04:20Z"/>
        <d v="2026-05-02T06:44:35Z"/>
        <d v="2026-05-02T07:56:34Z"/>
        <d v="2026-05-02T08:52:04Z"/>
        <d v="2026-05-02T09:20:50Z"/>
        <d v="2026-05-02T10:27:59Z"/>
        <d v="2026-05-02T10:49:42Z"/>
        <d v="2026-05-02T11:21:20Z"/>
        <d v="2026-05-02T11:50:40Z"/>
        <d v="2026-05-02T12:02:59Z"/>
        <d v="2026-05-02T12:05:26Z"/>
        <d v="2026-05-02T13:17:10Z"/>
        <d v="2026-05-02T14:58:35Z"/>
        <d v="2026-05-02T15:09:15Z"/>
        <d v="2026-05-02T16:10:33Z"/>
        <d v="2026-05-02T16:14:52Z"/>
        <d v="2026-05-02T17:19:36Z"/>
        <d v="2026-05-02T17:42:41Z"/>
        <d v="2026-05-02T18:05:42Z"/>
        <d v="2026-05-02T20:56:15Z"/>
        <d v="2026-05-02T23:56:16Z"/>
        <d v="2026-05-03T01:49:05Z"/>
        <d v="2026-05-03T05:54:08Z"/>
        <d v="2026-05-03T06:00:17Z"/>
        <d v="2026-05-03T06:42:38Z"/>
        <d v="2026-05-03T07:50:48Z"/>
        <d v="2026-05-03T09:24:28Z"/>
        <d v="2026-05-03T09:46:29Z"/>
        <d v="2026-05-03T09:51:26Z"/>
        <d v="2026-05-03T10:40:24Z"/>
        <d v="2026-05-03T11:07:59Z"/>
        <d v="2026-05-03T11:22:02Z"/>
        <d v="2026-05-03T11:48:13Z"/>
        <d v="2026-05-03T11:58:57Z"/>
        <d v="2026-05-03T14:05:29Z"/>
        <d v="2026-05-03T14:25:58Z"/>
        <d v="2026-05-03T15:02:12Z"/>
        <d v="2026-05-03T15:15:26Z"/>
        <d v="2026-05-03T15:26:19Z"/>
        <d v="2026-05-03T15:31:49Z"/>
        <d v="2026-05-03T15:58:34Z"/>
        <d v="2026-05-03T16:08:02Z"/>
        <d v="2026-05-03T16:31:44Z"/>
        <d v="2026-05-03T16:33:19Z"/>
        <d v="2026-05-03T16:59:53Z"/>
        <d v="2026-05-03T17:41:21Z"/>
        <d v="2026-05-03T17:50:02Z"/>
        <d v="2026-05-03T19:15:43Z"/>
        <d v="2026-05-04T02:13:57Z"/>
        <d v="2026-05-04T03:04:01Z"/>
        <d v="2026-05-04T03:04:50Z"/>
        <d v="2026-05-04T03:13:10Z"/>
        <d v="2026-05-04T03:19:48Z"/>
        <d v="2026-05-04T03:37:31Z"/>
        <d v="2026-05-04T04:05:05Z"/>
        <d v="2026-05-04T05:04:53Z"/>
        <d v="2026-05-04T06:27:36Z"/>
        <d v="2026-05-04T06:29:51Z"/>
        <d v="2026-05-04T07:02:51Z"/>
        <d v="2026-05-04T07:52:17Z"/>
        <d v="2026-05-04T07:54:36Z"/>
        <d v="2026-05-04T08:04:21Z"/>
        <d v="2026-05-04T08:04:53Z"/>
        <d v="2026-05-04T08:12:30Z"/>
        <d v="2026-05-04T08:31:28Z"/>
        <d v="2026-05-04T09:11:08Z"/>
        <d v="2026-05-04T09:18:01Z"/>
        <d v="2026-05-04T09:38:18Z"/>
        <d v="2026-05-04T09:43:07Z"/>
        <d v="2026-05-04T10:34:02Z"/>
        <d v="2026-05-04T13:07:25Z"/>
        <d v="2026-05-04T14:49:22Z"/>
        <d v="2026-05-04T16:14:24Z"/>
        <d v="2026-05-04T16:21:10Z"/>
        <d v="2026-05-04T16:29:31Z"/>
        <d v="2026-05-04T16:44:25Z"/>
        <d v="2026-05-04T17:34:26Z"/>
        <d v="2026-05-04T17:39:54Z"/>
        <d v="2026-05-05T02:02:26Z"/>
        <d v="2026-05-05T02:52:19Z"/>
        <d v="2026-05-05T03:22:54Z"/>
        <d v="2026-05-05T03:32:51Z"/>
        <d v="2026-05-05T03:44:11Z"/>
        <d v="2026-05-05T03:54:59Z"/>
        <d v="2026-05-05T04:31:09Z"/>
        <d v="2026-05-05T05:32:36Z"/>
        <d v="2026-05-05T05:52:16Z"/>
        <d v="2026-05-05T06:34:15Z"/>
        <d v="2026-05-05T06:34:32Z"/>
        <d v="2026-05-05T07:09:40Z"/>
        <d v="2026-05-05T07:16:09Z"/>
        <d v="2026-05-05T08:07:22Z"/>
        <d v="2026-05-05T08:27:43Z"/>
        <d v="2026-05-05T08:44:15Z"/>
        <d v="2026-05-05T08:49:45Z"/>
        <d v="2026-05-05T09:06:25Z"/>
        <d v="2026-05-05T10:50:04Z"/>
        <d v="2026-05-05T11:42:03Z"/>
        <d v="2026-05-05T11:51:06Z"/>
        <d v="2026-05-05T12:48:25Z"/>
        <d v="2026-05-05T13:25:02Z"/>
        <d v="2026-05-05T14:26:19Z"/>
        <d v="2026-05-05T14:46:54Z"/>
        <d v="2026-05-05T14:51:08Z"/>
        <d v="2026-05-05T15:03:38Z"/>
        <d v="2026-05-05T15:53:43Z"/>
        <d v="2026-05-05T15:54:14Z"/>
        <d v="2026-05-05T15:54:52Z"/>
        <d v="2026-05-05T16:04:32Z"/>
        <d v="2026-05-05T16:06:48Z"/>
        <d v="2026-05-05T16:56:28Z"/>
        <d v="2026-05-05T18:01:21Z"/>
        <d v="2026-05-05T18:13:21Z"/>
        <d v="2026-05-05T19:41:38Z"/>
        <d v="2026-05-06T01:47:05Z"/>
        <d v="2026-05-06T03:12:29Z"/>
        <d v="2026-05-06T03:34:55Z"/>
        <d v="2026-05-06T03:59:37Z"/>
        <d v="2026-05-06T04:24:22Z"/>
        <d v="2026-05-06T05:20:41Z"/>
        <d v="2026-05-06T06:58:17Z"/>
        <d v="2026-05-06T07:30:34Z"/>
        <d v="2026-05-06T08:11:04Z"/>
        <d v="2026-05-06T09:28:38Z"/>
        <d v="2026-05-06T09:41:43Z"/>
        <d v="2026-05-06T10:23:33Z"/>
        <d v="2026-05-06T10:37:49Z"/>
        <d v="2026-05-06T12:11:17Z"/>
        <d v="2026-05-06T12:18:16Z"/>
        <d v="2026-05-06T12:35:12Z"/>
        <d v="2026-05-06T12:37:09Z"/>
        <d v="2026-05-06T13:42:10Z"/>
        <d v="2026-05-06T15:31:58Z"/>
        <d v="2026-05-06T15:35:02Z"/>
        <d v="2026-05-06T15:47:04Z"/>
        <d v="2026-05-06T16:05:44Z"/>
        <d v="2026-05-06T17:02:17Z"/>
        <d v="2026-05-06T17:34:12Z"/>
        <d v="2026-05-06T18:36:53Z"/>
        <d v="2026-05-06T22:24:57Z"/>
        <d v="2026-05-07T02:41:32Z"/>
        <d v="2026-05-07T04:06:58Z"/>
        <d v="2026-05-07T04:49:29Z"/>
        <d v="2026-05-07T05:21:04Z"/>
        <d v="2026-05-07T06:42:22Z"/>
        <d v="2026-05-07T07:13:15Z"/>
        <d v="2026-05-07T08:50:53Z"/>
        <d v="2026-05-07T09:05:45Z"/>
        <d v="2026-05-07T09:55:55Z"/>
        <d v="2026-05-07T10:05:11Z"/>
        <d v="2026-05-07T11:29:46Z"/>
        <d v="2026-05-07T11:32:01Z"/>
        <d v="2026-05-07T13:56:17Z"/>
        <d v="2026-05-07T14:37:16Z"/>
        <d v="2026-05-07T15:07:41Z"/>
        <d v="2026-05-07T15:12:10Z"/>
        <d v="2026-05-07T15:32:47Z"/>
        <d v="2026-05-07T15:42:56Z"/>
        <d v="2026-05-07T15:50:49Z"/>
        <d v="2026-05-07T16:04:14Z"/>
        <d v="2026-05-07T15:58:48Z"/>
        <d v="2026-05-07T16:25:01Z"/>
        <d v="2026-05-07T16:43:25Z"/>
        <d v="2026-05-07T17:16:40Z"/>
        <d v="2026-05-07T17:16:41Z"/>
        <d v="2026-05-07T17:36:31Z"/>
        <d v="2026-05-07T18:25:39Z"/>
        <d v="2026-05-07T21:00:28Z"/>
        <d v="2026-05-07T21:16:38Z"/>
        <d v="2026-05-08T00:28:20Z"/>
        <d v="2026-05-08T03:53:36Z"/>
        <d v="2026-05-08T03:59:25Z"/>
        <d v="2026-05-08T06:08:20Z"/>
        <d v="2026-05-08T06:38:25Z"/>
        <d v="2026-05-08T07:30:55Z"/>
        <d v="2026-05-08T08:28:23Z"/>
        <d v="2026-05-08T08:51:58Z"/>
        <d v="2026-05-08T09:14:45Z"/>
        <d v="2026-05-08T09:40:09Z"/>
        <d v="2026-05-08T09:52:18Z"/>
        <d v="2026-05-08T10:37:17Z"/>
        <d v="2026-05-08T10:57:21Z"/>
        <d v="2026-05-08T10:58:05Z"/>
        <d v="2026-05-08T11:33:16Z"/>
        <d v="2026-05-08T11:39:13Z"/>
        <d v="2026-05-08T11:42:54Z"/>
        <d v="2026-05-08T12:21:01Z"/>
        <d v="2026-05-08T12:38:12Z"/>
        <d v="2026-05-08T12:48:59Z"/>
        <d v="2026-05-08T13:38:25Z"/>
        <d v="2026-05-08T13:40:18Z"/>
        <d v="2026-05-08T13:41:39Z"/>
        <d v="2026-05-08T14:58:21Z"/>
        <d v="2026-05-08T15:23:38Z"/>
        <d v="2026-05-08T15:48:03Z"/>
        <d v="2026-05-08T15:58:44Z"/>
        <d v="2026-05-08T16:58:41Z"/>
        <d v="2026-05-08T17:00:09Z"/>
        <d v="2026-05-09T04:13:25Z"/>
      </sharedItems>
    </cacheField>
    <cacheField name="Token" numFmtId="0">
      <sharedItems>
        <s v="5i8xakjgkoge8rv39ucpqx5i8xakjg9t"/>
        <s v="q4bzy817knon6rwu7tq4bzg8wp39bqf8"/>
        <s v="cqucertyhscuypvkcquce2ag30h2hiwz"/>
        <s v="k8h8ej4kihgxkz0k8hn6vp5bq3vrr6dn"/>
        <s v="f34elene3daco7ef34elinexo3mbb44a"/>
        <s v="tkq524gebqz8suguori9xq0tkq5mwmop"/>
        <s v="xybrj60a3yoxudj15uxybrw5yry7volz"/>
        <s v="6qihxwwb0ee30coxwfwgpet6qihxwwki"/>
        <s v="4edddcgwdirim45ops34edddcgza6s5o"/>
        <s v="gp1r5jc2a36mbarzqhgp1rj9iw1g7d1z"/>
        <s v="5u8011g0yve8c56bb5u8011lelb5rnlt"/>
        <s v="lpb15fhony2d9jv5ilpb15fhi12ri89e"/>
        <s v="adnv2lryy5n2a70izadnz2o6njgzjwy4"/>
        <s v="6zwvwghojnfwr6zr0ar6zwvwtt52e1ny"/>
        <s v="kf1cgam5qu15rkyu6kf151aisqm1sqya"/>
        <s v="brkljour2agfrjxflp4fkvy0brkljour"/>
        <s v="fs66ove00aacufcbg98fs66ov9tzow17"/>
        <s v="5s9kqictcx1gp8j5s9kqihoclafkxyo0"/>
        <s v="kgd0ehaqms9o8q8u0racbkgd0ehaq2at"/>
        <s v="0r1wbhdoh8bhimdfuax0r1wbhs9285sf"/>
        <s v="fwrd7sfbvni0egwoigwfwrd7trg6cqku"/>
        <s v="xr5l9z3wp0ya6uota3xr5l9bnxm2dixf"/>
        <s v="021uso1f71vaw542lpa9021usocr81vj"/>
        <s v="mlj0i0ytuapksxmmmlj0i0hrnnb2hypq"/>
        <s v="vupums02t5t89vupyifg9x0tunmeqaj1"/>
        <s v="40siskw1a0257a8kgniy40siskraegou"/>
        <s v="jpx134j6ejstoxjpx19z2du1j4z3atka"/>
        <s v="owj5uqnw2s2ezs1yowjyty1p9ynmsrwd"/>
        <s v="drigco307hwvpsodrigcyyb4u1ra9b8n"/>
        <s v="hc4e195cf52bhkshc4e19iewmxqhmwq6"/>
        <s v="k0jjonlmxrlb7pbk0jjcrli7vbss0zsk"/>
        <s v="dt21ozjilbrq77dt21kv4hnrta8xg7c8"/>
        <s v="zhd1hfp21yakf7754zhdo5299ggd3iyt"/>
        <s v="e20ajqy7g1z2ypean3e20ajqyfc9kk6n"/>
        <s v="zjhpnbdes9q1tzjhpnmrexazti1r9khk"/>
        <s v="ad7het09e02y0t7dd3o9ad7hetz1zqb6"/>
        <s v="hf5whe8u0k1c7zx7ihf5whfnfx7enij1"/>
        <s v="o980wdf96nn6occ0nuk3eqz7ibnk1cc0"/>
        <s v="l2vv3q5foeqdainbd81by5ql2vvdzf2e"/>
        <s v="esvwo8wgnuvy76j0ila1gesvwo8wcci9"/>
        <s v="dysvoyjt8q95wq9pdysvonxw548ay9em"/>
        <s v="xkbf3k4rtxel9mxkbyf8vu577wxi5boi"/>
        <s v="djivk6fhz2es35pehghkmodjivk9uz37"/>
        <s v="taqwclcplpgxnqbfr4ed4staqwclu4x8"/>
        <s v="7s05v8x377npgn7oygt6ax7s05v8xvix"/>
        <s v="eggkkjrgdijps6z0mgeggk7itlxqre7o"/>
        <s v="r8zw0xa31empff23v5e5zr8zw0x0ihio"/>
        <s v="tc6rslr6xc8vumefa6x4tc6rchszt9y1"/>
        <s v="ikap1e0kx7jhcadx332bikap1ekyb210"/>
        <s v="e32u7kel9ef2fs9fbqs3ve32u7k8ii88"/>
        <s v="1k2ryj11cffd6dyxu75hsshj1k2ryj11"/>
        <s v="14v2frao1xvnkkxapyp14v2frhdtvyha"/>
        <s v="8iksnqn4bp6o0udu0h8iksnekqs5q5nk"/>
        <s v="n9fckofrxwb6a52yrn9fckzqbs4k1blv"/>
        <s v="l1baykmraa2nol1babs0jn425x6kkibs"/>
        <s v="78lsw1q1hkwzybe78lsxhk0vgq0rt2cn"/>
        <s v="9jyc02t8je3s4w7hfahs9jyc0z8tx8zo"/>
        <s v="tbi682j2puph6ojgftbi68m93knwjxij"/>
        <s v="prm8rqgw9eati1prmgma340e0j7ugyp8"/>
        <s v="lfr5suyjw5loa1414xdo6lfr5sl8lr5g"/>
        <s v="6re0jzpajya12krttd6re0ycbsxl6i8h"/>
        <s v="k0zeca9bzt5ninf6dbfyk0zeca8kpdal"/>
        <s v="i44jk43b1r622oeji44jkpfw11qy870c"/>
        <s v="cr6mo5hl3qrdqabcrkkeun1khhnpef0m"/>
        <s v="acozyokaqnik6xacou7w3pg9dvgjkyqq"/>
        <s v="98zakyimagq605z5ose98zakyeihvvxb"/>
        <s v="tizi1sx55dll0prr2kcbtizi1snt4x9p"/>
        <s v="7n8fe0tnw8ysb5c7n8fdy43f2lue3obr"/>
        <s v="jnu2jh50m1izer034zi7zjnu2jh5fic5"/>
        <s v="h4l3nr42m7uvs5k0hh4l3ne6r7uhkdb3"/>
        <s v="2v7xgj9mmf6gjf12v7wdqura7ep2fcoe"/>
        <s v="8qtluz4dql8bzpb4eg8qtlut78q0eb8w"/>
        <s v="v81l47u23e2wbdzmjjv81lni18sakeqn"/>
        <s v="zxe5ua7wadihstp1vylhzxe5ua8fsng9"/>
        <s v="4kn5bzy6qg16i34kn58bwyjhm6iiw95d"/>
        <s v="chjd0bg2xeqgng0chjdg3u9tz3v2v9wk"/>
        <s v="axf8cghuk0ll7ombaxf8cghqdp4h2d2f"/>
        <s v="amyyx4ejtrkffpzn7fxgamyyx4elb8re"/>
        <s v="2s321in4u83iea4rc2s321z8afl4gl5f"/>
        <s v="v2bjx47ny28vgykz3uros0v2bjhls6na"/>
        <s v="bx31ahxfb30i2seo4mxbx31ahxehyjw3"/>
        <s v="e722lf6s8rm2z4oife7221jdf497sljh"/>
        <s v="zyovr5kmr7jhcffqeeyzyovr5u9ggflu"/>
        <s v="mtzhvraqls02z4tcg5gu0umtzhvr1nh5"/>
        <s v="o1ukiiwu14eej51wt7j6guo1ukiii5la"/>
        <s v="z7tmn53ehxiony6qz70z7tmn52yjcz31"/>
        <s v="zepchq55v44yqdvx95wwzepc5kl78xk3"/>
        <s v="hwh6psymxllff79mbr1hwhfffil0xlgq"/>
        <s v="kpdppq7bg0rm4dwsig2ckpdppq7vrl9g"/>
        <s v="aprx3dixitt06v5g9hxvaprx3dikijxl"/>
        <s v="kqfxaihta4p9nttakqzn7cxrn73d69a4"/>
        <s v="avc3xqqe8u1ivz5o0z1xahtavc3x5fq6"/>
        <s v="xucxo4m7xioo6j84dpgxucxo4m3vmea6"/>
        <s v="8m7zov7afg8arzoler8m7zor4fox09xy"/>
        <s v="uzdbtixmqoy4gd6plzuzdb5sdal6d0se"/>
        <s v="jq3ngkfvfpascv4cjq3hx5xsgzcq72iq"/>
        <s v="yi346nh2a7ifg7xxyi34nqo4u307zwnl"/>
        <s v="3r5v9eajevcdwmjdf9vxv3r5v9eai0c2"/>
        <s v="ifbklc3ug3z8y39ypifbklcgy2h9zvbo"/>
        <s v="bg04gbw08ahrtbg045xbnsqc27fx1dhx"/>
        <s v="09k5wzcusjyrta8o0kaq7nqr09k5wzcu"/>
        <s v="zeu4id37awlrtalr6gzeu4id30bsyia5"/>
        <s v="0edam13uywiwwlqs25iwu0edascxrenf"/>
        <s v="fkxkzna0ea1z3n47kyqtfkxkz3dmlwln"/>
        <s v="s1hx5fupdls7ukvwbdhs1hx5q8ixo5j7"/>
        <s v="yu7mz2ldnx8xnnkqyudh1pkmm7pylive"/>
        <s v="5j2o835u9c8zite6q65j28kuhkz1vix5"/>
        <s v="e2godtetw1zop8e1rxe2god4oxgz0u6m"/>
        <s v="ik6ajd46h69t4qgnriik6ajdsqdodl8l"/>
        <s v="9usexs0ao2psfxcmfnl9usexni3ee28y"/>
        <s v="ld1e7jjjyg42o2ct770xld1e7r1m9kx2"/>
        <s v="thqpomucyc9ipushthqpohhld3xtluv6"/>
        <s v="yfmy0u70tkz48j2uyfmy0ynug9lbnp0e"/>
        <s v="m9kd2m4h5or2i0qujc7m9kd2muif7vpj"/>
        <s v="04oc3l3nttgtzdnwo5e04oc3l3oh1jrt"/>
        <s v="a77zv16y7jr4xr39ey6a77zv1kjesupo"/>
        <s v="0bdf8r6wukwt11cj6if0bdf8mqh8xpcg"/>
        <s v="awbftgrzbl5rpeawbftgrn41hgtazq2j"/>
        <s v="ocvt9u9yb4esx4pzj4s2locvt9unbgiq"/>
        <s v="cbo3zao4wl9o07gcbo3zaqa9m4da41yh"/>
        <s v="d828jvh8ei53aqdya0tffd828lrobi24"/>
        <s v="ms22hi0wkb5k1zagxms22hi06zahj60f"/>
        <s v="7ueaol6muyxn9yd7mec7ueaolffggn8e"/>
        <s v="rbg7u18e8p9zl5n7iwlsrbg7u18tljg4"/>
        <s v="mm0np9n5ex6ua2cs3flymm0np9nge5v1"/>
        <s v="9tqx2g53f99lfd71obzs89tqx2g53vk7"/>
        <s v="pyqczgj5xji6nyyclvwjpyqcyhkg0js5"/>
        <s v="p4p18iu1h6vi3ehqkp4p181tao23me8n"/>
        <s v="orkfy3jygcaq6pphhx9cxorkfy3ndj5m"/>
        <s v="gm2oogog5fksxcegm2oomc0g8omuso18"/>
        <s v="ucqyvy01zopqv7v3uyucqyp66r83kpt3"/>
        <s v="ii7s14u5w4zp1l9d6qsxii7s14vcnopp"/>
        <s v="f20gie4iy6zl6ow1wpb1f20gikz7z8j6"/>
        <s v="5efbncfu8yvuiepj7uj5efbncz6aut87"/>
        <s v="7ui5n7caxtdhq1uic97u0c6tsavtzgui"/>
        <s v="3hguu7o370k3jioo3hgub1wje6d8jb9e"/>
        <s v="z7s3ohtmpnfgtz7schhco1c59ut9uzch"/>
        <s v="b28d1hue1l5kraxb28dx0zyjrxz4u92x"/>
        <s v="fzw58xpgt646vdj2vfzw58eas8n9auxr"/>
        <s v="64bggw7lcvv578sxe64bgg9ks025hwdl"/>
        <s v="810qpjzq4cjgay810q0jemt1615n1jlr"/>
        <s v="pgg7nj4o6d7en68s4hpgg7njwyu0g6hx"/>
        <s v="f4e99dirgrhjnbpq0kdpf4e99d4d48ep"/>
        <s v="tokfadlrbz6xrrscrytokfadlwe16wdp"/>
        <s v="18n1zg6b3b7caa5189s7hcuv1b3i04dc"/>
        <s v="cy35r0krso8f9xjcy3n3pgohvjygo293"/>
        <s v="kdp504iisirztemngwm0kdp50i0ymrlh"/>
        <s v="picdx8p2jxotjx9n8l5vmpicdx8mt3ep"/>
        <s v="mh4mznlr0ecuwivemh4mzi830yjvow9g"/>
        <s v="6df113hc1qewmuc5ljiztmgm6df113h5"/>
        <s v="ttsb6dxfjw8idrs3isttsb68y565a3gm"/>
        <s v="tmolrrc56t7en5ktmjaz667haarwknx3"/>
        <s v="0rg873cync0cxf40rg873blyh3i0d6vj"/>
        <s v="d9kbqqejgaqh82o4zi3zd9kbqxt4pjiy"/>
        <s v="17w3x4fiwapzruquazn17w3x4pel9wje"/>
        <s v="jxmw1dq0tzlf3tqjxmz088lionty0w8s"/>
        <s v="14t9z163p2jf2bs14t9z2qabv95c2ba8"/>
        <s v="17xastfxcq8cc45kv7ick17xasthyz1y"/>
        <s v="79b2z702ya07z2valrinl79b2wgceepi"/>
        <s v="3u0uomrp7su1mn3u07p6mhgh9oe7pgjz"/>
        <s v="6g2f8uoi4a9pqsrhw6hioi8k6g2f8uoe"/>
        <s v="dftf78gydbj4gcczgvdftf78un15y7c6"/>
        <s v="gj4fx0d89zy7gm7a0xhf9gj4fx0dbdga"/>
        <s v="iicr7qu4s0lqdf2ouiigqqd7wuqdjbmm"/>
        <s v="av1vznqvug0n1flav1vbow4z9bug2qmy"/>
        <s v="uztxqvvalzm9k8nbfqwuztxqpi85kcqf"/>
        <s v="km2qq1g6rf0eygimv6ukm2qqk99gj5fs"/>
        <s v="qvk19lstv9vc1szg9ljikqvk19l8djz4"/>
        <s v="yw76jal0l3clzxxd0k5myw76jalg6qcp"/>
        <s v="vcgkhfwfg5vhuuc35lvcgkhrf61hv6kj"/>
        <s v="rqtlcyhb47fab7qrjkzrqtcbeo50q2cz"/>
        <s v="5qrp61qi9ra8jw5qrp65ua78rv0m5o1u"/>
        <s v="v2htaq1fvhirqs37fagxzv2htucvxitq"/>
        <s v="okbbmhp528uvjcbexnokbbmhf61ne8ih"/>
        <s v="3fqur708hnoqedc3fqt4vzqyb857hcho"/>
        <s v="9ckwu217hg65rz5a8dty9ckwu21oq0qd"/>
        <s v="7vw42jyingclrjqaa33ad7vw42jyaj0o"/>
        <s v="lifxhn0611bpy5jyq9rilifxhzw9z4g5"/>
        <s v="gi44ckiups6tu9v41rgi44ckily0n41q"/>
        <s v="4lat8oqeam0f9pd23p2iqmrw4lat8oqe"/>
        <s v="kinz31wj115uw02z4fplkinz348bclle"/>
        <s v="a4tkmj14t8zzmgps9d7a4tkmjn4tdisp"/>
        <s v="kvtq18fp79sacpr348mmkvtqn9jvled1"/>
        <s v="hqj9rasj9946tv20ut5hqj9r4q71p7q4"/>
        <s v="65mcd53mk810n65mcd5ibeifcdyahfmh"/>
        <s v="8tljyn31ip411dcy6kx8tljyn31f30cn"/>
        <s v="acflzqukf4bbmq1hacfl8bbuzwsp84vt"/>
        <s v="dxk14zfoszogbdxk14fi02ye3wf8g0ja"/>
        <s v="408qnzsa4jufk64nfpwn408qnz90sr16"/>
        <s v="j1jwbxtyysk9iuc11fj1jwbxtal9ui6c"/>
        <s v="957rdziue710aw6m8957rqi384l0iuz6"/>
        <s v="sf8p1md9eno3ra0nc7po2sf8p1md5zoo"/>
        <s v="tdqb3pww20lqqltdqb3p2waghg5qlnl3"/>
        <s v="2mr9xrsu838voy8pb09m2mr9xnn7vt7k"/>
        <s v="n1skuesvhch4mdo2bn1skuesxjytjdjr"/>
        <s v="jpfeuiffqifi9lejpfex97ux90we3r5k"/>
        <s v="ak7tyt1d9akx43mak6iv8aak7tqs0ar3"/>
        <s v="uiz8a4xtp5tuefdc5fopq1suiz8awciw"/>
        <s v="vjajsztv586cqewlovjajs60v3eue9mt"/>
        <s v="m3autdv0uavz837sjm3autdvispl7mix"/>
        <s v="3tkkw50w4h5vx43tkkwhlvfr6vhtqf6s"/>
        <s v="byj8awegvxicyhybfmbyj8vr46etmbts"/>
        <s v="7hkx3canp7zg9cn7hkk4m45asnztcux1"/>
        <s v="yefglzrqj1pomyw91oyefgy4gp48dlaw"/>
        <s v="ptv7cyxei27bm2jk6wju8v6ptvz52cd9"/>
        <s v="ezj1tiv8xor7bpezj6sip0vdsc5133vt"/>
        <s v="pdl6sxpao1jdiuhbkpdafdnguxxe8bck"/>
        <s v="b1bv5hlbeb5h0cml7adwbgbb1bv5hlkd"/>
        <s v="a6dxvny4efqlxncl2bgwoh4pa6dxvny7"/>
        <s v="pbqbushnog82jjipbqusx2gf4kikusx2"/>
        <s v="cad13n7m6y75mcmxucad13nbgkaezc0b"/>
        <s v="ll3nmc3a2duh9e92l43kll3nmz3gq58i"/>
        <s v="s5ljxfvbvquwrlas5lxjq63tdh6f5dhm"/>
        <s v="x92xotm320dzfxuoyhkq5x92xotxiokh"/>
        <s v="ibbjcw03dkxpjj36g1v8lqynaibbjcw0"/>
        <s v="3a31dve4y42nch2efaua3a31dvei7ig4"/>
        <s v="amaeunkkzyxx89qamaeungdwvu0y4fow"/>
        <s v="feld3qpsoxevvdr5ausamfeld13q32oc"/>
        <s v="rcmwh0dk0ouwqypzdi5rcmwh0l617hbu"/>
        <s v="ssjz6uqkkopgh947k2kissjzw863jfu1"/>
        <s v="8uj48h3hsahtae2f7c28uj48e8nq3qof"/>
        <s v="cvl87rm4fhggpkjzcvl89ztlw3slki44"/>
        <s v="gpexk7idk11nih6sgpexk7komvsntalo"/>
        <s v="x9c3xbxonvy7x9ohgpsx9c3x40nmhat0"/>
        <s v="aal03fb7wboggy2aal0cfrd5a1bnu5ij"/>
        <s v="w7j6rv2rs536uduptqbvr4w7j6rvjctn"/>
        <s v="zkogqyhid4zdwha4yzzkogqyhw1oiws5"/>
        <s v="mb4lpz1uqa2a8hm0fmdi6fws75smdxif"/>
        <s v="g53pc5mqlb17sk0pzg5f35eqsfsdofb4"/>
        <s v="0248ad8gu14vio0cd0248ace8v486u3w"/>
        <s v="b0p6a2xdwmywyd3b0pn589g4k987apz4"/>
        <s v="nmvnjjbg9e03hza60kdnmvnjjbo3u6zn"/>
        <s v="nbbmh3tt7ncl3mx1nbbmh3v1fa7nx8ce"/>
        <s v="w0jjrxjj3hyhhi4w0jjrtayjj6e74xr2"/>
        <s v="ue89m195h9lwsw1n3y1yhjtcyue89m1k"/>
        <s v="t5yddget97hbhwn6l6t5yddap8oxe2dd"/>
        <s v="9ig6bo8ha81ovvs9ig692r5toue7p005"/>
        <s v="8oelrg66cjhev7jw758oelbqyd2ij8wt"/>
        <s v="sxfxrivvcm0mct8lpfioklsxfxriv88b"/>
        <s v="8z9ax491a1yod216ta8z9ax49brcsfz1"/>
        <s v="uyeqzf4k0p15zfi4uyeqzfy8tj7klykn"/>
        <s v="n09ofbzkuu63875n09w2b1im2q0vrl2y"/>
        <s v="lk3lr86ox0d2bnlk3wyj15nc2jj13p9c"/>
        <s v="avvxy19zdmwpek91apavvxy19h1hv4e9"/>
        <s v="25g4wj79pamgxcnj725g4wjovmfwugge"/>
        <s v="nki6fdmw03l63nki6hxmryzjmpj2k3cl"/>
        <s v="b6b4giju1wo24ngj7x1b6b4gijr98p1s"/>
        <s v="6sgxenffxn8ou3x6sgxehg1eqg6nji65"/>
        <s v="7poo3tt77tvb6q3di67poo3t0d7iqhsg"/>
        <s v="gu5lm64wabzfoy1g71n5lkdgu5lm64lh"/>
        <s v="d5tpwn2yh8a2ruzo4f4vpod5tpwn2yq7"/>
        <s v="51jlllo45hhxq5pstk51jlllozskcki6"/>
        <s v="079g78jxtj7j383jzxw0079g7avnnikd"/>
        <s v="u738qh75n8eu32j0tlu738qntnur6ika"/>
        <s v="b4vpcwkdz4eri4oo52sb4vpcwcav3jli"/>
        <s v="rnw1wf6ezcsxdjm1rnw1wfz7w4ujrpwb"/>
        <s v="8ul3kn6j0bsdamxz6mip18ul3knl5dae"/>
        <s v="srxmrh2flpcbg2bsrxmr6h4fry3sh711"/>
        <s v="hn6wztnf2p432141oxd2hn6wzt4ocx4s"/>
        <s v="220xb162yzr1ivjt220x6c4qzjqoa9qu"/>
        <s v="2wqtuwm15nfisuusrjy2wqtuuycvbykw"/>
        <s v="n2b2q5z7n5iqiw299xn2biit519y4xu9"/>
        <s v="fw4bxtb3fbo52ihcpfw4bfain0idmfbo"/>
        <s v="wt7cxhju1gqeuawt7clwzpww01dmi9vq"/>
        <s v="55zux0napyug09flm55zux0e4qqp0vha"/>
        <s v="bhkn6ja0vbkclsok2ahdbbhkn6j73nx0"/>
        <s v="i6saa1bbxcsxb0lww7i6scnncivkh06j"/>
        <s v="x9j5bddaptxrgjyngohxx9j5bhlckers"/>
        <s v="tnpbgplbv1r04rv1ktnpbgd7nrbs3i88"/>
        <s v="ek9wxiv6m9d38j13z0sek9wxiv213abp"/>
        <s v="4srrh51bby8kbzqdh1d4srrhncgzlzpf"/>
        <s v="j6amurhg76s8ykw878v3cj6amurh8cd5"/>
        <s v="w1gkq75qjztm152oyts32aw1gkvzyw7k"/>
        <s v="9rwjhdcyjmbfam0uai9rwjhdtdt2gi37"/>
        <s v="7dxddroxqcyky1cvma7dxdda4wcnrq1c"/>
        <s v="zbj61szfgsefdp2b7zbj61s70al1le6n"/>
        <s v="cbmzmevkhhqmmr8740cbmzmzu9wvhhpx"/>
        <s v="8a9a4zw3i3pgybo00ld8a9a0620xinwe"/>
        <s v="ypoxd6wqatqloo1x1dnqwlsypoxd6wxn"/>
        <s v="8vpzr83er6atgbjasebsl8vpzr83xler"/>
        <s v="0lupr3em8gvqcn0lupf1gui0yrfjp236"/>
        <s v="wu2bgj5b8x675u0jke1gwo4mtwu2bgjw"/>
        <s v="g0318uyn6du92r6ouvg0318uyu0lg6ob"/>
        <s v="trlo3cwjhrnps36dgda7tgtrlo34fl5p"/>
        <s v="ctshu5rgm12fnqh3o4xctshuaxpgd4c2"/>
        <s v="i5yctgdtor2kdtijd1i5yctgdtuvatgo"/>
        <s v="b6p4q5ntn2334dso4b6pryuz77mp8efs"/>
        <s v="oftlfitpr6oft9559ipuhs9yuzv9ycqw"/>
        <s v="gbvd8ns0nq0s2ei78t2oegbvd8jq3doq"/>
        <s v="zobp2hic7v1vwn14zobpd46oxqd1tmnr"/>
        <s v="g9detnkqzkcuv9tzoay8mjg9detwhzoq"/>
        <s v="rrhq8m5y7r6foh3morrhq0n7v7tfn6wk"/>
        <s v="bu30opsz3iz4hvmox41bu30oq0cvhics"/>
        <s v="0l1v7njemxpnn2mjni0l1v7gop403bcd"/>
        <s v="l7sq5fqh3sztz275l7sq7bnsnsz3vjcj"/>
        <s v="40jehrk41ecrwjrw1fnb40jeq6qgc223"/>
        <s v="048j9wlesgv99il9u04bss9scwkjf456"/>
        <s v="p8aeus1a1oqju403rp8aeus3xjsp9mep"/>
        <s v="hlzqzjdd14jfxs0wshlzqzibx74v4x3g"/>
        <s v="ngwhg1d55g6ingbud8y034n3cew725fb"/>
        <s v="f4v9kkcoeq35vo2rlh76of4v9kkc170d"/>
        <s v="j8x80er70zs9951ij8x805oxlfy6xw0g"/>
        <s v="alyrzwbd2x7fmyd680p4alyrzq503h1p"/>
        <s v="zwjwk8j8r05bqjwcxyezwjwarye74v8z"/>
        <s v="fau6y6mn3tbdxaw5wdw8bsfau6y6cfp4"/>
        <s v="sv1jov7vozjw936ap19q4sv1jovafkvx"/>
        <s v="9dbs9gxrhaq5xmr6fw161o9dbs9gi45y"/>
        <s v="auou70ggbptanpz6rauou70h241n9rov"/>
        <s v="5zgtixhzygfzxr8uz95zgti541gqxso2"/>
        <s v="jcq7j62qvvm8ztmqd29jcq7meb5dv3bz"/>
        <s v="5popas54z9wbb4c5popi0iz301fqfoo8"/>
        <s v="27c3l7unmzqlb2uakvd6ze3tm3u3stua"/>
        <s v="fwtfvhtnir1u19kuleazefwtfvhtdt8y"/>
        <s v="9h0956g1jp8p3ddti8d9h09wtfkw8jzm"/>
        <s v="9f2hg0qpwkkkzla849f2hg0q1dghkutu"/>
        <s v="8dktggq2tramzpciqr1iq8dktggriqg2"/>
        <s v="sqmxzynckhursqmxr7m8o9wlhcr7mjco"/>
        <s v="t4ik83u2o35cyy3unmujt4ik8wpc2ukl"/>
        <s v="kkvpksdjyl7fledkkvy75c7ifuc9z0mr"/>
        <s v="sjp68w2z5pfp4zija16sjp68jr8q07pg"/>
        <s v="hm8qatylh3mon1xqq0hm8qawbulhrfyx"/>
        <s v="lgj3fmfd3rl0aidfrmj4nvlgj3fm2zts"/>
        <s v="s549l2lxibfu9bhzrs549xb4q4afzmx9"/>
        <s v="idj13bmzc2lrdwhfswy6eptidj13bmzs"/>
        <s v="j5cwi7wzlo36ebcdq476j5cwi7w5s51v"/>
        <s v="folplnt3idv2pabibg5gafolplnt6c3g"/>
        <s v="9zmig6zdn661abfa4z7s9zmigqngl7vq"/>
        <s v="6rigc2eykm8fdioybg4p6rigcxhn8d39"/>
        <s v="f6bwtwgy1r6q5pq2f656b0gus8aiiytm"/>
        <s v="atxct2idcxq3dh58jx4atxct2iciibuq"/>
        <s v="dtgovds3gn70iswafdtgozt6xnh1tlfs"/>
        <s v="fz5zjr1lhqlehxhzrfz5zjr4hqiibz04"/>
        <s v="0qljwmjut7mrpd2r0qljwq17y49hwaqv"/>
        <s v="c099031dkjr1ofmix6h9c09903vtnmsu"/>
        <s v="lhil03u23x9x8b915lhil03rzfvzgz0c"/>
        <s v="53dnrvvifih5uy1jmq53dn5f1omy4x4g"/>
        <s v="p8r50f0i9ktobh66p8r50ao79ojltc92"/>
        <s v="5lvpq01vhy3td6u7x0tqi5lv4wrnjebt"/>
        <s v="tw3pj0ik5uz3wtrlmz3tw3pj04rsg2hb"/>
        <s v="29zc80bg2rh7n3uwbsrad29zc8pf31w7"/>
        <s v="o3agdsk4aiesznbfd1zw2o3agdsn8682"/>
        <s v="6ns7ld62zob0z7z6ns7mha4x4s30jcuh"/>
        <s v="ac9gvl57xprzsrcwv0qtac9g8ezt3gvy"/>
        <s v="dt2209pzjf3nskayhdt2209xmm7e2x00"/>
        <s v="zio31b30zj0f1enpzio31zto50mqiniw"/>
        <s v="7u3rn70i6fw2q7j4o5o7u3rk1tcue5w0"/>
        <s v="f8f82cupr67kjw83klf8f8irsugfzbiv"/>
        <s v="ci8cw88tpa72iarecjci8c1fbmh0q299"/>
        <s v="qxwkjlgmsauznww8tcgqxwkjln2zvpq9"/>
        <s v="78gaxbw7fxkc1wambec6p478gaxbw7as"/>
        <s v="0mb8qc30rm6urvwja533x0mb8qc3irsr"/>
        <s v="fzxrqg2m398eu9ple96tfzxrqg2b4914"/>
        <s v="2az8dz2y5w1owl8yd2az8d3mu1zqekxt"/>
        <s v="o5hfhjw0jxrb6ozk2o5hfhjwccca8p2f"/>
        <s v="b4186nadtrkp552ffb4186nx8rh7akiu"/>
        <s v="qz896k7l0dnzovasqz89bz8wl3u8exw3"/>
        <s v="qspdmz3jdb1y6kimfqspqoh6ah0zd02q"/>
        <s v="o0v1z4g3evqmq5lxro0v1zqkva7wxdbt"/>
        <s v="cjg8zhoh2otywcjg8u8njsrcbsko24qv"/>
        <s v="tig3u1uexz0aikszitig3bdms10epvwf"/>
        <s v="z7900ikk3jocvl5xz790klx0vir0zjcj"/>
        <s v="scmokz9b74kjzscmky3125yvcz5vmbqj"/>
        <s v="tqqp2i1vfkhja3e9utqqp2iz7zs5grhu"/>
        <s v="0mbjz6f4sv632dkcij00mbjz6biyi6of"/>
        <s v="4xxxdsdystmh4blw154xxxdazrtiyr6e"/>
        <s v="ri4i6xy3vy5dr6j1wv7pri4i6svu2p59"/>
        <s v="tasltguk6gplv2d5metasltgoq15zx7h"/>
        <s v="j8u73vo7sdoe5vz4rkj8u734cf2okonb"/>
        <s v="i3nnggsepe094qoo67li3nnggz7d2ypr"/>
        <s v="vdcp1dioy2lgw4kx1vdcp1lyxrgqgh5q"/>
        <s v="pcbok5hhwy42apcbokovszvvcqdduk4n"/>
        <s v="f2ql2c970nlee311itx0t7v7f2ql2c85"/>
        <s v="qfz0k01g1xobww1ifck44qfz0kcktnht"/>
        <s v="s0o6604ezwxlqas0o66s16wvkadad6ii"/>
        <s v="jmjs41aghsa8x1a3nsjjmjs4fx7gtqwp"/>
        <s v="2fslj790s0iig0x2fslj76upda6pzy6t"/>
        <s v="tto0ojf6rx28h563xvgtto0ok79rrefd"/>
        <s v="0lsdq47nez4yyl1owwcbeigh0lsdq47n"/>
        <s v="8geio03kqz5h7z8vkhn9v58geio03vei"/>
        <s v="vcc9xn2bxeedlwvcc90jnbstl1iulgrn"/>
        <s v="noepaw7et8sfacu31noepaxzcq5o0y5b"/>
        <s v="36525tjq5kyb35hqpb7gc36525y1sqsf"/>
        <s v="vqg10od46d5sfb0n6w3vqg10wwa8zevw"/>
        <s v="1kp91fyiol8ubi7me1kp91p33aqu749u"/>
        <s v="nbznlzk79e7mrlj6qbje93nbznl0w4vk"/>
        <s v="nt67w1ga42w29aeig8lfnt67w12bsrc6"/>
        <s v="foi0vrzdl28gj9ejaozfoi0v5ak4cyml"/>
        <s v="0bg4eodcc8o72bni44t0bg4eog0m3tvi"/>
        <s v="sbxy5cjby2xx8ph23hp3gsbxy5cjub5y"/>
        <s v="3b5phkf85udu6enqjl3b5phkemxdbfi8"/>
        <s v="bwhbqk3y1mso605ehkbwhbqkg5uxvw8j"/>
        <s v="m38mijnsslgabqnn4um38mijnls79atu"/>
        <s v="c49wkvqovo7gur2dc49k60hcx4fvxssp"/>
        <s v="ny79grtsn2kgkkbkwny79g61yt051oks"/>
        <s v="t0toaz34tyk74g1st0toaz3w54km77hc"/>
        <s v="zsxjy6f8sfxcjzsxjqek3ozd0f8eaajf"/>
        <s v="r3zrxqazhtax5mp2ozr3zrxfhyqjvt03"/>
        <s v="w6js0bnj7kuxvhfrw6js0k81isgh9dgv"/>
        <s v="m91gbb2uzigws03tsqmm91gbr0ukgv72"/>
        <s v="rc3fhnb83azt62opp6brc3fhnb8h8j03"/>
        <s v="jf93lo3cyu8fqq0npq345jm2jf93lo3r"/>
        <s v="sbakwnxhx990461jcjr8q5sbakw7x89s"/>
        <s v="k3743ismg25nbf6fkk3743isnznci6jy"/>
        <s v="jv9qptvvcjhqhwwyikx7m5jv9qp66m5t"/>
        <s v="a4odfg3402m2tka4odlxor3awjd0nmr1"/>
        <s v="ei0zvet1a4tq1bg5ycyei0zfgd4wrxhm"/>
        <s v="gbi1k06rgqmsnusqf5lgbi1kay27sdn2"/>
        <s v="s0cvgfif67a5zcqa7is0cvg2o35gs85h"/>
        <s v="izjurxhbo2y1jkwqrizjuhopp2avkb1a"/>
        <s v="jiyleheuuerwksskowjdgjiyleheuob2"/>
        <s v="5uk5pqavmckk6vd1knb5uk5itrjimcfd"/>
        <s v="61lwakni2ij4ln0961lwak150xp6p7hm"/>
        <s v="vojodpu85pgfece5wdvojods0hfom2yz"/>
        <s v="nci0knjzcveqqozib3q0rgi1nci0knl0"/>
        <s v="315dkqbe2uimpjih07ghlt315dkqnur3"/>
        <s v="3v36utkuajr0fb9assdvp3v36evzebdm"/>
        <s v="zusgxqq0ql7mgmi2poutqzusgxqqh59h"/>
        <s v="3faytr5lp29w0nmbg3ygh3faytr5ldd3"/>
        <s v="qpwqfw3h5o1cvpq2h6uz1sk5qpwqfw8q"/>
        <s v="jlp4ls5zpuhvduo02jlp4ll5mq6790zm"/>
        <s v="eruntu7he60oabkd3eruntv9490vkerb"/>
        <s v="9t5j6z5nydgkhhr1amcmr39t5j6z5nrj"/>
        <s v="l517aeddtu31dnqwl51dhtbiur2g2d1r"/>
        <s v="bb9kowdx1rh7xnp1snn9fsbb9kow9oc9"/>
        <s v="5ew5087s85j0bwpth35ew5087nxtfhfh"/>
        <s v="zag464kz5k8yionfx18zag464wk67504"/>
        <s v="qn016ypz8xmft9qbsqn016rjbq1w2uoo"/>
        <s v="6wv5e0vy9w5n66wv5e12jltvu6k190v6"/>
        <s v="qer4xhxt6yuy09qer4onaj92k7dwq6o0"/>
        <s v="fxxn69l10k2omcuk68fxxn6kd4anyw1t"/>
        <s v="iwr2m7ir6lrypho8j0iwr20h0fcuxxqy"/>
        <s v="dzx6zgldgnr6gc7dn6dzx6b58jvy2cak"/>
        <s v="mx67tj0u47i24gzggcwmx67tj0yihzos"/>
        <s v="pjouca0oo6gbmteypjoucryzok0hrp5z"/>
        <s v="1l5bq9l92nrs3p8ta1l5bzxqa0u17bpb"/>
        <s v="s1i7l7a5b0g5yprxbs1iqe25wzo75yui"/>
        <s v="iihi0we3pbajowyyqdgwpiihi0mjmkda"/>
        <s v="axrlmj4qps0ksi2ejaxrlv3mhzikw0o7"/>
        <s v="6bz6le1gkhnccftaqs256bz6le6wjqme"/>
        <s v="5d81f7izcn5unx3ey5id5d81fq0dlkrf"/>
        <s v="yqeh2bl59u82rz11pmfyqeh2bvlfqcli"/>
        <s v="irp98r73db1gkonn358irp98nlnkp11g"/>
        <s v="rghnn3kzcffjhqtgzkmb2zt6rghnn8jr"/>
        <s v="6t4ji2q6suhd2two96t4jk2nmtvmhfoz"/>
        <s v="edscoitihl3edskhrws161vnrhluvkhr"/>
        <s v="dxgl98j39vqbb9bnprddxgl98ppfd7e2"/>
        <s v="t3cg1fjsierdns7lht3cgqcdqnoifukf"/>
        <s v="pi79xyt8g6ou89opi5l79bkkz5zs896j"/>
        <s v="pnk4n0nq4lve5cxgpnm9pnk4n0bjzkse"/>
        <s v="7kasfyrzi63ovryiu3hr7kasfynx2c5k"/>
        <s v="8yuvh2spcc5aey7a29mn8yuvh24jsybx"/>
        <s v="yy90sbouspd78jm16zlv4yy90srdzisf"/>
        <s v="jbehwtgyw39w47oyjbehwtzhx1rrvh0b"/>
        <s v="pd741pn5armc1he9mpd741pgpvgszjeo"/>
        <s v="080zlwldvd0evcggz0zg4080zlwl6qx7"/>
        <s v="tgywi7z1fwttbs9xa6wtgyw48vn904q6"/>
        <s v="6kf8t0i84rpmx6a9rglbqzkvexak23bh"/>
        <s v="xkjo03wqq379343rgicxkjow3has8sqj"/>
        <s v="kyszu18y7759xlikyszplvag7yd4i6ck"/>
        <s v="fnhmg4pz4xexauxo0lafnhmg4p8tjnat"/>
        <s v="315dutt2oyxzaq27mi03315db2bvmoj1"/>
        <s v="0m05vuk8ttfwef90m05zw5dy3g194zzd"/>
        <s v="sqad4pkbz1rwr3knffjjsqad4pkbxxpk"/>
        <s v="f3rntee4u5p1loykk13f3rntaz4uvi5o"/>
        <s v="rjgg16bpsdsikwbyzujrjgg16fl5a78i"/>
        <s v="9klung0lne587yd9kl3vapvp1augp8fc"/>
        <s v="wrf0abdh9jrflmncwrf0w8qoep6ss5zx"/>
        <s v="mux92ookmpqh4kmb7lumuxrp8zhv81nv"/>
        <s v="a9v8z54wdxrl1authma3za9v8z5ul4tb"/>
        <s v="4l1ei512sx3vn3b04l1ei2pvmtt40yfc"/>
        <s v="k4t0h5s7u89903sfl3lnld1k4t0h5asr"/>
        <s v="gw2vlop5egq0gl2gw2vqkafcyxbep3xz"/>
        <s v="palrxykyg5q5b4palrxqldhe4ru9l6z8"/>
        <s v="z0elp1lzew8yzjw41piwcuz0elp1lbg1"/>
        <s v="5vgfpa8lzvjnvw4vhp9u5vgfpaa8ieq7"/>
        <s v="6pu81a92y2fj9vo92xq6pu81bcj4b0ek"/>
        <s v="54db48r4wc64luj8aczuoh854db48m0v"/>
        <s v="jqegbro2h78849xfojqeikpjuc36m6dv"/>
        <s v="csbdd6hckapdcl7bld9csbdd6mvr8dwy"/>
        <s v="wv8a3x4mg1z23drjjdhzwv8a3x4lo0yz"/>
        <s v="2l34dinw0zyww64k2lxnabttopm1qozf"/>
        <s v="2tmonqztu29gffb49s5k2tmonqy4cl8b"/>
        <s v="t9wcdfbqden3igtlp88cst9wcdfba296"/>
        <s v="7mxy0cthh46h88d7mx7eczmzv4v4g5fa"/>
        <s v="isc38fvibu88wg9zdzly0892isc38fvi"/>
        <s v="usxgosyi70jmy2bzuwkwusxgov1zyc7q"/>
        <s v="jzz1mzpcosszp1ljzzy8d2sesqj7oni2"/>
        <s v="yfeqbz25sbr166n3jdh7yfeqbz2f0a6h"/>
        <s v="3ztr7sav1m8ttrwwwiic3ztr04wsloks"/>
        <s v="69hu02xzzawp3vyzt352m69hu0niaifw"/>
        <s v="gbnycfx332dqbaywsx83gbnycfxojpg9"/>
        <s v="obvo0pumxhxb5jotsobvo0pbhkqv8ecl"/>
        <s v="94k6b4uh7x9fkmsj94k6b6stgsyz9rg6"/>
        <s v="4nhr33fz2dvibkj5u4nh3y57c6x23r86"/>
        <s v="cbblcwdu94pum2m0vucbblce4izvs8t2"/>
        <s v="vuvgrfyvuo3etlj665vuvgr167d47d1n"/>
        <s v="xefqy4nf1svfaytxefqdgffj4gp23t4z"/>
        <s v="gb98zk0vliwq7oca3nltkgb98zk0w8yk"/>
        <s v="fokoafi5mb3dsk89afokoafidj4okik5"/>
        <s v="zm1p97mcjeleahad26zm1p959nscm0qq"/>
        <s v="dojxodpo21exzluaduvkdojxod8dsl68"/>
        <s v="y2oamhw07uxq613a68y2oamhwy5l1elx"/>
        <s v="pn2a1o3y9plm4ipn2vp8xeybaspk426s"/>
        <s v="wqvab3dn3fi3qqy86wqvab3dgajdafmi"/>
        <s v="hf9m5dxtfd7d1c8wy2zzehf9m5d3rrjj"/>
        <s v="3ssmjfzpq6jro3ssco9ifmui1lkr4zdn"/>
        <s v="opun7mwmieamop8fzyc07239hnuknssa"/>
        <s v="s98qioy08wuw952aly513s98qio1kj4t"/>
        <s v="e8sr7n7143zzm95qj64e4ov0e8sr7nbf"/>
        <s v="nb6o8eeaub7u9ziis7fsnb6o8eea1d3x"/>
        <s v="yxcdk6dholh0c5hjyxcdkswhkulwr89y"/>
        <s v="jpt6geotzvv7cqq0fhxjpt6g0zoezl74"/>
        <s v="cedevpnlv6xyhs5240yv3cedev0w90uo"/>
        <s v="kbv9tudf2sxo083ecxvc2g1kbv9thm5d"/>
        <s v="1uto0bw1qmink6p1uto0uxjeoxv0hexu"/>
        <s v="rxyq0nreja1jx83ieti6rxyq9rlhurpq"/>
        <s v="y1y51n1nbvvfy6niky1y5lbkj2jg866n"/>
        <s v="lfrm5hjiznnx64lfrmr4qbmdj6dxvyr1"/>
        <s v="wjwkc2xz2abgallvft0ymqwjwkc2x39q"/>
        <s v="7i77ctv0megssygxe1e01po7i77ctvj3"/>
        <s v="qh1dakqaois47likqmaqh1dakqvbcire"/>
        <s v="g976kp9szy8chgx7u4i8g976kpriiupa"/>
        <s v="g8qhg4s2gdae4r9zr9yr4g8qhgaeg2cj"/>
        <s v="4m5b4n1gp7ucasb34m58ady5244bwlfx"/>
        <s v="74n76myuawg2gqd74n76b2ajxckm135s"/>
        <s v="22mz5btw4ffsdjj22mi8d145xnd9g4h1"/>
        <s v="stxnhrb2tka6s2dlbstxo0orie8w4uet"/>
        <s v="evvv07donq7wwel7evvv0pb3uhzqkwo8"/>
        <s v="j189crkoe6tq5lggj189qpce03m1jm9x"/>
        <s v="g0nbk48yb70jgibh4zagg0nbk0ip7e3o"/>
        <s v="z3s4ib2elq541tbwz3ss6q8qoqt9ytym"/>
        <s v="4uv0czqv2mh4l4uv0cuf7xjwz3sfxejt"/>
        <s v="82lu7oyatyq2rm82awytr282lu7oyxsq"/>
        <s v="e6gxl7l6j4j1el9e6gxl7qqbllhsxh6j"/>
        <s v="6mw4ij90z4sykdw2bc96mw4iat4dnzgh"/>
        <s v="nok0gllc9zf7h1m7ibjnok0hpc2u7h9a"/>
        <s v="kqkh3tbh1g2n582fx5n9tgwkqkh3tb4o"/>
        <s v="9embtzwtu0uhyg5m6npf39embtzvs1zc"/>
        <s v="c4vkgwpimvm37v6lc4vkg69us11i81w9"/>
        <s v="8pm5f2xpugt58po0iifdouvf81p99dte"/>
        <s v="etssxxe9yfq0ox9bdzgetssp0zenri35"/>
        <s v="u5ql6rghp44nv7leu5ql6ftch7sjg5b2"/>
        <s v="k798nzxbfbkmwk798nzadlz32m1ggx5k"/>
        <s v="0hd2gimp0k4w8km4fbe5s0hd2gimylh1"/>
        <s v="c3nkiroiy0fa4doc3nkp9w7qspx4tnp9"/>
        <s v="kddp06y2qzdkznlgwcdmgkddp069znk9"/>
        <s v="6cmgle8lmu6cg5mcl37io6cmgle8w990"/>
        <s v="tsx7jxfbyok6z8bna4cptsx7j0utrr1r"/>
        <s v="liptqgc5fvgoe475p36mliptqgct3rca"/>
        <s v="v6t6tatfprz5cjvuiv6t6tat5755mt1d"/>
        <s v="botb99x4gnmhf3rensffwbotb99xkom9"/>
        <s v="mdcrzk5lk518c4b3a9mdcrzk94xxo3es"/>
        <s v="114mg71806bj5ssjpq114mg7em1ct470"/>
        <s v="xbt32p6tc2ox7wmpxbtxx4nfitxmgjc2"/>
        <s v="tuegeeyp5ky12mpnpnltuegeeynl7n0h"/>
        <s v="5g375dfi4iavnh9wje65g375be6oap9r"/>
        <s v="vbttdyu2gnt3fgbfvbw80bbhv36a1soe"/>
        <s v="ynm8a7syx2kvxv6mynmbwir244922br9"/>
        <s v="w510ffnihkjqlm5pbvfrw510ffpsx55b"/>
        <s v="eujskpkky9g25xeb4ibeujskpk2sx59s"/>
        <s v="z1gj6kajxzbkpu155m4k1fz1gj6q0div"/>
        <s v="whvyghv1u92puad93xwhvyghcfkr67u3"/>
        <s v="e8tmsbwln6j073i16e8tmsbmxslbzzx4"/>
        <s v="dhhn7upntu8uq59j6xldhhn74gvvk261"/>
        <s v="5eau7tvap7b8615guf5ea5uoof9h3yfy"/>
        <s v="dsj9pi7uznd2jzqmeawsdsj9pi7h3t0k"/>
        <s v="u7nlr7hn473ooijet09alu7nlr7zqmps"/>
        <s v="smndu7eorl21q3y4ns5smndu78845uan"/>
        <s v="d4cf74e76kiyelwd4cf7pakfc0r58jcc"/>
        <s v="5oyevkftwqyrcytp1rq5oyevkan3ymuk"/>
        <s v="7cow30si2hbgzdotifh37cow30slztuh"/>
        <s v="h00xzdu4ft0ysvmxrpzh00xzd8parv2c"/>
        <s v="rr0pxsbsuhvbmomvrr0pxiwih7v0bnew"/>
        <s v="3l5y3orkfeyyryyppym3l5y3kf3piiwp"/>
        <s v="mirurnrsrnwtbp016miru9cedjyqjcy5"/>
        <s v="lsb21t7s1kraq8g6ylsb21fayii0teaa"/>
        <s v="2x5evd5eddfr16mxsqv2h2x5evrbgsy9"/>
        <s v="alu61z135618l841xzuralu61z1j2gc1"/>
        <s v="eiu5hgubokgtnysugdeiu5hrip0umrxw"/>
        <s v="w2zqn22hp6bca7n1n040ww2zqn2iycap"/>
        <s v="ckf41ctf3do6z4ysexckf410n0i8h0hb"/>
        <s v="3mpgtua5ejcnr5rx3mpgtl72nlnu6sw3"/>
        <s v="7dbbjj6m1l7t9lye7dbbjgz8465npjkw"/>
        <s v="homf7z4cti92piyiqhomf7d7t7gw7ac9"/>
        <s v="vcwfbg84kk3yqnt121hvcwfbgwrks6h8"/>
        <s v="g6ru71g4my02g6ru03ap3087qi6t5y4g"/>
        <s v="kqr59alq2bedzvwkqr57qjhunuj3zosc"/>
        <s v="cxjxkn9a99in06afvcxjxknre61qnw6m"/>
        <s v="434m5ub8nwuuy5e8vl4x434mhaztunjf"/>
        <s v="2yoz6qa6qqrho7a2yc8jy72yoz6qkmhc"/>
        <s v="625l21tsfwgk9wmi0625l2mgzj1m9h0s"/>
        <s v="9tkfj2r4ulc6qbwo9tkfowetlhv8of2y"/>
        <s v="q90zs8l317uvwbdj4q90zs8vvjz3y9mi"/>
        <s v="15brinq60mj8hs4fd15brinq0x0kclr7"/>
        <s v="ezgy3dm4u4qcaz5pezgyylv0jhswcxsf"/>
        <s v="makp0qbfjvo95maybfriu4bprsalnqmd"/>
        <s v="v2ysf4s98xksagr25v2ysf5dfprw455l"/>
        <s v="fy6nepkoh21ppu6zfy6nejzh0qssjwru"/>
        <s v="2h2trrtbpryw6h2h2tnokvazpyzgjwtn"/>
        <s v="t27jkx5yrgb8q9hbt27jkjmfyuy3pzy9"/>
        <s v="e9ys59shkuhovt3slayze9ys599rq3tn"/>
        <s v="qeqg15j0u833xnmfxhepj9dh8qeqg155"/>
        <s v="g98nvve1hq5zpug98n8thzy6ppyl6tnj"/>
        <s v="0t80hb39vtv7wpnq72d9w0t80hlqgizw"/>
        <s v="rxi56jx9qyrc28h9pdrxi56jj3izcom1"/>
        <s v="0ul2xxcfuooood8eagwft0ul2xxcfmnx"/>
        <s v="lxt0blc1mu6b8iz3iarqdlxt0h206tsx"/>
        <s v="wqw3fttr6lkzhuxjmz396bwqw3fttrm9"/>
        <s v="2c5dnj55ugrys6les2c5dnadt8kh21nq"/>
        <s v="o5haht1w4z6hp0dp7ao5hahtvr15s2r1"/>
        <s v="p427k3xwgjdp9ze9dmsp427k3xwlnp24"/>
        <s v="uvewskdrrvrgpqzg7fyxauvewskgwh10"/>
        <s v="4w72vzpv15bfnoqvmmq4w72vqsa0ldkx"/>
        <s v="yae36rgif55pm0eydyae36r9nt2gb07q"/>
        <s v="8ens2ry6uun28e116mc6nh0j6fy9116i"/>
        <s v="uw86grbl1hq7s9myat0uw86ght922r5f"/>
        <s v="fatilkfnfc258cb70fl7ifatimwk0hnt"/>
        <s v="94grfyokfs4k6lu94grf8vb34e6t3q7n"/>
        <s v="wrbahc6s7wf0d8aftnlq1uwrba2m1erb"/>
        <s v="591v7m1ax3u1vgtlh591v79fguer5xqr"/>
        <s v="egbb4kbpfabq6labsdo4egbbo4pbrg0v"/>
        <s v="a7hpjdqbr2uguk72fukla7hpj9n572js"/>
        <s v="bxy00uz15dvg9ebxyg36uupb8p3ts0j4"/>
        <s v="ds8d96ju2e17m5aqlap8dds8d9rwh02d"/>
        <s v="vczwc8mejtnye83z0pvczwcykkh6rorx"/>
        <s v="b3wqwpu8erspdep0b3wqw35rp4hm3al8"/>
        <s v="ccq8pzlxzj4x7cwwccq82wlmvwmwwogn"/>
        <s v="gy40wje4ed2gyhx8rskwdb2lybq3hx8r"/>
        <s v="utmj9yc1i2lwlt8a5ttq2yutmj9yplwf"/>
        <s v="frxt4t7vspz2vg6u3m43aefrxt4ko2qb"/>
        <s v="h7b9ditpmq9uh7b9seilrcbzmcrwseil"/>
        <s v="qctfgy3l9evdpvtqctfm9emamphpf7i8"/>
        <s v="7fdr5ujodt9rp9w7fdr5mwe3bud0eeua"/>
        <s v="tqxrulrmwj1qsbadtqxrusilpv2lleb8"/>
        <s v="tyiohcdli6j7r992510kxpn3tyiohc8l"/>
        <s v="o59q8zsi9jifopulg8uo59q8zstia6ye"/>
        <s v="zi8x1ad5hdhro4r2w5zi8xhcq9hs8idk"/>
        <s v="gpkfvm08httjzb9wai3gpkfv1lzfpyhx"/>
        <s v="p4av81nth4y8h29iip4av834ws8oaaor"/>
        <s v="gyxv6fire93prhkgyx2uh5fy88kosstu"/>
        <s v="j5yjwgykefo1jikodfsxj5yjwgyk3a8l"/>
        <s v="wvrhron5gxtlowhtlg4izwvrhrq5bjfx"/>
        <s v="qj7c10cqct8j7duqj7cojaf0rof4gyty"/>
        <s v="4t82vsc6bv9f9tg14t82v1cx9q2lbgy5"/>
      </sharedItems>
    </cacheField>
    <cacheField name="Batch" numFmtId="0">
      <sharedItems containsSemiMixedTypes="0" containsString="0" containsNumber="1">
        <n v="1.0"/>
        <n v="2.0"/>
        <n v="3.0"/>
        <n v="2.1"/>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120" sheet="1.1. Batch 1 - 20260423 - 1945"/>
  </cacheSource>
  <cacheFields>
    <cacheField name="Họ và tên" numFmtId="0">
      <sharedItems>
        <s v="Đặng Nguyễn Duy Khanh"/>
        <s v="Phạm Ngọc Trí"/>
        <s v="Nguyễn Trọng Nghĩa"/>
        <s v="Đặng Thế An"/>
        <s v="Nguyễn Công Trung"/>
        <s v="Trần Đỗ Hoàng Tân"/>
        <s v="Nguyễn Minh Khôi"/>
        <s v="Nguyễn Mạnh Hoài Bảo"/>
        <s v="Nguyễn Đức Hoàng"/>
        <s v="Trần Quốc Đạt"/>
        <s v="Trần Quốc An"/>
        <s v="Phạm Minh Ngân"/>
        <s v="Võ Nguyễn Hưng"/>
        <s v="Trần Đông Khang"/>
        <s v="Trần Duy Hải Đăng"/>
        <s v="Nguyễn Phương Nam"/>
        <s v="Trịnh Võ Nam Kiệt"/>
        <s v="Ngô Trung Thiện"/>
        <s v="Trần Danh Vinh"/>
        <s v="Huỳnh Cao Tuấn Kiệt"/>
        <s v="Nguyễn Quốc Anh"/>
        <s v="Trần Phương Anh"/>
        <s v="Trần Lập Nhân"/>
        <s v="Tạ Ngọc  Minh"/>
        <s v="Dương Thế Khải"/>
        <s v="Đỗ Phú Duy"/>
        <s v="Lê Hữu Tài"/>
        <s v="Nguyễn Bình Minh Quân"/>
        <s v="Phan Đức Anh"/>
        <s v="Nguyễn Trương Trọng Hiếu"/>
        <s v="Nguyễn Khắc Kỳ"/>
        <s v="Phạm Thanh Phong"/>
        <s v="Nguyễn Thanh Hiền"/>
        <s v="VŨ TRƯỜNG HÙNG"/>
        <s v="Lê Đình Thiện"/>
        <s v="Trương Lê Thụy Vy"/>
        <s v="Nguyễn Anh Tường"/>
        <s v="Lưu Thượng Hồng"/>
        <s v="Đinh Thanh Tùng"/>
        <s v="Phạm Anh Huy"/>
        <s v="Trần Bảo Phúc"/>
        <s v="Trần Châu Phú"/>
        <s v="Lê Huỳnh Nhật Hưng"/>
        <s v="Bùi Trương Thái Sơn"/>
        <s v="Nguyễn Hoàng Vũ"/>
        <s v="Tăng Thị Vân"/>
        <s v="Hoàng Võ Ngọc Nguyên"/>
        <s v="Hoàng Đôn Thiện Hòa"/>
        <s v="Lê Hoàng Minh Huy"/>
        <s v="Trần Tường Vi"/>
        <s v="Ngô Quang Thắng"/>
        <s v="Trần Thị Cẩm Tú"/>
        <s v="Lê Thượng Đế"/>
        <s v="Nguyễn Duy Tâm"/>
        <s v="Nguyễn Thành Đạt"/>
        <s v="Hoàng Đình Ngọc Quang"/>
        <s v="Phạm Nam Huyên"/>
        <s v="Trần Thiện Thuật"/>
        <s v="Bùi Thị Thanh"/>
        <s v="Phan Thị Ngọc Linh"/>
        <s v="Trần Quang Anh Thuận"/>
        <s v="Nguyễn Lâm Nhã Uyên"/>
        <s v="Lê Thanh Hải"/>
        <s v="Trần Minh Tâm"/>
        <s v="TRƯƠNG QUANG HUY"/>
        <s v="Nguyễn Như Hoàng Tiến"/>
        <s v="Từ Thế Phong"/>
        <s v="Nguyễn Ngọc Anh Thư"/>
        <s v="Nguyễn Phúc Nhân"/>
        <s v="Nguyễn Tân Niên"/>
        <s v="Lê Quốc Đạt"/>
        <s v="Bùi Hữu Hoàng"/>
        <s v="Lê Quốc Anh"/>
        <s v="Hà Tuấn Anh"/>
        <s v="Nguyễn Hoàng Nhựt Minh"/>
        <s v="Nguyễn Đỗ Bảo"/>
        <s v="Lê Đức Ngọc Bảo"/>
        <s v="Trần Duy Anh Khoa"/>
        <s v="Trần Gia Bảo Anh"/>
        <s v="Nguyễn Thanh Owen"/>
        <s v="Phan Đình Thái"/>
        <s v="Nguyễn Hoàng Anh Tuấn"/>
        <s v="Nguyễn Hiếu Thuận"/>
        <s v="Trần Thanh Thảo"/>
        <s v="Nguyễn Hùng Phát"/>
        <s v="Nguyễn Đình Quân"/>
        <s v="Ngô Thế Đạt"/>
        <s v="Âu Gia Quốc"/>
        <s v="Ho Sy Kien"/>
        <s v="Nguyễn Trọng Tín"/>
        <s v="Dương Gia Huy"/>
        <s v="Tô Duy Hào"/>
        <s v="Trần Thiên Phúc"/>
        <s v="Nguyễn Hoàng Quân"/>
        <s v="Nguyễn Lê Sơn"/>
        <s v="Nguyễn Bích Khuê"/>
        <s v="Nguyễn Thành Khang"/>
        <s v="Trương Bình Ba"/>
        <s v="Nguyễn Tấn Lộc"/>
        <s v="Nguyễn Vũ Tường Vy"/>
        <s v="Trần Thị Minh Vi"/>
        <s v="Nguyễn Minh Trí"/>
        <s v="Mai Xuân Hưng"/>
        <s v="Dương Khánh Nguyên"/>
        <s v="Võ Nguyễn Thảo Uyên"/>
        <s v="Võ Ngọc Duy"/>
        <s v="Trần Khôn Chí"/>
        <s v="Võ Thanh Trọng"/>
        <s v="Nguyễn Trần Phúc Đạt"/>
        <s v="Dương Văn Thắng"/>
        <s v="Trương Trí Khải"/>
        <s v="Đào Thiên Phú"/>
        <s v="THÁI HỮU THỌ"/>
        <s v="Huỳnh Tuấn Phong"/>
        <s v="Trầm Hữu Nhân"/>
        <s v="Đỗ Nhật Hạ"/>
        <s v="Trương Việt Hoàng"/>
        <s v="Ngô Gia Thịnh"/>
      </sharedItems>
    </cacheField>
    <cacheField name="Ngày sinh" numFmtId="165">
      <sharedItems containsSemiMixedTypes="0" containsDate="1" containsString="0">
        <d v="2005-02-04T00:00:00Z"/>
        <d v="2004-03-12T00:00:00Z"/>
        <d v="2003-03-06T00:00:00Z"/>
        <d v="2004-07-30T00:00:00Z"/>
        <d v="2004-07-16T00:00:00Z"/>
        <d v="2006-08-02T00:00:00Z"/>
        <d v="2003-07-24T00:00:00Z"/>
        <d v="2006-03-23T00:00:00Z"/>
        <d v="2000-07-26T00:00:00Z"/>
        <d v="2000-08-27T00:00:00Z"/>
        <d v="2003-10-21T00:00:00Z"/>
        <d v="2005-02-28T00:00:00Z"/>
        <d v="1996-04-10T00:00:00Z"/>
        <d v="2000-10-16T00:00:00Z"/>
        <d v="2005-01-02T00:00:00Z"/>
        <d v="2005-02-14T00:00:00Z"/>
        <d v="2006-02-04T00:00:00Z"/>
        <d v="2003-12-21T00:00:00Z"/>
        <d v="2004-10-16T00:00:00Z"/>
        <d v="2004-03-24T00:00:00Z"/>
        <d v="2003-06-05T00:00:00Z"/>
        <d v="2003-10-19T00:00:00Z"/>
        <d v="2003-01-06T00:00:00Z"/>
        <d v="2002-01-04T00:00:00Z"/>
        <d v="2003-11-11T00:00:00Z"/>
        <d v="2003-07-13T00:00:00Z"/>
        <d v="2003-10-23T00:00:00Z"/>
        <d v="2004-11-28T00:00:00Z"/>
        <d v="2005-03-08T00:00:00Z"/>
        <d v="2004-10-05T00:00:00Z"/>
        <d v="2003-07-09T00:00:00Z"/>
        <d v="2003-03-27T00:00:00Z"/>
        <d v="2004-08-16T00:00:00Z"/>
        <d v="2005-08-07T00:00:00Z"/>
        <d v="2003-09-27T00:00:00Z"/>
        <d v="2003-11-03T00:00:00Z"/>
        <d v="2004-09-06T00:00:00Z"/>
        <d v="2005-12-03T00:00:00Z"/>
        <d v="2003-02-05T00:00:00Z"/>
        <d v="2003-02-18T00:00:00Z"/>
        <d v="2004-03-22T00:00:00Z"/>
        <d v="2004-07-05T00:00:00Z"/>
        <d v="2005-05-13T00:00:00Z"/>
        <d v="2004-09-03T00:00:00Z"/>
        <d v="2004-10-13T00:00:00Z"/>
        <d v="2003-08-17T00:00:00Z"/>
        <d v="2005-03-16T00:00:00Z"/>
        <d v="2005-01-31T00:00:00Z"/>
        <d v="2005-09-05T00:00:00Z"/>
        <d v="2005-11-18T00:00:00Z"/>
        <d v="2005-08-26T00:00:00Z"/>
        <d v="2005-06-29T00:00:00Z"/>
        <d v="2004-04-20T00:00:00Z"/>
        <d v="2003-01-30T00:00:00Z"/>
        <d v="2002-12-01T00:00:00Z"/>
        <d v="2005-10-29T00:00:00Z"/>
        <d v="2001-11-17T00:00:00Z"/>
        <d v="2002-03-30T00:00:00Z"/>
        <d v="2004-07-18T00:00:00Z"/>
        <d v="2003-09-02T00:00:00Z"/>
        <d v="2004-04-15T00:00:00Z"/>
        <d v="2005-07-17T00:00:00Z"/>
        <d v="2001-04-03T00:00:00Z"/>
        <d v="2005-03-12T00:00:00Z"/>
        <d v="2004-04-09T00:00:00Z"/>
        <d v="2005-04-03T00:00:00Z"/>
        <d v="2004-12-06T00:00:00Z"/>
        <d v="2005-09-28T00:00:00Z"/>
        <d v="2003-02-07T00:00:00Z"/>
        <d v="2003-10-22T00:00:00Z"/>
        <d v="2003-05-01T00:00:00Z"/>
        <d v="2005-01-17T00:00:00Z"/>
        <d v="2005-10-17T00:00:00Z"/>
        <d v="2005-03-31T00:00:00Z"/>
        <d v="2005-05-14T00:00:00Z"/>
        <d v="2005-01-14T00:00:00Z"/>
        <d v="2005-09-07T00:00:00Z"/>
        <d v="2005-01-01T00:00:00Z"/>
        <d v="2003-01-02T00:00:00Z"/>
        <d v="2002-07-05T00:00:00Z"/>
        <d v="2005-10-31T00:00:00Z"/>
        <d v="2004-11-12T00:00:00Z"/>
        <d v="2004-08-09T00:00:00Z"/>
        <d v="2004-01-31T00:00:00Z"/>
        <d v="2005-07-14T00:00:00Z"/>
        <d v="2005-08-17T00:00:00Z"/>
        <d v="2003-06-02T00:00:00Z"/>
        <d v="2005-06-07T00:00:00Z"/>
        <d v="2005-06-06T00:00:00Z"/>
        <d v="2004-05-25T00:00:00Z"/>
        <d v="2003-08-15T00:00:00Z"/>
        <d v="2004-04-27T00:00:00Z"/>
        <d v="2002-03-01T00:00:00Z"/>
        <d v="2003-03-02T00:00:00Z"/>
        <d v="2005-03-20T00:00:00Z"/>
        <d v="2004-06-18T00:00:00Z"/>
        <d v="2005-01-21T00:00:00Z"/>
        <d v="2003-09-24T00:00:00Z"/>
        <d v="2004-12-11T00:00:00Z"/>
        <d v="2005-10-25T00:00:00Z"/>
        <d v="2005-04-13T00:00:00Z"/>
        <d v="2004-11-15T00:00:00Z"/>
        <d v="2005-01-22T00:00:00Z"/>
        <d v="2004-01-15T00:00:00Z"/>
        <d v="2005-05-06T00:00:00Z"/>
        <d v="2003-09-10T00:00:00Z"/>
        <d v="2004-02-14T00:00:00Z"/>
        <d v="2005-01-24T00:00:00Z"/>
        <d v="2001-11-20T00:00:00Z"/>
        <d v="2004-12-14T00:00:00Z"/>
        <d v="2005-03-14T00:00:00Z"/>
        <d v="2005-04-26T00:00:00Z"/>
        <d v="2005-06-04T00:00:00Z"/>
        <d v="2004-01-14T00:00:00Z"/>
        <d v="2006-08-31T00:00:00Z"/>
      </sharedItems>
    </cacheField>
    <cacheField name="Email" numFmtId="0">
      <sharedItems>
        <s v="dangnguyenduykhanh42@gmail.com"/>
        <s v="phamtri1232004@gmail.com"/>
        <s v="nguyentrongnghia2003@gmail.com"/>
        <s v="thean0704@gmail.com"/>
        <s v="nguyencongtrung13@gmail.com"/>
        <s v="tantran282006@gmail.com"/>
        <s v="khoinmdev1@gmail.com"/>
        <s v="hoaibao200611423@gmail.com"/>
        <s v="hoangndgcs18383@gmail.com"/>
        <s v="dat723457@gmail.com"/>
        <s v="tranquocan2102003@gmail.com"/>
        <s v="minhnganpham2005@gmail.com"/>
        <s v="vonguyenhung96@gmail.com"/>
        <s v="trandongkhang2000@gmail.com"/>
        <s v="trandang200521@gmail.com"/>
        <s v="phuongnammm142@gmail.com"/>
        <s v="kiettrinh4206@gmail.com"/>
        <s v="Thienngo21122003@gmail.com"/>
        <s v="danhvinh1610@gmail.com"/>
        <s v="hctuankiet243@gmail.com"/>
        <s v="quocanhnguyen874@gmail.com"/>
        <s v="trph.anhne@gmail.com"/>
        <s v="tranlapnhan412@gmail.com"/>
        <s v="tangocminh2002@gmail.com"/>
        <s v="khaiduong11112003@gmail.com"/>
        <s v="duyynhdo13@gmail.com"/>
        <s v="huutaile.work@gmail.com"/>
        <s v="quannguyen3122811@gmail.com"/>
        <s v="ducanhphan835@gmail.com"/>
        <s v="tronghieutruong5102004@gmail.com"/>
        <s v="nguyenkhacky625@gmail.com"/>
        <s v="pphong0907@gmail.com"/>
        <s v="nguyen1608thien@gmail.com"/>
        <s v="vhung9955@gmail.com"/>
        <s v="Ledinhthien3344@gmail.com"/>
        <s v="truongvy.03112004@gmail.com"/>
        <s v="anh.tuong.dev@gmail.com"/>
        <s v="luuthuonghong@gmail.com"/>
        <s v="dinhthanhtung0312@gmail.com"/>
        <s v="anh.huy.5203@gmail.com"/>
        <s v="baophuc.itds.hcmiu@gmail.com"/>
        <s v="phutc04@gmail.com"/>
        <s v="lhnhung2505@gmail.com"/>
        <s v="thaisoncbq@gmail.com"/>
        <s v="vulocninh1@gmail.com"/>
        <s v="vantang1310@gmail.com"/>
        <s v="nh027471@gmail.com"/>
        <s v="hoangdonthienhoa@gmail.com"/>
        <s v="minhhuy31012005@gmail.com"/>
        <s v="trantuongvi595@gmail.com"/>
        <s v="quangthangngo181@gmail.com"/>
        <s v="camtutran2608@gmail.com"/>
        <s v="lethuongde290605@gmail.com"/>
        <s v="ndtam04@gmail.com"/>
        <s v="dat798239@gmail.com"/>
        <s v="quanghoang112@gmail.com"/>
        <s v="itsmenamhuyen@gmail.com"/>
        <s v="tranthienthuat981@gmail.com"/>
        <s v="buithithanh3322@gmail.com"/>
        <s v="ngoclinhpt.work@gmail.com"/>
        <s v="tranquanganhthuan@gmail.com"/>
        <s v="nhauyenkg05@gmail.com"/>
        <s v="lethanhhai177@gmail.com"/>
        <s v="tmtam2001@gmail.com"/>
        <s v="qnnghi120305@gmail.com"/>
        <s v="hoangtien94huee@gmail.com"/>
        <s v="tuthephong4629@gmail.com"/>
        <s v="ngocanhthugialai@gmail.com"/>
        <s v="nhan.nguyen2005phuyen@hcmut.edu.vn"/>
        <s v="nguyentnien7203@gmail.com"/>
        <s v="lequocdat221003@gmail.com"/>
        <s v="huuhoang2o22vn@gmail.com"/>
        <s v="anhle1712005@gmail.com"/>
        <s v="tuananhha1710@gmail.com"/>
        <s v="hnim3107@gmail.com"/>
        <s v="nguyendobao.hcm@gmail.com"/>
        <s v="himagito@gmail.com"/>
        <s v="tdakhoa14012005@gmail.com"/>
        <s v="baoanhtrangia2005@gmail.com"/>
        <s v="thanhowen2005@gmail.com"/>
        <s v="phandinhthai012@gmail.com"/>
        <s v="hoanganhtuan050702@gmail.com"/>
        <s v="thuanhieu72@gmail.com"/>
        <s v="ttthaor2312@gmail.com"/>
        <s v="nhphat9824@gmail.com"/>
        <s v="quannguyendinh.221204@gmail.com"/>
        <s v="thedatngo@gmail.com"/>
        <s v="kouhaiku.dot@gmail.com"/>
        <s v="kienforwork0206@gmail.com"/>
        <s v="nguyentrongtin2807@gmail.com"/>
        <s v="dghuy6625@gmail.com"/>
        <s v="haoduy0525@gmail.com"/>
        <s v="tranthienphuck81@gmail.com"/>
        <s v="work.nguyenquan@gmail.com"/>
        <s v="nguyenleson666@gmail.com"/>
        <s v="nguyenbichkhue2323@gmail.com"/>
        <s v="thanhkhang346@gmail.com"/>
        <s v="binh66522@gmail.com"/>
        <s v="ntloc210105@gmail.com"/>
        <s v="nguyenvutuongvy7@gmail.com"/>
        <s v="ttmv1112@gmail.com"/>
        <s v="tri21723@gmail.com"/>
        <s v="xmaihung13@gmail.com"/>
        <s v="nd2004lk13@gmail.com"/>
        <s v="vonguyenthaouyen2201@gmail.com"/>
        <s v="vndnetwork@gmail.com"/>
        <s v="chitrankhon@gmail.com"/>
        <s v="votrong1471@gmail.com"/>
        <s v="Phucdat2005@gmail.com"/>
        <s v="dthangcopy@gmail.com"/>
        <s v="truongkhai603@gmail.com"/>
        <s v="phuthiendao.11@gmail.com"/>
        <s v="huutho1412ak@gmail.com"/>
        <s v="tuanphongwithau@gmail.com"/>
        <s v="huunhan2005@gmail.com"/>
        <s v="donhatha314314@gmail.com"/>
        <s v="hoangtruong04.works@gmail.com"/>
        <s v="ngogiathinh1@gmail.com"/>
      </sharedItems>
    </cacheField>
    <cacheField name="SĐT" numFmtId="0">
      <sharedItems>
        <s v="+84949263705"/>
        <s v="+84799874428"/>
        <s v="+84903673621"/>
        <s v="+84344157918"/>
        <s v="+84966421165"/>
        <s v="+84332422436"/>
        <s v="+84987929502"/>
        <s v="+84379317150"/>
        <s v="+84965280940"/>
        <s v="+84329343938"/>
        <s v="+84867579810"/>
        <s v="+84347791808"/>
        <s v="+84779883368"/>
        <s v="+84913372563"/>
        <s v="+84564216013"/>
        <s v="+84377168615"/>
        <s v="+84787571406"/>
        <s v="+84379399146"/>
        <s v="+84823538227"/>
        <s v="+84905171069"/>
        <s v="+84358246459"/>
        <s v="+84962819981"/>
        <s v="+84907940467"/>
        <s v="+84794587665"/>
        <s v="+84774628711"/>
        <s v="+84708537329"/>
        <s v="+84355215025"/>
        <s v="+84364673753"/>
        <s v="+84829726852"/>
        <s v="+84931465835"/>
        <s v="+84916740603"/>
        <s v="+84907024817"/>
        <s v="+84364360804"/>
        <s v="+84977257379"/>
        <s v="+84898082709"/>
        <s v="+84783613674"/>
        <s v="+84382891837"/>
        <s v="+84335560809"/>
        <s v="+84904599204"/>
        <s v="+84989249973"/>
        <s v="+84846866299"/>
        <s v="+84961867854"/>
        <s v="+84986280644"/>
        <s v="+84902860127"/>
        <s v="+84386323603"/>
        <s v="+84373985445"/>
        <s v="+84333468370"/>
        <s v="+84914135861"/>
        <s v="+84938811069"/>
        <s v="+84943077944"/>
        <s v="+84786378421"/>
        <s v="+84328380797"/>
        <s v="+84978261707"/>
        <s v="+84369231746"/>
        <s v="+84338854386"/>
        <s v="+84819273442"/>
        <s v="+84823578106"/>
        <s v="+84941782510"/>
        <s v="+84365491057"/>
        <s v="+84374186907"/>
        <s v="+84942135864"/>
        <s v="+84706415459"/>
        <s v="+84935239709"/>
        <s v="+84903150934"/>
        <s v="+84965308445"/>
        <s v="+84707973847"/>
        <s v="+84365691421"/>
        <s v="+84905002438"/>
        <s v="+84816283456"/>
        <s v="+84395016072"/>
        <s v="+84345727629"/>
        <s v="+84907454285"/>
        <s v="+84942557281"/>
        <s v="+84396498920"/>
        <s v="+84397799659"/>
        <s v="+84969597735"/>
        <s v="+84777608368"/>
        <s v="+84869570934"/>
        <s v="+84846157500"/>
        <s v="+84909626746"/>
        <s v="+84866952340"/>
        <s v="+84902797237"/>
        <s v="+84869250402"/>
        <s v="+84384056423"/>
        <s v="+84976427104"/>
        <s v="+84899545888"/>
        <s v="+84923104570"/>
        <s v="+84357640598"/>
        <s v="+84349677343"/>
        <s v="+84913540803"/>
        <s v="+84838438053"/>
        <s v="+84848012384"/>
        <s v="+84918393101"/>
        <s v="+84941149777"/>
        <s v="+84898471302"/>
        <s v="+84932557323"/>
        <s v="+84923250852"/>
        <s v="+84353372428"/>
        <s v="+84914805849"/>
        <s v="+84987002527"/>
        <s v="+84796514476"/>
        <s v="+84924165845"/>
        <s v="+84943052453"/>
        <s v="+84799722822"/>
        <s v="+84364712980"/>
        <s v="+84399517566"/>
        <s v="+84825568788"/>
        <s v="+84375030373"/>
        <s v="+84919492020"/>
        <s v="+84967660861"/>
        <s v="+84919381229"/>
        <s v="+84326528294"/>
        <s v="+84339432608"/>
        <s v="+84378099887"/>
        <s v="+84559517421"/>
        <s v="+84918245973"/>
        <s v="+84347108123"/>
        <s v="+84879530458"/>
      </sharedItems>
    </cacheField>
    <cacheField name="Nguyện vọng 1" numFmtId="0">
      <sharedItems>
        <s v="Unity Development Intern"/>
        <s v="Data Analysis Intern"/>
        <s v="Game Design Intern"/>
        <s v="Game Quality Assurance Intern"/>
        <s v="AI Engineering Intern"/>
        <s v="Human Resources Intern"/>
        <s v="Game User Acquisition Intern"/>
      </sharedItems>
    </cacheField>
    <cacheField name="Nguyện vọng 2" numFmtId="0">
      <sharedItems containsBlank="1">
        <s v="AI Engineering Intern"/>
        <s v="Game Design Intern"/>
        <s v="Unity Development Intern"/>
        <s v="Game Quality Assurance Intern"/>
        <m/>
        <s v="Data Analysis Intern"/>
        <s v="Game User Acquisition Intern"/>
        <s v="Human Resources Intern"/>
      </sharedItems>
    </cacheField>
    <cacheField name="Lý do ứng tuyển vị trí" numFmtId="0">
      <sharedItems>
        <s v="tham gia đào tạo nâng cấp bản thân học hỏi thêm và cải thiện tư duy"/>
        <s v="I’m motivated to apply for the Data Analysis Intern because it offers the chance to work with player data in a fast-paced environment where data reflects real user behavior. With my background in data pipelines and analytics, I want to deepen my ability t"/>
        <s v="Là những vị trí tạo ứng tượng lớn đối với mình"/>
        <s v="Mình chọn vị trí này vì cảm nhận được sự trẻ trung và máu lửa trong văn hóa của SUN.STUDIO. Mình tin là ở một môi trường cởi mở như vậy, những ý tưởng của mình sẽ có 'đất diễn' và mình cũng sẽ học hỏi được rất nhiều từ những cộng sự siêu ngầu tại đây."/>
        <s v="Em đam mê tạo ra những con game mang lại trải nghiệm thú vị cho người chơi. Đặc biệt em thích tạo ra những con game có độ tùy biến, tính bất ngờ cao và công bằng."/>
        <s v="Mong muốn kiếm thêm kinh nghiệm và học hỏi thêm nhiều kiến thức về chuyên nghành"/>
        <s v="Em đã tìm hiểu về SUN Studio và thực sự ấn tượng với các trò  chơi Puzzle nhanh và nhẹ nhàng . Với mong muốn phát triển chuyên sâu trong mảng Game Design, em luôn cố gắng xây dựng tư duy thiết kế thực dụng. Cụ thể, qua các dự án tự phát triển , em không c"/>
        <s v="Em khá thích và muốn được phát triển củng như học hỏi cùng với SUN"/>
        <s v="tôi là một game developer nhưng muốn có kinh nghiệm thực tế trong việc làm core-loop của gamepla"/>
        <s v="Mình mong muốn trải nghiệm và test sản phẩm,góp ý cải thiện và hoàn thiện sản phẩm tối đa hóa trò chơi tốt nhất trước khi đến tay khách hàng. &#10;Mặc dù kinh nghiệm chưa nhiều, nhưng mình muốn học hỏi phát triển thêm và đồng hành cùng với Sun phát triển mạnh"/>
        <s v="Em nhận thấy định hướng phát triển của SUN.RISER rất phù hợp với tư duy thiết kế và dòng game em đang theo đuổi. Đây là môi trường lý tưởng để em đóng góp góc nhìn mới mẻ và rèn luyện kỹ năng thiết kế hệ thống một cách bài bản."/>
        <s v="I applied for this role because I have a strong passion for turning raw data into meaningful insights. With my background in Information Systems and proficiency in tools like SQL and Python, I enjoy the challenge of solving business problems through numbe"/>
        <s v="I've spent 20+ years playing all kinds of games and studied Game Development — but I know theory isn't enough. This internship is the chance to learn how game design truly works in practice, and I'm here to grow."/>
        <s v="Điều khiến mình lựa chọn công ty cho vị trí Game Designer đó là được làm việc trong môi trường chuyên nghiệp, vừa được học hỏi và áp dụng được kỹ năng của mình vào công việc và giúp ích cho công ty. Tôi có kinh nghiệm thiết kế các hệ thống và thiết kế mec"/>
        <s v="lộ trình và quyền lời rõ ràng"/>
        <s v="Là sinh viên năm 3 với nền tảng kiến thức vững chắc qua nhiều dự án học thuật, tôi đang tìm kiếm cơ hội để thử thách bản thân trong môi trường thực tế chuyên nghiệp. SUN.RISER không chỉ là một công ty hàng đầu trong lĩnh vực làm game - đam mê lớn nhất của"/>
        <s v="I love AI and Machine Learning so I apply for this position for more knowledge and seeking for an opportunity to become an official AI Engineer."/>
        <s v="I’m motivated by the opportunity to grow my skills in a dynamic environment and contribute to meaningful projects. I also believe this position at SUN.RISER aligns well with my career goals and interests in developing impactful solutions."/>
        <s v="I am highly motivated to apply for the SUN.RISER program because it offers a unique opportunity to directly participate in the real game development process and collaborate with cross-functional teams such as developers, designers, and data analysts. This"/>
        <s v="Gain more experience"/>
        <s v="I want to expand my knowledge and improve my skills in the IT field"/>
        <s v="Với một sinh viên năm cuối chuyên ngành Digital Art &amp; Design, em khao khát được học hỏi quy trình thiết kế chuyên nghiệp tại SUN.RISER từ bước lên ý tưởng (concept) đến khi tối ưu hóa trải nghiệm người chơi (UX). Em mong muốn đóng góp tư duy thẩm mỹ và kỹ"/>
        <s v="Em là 1 người rất thích chơi game, đặc biệt các dòng game puzzle mỗi khi có thời gian rảnh. Tình cờ em lại thấy công ty Sun Studio tuyển dụng và cũng là công ty làm những game em hay chơi. Nên em muốn được thử sức apply và có thể học hỏi và đóng góp cho c"/>
        <s v="Em có sở thích chơi game và gần đây sau khi chơi một tựa game  của nước mình là Tai Ương.Em cũng mới bắt đầu có mong muốn có thể làm ra được một tựa game như Tai Ương theo em cảm thấy là rất hay có chiều sâu và mang phong cách rất Việt Nam."/>
        <s v="Được tham gia quá trình sáng tạo, xây dựng và phát triển tựa Game tốt nhất cho Gamer"/>
        <s v="As a Data Science graduate, I possess the solid analytical foundation and technical skills required to excel in this role. I chose this position because it allows me to combine my academic background with my deep passion for gaming to transform data into "/>
        <s v="I chose the Data Analysis Intern position at SUN.RISER because it offers an opportunity to combine my data analysis skills (SQL, Python, Power BI) with the gaming industry. Additionally, I want to work in a real-world environment where I can learn how to "/>
        <s v="This position aligns with my career direction, so I’ve been actively improving my skills through additional learning. I completed certificates in data analytics and data science to strengthen my foundation in data and AI, and I’m eager to apply what I’ve "/>
        <s v="Được ứng dụng AI vào quy trình làm việc, giúp tăng tốc độ sản xuất và cải thiện chất lượng game, tham gia vào quy trình sử dụng AI trong real-world system."/>
        <s v="Em muốn thiết kế những gameplay thú vị, thu hút người chơi."/>
        <s v="Tôi chọn vị trí này vì tôi muốn hiện thực hóa những ý tưởng thú vị thành gameplay cụ thể, đặc biệt trong thiết kế level và progression để tạo trải nghiệm hấp dẫn cho người chơi. &#10;Tôi mong muốn được phát triển tại Sun Studio trong mảng Puzzle/Casual và đón"/>
        <s v="primary motivation is the opportunity to apply my programming skills and OOP principles within the Unity environment. As a Software Engineering graduate, I am passionate about solving complex logical challenges and optimizing performance. I want to contri"/>
        <s v="Hy vọng được làm việc trong môi trường chuyên nghiệp."/>
        <s v="Năm 2024, khi tìm hiểu về phát triển game 2D, em bắt đầu hứng thú với việc xây dựng game từ ý tưởng đến sản phẩm hoàn chỉnh. Em cũng quan tâm đến thiết kế gameplay và trải nghiệm người chơi, nên mong muốn phát triển lâu dài trong game design và game devel"/>
        <s v="Em có nền tảng web, nhưng sau khi có cơ hội tiếp cận Unity và làm một số project cả outsource và product, em nhận ra mình phù hợp với game dev hơn. Em thích xây dựng gameplay và chỉnh mechanic. Hiện tại em muốn theo hướng này lâu dài, nên apply vị trí int"/>
        <s v="Tôi có điểm mạnh về minh hoạ và muốn đóng góp các kiến thức về trò chơi và cùng mọi người có được trải nghiệm tốt về Game, vì tôi cũng có tâm lý chơi game như người dùng"/>
        <s v="Tôi chọn vị trí này vì phù hợp với sở thích và định hướng phát triển nghề nghiệp của tôi. Tôi mong muốn học hỏi và tích lũy kinh nghiệm để trong tương lai có thể xây dựng những sản phẩm game mang dấu ấn và câu chuyện của riêng mình."/>
        <s v="Em chọn vị trí AI Engineer tại SUN.RISER vì đây là lĩnh vực em đang theo đuổi nghiêm túc. Bên cạnh đó, em có niềm đam mê lâu dài với game, nên em rất hào hứng với cơ hội được làm việc và đóng góp tại SUN.STUDIO."/>
        <s v="Cùng niềm đam mê với các thể loại game puzzle mình có mong muốn được hiểu sâu hơn về thể loại game này và thiết kế một tựa game puzzle với quy trình chuyên nghiệp và Sun Riser là một môi trường mà mình cảm thấy phù hợp để có thể phát triển lâu dài trong c"/>
        <s v="I want to grow as an AI Engineer and work on real-world AI systems. SUN.RISER’s practical focus fits my goals, and my background in AI allows me to contribute while learning."/>
        <s v="I’m motivated to apply for this position because it aligns well with my interest in AI engineering. I’m particularly drawn to the opportunity to work on real-world applications where AI can create measurable impact. I also see this role as a strong enviro"/>
        <s v="Dự định tương lai của em là muốn trở thành một AI Engineer chuyên về mảng Data và AI"/>
        <s v="I’m interested in SUN.RISER because of its focus on game development. I want to apply my AI skills to real products, especially in areas like player behavior or game features. I believe this role will help me gain practical experience and grow as an AI en"/>
        <s v="As a Data Science student with a strong background in Multimodal Research, I specialize in building scalable solutions that bridge the gap between advanced research and production. With expertise in LLMs, Computer Vision, and cloud infrastructure, I am ea"/>
        <s v="Em từng có kinh nghiệm làm data engineer nên data analyst sẽ là lĩnh vực gần nhất đối với kinh nghiệm của em"/>
        <s v="Em chọn vị trí Data Analyst Intern tại Sunrise vì phù hợp với định hướng nghề nghiệp của em trong lĩnh vực Data. Em muốn được áp dụng các kỹ năng như SQL, Python vào bài toán thực tế. Ngoài ra, em nghĩ môi trường công ty vừa sẽ giúp em học hỏi nhanh và có"/>
        <s v="Em có nền tảng lập trình TypeScript / C#, và gần đây em bắt đầu tìm hiểu về Unity vì tôi muốn mở rộng sang lĩnh vực game/interactive development. Thật ra em chưa có project Unity hoàn chỉnh, nhưng đó là lý do em apply vị trí intern — em muốn học trong môi"/>
        <s v="Em mong muốn được áp dụng những kiến thức mình đã học vào các dự án thực tế"/>
        <s v="I am motivated by the opportunity to merge my passion for gaming with my expertise in building agentic workflows to solve real-world operational bottlenecks through practical AI automation."/>
        <s v="Mình chọn SUN.RISER 2026 vì muốn chuyển hướng sang ngành Game – một môi trường năng động và đầy tính sáng tạo. Dù kinh nghiệm thực tập trước đây của mình là làm Tester cho một ứng dụng quản lý xưởng may, nhưng chính trải nghiệm đó đã giúp mình hiểu được c"/>
        <s v="I'm drawn to SUN.RISER's dynamic, open, and multinational work culture. I know the company values creativity and empowers its employees to take initiative. As an AI Engineering Intern, I am looking for a place with practical experiences and knowledge to d"/>
        <s v="Mong muốn thử sức tại một Studio game, có thể ứng dụng thế mạnh về AI và xử lý dữ liệu để giải quyết các bài toán tối ưu hóa trong game, học hỏi thêm về bài toán ứng dụng AI trong quy trình phát triển game"/>
        <s v="Em chọn vị trí AI Engineering Intern / Data Analysis Intern tại SUN.RISER vì em thấy hướng phát triển game rất thú vị. Em nghĩ những sản phẩm như vậy sẽ cần phân tích dữ liệu và tối ưu trải nghiệm người dùng rất nhiều, em muốn được áp dụng kiến thức khi h"/>
        <s v="Em mong muốn học tập và phát triển trong ngành lập trình game"/>
        <s v="Em chọn QA vì em phù hợp với công việc cần sự tỉ mỉ và logic. Em thích việc tìm lỗi và cải thiện chất lượng sản phẩm. Em nghĩ SUN.RISER là môi trường tốt để em học hỏi và phát triển kỹ năng QA một cách bài bản"/>
        <s v="Đam mê làm ra những con game để đời, hiện thực hóa ý tưởng của bản thân sau khi được trải nghiệm nhiều lại game khác nhau."/>
        <s v="I chose this company because: &#10;1. a clear, structured role description, aligning well with my interest in AI systems and workflow automation. &#10;2. the opportunity to work on practical AI applications that integrate with real-world business processes matche"/>
        <s v="I'm looking for job opportunities in the gaming industry. I want to create games for people."/>
        <s v="với đam mê ngành DA sau khi tốt nghiệp chưa tìm được nơi làm việc"/>
        <s v="Em chọn ứng tuyển vị trí Data Analysis Intern tại SUN.RISER vì em muốn được làm việc với dữ liệu thực tế. Em mong muốn mình có thể đóng góp những cái nhìn khách quan dựa trên dữ liệu thay vì chỉ dựa vào cảm tính."/>
        <s v="I chose SUN.RISER because it is the ideal environment to apply my solid IT background and Unity/C# skills to real-world projects. Despite having under a year of experience, I am confident in my programming foundation and eager to contribute directly to yo"/>
        <s v="My motivation stems from the desire to combine my technical expertise in Software Quality Assurance with the fast-paced gaming industry. I am eager to leverage my analytical thinking and fast-learning abilities to collaborate with SUN.STUDIO's team, tackl"/>
        <s v="Em chọn SUN.RISER vì có đam mê với ngành game và định hướng ứng dụng AI để giải quyết vấn đề tự động hóa trong thực tế. &#10;Đây là cơ hội để em học hỏi cách vận hành AI trong thực tế, đồng thời dùng nền tảng sẵn có để cùng team xây dựng các công cụ giúp tối "/>
        <s v="Mình muốn được học hỏi/đào tạo để trở thành một User Acquisition"/>
        <s v="I chose this position because it perfectly aligns with my interests in AI and data. I want to work on real-world problems, such as building RAG systems or AI agents, not just focusing on theory. Additionally, I find SUN.RISER to be an environment that all"/>
        <s v="Em chọn vị trí này tại SUN.RISER vì em mong muốn được làm việc trong một môi trường chuyên nghiệp, nơi em có thể phát triển cả kỹ năng chuyên môn lẫn kỹ năng mềm. Em đặc biệt hứng thú với những cơ hội được học hỏi từ dự án thực tế, làm việc cùng những anh"/>
        <s v="Em biết đến SUN STUDIO và chương trình SUN.RISER qua chương trình thực tập thực tế của trường HCMUS. Là 1 sinh viên có đam mê với AI và hiểu rõ tầm quan trọng của AI và Data, em luôn khao khát được tìm hiểu và được tận tay thực hiện những dự án thực tế, á"/>
        <s v="Vì em mong muốn được phát triển trong một môi trường làm việc thực tế, nơi dữ liệu được sử dụng để hỗ trợ ra quyết định và tạo ra giá trị cho doanh nghiệp. Dù chưa có nhiều kinh nghiệm thực tế, em có tinh thần học hỏi, chủ động và sẵn sàng tiếp cận các bà"/>
        <s v="Em muốn ứng dụng thế mạnh về AI và Dữ liệu để tối ưu hóa trải nghiệm người chơi. Quy mô lớn cùng môi trường năng động tại SUN.STUDIO chính là nơi lý tưởng để em thử thách bản thân và phát triển lâu dài."/>
        <s v="I’m interested in: data and the gaming industry. I enjoy working with data to find insights, solve problems, and support business decisions. SUN.RISER’s focus on games makes the role more exciting, because data can directly improve user experience and pro"/>
        <s v="Em chọn vị trí Data Analysis Intern vì phù hợp với nền tảng Data Science và định hướng nghề nghiệp của em. Em muốn sử dụng dữ liệu để tạo ra insight hỗ trợ quyết định sản phẩm, đặc biệt hứng thú với các bài toán phân tích hành vi người chơi trong game."/>
        <s v="Game design là vị trí lý tưởng cho một người thích sáng tạo yêu game nên em rất muốn được ứng tuyển vào vị trí Game design"/>
        <s v="Game và AI là hai đam mê không thể thiếu của em và vị trí AI Engineering Intern này sẽ giúp em khởi đầu đưa đam mê vào công việc của mình."/>
        <s v="Lý do lớn nhất khiến em chọn vị trí này tại SUN.RISER là vì em muốn học hỏi và thực hành cách đưa AI vào trong game. m muốn học cách ứng dụng các kỹ thuật như LLMs để xử lý hội thoại tự nhiên và Utility AI để NPC tự ra quyết định dựa trên môi trường. Em t"/>
        <s v="I am inspired to join SUN.RISER because of its focus on creating engaging and creative game experiences. I am motivated to contribute to real-world projects and apply my interest in game development. I am eager to learn from experienced developers and imp"/>
        <s v="Em cảm thấy công ty là nơi phù hợp để em đi những bước đầu tiên trong sự nghiệp của mình. Đồng thời, em cũng muốn đóng góp cho công ty nói riêng, và ngành game nói chung."/>
        <s v="Want to have an opportunity for an internship and gain more experience in game industry"/>
        <s v="Tôi chọn vị trí Unity Developer vì tôi có kiến thức sâu về lập trình hệ thống gameplay và kinh nghiệm phát triển game 2D/3D với nhiều dự án indie, biết áp dụng SOLID, Design Pattern cho dự án. Tôi tự tin rằng với năng lực kỹ thuật này, tôi có thể đóng góp"/>
        <s v="Với định hướng trở thành một Data Analyst/AI Engineer, em tin rằng mình có nền tảng phù hợp với các dự án của SUN.STUDIO:"/>
        <s v="Với xu hướng phát triển của AI ngày nay thì mình rất quan tâm về chủ đề ứng dụng AI trong các tác vụ hằng ngày. Với chương trình thực tập này của SUN.RISER, mình rất mong muốn được tham gia để học hỏi được các kinh nghiệm, quy trình làm việc thực tế cũng "/>
        <s v="Em muốn áp dụng AI vào tối ưu quy trình và tự động hóa công việc. Với nền tảng backend và kinh nghiệm tích hợp AI, em mong muốn phát triển thêm về AI workflow và system thinking tại SUN.RISER"/>
        <s v="Lý do khiến tôi chọn vị trí AI Engineering Intern tại SUN.RISER đó là vì đây là vị trí mà tôi cảm thấy những gì mình làm được, có thể đóng góp thực sự trong một môi trường hoàn toàn mới với bản thân tôi là ngành Game. Tôi không chỉ muốn áp dụng lại những "/>
        <s v="Tôi mong muốn được cùng đội ngũ của quý công ty làm ra những game thú vị, chất lượng cao cho người chơi. Và học tập thêm những kiến thức về lập trình game để hoàn thiện bản thân."/>
        <s v="Em muốn học hỏi thêm kinh nghiệm và nghiên cứu về ngành game."/>
        <s v="Tôi chọn vị trí AI Engineer Intern tại SUN.RISER vì chương trình phù hợp với định hướng theo đuổi AI ứng dụng của tôi. Tôi mong muốn được học hỏi trong môi trường có mentoring rõ ràng và tham gia vào các dự án thực tế. Đây là cơ hội tốt để tôi củng cố kỹ "/>
        <s v="My goal is to become an AI Engineer, and I am looking for hands-on experience through real-world projects. I am interested in SUN.RISER because it offers a practical environment to apply and develop my AI/ML skills."/>
        <s v="What motivates me is Sun.Studio's reputation for creating high-impact digital products. Specifically, the Sun.Riser program offers a professional environment where I can tackle the challenge of quality assurance for high-traffic web and mobile games."/>
        <s v="Em chọn vị trí UnityDeveloper vì em muốn tập trung phát triển kỹ năng lập trình game bằng C#. Em đã có trải nghiệm với Unity2D dù chỉ mới setting chạy nhảy cơ bản và mong muốn được vào môi trường làm việc thực tế để cải thiện kỹ năng. Em cũng thấy môi trư"/>
        <s v="I’m motivated to join Sun Studio because of its global-scale gaming products, where data directly drives user engagement, retention, and product decisions. I’m especially excited to apply my AI and data analysis background in a fast-paced, product-driven "/>
        <s v="Muốn tìm hiểu quy trình thiết kế ra một màn chơi ở công ty  nó diễn ra như thế nào, từ cách thức lên ý tưởng cho đến lúc thực hiện."/>
        <s v="Do em muốn biết được quy trình thiết kế game, cách tạo ra một con game hay, thu hút, giữ chân người chơi, tạo trải nghiệm hứng thú"/>
        <s v="Trước đó, tôi đã tự tìm tòi và phát triển Game bằng Unity. Do đó khi tìm thấy vị trí Unity Development Intern trong SUNRISER, tôi cảm thấy đây là cơ hội để bản thân mình phát triển và tìm hiểu thêm về quy trình làm việc chuyên nghiệp trong ngành công nghi"/>
        <s v="Với niềm thích thú game và sự tìm tòi về vị trí Game QA tôi mong muốn được học hỏi nắm rõ quy trình, đóng góp cho team và phát triển vị trí này hoặc có thể phát triển về hướng game developer do tôi cũng đa có kiến thức trong quá trình học. Nhận thấy Sun S"/>
        <s v="I chose this Game QA position at SUN.RISER because I’m passionate about games and enjoy finding bugs and improving user experience. I want to contribute to making games more stable and enjoyable"/>
        <s v="I am motivated to join the SUN.RISER program because it offers a structured environment to strengthen my skills in strategy and data-driven execution. I want to transition from hands-on experience to a more disciplined, performance-focused approach, while"/>
        <s v="Tôi muốn phát triển bản thân và thử sức với lĩnh vực game và lĩnh vực AI. Và công ty đang có những thứ trên để tôi có thể thực hiện."/>
        <s v="Llí do để tôi chọn vị trí này trong SUN.RIER là:&#10;- Tôi đam mê AI và muốn làm việc với những bài toán thực tế, muốn ứng dụng những tính năng AI để tối ưu hóa quy trình sản xuất game. &#10;- Tôi có niềm đam mê với Generative AI và các mô hình ngôn ngữ nên tôi m"/>
        <s v="Em chọn SUN.RISER vì 2 lý do:&#10;- Chuyên ngành Hệ thống thông tin rèn cho em tư duy logic nhạy bén. Em đam mê rà soát luồng quy trình và tìm lỗi (edge cases) để đảm bảo chất lượng.&#10;- Môi trường làm việc dưới sự chỉ dẫn của Mentor sẽ giúp em học hỏi, cải thi"/>
        <s v="Đây là một cơ hội để có thể ứng dụng các nền tảng kiến thức của bản thân vào các dự án thực tế, là một môi trường lý tưởng để học hỏi, hoàn thiện các kỹ năng của bản thân"/>
        <s v="Đam mê game từ nhỏ, muốn phát triển các thể loại game Action RPG có thể thỏa mãn bản thân vì các npc trong game này lối đánh còn bị động không tạo ra được nhiều biến cố"/>
        <s v="Em chọn vị trí HR Intern vì hiện tại em có định hướng phát triển trong mảng Talent Acquisition và mong muốn được trải nghiệm thêm ở L&amp;D để hiểu sâu hơn về các hoạt động nhân sự. Ngoài ra, scope of work của vị trí cho em thấy cơ hội được học hỏi đa dạng cá"/>
        <s v="I'm passionate about playing games and designing one myself. An opportunity to be a part of the SUN.RISER Internship Program can provide me good space to grow and develop my game design skills better."/>
        <s v="Mình nghĩ SUN.RISER là môi trường rất phù hợp để mình phát triển cả về kỹ năng chuyên môn lẫn định hướng nghề nghiệp. Đặc biệt, chương trình có liên quan đến lĩnh vực Game Development – một lĩnh vực mà mình rất hứng thú và muốn theo đuổi lâu dài.&#10;Mình mon"/>
        <s v="My motivation is the satisfaction of building—the logic, the flow, and that moment when systems combine and just work. I’m choosing SUN.RISER to move beyond solo projects and gain hands-on experience at a professional scale, learning to ship games for mil"/>
        <s v="I chose this position because I want to improve myself and grow as a Unity developer. I enjoy working on casual and puzzle games, so I feel this role at SUN.RISER matches well with my interests and what I’ve been learning so far. I’m really hoping to gain"/>
        <s v="I am motivated to apply for the AI Intern position at SUN.RISER because it aligns with my interest in applying AI to real-world products. I am also interested in exploring how these AI techniques can be applied to game development, such as analyzing playe"/>
        <s v="Em chọn vị trí này vì em muốn được học hỏi trong môi trường game chuyên nghiệp của SUN.RISER và rèn kỹ năng qua các dự án thực tế. Em tin đây là cơ hội phù hợp để bắt đầu và phát triển nền tảng của mình"/>
        <s v="Em là một người có đam mê lớn đối với ngành công nghiệp game, em đã trải nghiệm nhiều tựa game bao gồm cả dòng game casual và em cũng thường xuyên theo dõi tin tức về lĩnh vực này.&#10;Em đã luôn muốn được góp phần vào thực hiện phát triển game và đó cũng là "/>
        <s v="Ngành Game luôn là niềm đam mê lớn nhất của em từ khi bắt đầu học lập trình. Em chọn SUN.RISER vì ấn tượng với thông điệp 'Vươn lên trong hành trình sự nghiệp'. Em muốn đóng góp kỹ năng lập trình của mình để tạo ra những sản phẩm mang lại giá trị giải trí"/>
        <s v="Điều khiến tôi chọn vị trí thực tập sinh phân tích dữ liệu ở SUN.RISER là tôi có thể phát triển kỹ năng trong công việc và kỹ năng mềm."/>
        <s v="tôi có kĩ năng phù hợp với vị trí"/>
        <s v="Em chọn AI Engineer (NV1) để phát huy thế mạnh Deep Learning (CV, NLP) nhằm nâng tầm game bằng AI. Với Data Analyst (NV2), tư duy data-driven giúp em khai phá insight từ hành vi người chơi để cải tiến sản phẩm. SUN.STUDIO là nơi lý tưởng để em chuyển hóa "/>
        <s v="I’m currently studying and working as an AI Engineer. I haven’t had any hands-on practice applying AI in game development before, so I see this as a great opportunity to learn and build practical skills"/>
        <s v="Em muốn phát triển theo hướng Data Analyst, và em đang xây dựng nền tảng về xử lý dữ liệu, phân tích và mô hình hóa. Em thấy chương trình Sun.Riser không chỉ là thực tập mà còn có lộ trình đào tạo rõ ràng, rất phù hợp để em chuyển từ mức học thuật sang mô"/>
        <s v="Em chọn vị trí Unity Developer Intern tại SUN.RISER vì đây là môi trường phù hợp để em phát triển thế mạnh về computer graphics và real-time rendering. Em mong muốn được áp dụng kiến thức đó vào sản phẩm thực tế, học hỏi quy trình chuyên nghiệp và nâng ca"/>
        <s v="Với nền tảng về lĩnh vực khoa học dữ liệu mà bản thân đang theo học và mong muốn sẽ phát triển theo sự nghiệp liên quan về data &amp; AI. Vì vậy, nếu có được vị trí trong SUN.RISER sẽ là một cơ hội để giúp em có thêm trải nghiệm, học hỏi và được thực hành tro"/>
        <s v="I am motivated to apply because this role combines user behavior, creativity, and data-driven marketing, which are areas I want to develop further. I am particularly interested in learning how user acquisition campaigns are built, tested, and optimized, a"/>
        <s v="Tôi lựa chọn vị trí Game User Acquisition Intern tại SUN.RISER bởi niềm đam mê mê với công việc thiết kế trải nghiệm người dùng. Tôi yêu thích phân tích, làm việc với data, tư duy product hiểu người dùng để tối ưu các chỉ số, trải nghiệm của người tiêu dù"/>
        <s v="Mình mong muốn tham gia SUN.RISER để được trải nghiệm môi trường phát triển game chuyên nghiệp, nâng cao kỹ năng Unity 2D và học hỏi từ đội ngũ có kinh nghiệm tại SUN.STUDIO."/>
      </sharedItems>
    </cacheField>
    <cacheField name="Hiểu role ứng tuyển làm gì? Vì sao bạn phù hợp?" numFmtId="0">
      <sharedItems>
        <s v="tôi nghỉ vị trí này phù hợp vì tôi đang định hướng bản thân theo hướng lập trình game và AI"/>
        <s v="I believe this role involves analyzing player data to understand user behavior and support product decisions. It includes working with datasets, dashboards, and cross-functional teams. I’m a good fit because I have experience in data pipelines, warehousin"/>
        <s v="Vị trí này sẽ đóng góp việc phát triển game. Mình cảm thấy phù hợp với vị trí này vì sự đam mê giành cho game và đã có kinh nghiệm phát triển quảng cáo game."/>
        <s v="Sau 3 năm làm Unity Developer, mình nhận ra bản thân không chỉ muốn dừng lại ở việc hiện thực hóa logic bằng code, mà còn khao khát được thổi 'hồn' vào trò chơi.&#10;&#10;Mình chọn vị trí này tại SUN.STUDIO vì muốn thử sức ở vai trò Game Designer — nơi mình có th"/>
        <s v="Phối hợp với đội ngũ làm game như game designer, game tester, artist 2D/3D,... làm game thông qua quy trình chuyên nghiệp từ thiết kế prototype cho đến sản phẩm hoàn chỉnh."/>
        <s v="Theo tôi vị trí này sẽ hỗ trợ về việc code, design game &#10;Cá nhân tôi , thông thạo unity cũng như sử dụng git ,tính học hỏi cao,tinh thần và trách nhiệm với công việc,biết lắng nghe và sửa đổi,có tinh thần làm việc nhóm"/>
        <s v="Em đã từng trực tiếp phân tích, thiết kế hệ thống và viết GDD cho các thành phần mới của một dự án game thực tế đang vận hành. Qua các cuộc thi nhờ việc tự tay đảm nhận cả vai trò Developer lẫn Level Designer trong các dự án cá nhân, em tự tay xử lý các l"/>
        <s v="Em nghĩ vị trí này sẽ code game bằng C# trong unity, Làm gameplay, UI, animation, logic và fix bug, tối ưu game. Em nghĩ em phù hợp với vị trí trên bởi vì em đã làm qua những game cơ bản và hiểu được luồng và cơ chế game, Ngoài ra em là một người rất đam "/>
        <s v="tôi có sở thích muốn được ấn định cho feel game nhiều hơn"/>
        <s v="Mình thích trải nghiệm sản phẩm sau đó phân tích đảm bảo vận hành đúng thiết kế.báo cáo góp ý. &#10;Tìm lỗi cải thiện sản phẩm đến khi được phát hành."/>
        <s v="Em hiểu Game Designer Intern tại SUN.RISER sẽ hỗ trợ xây dựng tài liệu thiết kế, brainstorm ý tưởng, phân tích gameplay, và phối hợp cùng team để cân bằng, tối ưu trải nghiệm người chơi.&#10;&#10;Em có tư duy logic tốt, am hiểu cơ chế game, và đặc biệt yêu thích "/>
        <s v="I see this role as translating complex numbers into clear solutions for the business. I am a strong candidate because I combine a technical background with a natural curiosity for data patterns. With my experience in SQL and data modeling, I can help the "/>
        <s v="This role involves supporting the design team — documenting mechanics, balancing gameplay, and turning ideas into systems. My gaming experience sharpened my sense of player experience and what could be improved, and my Game Development background lets me "/>
        <s v="Với vị trí game designer điều mình cần có là kỹ năng thiết kế lối chơi (gameplay design) , thiết kế hệ thống (quest, event,..), cân bằng trò chơi, làm việc với team dev/art và phân tích, cải thiện được trải nghiệm người chơi...Mình phù hợp với vị trí này "/>
        <s v="viết code logic cho game, nên em thấy phù hợp vì em có tình tò mò và chịu tự tìm hiểu khi không làm được, và em cũng thích tự tay viết ra code"/>
        <s v="Tôi hiểu vị trí này đòi hỏi việc hiện thực hóa ý tưởng thành gameplay bằng Unity/C#, tối ưu hiệu suất và phối hợp cùng team Design/Art. Với nền tảng C# vững chắc, tư duy OOP tốt và tối ưu thuật toán, tôi tự tin về khả năng logic và giải quyết vấn đề của m"/>
        <s v="This role includes developing features with AI and using AI for better work performance."/>
        <s v="I believe this role involves designing engaging gameplay experiences and ensuring game quality. I’m a good fit because I have experience in user flow design and QA processes, along with a technical background that helps me understand both gameplay and sys"/>
        <s v="This role involves supporting the game development process, collaborating with teams, and improving product quality.&#10;I’m a good fit because I have a strong technical foundation, real project experience, and I’m eager to learn and grow in the game industry"/>
        <s v="Integrate AI into production system, AI Agent, Chatbot, Research. I believe I am a goos candidate as I have experience in those related fields."/>
        <s v="I think this role involves bot manual and automation testing of functional and regressing features to ensure there's a minimal amount of bugs and issues.&#10;I believe I'm a good fit because I'm detail-oriented and I see this role as a crucial learning opport"/>
        <s v="Em tin mình là mảnh ghép phù hợp vì em có sự kết hợp giữa tư duy logic của một người làm game và thẩm mỹ của một người làm thiết kế. Qua quá trình thực hiện đồ án tốt nghiệp về game 2D, em đã rèn luyện được kỹ năng xây dựng Game Design Document (GDD) và h"/>
        <s v="Game Designer là vị trí mà em sẽ khảo sát thị trường, lên ý tưởng concept rồi viết thành Game Document 1 cách dễ hiểu để có thể gửi xuống các bộ phận khác và phối hợp để có thể làm ra 1 game hoàn chỉnh và gửi đến các người chơi trải nghiệm ạ. Em đã thử tì"/>
        <s v="Theo em vị trí em chọn sẽ lập trình các tính năng của trò chơi các cách thức hoạt động,chuyển động của nhân vật, cách các npc vận hành và là một trong các vai trò quan trọng trong việc tạo ra một con game hoàn chỉnh.&#10;Em nghĩ mình phù hợp vì có sự yêu thíc"/>
        <s v="Thực hiện quá trình sáng tạo, lập quy tắc và xây dựng trải nghiệm cốt lõi của trò chơi, bao gồm bối cảnh, nhân vật, luật chơi và cơ chế tương tác.&#10;Với bản thân có nền tảng về kỹ thuật phần mềm và trải nghiệm nhiều tựa game tôi tin rằng thể thực hiện tốt đ"/>
        <s v="I believe this role involves analyzing player behavior and game metrics to provide actionable insights for optimizing game balance and enhancement. With a solid background in Data Science and a deep understanding of gaming mechanics, I can efficiently pro"/>
        <s v="This role focuses on analyzing player behavior, tracking key metrics such as retention, engagement, and building dashboards to support decision-making. I am a good fit because I have a strong foundation in SQL, Python, along with experience in data proces"/>
        <s v="I believe this role involves supporting the team with practical tasks and projects while learning how work is done in a real environment. I’m a good fit because I’m eager to learn, careful and detail-oriented, and I always try to complete every task in th"/>
        <s v="- Sẽ cải thiện tốc độ ra nhân vật, design, tự động hóa các công việc lặp lại. Vì tôi từng làm các công việc liên quan tới ML/DL cũng như các tools tạo ảnh/video Grok, Veo, Sora, Kling,..."/>
        <s v="Với vị trí này, em cần phối hợp với cả team dev và team art để tạo nên gameplay thú vị, đồ hoạ bắt mắt, hợp gameplay, và công việc không chỉ ở thiết kế gameplay mà còn phải phân tích, thiết kế UX."/>
        <s v="Game Designer là người hiện thực hóa ý tưởng thành gameplay thông qua GDD, đồng thời thiết kế trải nghiệm người chơi, cân bằng game và cải thiện sản phẩm dựa trên dữ liệu, phối hợp với các team để hoàn thiện game.&#10;Tôi phù hợp vì có nền tảng Game Design từ"/>
        <s v="It involves using C# to develop gameplay logic, optimizing performance, and collaborating with the team to build high-quality games on Unity. I have a solid foundation in Software Engineering. My mindset for clean code and strong self-learning ability all"/>
        <s v="Mình nghĩ vị trí này sẽ vừa thiết kế gameplay (cơ chế, level, progression) vừa trực tiếp phát triển trong Unity bằng C# để hiện thực hóa ý tưởng.&#10;Mình phù hợp vì có nền tảng Unity/C# tốt, hiểu cách xây dựng gameplay và đã có kinh nghiệm làm game. Đồng thờ"/>
        <s v="Em nghĩ vị trí này bao gồm việc thiết kế gameplay, xây dựng ý tưởng và tối ưu trải nghiệm người chơi. Em phù hợp vì có hứng thú với việc phân tích cách game vận hành, luôn đặt góc nhìn của người chơi khi tìm hiểu game, và chủ động học thêm về cả game desi"/>
        <s v="Theo em nghĩ vị trí Unity intern sẽ tham gia phát triển các tính năng cơ bản của game như gameplay, UI, xử lý logic, fix bug và hỗ trợ tối ưu hiệu năng game, bên cạnh đó sẽ làm việc trực tiếp với các bộ phận khác như design hoặc art để hoàn thiện sản phẩm"/>
        <s v="Vị trí này sẽ cùng đội ngũ tham gia vào dự án Game, quy trình sản xuất game. Em phù hợp với công việc vì em luôn tập trung vào việc &quot;liệu người chơi có thấy vui không&quot;, em muốn tạo ra những tựa game phù hợp với người chơi hiểu rõ được insight người dùng"/>
        <s v="Tôi nghĩ vị trí này tập trung vào xây dựng và tối ưu hệ thống game, đặc biệt là gameplay và trải nghiệm tương tác, đồng thời đòi hỏi khả năng học hỏi và giải quyết vấn đề. Tôi phù hợp vì có nền tảng về phát triển game, khả năng tự học tốt, và mong muốn áp"/>
        <s v="Theo mô tả, em hiểu vị trí này tập trung vào việc ứng dụng AI vào quy trình phát triển và vận hành game, đặc biệt là xây dựng các workflow tự động hóa nhằm tối ưu hiệu suất và tiết kiệm thời gian cho công ty.&#10;Em tin mình phù hợp vì đã có nền tảng kiến thứ"/>
        <s v="Game design sẽ thiết kế các qui luật game, các màn chơi và cân bằng điều đó để có thể thu hút và giữ chân người dùng, nói không ngoa khi Game Designer là người vẽ ra cái nhìn tổng quát trước tiên về một tựa game. Với background của bản thân đã nêu trong C"/>
        <s v="I believe this role focuses on building AI models and supporting their deployment in real applications. With my background in machine learning and hands-on AI projects, I can contribute while continuously learning and improving."/>
        <s v="This role involves building and deploying AI/ML systems, working with data pipelines, and delivering scalable, real-world solutions. I’m a good fit because I have hands-on experience with AI applications and data workflows, and I focus on building practic"/>
        <s v="Em nghĩ vị trí này là Đảm bảo hoạt động của AI, tham gia xây dựng hoặc cải tiến model, deloy model và hoàn thiện pipelines"/>
        <s v="I think this role involves applying AI for automation tasks, such as optimizing workflows, handling data, or supporting game operations. I’m a good fit because I have experience working with AI tools and can quickly adapt to building practical solutions. "/>
        <s v="Vị trí này sẽ tập trung vào việc ứng dụng AI để tối ưu hóa quy trình sản xuất game và nâng cao trải nghiệm người dùng thông qua tự động hóa. Tôi hoàn toàn phù hợp với vai trò này nhờ kinh nghiệm thực chiến trong việc xây dựng hệ thống RAG-based chatbot và"/>
        <s v="Em nghĩ sẽ là phân tích dữ liệu, vẽ dashboard, report hoặc thậm chí một phần việc của data engineer như xây dựng các pipeline dữ liệu"/>
        <s v="Em nghĩ role Data Analyst Intern sẽ làm các công việc như thu thập, xử lý và phân tích dữ liệu, tạo report/dashboard và hỗ trợ team đưa ra quyết định dựa trên data.&#10;Role này phù hợp với em vì em có nền tảng về SQL/Python và đã làm một số project liên quan"/>
        <s v="Em hiểu rằng Unity intern sẽ làm những task cụ thể như implement feature, viết C# script, debug theo hướng dẫn của senior — hơn là tự thiết kế từ đầu.&#10;Về lý do em phù hợp — em có nền tảng lập trình với TypeScript / C#, nên tư duy về logic, cấu trúc code, "/>
        <s v="Data Analysis có nhiệm vụ thu thập dữ liệu từ người chơi và từ đó phân tích, đánh giá dựa trên các tiêu chí nhưng độ tuổi, thời lượng chơi, xu hướng chơi,... Từ đó, có chiến lược phát triển và cải thiện game tốt hơn, tối ưu hơn. Em cảm thấy những gì mình "/>
        <s v="This role might involve optimizing game studio workflows by designing AI agents and pipelines that automate manual tasks across departments using LLMs and API integrations.&#10;&#10;I am a good fit because of my hands-on experience in architecting agentic workflo"/>
        <s v="Theo mình, vị trí này sẽ hỗ trợ tuyển dụng và chăm sóc đội ngũ sản xuất Game để đảm bảo mọi người làm việc hiệu quả nhất. Mình tin bản thân phù hợp vì sự tỉ mỉ khi làm Tester, kết hợp với kỹ năng điều phối hậu cần và sự nhạy bén với xu hướng trẻ từ việc l"/>
        <s v="As I understand it, an AI Engineering Intern is fundamentally about engineering models for practical applications. I believe I am a strong fit for this role because I already have a solid foundation in exactly the kind of applied AI and engineering work  "/>
        <s v="Vị trí này sẽ bao gồm: Xây dựng các quy trình tự động hóa bằng AI (Agentic Workflows), thiết kế logic để kết nối các bước xử lý của LLM, sử dụng Prompt và API để tạo ra hệ thống AI hoàn chỉnh. Em nghĩ mình sẽ phù hợp bởi các yếu tố sau : Đã có kinh nghiệm"/>
        <s v="Em nghĩ vị trí này sẽ liên quan đến việc làm việc với dữ liệu và hỗ trợ sản phẩm, như phân tích hành vi người chơi hoặc áp dụng các mô hình machine learning để cải thiện hiệu quả game.&#10;Em nghĩ mình phù hợp vì em đã có nền tảng về Machine Learning và Data "/>
        <s v="Ở vị trị này thì mình sẽ là một người xây dựng nên 1 tựa game, có những lối chơi độc đáo, mới mẻ. Xây dựng nên những tựa game có sự sáng tạo, đột phá.&#10;Tôi cảm thấy mình phù với vị trí này do tôi có trải nghiệm khá nhiều tựa game, tôi cũng hiểu về Game Pla"/>
        <s v="QA sẽ kiểm tra chất lượng phần mềm, viết test case, test chức năng và tìm bug để đảm bảo sản phẩm hoạt động đúng. Em phù hợp vì em cẩn thận, có tư duy logic, hay tự test lại sản phẩm khi làm project và có nền tảng frontend nên hiểu cách hệ thống hoạt động"/>
        <s v="Mình nghĩ rằng vị trí này sẽ tham gia trực tiếp vào việc tạo ra con game từ con số 0, biến những ý tưởng thành trải nghiệm thực tế, tối ưu hệ thống để mang đến những trải nghiệm mượt mà.&#10;mình tự tin có nền tảng lập trình tốt, cũng như trải nghiệm nhiều lo"/>
        <s v="I believe I’m a good fit for this role as my background aligns with the AI and system-oriented requirements, and I can quickly learn and adapt to bridge my current lack of experience as a student."/>
        <s v="I think Unity Development will involve things like gameplay programming, handling interactions between objects, processing effects, animations and audio, UI - UX, and game optimization.&#10;I think I'm quite familiar with these types of tasks. Although I have"/>
        <s v="Nhận yêu cầu, lấy data, xử lý data, phân tích data , đưa ra insight"/>
        <s v="Theo em vị trị này là cầu nối biến dữ liệu thành quyết định kinh doanh. Em sẽ phân tích hành vi người chơi để giải mã lý do họ ở lại hay rời bỏ, từ đó đề xuất các cải tiến giúp sản phẩm tăng trưởng.&#10;Tại sao em phù hợp:&#10;1. Em luôn đặt câu hỏi &quot;Phân tích nà"/>
        <s v="This role involves developing and optimizing game mechanics in Unity. I am a great fit because, despite having under a year of experience, my solid C#/OOP foundation and logical thinking enable me to adapt quickly and code efficiently."/>
        <s v="I understand this role focuses on ensuring game quality through systematic testing, rigorous bug tracking, and cross-functional collaboration. I am a strong fit because my foundation in Software Quality Assurance directly aligns with these requirements."/>
        <s v="Em hiểu vị trí này tập trung vào việc phân tích workflow và triển khai các giải pháp AI Automation. Em tin mình là mảnh ghép phù hợp nhờ nền tảng NLP cùng kinh nghiệm thực tế qua các đồ án AI với RAG, Fine-tuning hay Prompt Engineering. Những kỹ năng này "/>
        <s v="Mình nghĩ vị trí UA sẽ tập trung vào việc thu hút người dùng mới thông qua các campaign quảng cáo trả phí và theo dõi các chỉ số như CPI, retention để tối ưu hiệu quả. Mình chưa có nhiều kinh nghiệm nhiều về UA, nhưng có nền tảng tốt về video và content, "/>
        <s v="I think this role involves building and improving AI/data systems and solving real-world problems. I’m a good fit because I have hands-on experience with AI projects and can learn and apply new technologies quickly."/>
        <s v="Em nghĩ vị trí này sẽ bao gồm việc học hỏi nhanh, hỗ trợ các công việc trong dự án thực tế, phối hợp với các thành viên trong nhóm, và liên tục nâng cao kỹ năng chuyên môn cũng như tư duy giải quyết vấn đề. Vị trí này cũng có thể yêu cầu sự thích nghi tốt"/>
        <s v="1 AI Engineer có thể có nhiều vai trò khác nhau: tích hợp các mô hình vào các ứng dụng, thu thập và tiền xử lý các dữ liệu để huấn luyện và tối ưu mô hình trên môi trường ứng dụng thực tế. Em tự tin với các kỹ năng đã được học sẽ có thể làm tốt các công v"/>
        <s v="Em nghĩ vị trí Data Analyst Intern sẽ bao gồm việc thu thập, làm sạch và phân tích dữ liệu để tạo ra insight hỗ trợ ra quyết định, đồng thời xây dựng báo cáo hoặc dashboard. Em phù hợp vì đã có kinh nghiệm qua các đồ án về xử lý và phân tích dữ liệu, sử d"/>
        <s v="Em nghĩ vị trí này sẽ tập trung vào việc nghiên cứu và tích hợp các mô hình AI để tối ưu hóa tính năng game, tự động hóa quy trình hoặc cá nhân hóa trải nghiệm người chơi. Em tin mình phù hợp vì sở hữu nền tảng vững chắc, có kinh nghiệm thực chiến phát tr"/>
        <s v="I believe this role involves collecting, analyzing, and interpreting data to support business decisions, improve game performance, and understand player behavior.&#10;I believe I’m a good fit because I have strong analytical thinking, solid SQL and data handl"/>
        <s v="Em nghĩ vị trí Data Analysis Intern sẽ tập trung vào phân tích dữ liệu người chơi để hiểu hành vi người dùng, theo dõi hiệu quả sản phẩm và đưa ra insight hỗ trợ các quyết định về phát triển game cũng như tăng trưởng.Em hứng thú với môi trường sản phẩm nh"/>
        <s v="Game design là vị trí đặt lên móng cho từng gia đoạn phát triển của một tựa game, không chỉ đơn thuần thiết kế game mà họ còn bảo gồm rất nhiều công đoạn thiết kế level design, UI design, nghiên cứu thị trường su hướng game, với liềm yêu thích về game từ "/>
        <s v="Theo em vị trí AI Engineering sẽ được tham gia xây dựng các hệ thống AI phổ biến như bây giờ như RAG, n8n automation hoặc ứng dụng AI vào làm game. Em nghĩ mình phù hợp vì background của em về AI khá tốt, đồng thời có kiến thức về Software Engineer cũng n"/>
        <s v="Tìm hiểu các model LLM cách tích hợp đưa vào các đoạn hội thoại trong game. &#10;Xử dụng model CV để tạo ra các hình ảnh 3D"/>
        <s v="I believe this role involves building gameplay features, integrating UI, fixing bugs, and learning Unity 2D development in a team environment.&#10;&#10;I’m a good fit because I have a solid foundation in C# and Unity, hands-on project experience, and I’m eager to"/>
        <s v="Em nghĩ vị trí này sẽ khai thác, truy vấn, và phân tích các dữ liệu liên quan đến vận hành, hiệu suất. Đồng thời, vị trí cũng sẽ thực hiện trực quan hóa các dữ liệu có liên quan để những team khác có thể theo dõi và đánh giá tổng quan những tiến trình đặc"/>
        <s v="This role will take part in game development or designing game. I am good fit for this position because I have 8 months experience in Level Contributor role for Lihuhu Games and I work with puzzle game"/>
        <s v="-Ở vị trí này, một Game Developer sẽ viết code, phát triển các &#10;tính năng của game, fix bugs, và optimize performance. Làm việc với team để hoàn thành dự án.&#10;-Tôi phù hợp vì tôi có kinh nghiệm phát triển game với nhiều thể loại khác nhau, biết cách giải q"/>
        <s v="Thực hiện khai thác và phân tích các tập dữ liệu về cách người dùng tương tác với game để tìm ra các xu hướng hoặc điểm bất thường. Trong dự án cá nhân, tôi đã xây dựng các mô hình dự báo sử dụng phân tích chuỗi thời gian, điều này giúp tôi rèn luyện kỹ n"/>
        <s v="Theo mình thì vị trí AI Engineer Intern ở SUN.RISER sẽ tập trung vào việc dùng AI để tối ưu và tự động hóa các quy trình trong công ty bằng cách sử dụng AI kết hợp với Prompt Engineer. &#10;Mặc dù chưa có kinh nghiệm thực tế nhưng với nền tảng về data science"/>
        <s v="Em phù hợp với vị trí này vì có nền tảng backend và tư duy hệ thống, quen làm việc với API, dữ liệu và luồng xử lý. Ngoài ra, em đã từng tích hợp AI vào project thực tế nên hiểu cách làm việc với LLM và xử lý output. Em cũng chủ động học hỏi và muốn phát "/>
        <s v="Theo tôi, vị trí này tập trung vào việc hiểu quy trình làm việc của đội ngũ, xác định điểm nghẽn và triển khai giải pháp AI phù hợp. Tôi nghĩ mình phù hợp với vị trí này vì tôi có kiến thức cơ bản về xây dựng RAG pipeline cho tài liệu tiếng Việt, thiết kế"/>
        <s v="Tôi nghĩ vị trí này sẽ phụ trách các công việc liên quan tới phát triển một phần mềm game trên tảng Unity như lập trình các cơ chế trong game, tối ưu hiệu năng, cũng như phối hợp với các thành viên khác để hoàn thiện sản phẩm.&#10;Tôi tin rằng mình phù hợp vớ"/>
        <s v="Vị trí này công việc là lên ý tưởng cho game: cốt truyện, nhân vật,...Với chuyên ngành đã học là Thiết kế mỹ thuật số, với những kiến thức đã được đào tạo em nghĩ mình phù hợp với vị trí này."/>
        <s v="Tôi nghĩ vị trí này sẽ bao gồm xử lý dữ liệu, xây dựng và đánh giá các mô hình AI/ML, cũng như hỗ trợ triển khai vào thực tế. Ngoài ra, cần phối hợp với team và liên tục học hỏi để cải thiện mô hình.&#10;&#10;Tôi phù hợp vì đã có kinh nghiệm làm các project về dữ"/>
        <s v="I believe this role involves applying AI to improve game workflows and product quality.&#10;I am a good fit because I have hands-on AI experience, especially in computer vision, and I am eager to learn and apply my skills in a practical environment."/>
        <s v="I see this role as ensuring functional integrity and performance stability through rigorous testing cycles. My IT background and SQL knowledge enable me to investigate root causes and support the Dev team more effectively than a manual tester. I am commit"/>
        <s v="Em nghĩ Unity Developer sẽ tập trung vào việc lập trình gameplay mechanics, xử lý logic game và phối hợp với các bộ phận khác để hoàn thiện sản phẩm. &#10;Em đã có kinh nghiệm với Unity 2D dù chỉ mới ở mức thiết lập animations cơ bản. Em có thói quen tự tìm h"/>
        <s v="I believe the Data Analysis Intern role at Sun Studio focuses on analyzing player data, building reports, and generating insights to support game and product decisions. I’m a good fit because I have hands-on experience in data processing, analytics, and A"/>
        <s v="Em nghĩ vị trí này sẽ phải tìm hiểu được mong muốn của người chơi là gì và dựa vào đó kết hợp với định hướng ban đầu của game để thiết kế ra một trò chơi đủ sức lôi cuốn và quan trọng là giữ chân người chơi."/>
        <s v="Vị trí này sẽ lên kế hoạch, thiết kế cơ chế chơi cho game, phân tích dữ liệu người dùng, quản lí các bạn Level Design, cải tiến tối ưu quy trình thiết kế game. Do em có kinh nghiệm làm cộng tác viên Level Contributor cho game Hole Em All thể loại puzzle c"/>
        <s v="Tôi nghĩ là vị trí này sẽ trực tiếp tham gia vào quy trình phát triển Game thể loại Casual/Puzzle trên Mobile bằng Unity, bao gồm quá trình xây dựng gameplay, tích hợp animation...&#10;Tôi tin rằng mình phù hợp với vị trí này vì tôi đã phát triển và tự tay th"/>
        <s v="Game QA (Quality Assurance) không chỉ là người &quot;chơi thử để tìm lỗi&quot;, mà là người kiểm soát quy trình đảm bảo chất lượng, ngăn chặn rủi ro từ sớm. Với nền tảng từ ngành học, cả làm game và thiết kế tôi mang đến góc nhìn đa chiều của cả Developer và QA. Nh"/>
        <s v="I think this role involves testing games and finding bugs. I’m a good fit because I enjoy playing games and paying attention to details."/>
        <s v="This role focuses on driving user acquisition through campaign execution and continuous optimization to achieve measurable growth.&#10;&#10;I am a good fit because I have hands-on experience in user acquisition and growth, with a strong focus on data-driven execu"/>
        <s v="Đối với vị trí AI Engineer, tôi sẽ ứng dụng những công cụ AI để xây dựng các tính năng hỗ trợ cho công việc của công ty và một số game. Còn đối với Game Designer, tôi sẽ xây dựng, thiết kế các màn chơi, tinh chỉnh theo khách hàng để cho ra được màn chơi ("/>
        <s v="Tôi nghĩ vị trí này sẽ làm về: Gennerative AI, Automation và Deployment. Dùng GenAI để làm cho NPC tương tác thông minh và tự nhiên hơn. Áp dụng Computer Vision hỗ trợ quá trình kiểm thử tự động. Đóng gói các mô hình AI thành API để tích hợp vào hệ thống "/>
        <s v="- Em nghĩ vị trí này sẽ giúp đảm bảo chất lượng game thông qua các test, tìm ra và báo cáo các bug đến Dev/Designer để tối ưu trải nghiệm người chơi.&#10;- Nền tảng Hệ thống thông tin rèn cho em tư duy logic và sự tỉ mỉ. Kỹ năng phân tích luồng quy trình (UML"/>
        <s v="Áp dụng AI để nâng cao hiệu xuất công việc, đối với mảng DA đây là một bài toàn thực tế để em có thể lấy insight từ các dữ liệu có thực. Với vốn kiến thức và những kỹ năng AI engineer, Data Analyst là chuyên ngành học của mình thì em tin có đủ khả năng ph"/>
        <s v="em nghĩ AI Engineer sẽ tạo ra 1 quy trình áp dụng AI vào sinh mã tự động cần đảm bảo chất lượng (cókiểm thử) cũng như là tăng tốc độ dự án, ngoài ra có thể xây dựng các mô hình AI tạo ra các NPC có tính tự chủ hơn là theo luồng giải thuật có sẵn, khiến tr"/>
        <s v="Dựa trên JD em thấy vị trí hiện tại là sự kết hợp giữa TA, L&amp;D và Admin. Em nghĩ vị trì phù hợp với em vì em đã có nền tảng một ít về các công việc admin và tuyển dụng. Ngoài ra em còn là người chủ động trong việc học hỏi nên em nghĩ mình sẽ thích nghi tố"/>
        <s v="As a Game Designer, I believe I'd not only design game mechanics and gameplay experience, but also refining and balancing them so as to provide the best possible experience for players. It's also necessary to document all my work into a Game Design Docume"/>
        <s v="Mình hiểu vị trí này sẽ tập trung vào việc tìm ra các bước thủ công hoặc chưa tối ưu và áp dụng AI để cải thiện hiệu suất. Công việc cũng bao gồm thiết kế prompt, xây dựng AI pipeline/agent và hỗ trợ các công cụ nội bộ như chatbot, hệ thống tra cứu. Mình "/>
        <s v="This role involves building 2D casual games, from core gameplay to UI and optimization. As an HCMUS student with Game Jam experience, I am a great fit because I value clean logic. I find satisfaction in building robust, scalable systems that integrate sea"/>
        <s v="I believe I’m a good fit because I have experience building 2D Unity games and understand the basics of gameplay and UI. I may not be the best, but I’m willing to work hard, learn quickly and keep improving."/>
        <s v="I think this role involves researching and experimenting with AI applications to support game development and internal workflows like analyzing player data, optimizing development processes, and building automation tools. I am a good fit because I've done"/>
        <s v="“Em nghĩ vị trí này sẽ tham gia hỗ trợ team trong các nhiệm vụ thực tế, học quy trình làm game và thực hiện những công việc được giao một cách cẩn thận, đúng deadline. Em phù hợp vì em ham học hỏi, chịu khó, có tinh thần trách nhiệm và sẵn sàng bắt đầu từ"/>
        <s v="Theo em, vị trí này bao gồm lập trình logic game, xây dựng UI/UX, tích hợp các tài nguyên (hình ảnh, âm thanh, hiệu ứng) vào game và tối ưu hóa game.&#10;Em nghĩ mình phù hợp vì em luôn sẵn sàng học hỏi, có nền tảng vững chắc trong việc xây dựng phần mềm, từn"/>
        <s v="Em tin mình là lựa chọn phù hợp vì nền tảng Kỹ sư Phần mềm giúp em có tư duy hệ thống và khả năng giải quyết vấn đề vững vàng. Kinh nghiệm xử lý logic phức tạp với Java và JavaScript, cộng thêm kỹ năng đọc hiểu tài liệu tiếng Anh tốt giúp em nắm bắt cực k"/>
        <s v="Vị trí thực tập sinh phân tích dữ liệu sẽ thu thập và phân tích dữ liệu và đưa ra kết quả phân tích.Tôi phù hợp với vị trí này là vì tôi muốn được làm việc với dữ liệu."/>
        <s v="vị trí này làm kiểm thử và kiểm tra, vì có nền tảng nên thấy phù hợp"/>
        <s v="Vị trí AI sẽ ứng dụng thuật toán để tối ưu trải nghiệm game, DA sẽ phân tích số liệu giúp vận hành sản phẩm. Em phù hợp nhờ nền tảng Data Science, kinh nghiệm thực chiến mô hình Deep Learning (CV, NLP) và tư duy data-driven nhạy bén, sẵn sàng chuyển hóa d"/>
        <s v="I believe this role involves supporting data and AI/ML workflows in a game development environment, including data pipelines, dataset processing, and model optimization. I’m a good fit because I have hands-on experience with end-to-end pipelines, large-sc"/>
        <s v="Theo em, vị trí Data Analysis Intern tại chương trình Sun.Riser sẽ làm:&#10;Xử lý và phân tích dữ liệu: làm sạch dữ liệu, EDA, tìm pattern và insight từ dữ liệu.Hỗ trợ business: chuyển các yêu cầu từ team product/marketing thành bài toán dữ liệu để đưa vào da"/>
        <s v="Vị trí Unity Developer Intern sẽ tập trung vào phát triển và hoàn thiện gameplay cho các game casual, bao gồm triển khai tính năng, chỉnh sửa cơ chế chơi, xử lý UI/UX, sửa lỗi và tối ưu để game chạy mượt trên nhiều thiết bị. Em phù hợp với vị trí này nhờ "/>
        <s v="Về các vị trí đã ứng tuyển, em nghĩ các vị trí sẽ mang lại cho bản thân em một môi trường thực tế từ các dự án thật, được học hỏi và thực hành trực tiếp với các bài toán mà doanh nghiệp gặp phải. Với nền tảng kiến thức đã có liên quan đến vị trí với tinh "/>
        <s v="I believe this role involves researching markets, supporting user acquisition campaigns, testing creatives, and analyzing performance to optimize growth. I am a good fit because I bring strengths in market research, insight-driven thinking, creativity, an"/>
        <s v="Tôi hiểu tập trung này ở vị trí đầu tiên của 4 công việc chính&#10;Phân tích thị trường, nghiên cứu xu hướng và cạnh tranh&#10;Hỗ trợ thiết lập và phát triển quảng cáo trên Google Ads, Meta Ads&#10;Phối hợp thử nghiệm A/B để tìm hiệu quả quảng cáo mẫu (mẫu hiệu quả&#10;T"/>
        <s v="Mình nghĩ vị trí Unity Intern sẽ tham gia phát triển và cải thiện các game 2D casual, bao gồm lập trình gameplay bằng C#, xử lý va chạm với Rigidbody2D và Collider, xây dựng UI Canvas và hỗ trợ sửa lỗi trong quá trình hoàn thiện sản phẩm. Ngoài ra, vị trí"/>
      </sharedItems>
    </cacheField>
    <cacheField name="Đại học" numFmtId="0">
      <sharedItems>
        <s v="Others - Khác"/>
        <s v="UIT – Trường Đại học Công nghệ Thông tin – ĐHQG TP.HCM"/>
        <s v="HUTECH – Trường Đại học Công nghệ TP.HCM"/>
        <s v="SGU – Trường Đại học Công nghệ Sài Gòn"/>
        <s v="FPT Poly – Trường Cao đẳng FPT Polytechnic TP.HCM"/>
        <s v="TDT – Trường Đại học Tôn Đức Thắng"/>
        <s v="HCMUS – Trường Đại học Khoa học Tự nhiên – ĐHQG TP.HCM"/>
        <s v="VLU – Trường Đại học Văn Lang"/>
        <s v="HCMUTE – Trường Đại học Sư phạm Kỹ thuật TP.HCM"/>
        <s v="GDU – Trường Đại học Gia Định"/>
        <s v="HCMUTC – Trường Đại học Giao thông Vận tải TP.HCM"/>
        <s v="IU – Trường Đại học Quốc tế – ĐHQG TP.HCM"/>
        <s v="HCMUSSH – Trường Đại học Khoa học Xã hội và Nhân văn – ĐHQG TP.HCM"/>
        <s v="HCMUT – Trường Đại học Bách Khoa – ĐHQG TP.HCM"/>
        <s v="RMIT – Trường Đại học RMIT Việt Nam"/>
        <s v="UEH – Đại học Kinh tế TP.HCM"/>
        <s v="IUH – Trường Đại học Công nghiệp TP.HCM"/>
        <s v="HUFI – Trường Đại học Công nghiệp Thực phẩm TP.HCM"/>
        <s v="PTIT – Học viện Công nghệ Bưu chính Viễn thông"/>
        <s v="FTU – Trường Đại học Ngoại thương"/>
      </sharedItems>
    </cacheField>
    <cacheField name="Đại học - Khác" numFmtId="0">
      <sharedItems containsBlank="1">
        <s v="Cao đẳng Giao Thông Vận Tải"/>
        <m/>
        <s v="Đại học FPT"/>
        <s v="SGU - Trường Đại Học Sài Gòn"/>
        <s v="TDMU - Đại học Thủ Dầu Một"/>
        <s v="Greenwich FPT University"/>
        <s v="Huflit- Ngoại Ngữ Tin Học"/>
        <s v="VTC Academy"/>
        <s v="Trường Cao Đăng FPT Polytechnic"/>
        <s v="FPT University HCM"/>
        <s v="VTC Academy, học viện đào tạo nghề ạ"/>
        <s v="Đại học Kỹ thuật Công nghệ Cần Thơ"/>
        <s v="Trường Đại Học Kỹ Thuật - Công Nghệ Cần Thơ (CTUT)"/>
        <s v="STU- Trường Đại Học Công Nghệ Sài Gòn"/>
        <s v="UTH - Đại học Giao thông Vận tải Thành phố Hồ Chí Minh"/>
        <s v="Trường Đại học FPT"/>
        <s v="Greenwich Viet Nam"/>
        <s v="Trường Đại học Ngoại ngữ - Tin học Thành phố Hồ Chí Minh (HUFLIT)"/>
        <s v="FPT Poly - Trường Cao đẳng FPT polytechnic Đà Nẵng"/>
        <s v="Trường Cao đẳng FPT Polytechnic TP.Đà Nẵng"/>
        <s v="FPT University"/>
        <s v="HUFLIT Trường Đại học Ngoại ngữ - Tin học Thành phố Hồ Chí Minh"/>
        <s v="UTH - Trường Đại học Giao thông Vận tải TP.HCM"/>
      </sharedItems>
    </cacheField>
    <cacheField name="SV năm mấy?" numFmtId="0">
      <sharedItems>
        <s v="Year 4 / Năm 4"/>
        <s v="Fresh graduate / Mới tốt nghiệp"/>
        <s v="Kỳ cuối ,sắp tốt nghiệp"/>
        <s v="Year 2 / Năm 2"/>
        <s v="Đã ra trường và làm việc được 3 năm ở vị trí Developer"/>
        <s v="Đang thi chứng chỉ tiếng anhđể tốt nghiệp."/>
        <s v="Year 3 / Năm 3"/>
        <s v="Tôi tốt nghiệp cao đẳng, hiện tại đang liên thông Đại học Công Nghệ Thông Tin(UIT)"/>
        <s v="Đã tốt nghiệp và đi làm"/>
      </sharedItems>
    </cacheField>
    <cacheField name="Chuyên ngành" numFmtId="0">
      <sharedItems>
        <s v="Công Nghệ Thông Tin Ứng dụng Phần mềm"/>
        <s v="Khoa học dữ liệu"/>
        <s v="Kỹ thuật phần mềm"/>
        <s v="công nghệ phần mền"/>
        <s v="Công nghệ thông tin"/>
        <s v="Game Programming"/>
        <s v="Lập Trình Game"/>
        <s v="IT"/>
        <s v="Game Programmer"/>
        <s v="Information System"/>
        <s v="Game Developement"/>
        <s v="Computer Science"/>
        <s v="Information Systems"/>
        <s v="Thị giác máy tính"/>
        <s v="Thiết Kế Mỹ Thuật Số"/>
        <s v="Graphic Design"/>
        <s v="Công Nghệ Kỹ Thuật Máy Tính"/>
        <s v="Kỹ thuật phần mềm (Software engineering)"/>
        <s v="Data Science"/>
        <s v="Information Security"/>
        <s v="Game Development"/>
        <s v="Software Engineer"/>
        <s v="Hệ Thống Thông Tin (Information System)"/>
        <s v="Thiết kế Đồ Hoạ"/>
        <s v="Trí tuệ nhân tạo"/>
        <s v="Information Technology"/>
        <s v="Hệ thống thông tin"/>
        <s v="Công Nghệ Phần Mềm"/>
        <s v="Khoa học Máy tính"/>
        <s v="Artificial Intelligence"/>
        <s v="Nhật Bản học"/>
        <s v="Knowledge Technology"/>
        <s v="Lập trình mobile"/>
        <s v="An toàn thông tin"/>
        <s v="Khoa học máy tính chuyên ngành an toàn thông tin"/>
        <s v="ComputerVision"/>
        <s v="Electronics and Telecommunication Engineering"/>
        <s v="Thương mại điện tử"/>
        <s v="Digital Media"/>
        <s v="Data Engineering"/>
        <s v="Công nghệ tri thức - định hướng Xử lý ngôn ngữ tự nhiên (NLP)"/>
        <s v="Kĩ thuật phần mềm"/>
        <s v="Ngành Công nghệ Thông tin - Chuyên ngành Kỹ thuật Phầm mềm"/>
        <s v="Ngành Công nghệ thông tin - Chuyên ngành Kỹ thuật phần mềm"/>
        <s v="Phát triển ứng dụng"/>
        <s v="Digital Marketing"/>
        <s v="Xã hội học"/>
        <s v="Game Design"/>
        <s v="Software Engineering"/>
        <s v="Công nghệ dữ liệu"/>
        <s v="Applied Mathematics"/>
        <s v="Công nghệ Thông tin (Chuyên ngành Thị giác máy tính &amp; Điều khiển học thông minh)"/>
        <s v="International Business Administration"/>
      </sharedItems>
    </cacheField>
    <cacheField name="Thời gian tốt nghiệp (dự kiến nếu chưa tốt nghiệp)" numFmtId="14">
      <sharedItems containsSemiMixedTypes="0" containsDate="1" containsString="0">
        <d v="2026-10-20T00:00:00Z"/>
        <d v="2026-07-01T00:00:00Z"/>
        <d v="2025-11-21T00:00:00Z"/>
        <d v="2026-09-30T00:00:00Z"/>
        <d v="2026-08-01T00:00:00Z"/>
        <d v="2026-07-24T00:00:00Z"/>
        <d v="2026-08-30T00:00:00Z"/>
        <d v="2022-05-20T00:00:00Z"/>
        <d v="2026-07-30T00:00:00Z"/>
        <d v="2025-11-18T00:00:00Z"/>
        <d v="2025-09-19T00:00:00Z"/>
        <d v="2026-09-01T00:00:00Z"/>
        <d v="2027-06-25T00:00:00Z"/>
        <d v="2028-08-08T00:00:00Z"/>
        <d v="2026-06-01T00:00:00Z"/>
        <d v="2026-11-01T00:00:00Z"/>
        <d v="2026-12-01T00:00:00Z"/>
        <d v="2026-09-15T00:00:00Z"/>
        <d v="2026-07-25T00:00:00Z"/>
        <d v="2025-12-20T00:00:00Z"/>
        <d v="2024-12-22T00:00:00Z"/>
        <d v="2025-08-28T00:00:00Z"/>
        <d v="2025-11-27T00:00:00Z"/>
        <d v="2027-05-05T00:00:00Z"/>
        <d v="2025-12-31T00:00:00Z"/>
        <d v="2026-01-25T00:00:00Z"/>
        <d v="2026-04-19T00:00:00Z"/>
        <d v="2025-10-20T00:00:00Z"/>
        <d v="2026-11-09T00:00:00Z"/>
        <d v="2027-01-01T00:00:00Z"/>
        <d v="2026-11-10T00:00:00Z"/>
        <d v="2027-09-15T00:00:00Z"/>
        <d v="2027-07-05T00:00:00Z"/>
        <d v="2025-03-09T00:00:00Z"/>
        <d v="2026-11-30T00:00:00Z"/>
        <d v="2027-06-01T00:00:00Z"/>
        <d v="2026-10-23T00:00:00Z"/>
        <d v="2026-03-30T00:00:00Z"/>
        <d v="2027-10-01T00:00:00Z"/>
        <d v="2027-05-27T00:00:00Z"/>
        <d v="2026-03-05T00:00:00Z"/>
        <d v="2027-07-20T00:00:00Z"/>
        <d v="2027-06-30T00:00:00Z"/>
        <d v="2027-09-01T00:00:00Z"/>
        <d v="2024-12-31T00:00:00Z"/>
        <d v="2026-06-20T00:00:00Z"/>
        <d v="2024-12-01T00:00:00Z"/>
        <d v="2027-10-30T00:00:00Z"/>
        <d v="2024-04-25T00:00:00Z"/>
        <d v="2025-06-26T00:00:00Z"/>
        <d v="2026-12-12T00:00:00Z"/>
        <d v="2026-04-11T00:00:00Z"/>
        <d v="2026-08-31T00:00:00Z"/>
        <d v="2027-06-19T00:00:00Z"/>
        <d v="2024-04-10T00:00:00Z"/>
        <d v="2027-12-08T00:00:00Z"/>
        <d v="2027-08-15T00:00:00Z"/>
        <d v="2027-03-15T00:00:00Z"/>
        <d v="2025-03-25T00:00:00Z"/>
        <d v="2025-07-02T00:00:00Z"/>
        <d v="2026-08-24T00:00:00Z"/>
        <d v="2027-07-31T00:00:00Z"/>
        <d v="2027-04-10T00:00:00Z"/>
        <d v="2026-09-05T00:00:00Z"/>
        <d v="2027-11-30T00:00:00Z"/>
        <d v="2026-07-31T00:00:00Z"/>
        <d v="2025-06-30T00:00:00Z"/>
        <d v="2026-06-12T00:00:00Z"/>
        <d v="2004-03-30T00:00:00Z"/>
        <d v="2027-04-20T00:00:00Z"/>
        <d v="2025-12-13T00:00:00Z"/>
        <d v="2027-07-01T00:00:00Z"/>
        <d v="2027-04-01T00:00:00Z"/>
        <d v="2025-11-30T00:00:00Z"/>
        <d v="2025-12-30T00:00:00Z"/>
        <d v="2026-05-31T00:00:00Z"/>
        <d v="2025-11-29T00:00:00Z"/>
        <d v="2026-10-15T00:00:00Z"/>
        <d v="2027-06-21T00:00:00Z"/>
        <d v="2026-04-24T00:00:00Z"/>
        <d v="2026-04-13T00:00:00Z"/>
        <d v="2027-08-01T00:00:00Z"/>
        <d v="2027-07-23T00:00:00Z"/>
        <d v="2026-05-01T00:00:00Z"/>
        <d v="2027-08-30T00:00:00Z"/>
        <d v="2026-03-14T00:00:00Z"/>
        <d v="2027-09-05T00:00:00Z"/>
        <d v="2026-10-01T00:00:00Z"/>
        <d v="2026-06-30T00:00:00Z"/>
        <d v="2027-12-06T00:00:00Z"/>
        <d v="2026-04-04T00:00:00Z"/>
      </sharedItems>
    </cacheField>
    <cacheField name="GPA" numFmtId="0">
      <sharedItems>
        <s v="8.88"/>
        <s v="8.91"/>
        <s v="7.7"/>
        <s v="8"/>
        <s v="7.93"/>
        <s v="7.5"/>
        <s v="7.4"/>
        <s v="8.3"/>
        <s v="6.5"/>
        <s v="Mình không nhớ."/>
        <s v="7.5/10"/>
        <s v="7.87"/>
        <s v="8.4"/>
        <s v="6.42"/>
        <s v="7.41"/>
        <s v="9.33"/>
        <s v="7.64"/>
        <s v="7.96"/>
        <s v="9"/>
        <s v="2.8"/>
        <s v="7.43"/>
        <s v="7.59"/>
        <s v="7.3"/>
        <s v="8.79"/>
        <s v="8.2"/>
        <s v="7.91"/>
        <s v="8.17/10"/>
        <s v="8.8/10"/>
        <s v="7.125"/>
        <s v="8.49"/>
        <s v="8/10"/>
        <s v="7,67"/>
        <s v="7.0"/>
        <s v="7.06/10"/>
        <s v="8.92"/>
        <s v="8.98"/>
        <s v="8.01"/>
        <s v="7.9"/>
        <s v="8.96"/>
        <s v="9.0"/>
        <s v="8.36"/>
        <s v="9.19"/>
        <s v="8.51"/>
        <s v="8.02"/>
        <s v="8.72"/>
        <s v="7.1"/>
        <s v="8.1"/>
        <s v="7.95"/>
        <s v="7.72"/>
        <s v="7.25"/>
        <s v="8.24"/>
        <s v="8.0"/>
        <s v="8.13"/>
        <s v="7"/>
        <s v="8.6"/>
        <s v="8.31"/>
        <s v="7.52"/>
        <s v="8.34"/>
        <s v="8.44"/>
        <s v="3.32/4.00"/>
        <s v="9.4 (Chỉ xét chuyên ngành KHMT)"/>
        <s v="8.27"/>
        <s v="8.05"/>
        <s v="8.63"/>
        <s v="8.9"/>
        <s v="8.73"/>
        <s v="8.2/10"/>
        <s v="7.46"/>
        <s v="8.87"/>
        <s v="8.40"/>
        <s v="8.48"/>
        <s v="7.84"/>
        <s v="9.18"/>
        <s v="7.05"/>
        <s v="8.44/10"/>
        <s v="8.56"/>
        <s v="8.147"/>
        <s v="3.2"/>
        <s v="3.1"/>
        <s v="8.57"/>
        <s v="8.29"/>
        <s v="8.47"/>
        <s v="8.76"/>
        <s v="7.14/10"/>
        <s v="7.07"/>
        <s v="3.57"/>
        <s v="7.27"/>
        <s v="8.66"/>
        <s v="8.94"/>
        <s v="8.58"/>
      </sharedItems>
    </cacheField>
    <cacheField name="Bảng điểm" numFmtId="0">
      <sharedItems>
        <s v="https://api.typeform.com/responses/files/d8b6e14ed9afca1385c327a1a80f2d74bdf23991bfb54bc603275ef462fbb0f3/z7628526052579_ff37ca4b9293ddf8043ac661565babc2.jpg"/>
        <s v="https://api.typeform.com/responses/files/d55b4c41d3e6682cfab98e065a4ba2da037f4ddbfc2875cf21f0ccb61883aabd/Transcript___Data_Analysis_Intern___Phạm_Ngọc_Trí.pdf"/>
        <s v="https://api.typeform.com/responses/files/dd07064b4a28c99f27f523cd6e4bd40343e10d8e2a4a68ffe89b96e10ee09f98/Transcript___Unity_Developer_Intern___Nguyễn_Trọng_Nghĩa.pdf"/>
        <s v="https://api.typeform.com/responses/files/6f878a25a48a09d8d66d65c5bbf323c36d844c42d556da210778186126a86619/Transcript___Game_Design_Intern___Đặng_Thế_An.png"/>
        <s v="https://api.typeform.com/responses/files/97994d1e71c27b89f6927f71a8c3fa5b5b17be2834b645c137c748710af45177/Transcript___Unity_Development_Intern___Nguyễn_Công_Trung.pdf"/>
        <s v="https://api.typeform.com/responses/files/93d0e912f21fb5f4eff357f599b83cffd626eb68d0d59edaa43030c923c03b40/Transcript_intern_TranDoHoangTan.png"/>
        <s v="https://api.typeform.com/responses/files/53679cae613e1380865f5b1c629b2b8f1558d4f3c99e17fa4fdbda1662435a60/Transcript___Game_Designer___Nguyễn_Minh_Khôi.pdf"/>
        <s v="https://api.typeform.com/responses/files/72eaf3206f3e349b5ff6bbe1955faf3282b4e361c4fdd146ce90d6fd4d7ac675/Bảng_điểm__FPT_Polytechnic.pdf"/>
        <s v="https://api.typeform.com/responses/files/b97b8597bffdb1565f56df5e19a9f4ce350f9c9cf947007ea55276e0fadaf9d5/Transcript___Game_Designer_Intern___Nguyễn_Đức_Hoàng.pdf"/>
        <s v="https://api.typeform.com/responses/files/5494a8a953acc15ac2ab77ee74255181f05412bb1fdaff82817b2eb80200d4ed/Dat_Tran_TopCV.vn_090426.223435__1___3_.pdf"/>
        <s v="https://api.typeform.com/responses/files/0731dc164a41b8ec3b2879feff29fef008760d47156b24640f31e0c692797a03/Transcript_Game_DesignerIntern_Trần_Quốc_An.pdf"/>
        <s v="https://api.typeform.com/responses/files/9aca8be9e7fa75bd199efca892849ef5d72dc10194bd2180dd7ace19d5c84280/Transcript___Data_Analysis_Intern___Phạm_Minh_Ngân.pdf"/>
        <s v="https://api.typeform.com/responses/files/11c262b1979f89539b3b7dc2d373eb139a9852d1861c8d9b3cb4dcd378c73fb4/Transcript_GameDesignerIntern_VoNguyenHung.pdf"/>
        <s v="https://api.typeform.com/responses/files/c05fb2b3f238138b3fd1a4632ce82a420acb9552bceed8718df3c4bbd0e48f27/Transcript___Game_Designer_Intern___Trần_Đông_Khang.rar"/>
        <s v="https://api.typeform.com/responses/files/335e05d6eda626954f9101a8aef110fcffb2885e37f918be56d762b78f2b9c51/BẢNG_ĐIỂM_HẢI_ĐĂNG.zip"/>
        <s v="https://api.typeform.com/responses/files/198cd9ca97b35e6dc28e70f0e3d253ddf064f8826dd590de1881e183a8f6b553/Transcript___Unity_Development_Intern___Nguyễn_Phương_Nam.pdf"/>
        <s v="https://api.typeform.com/responses/files/eabe5a8c7d55ada8725f2ed3f1b85f51c540499ed7ee532bc1f641da2c62b8b9/KietTrinh_GPA.pdf"/>
        <s v="https://api.typeform.com/responses/files/4539e8b37eb7173f733e1e42c7b93f135367c35feeafed0bf1a147ccd6379f95/Transcript___Game_Desiner_Intern___Ngô_Trung_Thiện.pdf"/>
        <s v="https://api.typeform.com/responses/files/53d8acbb8aa78802e0f7801cc48664ade14327d05af092b1e6c95c2043149481/bảng_điểm_Trần_Danh_Vinh.pdf"/>
        <s v="https://api.typeform.com/responses/files/710d7818c82ed0f2570ceef6cb6558889d787aa384429200d329f818bcbe16b0/Transcript___AI_Engineer_Intern___Huỳnh_Cao_Tuấn_Kiệt.pdf"/>
        <s v="https://api.typeform.com/responses/files/923b787408de0fc1469f099a94dece171a05d9bb13a651a811e163021e36e281/transcript.pdf"/>
        <s v="https://api.typeform.com/responses/files/3ae1c6dd01b726e77a59ca331c14f03236f4aa9f5498f76d7fdc55beeddcca12/Transcript___Game_Design_Intern___Tran_Phuong_Anh.pdf"/>
        <s v="https://api.typeform.com/responses/files/5b8d5c4f8a8b81fc3cfe661e02895245de0c5144bc9c842e377cf580e918bfa7/Transcript___Game_Designer_Intern___Trần_Lập_Nhân.pdf"/>
        <s v="https://api.typeform.com/responses/files/53ad8f672880a7ad0efc9c5717810edd9bf9e9bb9d55532b3c6a54361ab75fb9/Transcript___Unity_Development_Intern___Tạ_Ngọc_Minh.docx"/>
        <s v="https://api.typeform.com/responses/files/35014d9f4fe7aad694519fb272f3f8342690521a01e44c6701d162e862e3a5c9/Transcript___Game_Designer_Intern___Dương_Thế_Khải__2_.jpg"/>
        <s v="https://api.typeform.com/responses/files/09099c73385b6c3c89c638604d92734b2563b8a068b3449cfd4fdc80cc3a774e/Transcript___Data_Analysis_Intern___Đỗ_Phú_Duy.pdf"/>
        <s v="https://api.typeform.com/responses/files/ba824c2d35776c0cab1213132f9388c3a26e2f462fbf85ce93cfd426426b15f8/Transcript___Data_Analysis_Intern___Lê_Hữu_Tài.pdf"/>
        <s v="https://api.typeform.com/responses/files/60bf3328dfba7ff81a60e6bad5534deb69e645ca825f9e7dc1069eaa805df6cb/Transcript___Data_Analysis_Intern___Nguyễn_Bình_Minh_Quân.pdf"/>
        <s v="https://api.typeform.com/responses/files/5e922b8ef8531452826f7f70c7f6b0685e4494aa8c063924ee8caa7e52eee1bd/Kết_quả_học_tập.mhtml"/>
        <s v="https://api.typeform.com/responses/files/7d5e3c597cb8e8623d929aa60f9a6c8b3456bf567dbe0f3767767997bc3f584f/Transcript___Game_Design_Intern___Nguyễn_Trương_Trọng_Hiếu.pdf"/>
        <s v="https://api.typeform.com/responses/files/a09f4b7079ae962825f80e6fd51a202be38f1853e4f8ed8f0472c78f081cf6cc/BangDiem2_GameDesigner_Intern_NguyenKhacKy.jpg"/>
        <s v="https://api.typeform.com/responses/files/b8b1562d43425dba367af235ec6038d28ddb7a26e29081acc6c76e4ec9ea0154/CV___Unity_Developer_Intern__Phạm_Thanh_Phong.JPG"/>
        <s v="https://api.typeform.com/responses/files/a6e0d3abf8eb69cad3e142b58af381177c5b4266e7fe4957923348bf4aac3051/Bảng_điểm__FPT_Polytechnic.pdf"/>
        <s v="https://api.typeform.com/responses/files/8e6c5ea4417ac3f6a729c61e81f8c6700aa35d3cc1c9af0bad0d83516199b8c2/Transcript___Game_Design_Intern___Vũ_Trường_Hùng.pdf"/>
        <s v="https://api.typeform.com/responses/files/4f7acd8cd9f1fb6e6d09aea2d7944957c9b3da0c0a79b61b74c8dda816ecdbe5/Transcript____Unity_Developer_Intern___Lê_Đình_Thiện.jpg"/>
        <s v="https://api.typeform.com/responses/files/62eb95305329d9838576d4744feb39ab794350739e79024a34d0da728b02647e/IMG_1720.jpeg"/>
        <s v="https://api.typeform.com/responses/files/50511fecc58f8658467cbe03ad28330c1c26e5238b0fafbee680021fd2887584/Transcript___Unity_Development_Intern___Nguyễn_Anh_Tường.png"/>
        <s v="https://api.typeform.com/responses/files/eb90ca399fc88793c7d791fa6aa159fe77e71423f9f46cbe75fcc28e6e963ed5/Transcript___AI_Engineer_Intern___Luu_Thuong_Hong.pdf"/>
        <s v="https://api.typeform.com/responses/files/fece274dc73e25ad7a4def9371339d35e70a4e18ed7fe7148d03b46c0860de84/Transcript___Game_Design_Intern___Đinh_Thanh_Tùng.pdf"/>
        <s v="https://api.typeform.com/responses/files/9d47e4f46d61402926c063f8e0d09d93e0f77118744e616f520d5946d84a6dfa/transcript___AI_Engineer_Intern___Phạm_Anh_Huy.pdf"/>
        <s v="https://api.typeform.com/responses/files/c6a47ea234d93a0daec54aa138027b68233d9821de626a723d4d3ddb0e52fffc/Transcript___AI_Engineering__Data_Analysis___Trần_Bảo_Phúc.pdf"/>
        <s v="https://api.typeform.com/responses/files/aac96dbdaaf92b5934979f569ef4f49b1794ad7943a8a2a99f471154050e9776/CV__AI_Engineering_Intern___Tran_Chau_Phu.pdf"/>
        <s v="https://api.typeform.com/responses/files/c37dda3f7ac2ab76a79f0b4b5395822734fd96dd2fe50a2d3c7af6c3ac6b13d9/Bảng_Điểm.png"/>
        <s v="https://api.typeform.com/responses/files/899742377a5f04d68b90cd45c2aad6c3cb54bd4f05d76d291582c21590cbaa2a/Transcript__AI_Engineering_Intern___Bùi_Trương_Thái_Sơn.pdf"/>
        <s v="https://api.typeform.com/responses/files/7a28bb2fd138bcaeead11add7689ed1690682546f3e088c177a277cbba8131c5/Transcript___Data_Analysis_Intern___Nguyễn_Hoàng_Vũ.pdf"/>
        <s v="https://api.typeform.com/responses/files/67b9e14e91162e6dc26b7f01b8bf93c176ca1aafb0b0c20f3c7c2635e3a6bb2f/Transcript___Data_Analyst_Intern___Tang_Thi_Van.pdf"/>
        <s v="https://api.typeform.com/responses/files/4d07276f921cb86a8a4be214bcfce2418c2320fb662adb7287fc03329189edc1/Transcript___Unity_Development_Intern___Hoàng_Võ_Ngọc_Nguyên.docx"/>
        <s v="https://api.typeform.com/responses/files/2a74944854212f3661c3cf9503cb4073c26a704690dc8f889fbae90ae76548f7/Transcript___Data_Analysis_Intern___Hoàng_Đôn_Thiện_Hòa.png"/>
        <s v="https://api.typeform.com/responses/files/7c36e3eaab3e7620de0cee3e622097d1fb6d6164ece519f63c19c7c90ff18a84/Transcript___AI_Engineering_Intern___Lê_Hoàng_Minh_Huy.pdf"/>
        <s v="https://api.typeform.com/responses/files/0ea850431ceb5b9a26ed5ccb490aae0d55864847201071b13440eed1bf6ad7f3/IMG_1942.png"/>
        <s v="https://api.typeform.com/responses/files/521c6eee80b0ccf39cc417ed4510ee7eb317aee0a5283cad201c95971306cc1a/Transcript___AI_Engineer_Intern___Ngô_Quang_Thắng.png"/>
        <s v="https://api.typeform.com/responses/files/2151f187ae006366c5499804a53fb850071e2c6fdbcd00d2edc9a3a37a4879bf/Transcript___AI_Engineer_Intern___Trần_Thị_Cẩm_Tú.pdf"/>
        <s v="https://api.typeform.com/responses/files/77b1059b80948ab001a9c15facb8f4f6ea9b752d9c6db050777affe6b065370e/Transcript___AI_Engineering_Intern___Lê_Thượng_Đế.pdf"/>
        <s v="https://api.typeform.com/responses/files/7ae42e6d8a81297a50072a37bad597d80a492b231111de564534e8deb8486d49/Transcript__Unity_Development_Intern_Nguyen_Duy_Tam.jpg"/>
        <s v="https://api.typeform.com/responses/files/8524f2a023060951d3bdda3c6f37a9bf3dbd5dfec973dc787006b830dcde7251/Kết_quả_học_tập.pdf"/>
        <s v="https://api.typeform.com/responses/files/a5f42e616ee77c13476ef7ddc8a8224262b0fc45d3abfa80e8c35e52b2c1a743/Transcript___Unity_Development_Intern___Hoàng_Đình_Ngọc_Quang.pdf"/>
        <s v="https://api.typeform.com/responses/files/74aa6d908bf0188a41033aac4fa96a3de59c3cafc233d0a0c45de341df5a2254/Transcript___AI_Engineer_Intern___Pham_Nam_Huyen.pdf"/>
        <s v="https://api.typeform.com/responses/files/ea3f40e92803b5df1a0c80e8c0b8aeae965b4f281c3236461cc115cbe5d7aad5/Transcript___Unity_Development_Intern___Trần_Thiện_Thuật.pdf"/>
        <s v="https://api.typeform.com/responses/files/742bdce06f532f229d7c7fa2980f58d3c871ad4c3d30450c36582c089668905e/Transcript___Data_Analysis_Intern___Bui_Thi_Thanh.pdf"/>
        <s v="https://api.typeform.com/responses/files/7cc242f46afc8d4374e5851201271a718ddae19ff7d4e3d0727890cab63e4ac3/Transcript___Data_Analysis_Intern___Phan_Thị_Ngọc_Linh.docx"/>
        <s v="https://api.typeform.com/responses/files/9f1b39690d0baaea4fb9a7bf6375fd7c6a3965b2023dde4aeac1deb514b49151/Transcript_UnityDevelopmentIntern_TranQuangAnhThuan.pdf"/>
        <s v="https://api.typeform.com/responses/files/90d63a782e6397b673cf1e2d10e27d42283c3b4eb11c513cd110885f995ba336/Transcript___Game_Quality_Assurance_Intern___Nguyễn_Lâm_Nhã_Uyên.pdf"/>
        <s v="https://api.typeform.com/responses/files/81406446df5c890b20817b6f7674ddd4b6da2c97c0eb1fc090db290a995c9ac4/Transcript___AI_Engineering_Intern___Lê_Thanh_Hải.pdf"/>
        <s v="https://api.typeform.com/responses/files/9298ff89a07630e37ebb90de7b7a7ae5bc365a31e1f1cd8f601324eb8835fccb/Transcript_User_Acquisition_Intern_Tran_Minh_Tam.pdf"/>
        <s v="https://api.typeform.com/responses/files/09384fae56aa1d141c2aa820f38ce9fbe0697c2e4d8819f42f435eaabb69bb91/Transcript___AI_Engineer_Intern___Trương_Quang_Huy.pdf"/>
        <s v="https://api.typeform.com/responses/files/197754f93cca9713ea6c19e48a2c22a02674834c05d8eab9823833874ec792ca/Transcript___Data_Analysis_Intern___Nguyễn_Như_Hoàng_Tiến.pdf"/>
        <s v="https://api.typeform.com/responses/files/8f0723db20415767d8504d21be8b0c7309a7651b953e0aa754a564a3279bef5e/Transcript_AI_Engineer_Intern_Từ_Thế_Phong.pdf"/>
        <s v="https://api.typeform.com/responses/files/f613be3ab695b944a64e4885f32e0f81645b190b585c14ee85e928d5e83caada/Transcript___Data_Analysis_Intern___Nguyễn_Ngọc_Anh_Thư.pdf"/>
        <s v="https://api.typeform.com/responses/files/e0aeb0d7481c48e06cbd8560e3541a1c6275c68d0440c3650669448a39b43d7f/NhanNguyenPhuc_Transcript.pdf"/>
        <s v="https://api.typeform.com/responses/files/b67f04fc03f821214d8192accd9134ded95094e00bbbf2d1fb2aafbe33bb8ec5/Transcript___Data_Analysis_Intern___Nguyễn_Tân_Niên.pdf"/>
        <s v="https://api.typeform.com/responses/files/d43d6618e5631e482db10f51767dc7c5dc6e44fb8cc711c6083ca05c6bec3089/Transcript___Data_Analysis_Intern___Lê_Quốc_Đạt.png"/>
        <s v="https://api.typeform.com/responses/files/2f8b61f84bfc34b01fc0cf2cd47a80a9a291f1fc97bf4a7dc3063b41b959fa3d/Bảng_điểm__FPT_Polytechnic.pdf"/>
        <s v="https://api.typeform.com/responses/files/4ed4c03c22e38db4bfdf607843257ae9c74b89baa25c800f303868f53c3361eb/Transcript___AI_Engineering_Intern___Lê_Quốc_Anh.pdf"/>
        <s v="https://api.typeform.com/responses/files/b2d00d4cc3dae58521f49d91d21e70d0c73d1be3c4354fa4f5eb26253e1b3249/Transcript___AI_Engineer_Intern___Hà_Tuấn_Anh.pdf"/>
        <s v="https://api.typeform.com/responses/files/47ad1bccc0d96235ea0cea7788d1a4325c308b8090bf30e67ddf6982ddd6208f/Transcript___Unity_Development_Intern___Nguyễn_Hoàng_Nhựt_Minh.pdf"/>
        <s v="https://api.typeform.com/responses/files/b8f952efdb4391ab6c9f176cbe504e32ec4920c33540f54b8e9ae7ddbd23cfe8/Transcript___Data_Analysis_Intern___Nguyễn_Đỗ_Bảo.pdf"/>
        <s v="https://api.typeform.com/responses/files/54ddf9056a21b942eaefce0c49985ea288988b8770f9c1c9cb3f00ffb4bdd2de/Transcript___Unity_Development_Intern___Lê_Đức_Ngọc_Bảo.pdf"/>
        <s v="https://api.typeform.com/responses/files/550fa4c9cc9d642447388b1d66ee638c31c525971e78c3ee1eb4088c7101787e/Transcript___Unity_Development___Trần_Duy_Anh_Khoa.pdf"/>
        <s v="https://api.typeform.com/responses/files/fe7e058a2298da1de241d20580e2e35bfc3b9750bbfe7ee1ab653978d205ea3b/Transcript___Data_Analysis_Intern___Trần_Gia_Bảo_Anh.pdf"/>
        <s v="https://api.typeform.com/responses/files/6f0ca83af989a79567b3a77bf984a701bc6da54104605cc700804eda7253bd7a/bangdiem.pdf"/>
        <s v="https://api.typeform.com/responses/files/32a39f2241d205e2501fd82b9c0e9d929733317670a5a619458cad22954c4171/Transcripts___AI_Engineering_Intern___Phan_Đình_Thái.pdf"/>
        <s v="https://api.typeform.com/responses/files/f45b99150e6efe4fea979401ceddf1ffadcb0ae92e9b36c1337bd498bc1c231c/Transcript___AI_Engineering_Intern___Nguyễn_Hoàng_Anh_Tuấn.jpg"/>
        <s v="https://api.typeform.com/responses/files/87a3aff02bcaebfc6e087ffad7f8fb10719c4c0a29df83bb9e54e59330e51c9e/Transcript___Unity_Development_Intern___Nguyễn_Hiếu_Thuận.pdf"/>
        <s v="https://api.typeform.com/responses/files/5613931a0bdc98fdc21b76b3f228a064f1d2e732917696f89c19f5b8b659fefc/IMG_1543.jpeg"/>
        <s v="https://api.typeform.com/responses/files/aec9ee77beb60ce0615124d212aa8d38203db7389e67ebca493c86f6b27aaa81/NguyenHungPhat_Academic.pdf"/>
        <s v="https://api.typeform.com/responses/files/6be9ec4d71904347ff7f5f8e5faab8d1dbb6e7d05e2054f9b7dac2e952d52196/Transcript___AI_Engineer_Intern___Nguyễn_Đình_Quân.pdf"/>
        <s v="https://api.typeform.com/responses/files/d2fb59e96097f4cbcb9aea592b0050d4cbf111b712534a2d71cf235e92dc1a72/Transcript___Quality_Assurance_Intern___Ngô_Thế_Đạt.pdf"/>
        <s v="https://api.typeform.com/responses/files/dc696662f8d3c56da2eb98a90c6777b9992dbdb528117317daab4cc22e00f60f/Transcript___Unity_Development_Intern___Âu_Gia_Quốc.html"/>
        <s v="https://api.typeform.com/responses/files/5352a89c3743e0d2f3725ba577d2859171a2860d5aa98a7f06bb8a861c505249/Transcript___Data_Analysis_Intern___Hồ_Sỹ_Kiên.pdf"/>
        <s v="https://api.typeform.com/responses/files/9d8f722770ab7e9e7658e3298b03ffc1f2f0765545b34d517d7d18a085d48a28/Transcript___Game_Design_Intern___Nguyễn_Trọng_Tín.pdf"/>
        <s v="https://api.typeform.com/responses/files/5358e3fde437753098e705cbbb88ec8a2e702bf7aa294d246d619535854da0b5/Transcript___Game_Design_Intern___Lê_Đức_Ngọc_Bảo.pdf"/>
        <s v="https://api.typeform.com/responses/files/637adfdcf93d4883a6bdfe068955bf91165fb75068794f639548b124baa11c1f/Transcript___Unity_Development_Intern___Dương_Gia_Huy.pdf"/>
        <s v="https://api.typeform.com/responses/files/07fa7e9427a4a1a7e897996fd548bab714719251e83863e62d46d15088dc7b62/Transcript_Game_QA_Tô_Duy_Hào.xlsx"/>
        <s v="https://api.typeform.com/responses/files/a1a8f11bf017dc3d8f86e64e4976d1f22ca2d63c970f33bd1b7bef8859c25ac3/Transcript___Game_Quality_Assurance_Intern___Tran_Thien_Phuc.jpg"/>
        <s v="https://api.typeform.com/responses/files/bb7d872711fb2c4a3b9767e4c9f87c1e1c8cc0305614aa3fa461f5b71309ebf2/Transcript___Game_User_Acquisition_Intern___Nguyễn_Hoàng_Quân.pdf"/>
        <s v="https://api.typeform.com/responses/files/dd321eee0cdcba6e3d2f48f539481a837df44e45e6bda0b46ea2ff5d7edbb5ec/Transcript___AI_Engineering_Intern____Nguyen_Le_Son.pdf"/>
        <s v="https://api.typeform.com/responses/files/3ce1249212233c7d69981dd589f5f573ffd57263db14e8b653dd72b32a185134/AcademicTranscript_KhueNguyenBich.pdf"/>
        <s v="https://api.typeform.com/responses/files/afa155bc62564592555b7c202a6e91e55de540654a954279413f986bc3554527/Transcript___Game_Quality_Assurance_Intern___Nguyễn_Thành_Khang.pdf"/>
        <s v="https://api.typeform.com/responses/files/829189505b46f30fe22953c4f239e2dc0d5fe5289cb642fc4501ea50456e5d77/inbound7099643817910465525.pdf"/>
        <s v="https://api.typeform.com/responses/files/4a6be9bb88c7b60a0910532c6a3914e20d8329cdd34d6e55949611f4f40761d5/Transcript___AI_Engineer_Intern___Nguyễn_Tấn_Lộc.pdf"/>
        <s v="https://api.typeform.com/responses/files/b5b106888e92ab7a05ea091336dba9f6cff14c521207973d404bae7c0943376d/Transcript___Human_Resources_Intern___Nguyen_Vu_Tuong_Vy.jfif"/>
        <s v="https://api.typeform.com/responses/files/3e93766e103d8b3b8c6e021a6dfba8ef7efbdc4a0a482b483693a3b715ff5b70/Transcript___Game_Designer___Trần_Thị_Minh_Vi.pdf"/>
        <s v="https://api.typeform.com/responses/files/419b31d98ea0765c6bb256fbbb518f38b69e7d8229d9e7e6bde6bb5a7bddc367/Transcript___AI_Engineer_Intern___Nguyễn_Minh_Trí.pdf"/>
        <s v="https://api.typeform.com/responses/files/47d292cd67ef44255db66d905e40a4d204b201bb0686a4c5363ac1d48b9f46aa/Transcript___Unity_Development_Intern___Mai_Xuân_Hưng.pdf"/>
        <s v="https://api.typeform.com/responses/files/171f51003ca98f221610d69e5129407cb375635c01a0e289abdb91bde32fa7ab/Transcript___Unity_Developer_Intern___Duong_Khanh_Nguyen.png"/>
        <s v="https://api.typeform.com/responses/files/0edb1749d9364d57be5803c36ce6d7561a382104c757209d6dc51f43ac3bfbf3/Transcript___AI_Engineering_Intern___Võ_Nguyễn_Thảo_Uyên.pdf"/>
        <s v="https://api.typeform.com/responses/files/dd6850e19856682ebf44057545d6322d95f861ef2526e22a64bae0e19d093ff2/Transcript___Data_Analysis_Intern___Võ_Ngọc_Duy.pdf"/>
        <s v="https://api.typeform.com/responses/files/104146cfb9d015572da096b40f36448996ab731e27af56d82f0d3977b8fe15d7/Transcript___Unity_Developer___Trần_Khôn_Chí.pdf"/>
        <s v="https://api.typeform.com/responses/files/7ad1ccd86e7e758cf60802d137c2e843f679ab855928239a7616187eff95b299/VoThanhTrong_DEV_TR.pdf"/>
        <s v="https://api.typeform.com/responses/files/b206e0a89747338c2a5b729ffc40a9da8889e0ccf3ebaf6fa079c84017dc7463/Transcript___Data_Analysis_Intern___Nguyen_Tran_Phuc_Dat.pdf"/>
        <s v="https://api.typeform.com/responses/files/f3eda4832cd42aefcc15cd2104adaefb78f96fefe1570de2a1173bcf0a7f15c6/Bảng_điểm_Dương_Văn_Thắng.pdf"/>
        <s v="https://api.typeform.com/responses/files/7fcaa11cf3266082eb0e529d1bb8b29b128b18bee045c6eebefb260659db794e/Academic_Transcripts___AI_Engineer_Intern___Trương_Trí_Khải.pdf"/>
        <s v="https://api.typeform.com/responses/files/165fbcdfb164b40d39daf9b593b24a781d230a8df9b4d54b85b2dadf34eabd82/Transcript_AI_Engineer_Intern_Đào_Thiên_Phú.pdf"/>
        <s v="https://api.typeform.com/responses/files/561fc1159a8a6412a3f1dbc31e47cda22a0c9f165e37d26e35fededdc73bdd43/Transcript___Data_Analysis_Intern___Thái_Hữu_Thọ.png"/>
        <s v="https://api.typeform.com/responses/files/8acae817e1ae986900dd890dafccdf7d4b623aff6f992238edd5acda50e49026/Transcript____Unity_Development_Intern___Huỳnh_Tuấn_Phong.pdf"/>
        <s v="https://api.typeform.com/responses/files/a1b4328c0d4ac7939b300fcfa947c95ad2c62df6d5992cf44a5c9067b4343010/Transcript___Data_Analysis_Intern___Trầm_Hữu_Nhân.pdf"/>
        <s v="https://api.typeform.com/responses/files/c52c7584d7f69ffe90f9194148ce56e6774e22f2cd54dc0dabd042de6235f159/Transcript___Game_User_Acquisition_Intern___Đỗ_Nhật_Hạ.pdf"/>
        <s v="https://api.typeform.com/responses/files/eeec9d081944778f629be8ffa2a8b6b505e1ebbb5319150a3c1cbd7a1d13b537/Transcript___Game_User_Acquisition_Intern___Trương_Việt_Hoàng.pdf"/>
        <s v="https://api.typeform.com/responses/files/c066cc4dd02a9cecc16c6d42e4009f0c3e9c0b3585bb8a697836fbaffeb8be25/Unity_Developer_Intern_Ngô_Gia_Thịnh.xlsx"/>
      </sharedItems>
    </cacheField>
    <cacheField name="Have you had any game-related or job-related experience before (personal project/coursework/competition…)?" numFmtId="0">
      <sharedItems>
        <b v="0"/>
        <b v="1"/>
      </sharedItems>
    </cacheField>
    <cacheField name="If yes, please briefly describe your roles and the project outcomes" numFmtId="0">
      <sharedItems>
        <s v="Tôi chưa có kinh nghiệm trong dự án game"/>
        <s v="I have experience as a Data Analyst Intern at OFI Vietnam, where I built Power BI dashboards for QC monitoring, enabling faster issue detection and improving data consistency through automation. &#10;In my Social Media Ads Analytics project, I built ETL pipel"/>
        <s v="Đã từng thực tập ở một công ty game, vị trí thực tập là Playable Ads Developer. Vị trí này đảm nhận công việc xây dựng và thiết kế quảng cáo mà cho người dùng tương tác. Kết quả là mình đã tạo được 2-3 quảng cáo cho công ty.  Ngoài ra còn có dự án làm gam"/>
        <s v="1.Mình có khoảng 3 năm học làm việc với Unity. ( các dự án mình đều tự làm ).Từng đi phỏng vấn và pass vòng technical ở vị trí Middle Unity Developer tại Tech Anatomy Studio. &#10;2.Có 2 đồ án game mình làm trên trường ( đồ án cơ sở và đồ án chuyên ngành ) và"/>
        <s v="Lên kế hoạch phát triển dự án game cá nhân nhỏ hoặc 1 prototype về tựa game muốn làm.&#10;Sưu tầm, chỉnh sửa asset game để đưa vào unity.&#10;Tiến hành code theo kế hoạch đã đề ra từ các bước tạo object, animation từ các asset trước đó, cấu trúc folder, code và c"/>
        <s v="Tôi code chính,design,quản lí dự án trong các Dự án 2d/3d"/>
        <s v="Đối với dự án BarbarQ2 (Tại Gihot Studio)&#10;Vai trò: Game Design Intern.&#10;Kết quả: Nắm bắt quy trình thực tế, trực tiếp tham gia thiết kế chức năng và hoàn thiện tài liệu GDD cho các thành phần mới của game.&#10;Đối với dự án Veggie Heist (2D side-scrolling)&#10;Vai"/>
        <s v="Em đã hoàn thành tốt 3 dự án môn học , 2 dự án môn học em là nhóm trưởng và 1 dự án em là thành viên và kết quả trung bình của 3 dự án trên là 8 điểm."/>
        <s v="Tôi có kinh nghiệm 2-3 năm làm việc trong vị trí Developer, và đa số là dự án về puzzle và hyper, 2D, 3D. Đã từng tích hợp với SDK, ADs và IAP, có kinh nghiệm public game trên store."/>
        <s v="Mình có kinh nghiệm thực tập tại studio nhỏ về việc Tester game viết báo cáo lỗi.và các tính năng nâng cao khác dựa theo Design"/>
        <s v="Em chủ yếu phụ trách thiết kế map, UI/UX, xây dựng gameplay cơ bản cho player và lựa chọn SFX.&#10;&#10;Dự án được đánh giá cao, và có tiềm năng phát triển đây là những lời mà giảng viên và giám khảo đánh giá dự án em tham gia ạ."/>
        <s v="No"/>
        <s v="During my academic years, I worked as a Game Designer(main role) and Game Developer on a project that won an honorable mention at a game competition organized by FPT Polytechnic. On the professional side, I took on the same roles and successfully delivere"/>
        <s v="Mình từng làm qua một số dự án cá nhân và công ty với các công việc như sau: xây dựng hệ thống Inventory, Quest System và Popup UI cho game RPG và Tower Defense. Thiết kế tài liệu GDD (Game Design Document) mô tả chi tiết gameplay loop, progression, và UI"/>
        <s v="những dự án indie của bản thân, và là lead của các nhóm tại trường"/>
        <s v="Chưa có"/>
        <s v="A Super Mario game with C++ and SFML and ECS architecture (10/10 score for Final Exam)"/>
        <s v="I developed a classic Breakout arcade game in C++ by designing a modular game engine architecture built on core OOP principles including encapsulation, inheritance, and polymorphism. Also, I implemented real-time collision detection between ball, paddle, "/>
        <s v="N/A"/>
        <s v="At Neurond Technology JSC, I worked as an AI Engineer Intern/Probation, where I developed a full-stack internal AI chatbot platform powered by LLMs to internal usage and task automation. I also conducted LLM evaluation to optimize performance, cost, and l"/>
        <s v="Beta game tester: testing gameplays and events before the patch is officially released"/>
        <s v="Vai trò của em trong đồ án game là: biên kịch, 2d artist, 2d animation, UX UI.&#10;Kết quả môn đồ án game: được hội đồng đánh giá tốt và nhận được con điểm 8"/>
        <s v="Em từng tham gia làm 1 tựa game kinh dị đơn giản lúc còn ở trên trường nhưng lúc đó kỹ năng còn hạn chế nên được 6.9 điểm ạ. Em có cơ hội được làm thử test Game Designer Intern bên VNG nhưng kết quả không đậu ạ."/>
        <s v="Chưa từng"/>
        <s v="Lập trình và tạo một tựa game cơ bản thể loại FPS và 2D Platforms cho các môn Software project (1,2,3) và được điểm khá cao lần lượt từng project là 8.5, 8 và 7"/>
        <s v="I don't have any personal projects related to the game industry yet, but I would be happy to learn and apply my knowledge in this field."/>
        <s v="I haven’t had the opportunity to work on related projects yet, but I’m highly interested in this field and eager to learn and gain hands-on experience."/>
        <s v="None"/>
        <s v="Bài tập làm game pvp bằng server socket sử dụng c#"/>
        <s v="Dự án gần đây nhất của em là capstone project để tốt nghiệp. Em làm nhóm 2 người. Ngoài phụ trách phân công, lên kế hoạch, em phối hợp lên ý tưởng gameplay, thiết kế feedback UI, cut scene trong game. Ngoài ra, em cũng xây dựng 1 vài hệ thống quản lý game"/>
        <s v="Tôi đã thực tập tại Gihot, nơi tôi được học kiến thức nền tảng về Game Design, quy trình làm việc và các chỉ số vận hành game. Tôi cũng đã viết Game Design Document về chế độ chơi mới của game BBQ2."/>
        <s v="I have practical experience with C# through a university project where I developed a Hotel Management System using Winforms. I was responsible for implementing the business logic and managing the database. This project helped me master OOP principles and "/>
        <s v="Tham gia dự án game nhóm &quot;Xoul's Era&quot; với vai trò Game Designer &amp; Unity Developer: chịu trách nhiệm thiết kế cốt truyện, xây dựng hệ thống gameplay (chỉ số nhân vật, item), đồng thời phát triển và triển khai UI/UX trong Unity. Dự án giúp tôi tích lũy kinh"/>
        <s v="Twin Blades (Multiplayer): Tìm hiểu và triển khai cơ chế đồng bộ hóa nhân vật, AI và hệ thống vật phẩm thông qua Mirror Networking.&#10;Void Seeker (Top-down Shooter): Tự xây dựng logic di chuyển, chiến đấu và hệ thống chỉ số nhân vật (RPG stat system)."/>
        <s v="Dạ em trước đây em có thực hiện một số dự án game mobile, nhưng tiêu biểu là 2 dự án outsource do em phụ trách toàn bộ phần gameplay, UI và xử lý logic theo yêu cầu của khách hàng, phối hợp với team design để hoàn thiện game, kết quả là 2 game đã hoàn thi"/>
        <s v="Tham gia các cuộc thi vẽ do VNG - Play Together tổ chức"/>
        <s v="Dự án thực tập tại trường tôi đã tự thực hiện đề tài &quot;xây dựng AI trong lập trình game&quot;. Ở dự án này tôi đã xây dựng một game nhỏ áp dụng Behavior tree, A* cho pathfinding, KD-tree để phân hoạch không gian, AABB để phát hiện va chạm,... trên framework Mon"/>
        <s v="Đó là dự án về Maze Game. Ở dự án này em đóng vai trò cầu nối giữa logic và phần UI của game. Kết quả dự án khả quan: có giao diện người dùng trực quan, áp dụng các thuật toán tìm đường đi, thuật toán tạo mê cung."/>
        <s v="mình đã từng tham gia thiết kế một tựa game Metroidvaina trong một môn học. Trong đó, mình đảm nhận vai trò thiết kế màn chơi, luật chơi, cốt truyện và hệ thống combat. Kết quả là nhóm mình đã được 9.5/10 cho môn học đó và được nhận giải thưởng nhóm xuất "/>
        <s v="Trong thời gian qua, em  đã có kinh nghiệm 3 tháng thực tập vị trí AI Engineer tại FPT Quy Nhơn AI Center với dự án akaOCR, tại đây em giữ vai trò nghiên cứu và xây dựng giải pháp cho bài toán trích xuất thông tin hoá đơn đa ngôn ngữ và mô hình đã đạt độ "/>
        <s v="In my projects, I mainly took end-to-end roles, including designing system architecture, building AI/ML models especially LLM and RAG-based systems, and developing backend pipelines for real-world applications. The outcomes include improving recommendatio"/>
        <s v="Dạ em có tìm hiểu và thực hành một project nhỏ về mảng game. Cụ thể, em áp dụng học tăng cường (Reinforcement Learning) để xây dựng agent chơi game Dò Mìn (Minesweeper).  &#10;&#10;Trong quá trình này, em tập trung vào việc thiết kế trạng thái (state), hành động "/>
        <s v="I have experience working on small projects, including developing a few simple games using Unity when I was exploring game development. However, through that process, I realized I’m more interested in AI, so I shifted my focus and worked on AI-related pro"/>
        <s v="-Weather-based Health Consultation Chatbot - AI Developer  - Developed an AI chatbot for cardiovascular and allergy patient consultations, earning a Consolation Prize at the UIT Data Science Challenge&#10;&#10;Logo Similarity Search - AI Engineer - Phát triển thà"/>
        <s v="Em có kinh nghiệm ở vị trí data engineer intern tại Pizza 4P's như đã trình bày trong CV"/>
        <s v="Em từng làm Data Intern tại GalaxyJoy, công việc chính là hỗ trợ xử lý và phân tích dữ liệu, tạo report/dashboard phục vụ cho team. Ngoài ra, em cũng hỗ trợ các task liên quan đến data trong dự án."/>
        <s v="Em chưa có project Unity hay game dev cụ thể nào. Tuy nhiên, background của em là web development — em đã làm project website tìm kiếm việc làm, có một chút kinh nghiệm thực web development ở 1 công ty nhỏ ở Hà Nội.&#10;Từ đó em có kinh nghiệm với component-b"/>
        <s v="Hiện tại em đang có một dự án Casual Game nhỏ và vẫn đang hoạt động với một số lượng người chơi vừa phải. Em là người phát triển tính năng khi game chưa phát hành, và về sau là người cố vấn chính cũng như thu thập dữ liệu, ý kiến từ người chơi và đánh giá"/>
        <s v="I started my freshman year by coding logic and supporting UI/UX design for a C++ Tic-Tac-Toe project. Later, I co-developed &quot;Tom-Jerry Maze Solver&quot;, focusing on implementing pathfinding algorithms and dynamic maze generation within a game framework.&#10;&#10;Resu"/>
        <s v="I was involved in a project of designing and developing a running game from scratch. It was a 2D platformer endless runner. The result is a good and short game with dynamic gameplay loop that is fit for short term entertainment but with decent cognitive e"/>
        <s v="Bài tập: Sử dụng các thuật toán BFS, DFS, A* đếm tổng số đường đi để chiến thắng game Sudoku. Đây là bài tập đơn giản chỉ demo thuật toán&#10;Bài tập: Sử dụng kĩ thuật Tree of Thought + gọi API LLM để giải Games of 24 và tiến hành so sánh với các với cách giả"/>
        <s v="Trong dự án này, em tham gia xây dựng hệ thống image captioning bằng cách fine-tune các mô hình vision-language (Qwen-VL, LLaMA-Vision) trên bộ dữ liệu tiếng Việt do nhóm tự xây dựng. Em phụ trách xử lý dữ liệu, hỗ trợ huấn luyện và đánh giá mô hình. Kết "/>
        <s v="Tôi đã tham gia vào cuộc thi Game Viet Hackathon 2023. Đạt được giải sản phẩm ấn tượng. Vai trò của tôi trong dự án tôi xây dựng map trong game, lập trình những chức năng di chuyển, hành động của nhân vật."/>
        <s v="một dự án nhỏ (cỡ project môn học) về làm game trên blockchain để phổ biến 1 phương thức bảo mật mới cho các sản phẩm trên blockchain, sử dụng Phaser, MUD.DEV. &#10;Là dự án 1 thành viên."/>
        <s v="Developed a Unity-based game inspired by Vietnamese culture (“Ông Táo Về Trời”), applying data structures and algorithms to optimize object behaviors"/>
        <s v="I have developed a 2D platformer game. The game focuses on progressing through levels using movement, jumping, dashing and wall-climbing skills."/>
        <s v="Forecast routing at NinjaVan company"/>
        <s v="Em chưa có kinh nghiệm trong lĩnh vực này."/>
        <s v="Create enemy, Implementing enemy spawn, Player skill by OOP and Scriptable Object"/>
        <s v="Trong đồ án ABSA, em đảm nhiệm thiết kế pipeline dữ liệu và fine-tuning LLM Qwen3. Sử dụng prompt engineering và fine-tuning để trích xuất dữ liệu JSON, giúp tự động phân loại cảm xúc dựa trên review các sản phẩm công nghệ, giúp người dụng dễ dàng hơn tro"/>
        <s v="Video Editors and Sound Designer"/>
        <s v="I participated in a hackathon where I worked as a Backend + AI Developer. My responsibilities included building APIs, handling data processing, and integrating AI models into the system. The project successfully delivered a working prototype within a limi"/>
        <s v="Có. Trước đây em đã thực tập ở vị trí DA/DE Intern tại INTER-K JSC, nơi em hỗ trợ thu thập, làm sạch và biến đổi dữ liệu phục vụ báo cáo. Em cũng tham gia xây dựng dashboard và hỗ trợ tự động hóa ETL bằng SQL và Databricks, đồng thời phối hợp với team để "/>
        <s v="Em đã từng làm: Tech Leader trong 1 số dự án - lên kế hoạch cho phần Technical của đồ án (các mô hình cần triển khai, phân chia công việc cho các bạn), Data Engineer (thu thập và xử lý dữ liệu trước khi huấn luyện mô hình), NLP Engineer (triển khai các mô"/>
        <s v="Em đã thực hiện một dự án phân tích dữ liệu game theo thời gian thực. Em phụ trách xây dựng API, dashboard và trực quan hóa dữ liệu. Hệ thống sử dụng Kafka – Spark – MongoDB để xử lý dữ liệu từ Steam API, giúp theo dõi các chỉ số như CCU và hành vi người "/>
        <s v="Em từng phát triển các dự án cá nhân viết Bot AI thi đấu trên nền tảng CodinGame và đạt được một số kết quả:&#10;- Ứng dụng C++ và thuật toán Minimax (Alpha-beta pruning) để giải quyết bài toán Ultimate Tic-Tac-Toe, đạt hạng Gold.&#10;- Lập trình Bot Python xử lý"/>
        <s v="Tôi từng làm Data Labeling ở ThinkWare VietNam. Công việc chủ yếu là xử lí ảnh cho hệ thống lái xe tự động."/>
        <s v="Em từng tham giải &quot;Ai hiểu code AI&quot; của trường FPT polytechnic Đà Nẵng và đặt được giải 3, em nắm vai trò cho game design thiết kế gameplay và design UI/UX và DEV cho dự án đó"/>
        <s v="Đây là một game unity nhỏ để chuẩn bị cho hội trại THPT dựa theo game khủng long trên trình duyệt."/>
        <s v="Em hiện tại đang nghiên cứu khoa học về 1 vấn đề sử dụng Generative AI ở bên mảng music giúp tách âm thanh trong bài nhạc ra riêng lẻ. Em đóng vai trò là người viết và chạy proposal model, cũng như là đồng tác giả của paper đó. Hiện tại paper của  em đã đ"/>
        <s v="Developed a real-time typing game in Unity (C#) with a custom input system for low-latency keystroke validation and dynamic WPM calculation. Implemented game loop, state management, and UI, integrating visual assets and animations."/>
        <s v="Thực hiện phân tích dữ liệu (EDA) và rút trích đặc trưng trên bộ dữ liệu sinh học nhiều chiều để xác định những đặc trưng then chốt cho việc dự đoán."/>
        <s v="Vai trò của tôi là trưởng nhóm code logic cho game pikachu nối hình. Kết quả của đồ án game pikachu đó là 10. Và tôi có kinh nghiệm level design cho game puzzle Hole Em All cho công ty Lihuhu"/>
        <s v="-Cuộc thi thách thức tư duy thuật toán:&#10;+Nhóm chúng tôi làm game về tư vấn trường&#10;+Vai trò của tôi là dev chính cho toàn bộ dự án&#10;+Kết quả dự án: đạt giải nhì trong dự án đó&#10;-Các bài tập Assignment (về các game như tower defense, bắn tank online, bắn zomb"/>
        <s v="Chưa có kinh nghiệm làm việc với game"/>
        <s v="- Xây dựng matching game với các level khác nhau bằng C++ (Role: Dev)&#10;- Xây dựng Pacman game trong đó áp dụng các thuật toán search khác nhau cho các Ghosts (Role: Dev + Leader)&#10;- Dự đoán doanh thu bán hàng bằng Linear Regression. Tập trung vào EDA, prepr"/>
        <s v="CI-OCR là một Capstone project. Trong suốt thời gian project, tôi đảm nhận vai trò là một Team Leader, dẫn dắt nhóm 3 người xây dựng hệ thống OCR cho hình ảnh thành phần mỹ phẩm và tích hợp LLM để hỗ trợ người dùng mỹ phẩm nhận diện được đâu là sản phẩm p"/>
        <s v="Tôi đã từng có 1 đồ án xây dựng Pacman game, áp dụng các thuật toán dò đường cho các &quot;Ghost&quot; để bắt &quot;Pacman&quot;. &#10;Tôi tham gia phát triển các thuật toán như BFS, UCS và A* để tối ưu đường đi của Ghost. Đồng thời thiết kế các bit map để hỗ trợ dựng lên được g"/>
        <s v="design background, character, poster, anim 2d animation,..."/>
        <s v="I do not have direct game-related experience yet. However, I have worked on AI projects such as computer vision and recommendation systems, where I built models and worked with real-world data, and I am eager to learn and apply my skills in the game indus"/>
        <s v="No i don't have any game-related or job-related experience before"/>
        <s v="Vai trò của em trong dự án cá nhân: Unity Developer, Game Designer, 2D Artist. &#10;Dù project của em đang trong giai đoạn phát triển nhưng em cũng đã hiểu thêm về cách xây dựng cách cơ chế inventory, animations (idle, run, jump) cơ bản, cách fix bug khi nhân"/>
        <s v="In my projects, I was responsible for building end-to-end data pipelines (ETL), performing exploratory data analysis, and developing dashboards to communicate insights. I worked with datasets such as airline reviews, Amazon sales, and train ticket data to"/>
        <s v="Thiết kế màn chơi, giao diện người dùng và trực tiếp lập trình các hệ thống quản lý trạng thái (Save/Load)"/>
        <s v="Em sẽ phụ trách thiết kế level game Hole Em All theo các ràng buộc nhất định như theo độ khó level, thời gian chơi, phối màu cho level sao cho đẹp, dễ nhìn, sử dụng các pattern giúp tăng trải nghiệm người chơi nhưng không quá ép buộc để đảm bảo ưu tiên ch"/>
        <s v="Tôi đã độc lập phát triển game 2D platform, phụ trách toàn bộ từ việc lập trình hệ thống bằng Unity và C# cho đến thiết kế toàn bộ các Asset. Trong quá trình phát triển, tôi đã tự xây dựng hệ thống quản lý túi đồ bằng cách ứng dụng Scriptable Object để có"/>
        <s v="Vai trò: Game QA và Game Developer (Hỗ trợ). Kết quả: Đạt được mục tiêu đồ án đề ra. Đảm bảo phiên bản nghiệm thu cuối cùng vận hành ổn định, tối ưu tốt hiệu năng, không tồn đọng lỗi nghiêm trọng và truyền tải trọn vẹn thông điệp gameplay đến người chơi."/>
        <s v="I worked on a Unity game project inspired by a fruit-slicing game. I handled core gameplay mechanics like spawning objects and player input, and the result was a playable prototype"/>
        <s v="Co-Founder – Kani&#10;Led partnerships and early growth strategy.&#10;→ Secured $40,000+ in liquidity, onboarded 20 beta users, built a waitlist of 45 users, and pitched at major ecosystem events.&#10;&#10;Co-Founder – BlockUni&#10;Built and scaled a blockchain academic comm"/>
        <s v="Tôi cùng một bạn khác xây dựng AI hỗ trợ cho chẩn đoán bệnh Ung Thư Xương dựa vào hình ảnh. Tôi lúc đấy trong vai trò là trưởng nhóm, lập trình, soạn đồ án. Kết quả dự kiến là hệ thống cho ra kết quả dự đoán là khoảng 51% khi sử dụng mô hình Transformer."/>
        <s v="Đánh giá của em là em mới chỉ làm một số game cơ bản có áp dụng AI như đánh cờ, còn lại các cuộc thi thì liên quan đến computer vision, multimodal là nhiều"/>
        <s v="Em từng làm intern vị trí Business Support (full-time) tại Manpower. Vai trò chính của em là hỗ trợ các công việc admin như hợp đồng, format CV cho các anh chị Consultant. Kết quả: Trung bình 1 ngày em phải giải quyết 20 CV và 2-3 hợp đồng trong 1 tuần.&#10;N"/>
        <s v="In individual projects, I played as both the game designer and developer, and worked out playable prototypes from 1 week to 1 month.&#10;In collaborative projects, I mostly contributed to the team as a lead game developer and QA tester, and published small pl"/>
        <s v="- EcoBub (Global Game Jam 2025): I handled UI integration, audio design, and the market news-feed logic using Godot Signals. Our team successfully shipped a functioning market simulator within the 36-hour deadline.&#10;&#10;- Pikachu Matching Game (Coursework): S"/>
        <s v="I completed a Unity Developer internship where I implemented gameplay features and UI systems. I was responsible for developing and delivering assigned tasks, contributing to the completion and improvement of multiple systems in a 2D mobile game project."/>
        <s v="I don’t have any experience yet."/>
        <s v="Em lập trình cho xử lý UI, menu, xây dựng cấu trúc dữ liệu và bảng highscore. Dự án thành công và tựa game đã hoàn thành ở mức prototype chơi được với các tính năng chính (shuffling, matching, score, time-limit)"/>
        <s v="Dù chưa làm game chuyên nghiệp, em có nền tảng vững chắc và sát với yêu cầu công việc qua các dự án cá nhân:&#10;Về kỹ năng lập trình: Em đã phát triển hệ thống backend cho dự án E-commerce (Java, Spring Boot) và nền tảng AI Tech Blog. Quá trình này rèn luyện"/>
        <s v="Không có ạ."/>
        <s v="vai trò là backend dev, pentest, devops. kết quả dự án là đáp ứng  yêu cầu dự án"/>
        <s v="Em chưa có kinh nghiệm từ trước"/>
        <s v="No game-related experience yet"/>
        <s v="Trước đây em có cùng tham gia startup với vai trò là Business Analysis"/>
        <s v="Em đã làm game cờ thú trên nên web (html/js/css) là project cuối môn AI. Thì trong đó em đã thiết kế giao diện và thuật toán cho AI của game bằng thuật toán Iterative Deepening Alpha-Beta trong vòng 2 tuần. Project này là hoàn toàn from scratch không xài "/>
        <s v="Bản thân đã từng làm những dự án liên quan đến các vấn đề về dữ liệu và ứng dụng AI (học máy), vai trò chủ yếu sẽ thường là nhóm trưởng (người định hướng và giải quyết vấn đề) và là người phân tích chính"/>
        <s v="No/ Chưa từng"/>
        <s v="Trong dự án game 2D, mình đảm nhận vai trò lập trình gameplay bằng C# trong Unity, đồng thời là leader của nhóm. Mình phụ trách xây dựng cơ chế điều khiển nhân vật, xử lý va chạm bằng Rigidbody2D và tích hợp UI cơ bản.&#10;&#10;Với vai trò leader, mình phân chia "/>
      </sharedItems>
    </cacheField>
    <cacheField name="Porfolio" numFmtId="0">
      <sharedItems>
        <s v="http://113mobile.somee.com/"/>
        <s v="(Social Media Ads Analytics) https://github.com/triphamday/social-media-ads-datawarehouse  (Airline Loyalty Analysis) https://github.com/triphamday/airline-loyalty-analytics"/>
        <s v="https://github.com/nghiantrong/HorrorGame_Loop"/>
        <s v="Kênh Youtube : https://www.youtube.com/@HomemadeGames-v7y  Github:https://github.com/AnhAnIT/CombatFramework2D"/>
        <s v="https://culicoder.itch.io/shadow-dash-2d"/>
        <s v="https://github.com/Cow040606/EcoWorld"/>
        <s v="https://surl.li/qfueni, https://surl.li/bhmajq, https://surl.li/bhmajq"/>
        <s v="https://embaotoichoi.github.io/my-profile/"/>
        <s v="https://drive.google.com/drive/folders/1yPEC87Mw-r_ciPQ2hC6jdqNbwutx3KD9?usp=sharing"/>
        <s v="Đã tạm dừng được 2 năm.thực tập năm 3(2024)"/>
        <s v="https://github.com/hotaru0906/CDOnline"/>
        <s v="https://github.com/xxxmvppmn/FoodWaste-OLAP-Project"/>
        <s v="https://drive.google.com/drive/folders/1up0IN9ytXdY2yyhp9giNVKS7Kr7L0q_3?usp=sharing"/>
        <s v="Portfolio:&quot; https://www.notion.so/Project-Overview-3189f5ea2d9f80d69291f9c032848b8d?source=copy_link&quot; -- Link github: https://github.com/ShiaKhan."/>
        <s v="https://github.com/haidang0201/Shooting_Bird_2D"/>
        <s v="Chưa có"/>
        <s v="https://github.com/namkiet/SuperMario/"/>
        <s v="https://github.com/DilysT/Break-out-game/tree/main/Breakout_game"/>
        <s v="https://github.com/tdv1610"/>
        <s v="None"/>
        <s v="NDA"/>
        <s v="https://tranphuonganhjeon.wixsite.com/tranphuonganhh"/>
        <s v="https://www.behance.net/gallery/195606085/My-Portfolio"/>
        <s v="https://play.unity.com/en/games/42d2e361-a359-44e2-bea1-f47fc7822c46/adventure?zarsrc=30&amp;utm_source=zalo&amp;utm_medium=zalo&amp;utm_campaign=zalo&amp;gidzl=vewLO_t1WpJXbv1d-TcADUwPdsBlreeqfCgHPRxMWM2bp9emxDQ1DQ7DbZEvW8qqzSxBO30lU29a-yMECG"/>
        <s v="Linkedin: linkedin.com/in/dpduy, Github: github.com/DuyEz13"/>
        <s v="https://github.com/huutai-le"/>
        <s v="https://github.com/ngoncovenduoq"/>
        <s v="https://github.com/pexa8335"/>
        <s v="https://drive.google.com/file/d/1HxEtcMO8zWRfg5BxIBgA3idMNYzM_4GA/view?usp=sharing"/>
        <s v="https://docs.google.com/spreadsheets/d/1Z2sy0iIVYIgvID-2GslEQJGdTSdNt5hj/edit?usp=drive_link&amp;ouid=113921569029709747633&amp;rtpof=true&amp;sd=true"/>
        <s v="https://github.com/ZiKPham/HotelManagementApplication"/>
        <s v="https://drive.google.com/drive/folders/17Qhha8fPtMw5hK34qnOXQhIsu8JOmnhy"/>
        <s v="https://hungvu.itch.io/void-seaker"/>
        <s v="https://drive.google.com/drive/folders/1_NjdY_zSRoZhGjL-7oPmn3UvNe1fl-lr"/>
        <s v="https://drive.google.com/file/d/1hyPJPqg3cZ8XCWQd3b_Foc-AoJwjKiQ1/view?usp=drivesdk"/>
        <s v="https://anhtuong6904.itch.io/demotribe"/>
        <s v="https://github.com/ThuongHong/Maze"/>
        <s v="https://drive.google.com/file/d/1pYfORHL0BnjjR8Jp1-8pQlmgXOouYi1I/view?usp=drive_link"/>
        <s v="There is no links"/>
        <s v="https://portfolio-dsbaophuc.vercel.app/"/>
        <s v="https://github.com/auster-vn"/>
        <s v="https://github.com/chiongnaunau/FlappyBird"/>
        <s v="https://github.com/sonbui25"/>
        <s v="https://github.com/vunewbie/from-warehouse-to-lakehouse"/>
        <s v="https://github.com/Daniiislo/Flights-DW/"/>
        <s v="https://kabaxp.vercel.app/"/>
        <s v="Link game: https://pokiguard.online/. Link github cá nhân: https://github.com/CauVang3061"/>
        <s v="Radiance: https://github.com/BrdH7940/Radiance; SCALAR: https://github.com/BrdH7940/Hybrid-Event-Based-Image-Retrieval; COMPASS: https://github.com/PhamPhuHoa-23/ROOMELSA-SHREC2025; TicTacToe: https://github.com/sabertoaster/TicTacToe-HCMUS; Tom-Jerry Maz"/>
        <s v="Chưa từng"/>
        <s v="https://github.com/Ganth1811/NMLT_Project_game"/>
        <s v="https://tuttc.github.io/"/>
        <s v="https://drive.google.com/drive/folders/1LCL4HeHlAdphW9SUZO2dsfHdTaheTaeZ"/>
        <s v="https://github.com/duytammm/projectLuom"/>
        <s v="không có"/>
        <s v="https://github.com/quanghoang112/zk-game"/>
        <s v="https://github.com/CallmeAndree/UnityGame-AIProject"/>
        <s v="https://www.youtube.com/watch?v=v6HQ2pIcOXo"/>
        <s v="Bảo mật thông tin công ty không thể công khai"/>
        <s v="Em chưa có dự án liên quan đến game."/>
        <s v="https://lovely-niece-ab8.notion.site/UNITY-GAME-DEVELOPER-2d8c0afeae6780a99c82f322eaa4748e"/>
        <s v="No"/>
        <s v="https://github.com/JuzHarii/tts-on-local-mobile-device"/>
        <s v="https://f.io/7ZUiliXw"/>
        <s v="https://github.com/huyquangtruong05/AISawsn-RAG-ChatBot.git"/>
        <s v="https://www.linkedin.com/in/ti%E1%BA%BFn-nguy%E1%BB%85n-5986ba354/"/>
        <s v="Github cá nhân: https://github.com/hiIamShiba, dự án cá nhân: https://github.com/hiIamShiba/YLE-FAQ-RAG,  https://github.com/hiIamShiba/English-Vietnamese-Parallel-Sense-Tagger"/>
        <s v="https://drive.google.com/drive/folders/1oOxnmgZPdjn3_SlRv5AGaUrFVwf6v71H?usp=sharing"/>
        <s v="https://www.codingame.com/certification/ynuRgEvfKb6dEnoGjG6xzg"/>
        <s v="https://github.com/tnien/super-store-business-intelligence"/>
        <s v="https://www.linkedin.com/in/l%C3%AA-qu%E1%BB%91c-%C4%91%E1%BA%A1t-305602325/details/projects/"/>
        <s v="https://github.com/huuHoanGsr/END_GAME"/>
        <s v="Link tải game: https://drive.google.com/file/d/1oUh4t1s9FG6_NjWaEdMXfqf0lf-53TsZ/view?usp=sharing"/>
        <s v="Vì paper đang trong quá trình hoàn thành nên em không thể công khai ạ"/>
        <s v="https://play.unity.com/en/games/265201ad-a04d-439b-8106-3a636187b761/typenimalv1"/>
        <s v="https://github.com/LeNgocBao145/Project-Game-Pikachu.git"/>
        <s v="Link Portfolio: https://github.com/AnhKhoa2005"/>
        <s v="https://github.com/ball7905"/>
        <s v="https://github.com/thanhowen2005/Projects-at-University.git"/>
        <s v="https://phandinhthai012.github.io/"/>
        <s v="https://github.com/jin0507/OCR-Cosmetic-Ingredients.git"/>
        <s v="https://github.com/nguyenhieuthuan3105/Pacman_ghost_AI"/>
        <s v="https://drive.google.com/file/d/1i1xSdMWUMYGIEBJkk_ZOBPkYhxl5SEyt/view?usp=drivesdk"/>
        <s v="https://github.com/phat9824"/>
        <s v="https://www.linkedin.com/in/quannguyendinh/"/>
        <s v="No i don't have any related Portfolio or Project"/>
        <s v="https://drive.google.com/file/d/1RFKHsV3KLCpEb_9D-xduuCcAvWTo2AYW/view?usp=drivesdk"/>
        <s v="https://github.com/kienlqd1234"/>
        <s v="https://github.com/tinnguyen0706/Tower-Denfense"/>
        <s v="Xin lỗi do source, và các tài liệu liên quan là của nội bộ công ty nên không thể chia sẻ được"/>
        <s v="https://github.com/Pipi1225/Wisp-shooting"/>
        <s v="https://github.com/Shunnio/LightOfKindness"/>
        <s v="https://sweetkingdark.itch.io/clicky-crates"/>
        <s v="https://nguyen-hoang-quan-chs7460.gamma.site/"/>
        <s v="Không thể đưa link do kí kết với bệnh viện liên quan đến bảo mật dữ liệu và hệ thống."/>
        <s v="https://github.com/bichkhue23"/>
        <s v="https://vnshort.com/cw9u, https://vnshort.com/Dg9x, https://vnshort.com/YkSg"/>
        <s v="https://github.com/binhba186"/>
        <s v="https://github.com/Unlockne"/>
        <s v="Kinh nghiệm đã đính kèm trong CV"/>
        <s v="https://labeurre.itch.io/"/>
        <s v="https://github.com/tri21723"/>
        <s v="https://dreckiez.github.io/"/>
        <s v="https://portfolio.nguyendk.me/"/>
        <s v="https://github.com/vn-thaouyen"/>
        <s v="vnd.id.vn"/>
        <s v="https://github.com/Chisgamble/pokemon"/>
        <s v="trongvt.me, github.com/thanhtrongvo/BlogMernStack, github.com/thanhtrongvo/e-commerce, github.com/thanhtrongvo/SieuThiMiniWebOnion"/>
        <s v="Dạ không có ạ"/>
        <s v="github.com/ptg14"/>
        <s v="https://github.com/TruongTrikhai?tab=repositories"/>
        <s v="No game-related experience yet"/>
        <s v="https://ftes.vn/vi"/>
        <s v="https://github.com/HTuanPhong , https://github.com/HTuanPhong/Euclidean-tessellation-game , https://github.com/HTuanPhong/Animal-Chess"/>
        <s v="https://github.com/Feelitx/intro-data-science.git"/>
        <s v="https://drive.google.com/drive/folders/1VB0PCsz_L-5fXw_QNRqf-oGxcd-F0uAc?usp=drive_link"/>
        <s v="N/A"/>
      </sharedItems>
    </cacheField>
    <cacheField name="Are you willing to work full-time at least 3,5 days/week and commit to at least 3 months, starting from June 2026?" numFmtId="0">
      <sharedItems>
        <s v="Yes / Có"/>
        <s v="Em cam kết làm việc được tối thiểu 3,5 ngày/ tuần, nhưng em xin phép quý công ty đóng dấu mộc khi đến hạn nộp Thực tập cho trường, và sau đó em xin cam kết làm đủ 3 tháng như thoả thuận."/>
      </sharedItems>
    </cacheField>
    <cacheField name="Sau thời gian thực tập, bạn sẽ có cơ hội được review để thăng tiến vị trí chính thức. Bạn có thể đi làm full-time tối thiểu 3,5 ngày/tuần không?" numFmtId="0">
      <sharedItems>
        <s v="Yes / Có"/>
      </sharedItems>
    </cacheField>
    <cacheField name="*Bạn biết đến chương trình thực tập SUN.riser của SUN.STUDIO qua kênh nào?*" numFmtId="0">
      <sharedItems>
        <s v="Mạng xã hội"/>
        <s v="SUN.STUDIO LinkedIn"/>
        <s v="Mạng xã hội, TopCV"/>
        <s v="TopCV, Mạng xã hội, SUN.STUDIO LinkedIn"/>
        <s v="Mạng xã hội, SUN.STUDIO LinkedIn"/>
        <s v="Ybox"/>
        <s v="SUN.STUDIO LinkedIn, Mạng xã hội"/>
        <s v="Mạng xã hội, Facebook"/>
        <s v="Trường đại học"/>
        <s v="Trường đại học, Mạng xã hội"/>
        <s v="Recommendation from friends"/>
        <s v="Trường đại học, Mạng xã hội, SUN.STUDIO LinkedIn"/>
        <s v="Nhân viên công ty giới thiệu"/>
        <s v="bạn bè giới thiệu"/>
        <s v="Trường đại học, SUN.STUDIO LinkedIn, Mạng xã hội"/>
        <s v="Mạng xã hội, Trường đại học"/>
        <s v="Trường đại học, Mạng xã hội, TopCV"/>
        <s v="Trường đại học, TopCV"/>
        <s v="SUN.STUDIO LinkedIn, Trường đại học, TopCV"/>
        <s v="Mạng xã hội, TopCV, SUN.STUDIO LinkedIn"/>
        <s v="SUN.STUDIO LinkedIn, Trường đại học"/>
        <s v="Bạn học"/>
        <s v="SUN.STUDIO LinkedIn, Trường đại học, Ybox"/>
        <s v="TopCV, Ybox"/>
      </sharedItems>
    </cacheField>
    <cacheField name="*Tên nhân viên giới thiệu nội bộ*" numFmtId="0">
      <sharedItems containsBlank="1">
        <m/>
        <s v="Trương Anh Khoa"/>
        <s v="Mai Gia Minh"/>
      </sharedItems>
    </cacheField>
    <cacheField name="*Is there anything you would like to share with SUN.STUDIO?*&#10;_Bạn có điều gì muốn gửi gắm đến SUN.STUDIO?  _" numFmtId="0">
      <sharedItems containsBlank="1">
        <s v="Xin chào quý nhà tuyển dụng em là Duy Khanh hiện là sinh viên năm cuối của Trường Cao đẳng Giao Thông Vận Tải Hồ Chí Minh. Hiện tại em vẫn đang trong quá trình học hỏi và cũng cố kiến thức cho bản thân việc tham gia thực tập tại Công ty sẽ giúp em rất nhi"/>
        <s v="I’m genuinely excited about the opportunity to join SUN.STUDIO and contribute to data-driven product development in the game industry. I’m eager to learn, take ownership of my work, and continuously improve both my technical and product thinking skills. I"/>
        <m/>
        <s v="Mình không chỉ muốn mang đến kinh nghiệm của một Unity Developer để giúp các dự án của SUN vận hành mượt mà, mà còn muốn cùng mọi người đi tìm lời giải cho những trải nghiệm sâu sắc và tinh tế hơn. Với mình, mỗi sản phẩm tại SUN không chỉ là một ứng dụng "/>
        <s v="Em rất mong có cơ hội để làm việc tại SUN.STUDIO để được tìm hiểu và tiếp xúc với quy trình làm game thực tế mang sản phẩm đến với người chơi."/>
        <s v="Tôi là sinh viên sắp ra trường mong muốn được vị trí thực tập để học hỏi cũng như tiếp thêm kiến thức chuyên nghành,cũng như muốn gắn bó lâu dài và cống hiến hết sức mình cho quý công ty ,Xin chân thành cảm ơn quý công ty đã xem"/>
        <s v="Với tư duy của một Game Designer hiểu rõ nền tảng kỹ thuật và đã có kinh nghiệm viết GDD thực tế, em rất mong muốn được trở thành một phần của SUN.STUDIO. Em đã sẵn sàng bắt tay vào việc để cùng đội ngũ tạo ra những sản phẩm chất lượng"/>
        <s v="Em rất vui và mong muốn có cơ hội được gặp gỡ, trao đổi trực tiếp với anh chị và quý công ty để được học hỏi thêm. Em hy vọng trong tương lai gần, em có thể đồng hành và phát triển cùng quý công ty trong các dự án game chất lượng cao."/>
        <s v="Rất mong muốn được studio để mắt tới nguyện vọng của tôi, tôi rất mong bên studio sẽ gửi mail phản hồi lại. Xin cảm ơn rất nhiều"/>
        <s v="Tôi mong muốn được đồng hành và phát triển cùng Sun.&#10;Nếu được như thế tôi sẽ cống hiến hết mình cùng với những thành viên khác cùng theo chân mentor để cùng nhau bức phá. VẬY THÔI !&#10;Mình Xin cảm ơn và chúc sức khỏe !"/>
        <s v="&quot;Em không chỉ muốn tìm một nơi để thực tập, mà mong muốn được đóng góp sức trẻ vào những dự án chất lượng của SUN.STUDIO. Em tin rằng với sự kiên trì, tư duy sáng tạo và khả năng thích nghi nhanh, em có thể là một nhân tố mới đầy tiềm năng cho team. Rất m"/>
        <s v="Game design isn't just a career choice for me — it's something I committed to fully. I left my previous field to pursue this, because I realized I didn't want to spend my life doing something I wasn't passionate about. Every project I've worked on has rei"/>
        <s v="Mình rất mong muốn có cơ hội được trở thành một phần của SUN.STUDIO để tham gia vào quá trình phát triển game một cách thực tế, từ việc thiết kế gameplay, playtest đến tối ưu trải nghiệm người chơi. Mình tin rằng với tinh thần học hỏi, khả năng tiếp thu f"/>
        <s v="Mong quý công ty xem xét hồ sơ của em và cho em cơ hội, em luôn học hỏi và chủ động trong công việc"/>
        <s v="Tôi có nền tảng tư duy logic tốt, dù là bước đầu, tôi tự tin nắm vững quy trình vận hành và cấu trúc của một trò chơi. Với sự nghiêm túc và khả năng tự học nhanh, tôi tự tin sẽ thích nghi tốt với quy trình chuyên nghiệp tại SUN.RISER.&quot;"/>
        <s v="I’m eager to learn, contribute, and grow within SUN.STUDIO while bringing a proactive and responsible mindset to the team. I hope to gain hands-on experience and deliver meaningful value to your game projects."/>
        <s v="Em mong muốn được học hỏi quy trình làm việc chuẩn mực tại SUN.STUDIO và hy vọng rằng, với sự sáng tạo và năng lượng của một sinh viên năm cuối, em có thể góp phần nhỏ bé vào việc hiện thực hóa những dự án đầy tham vọng mà studio đang ấp ủ."/>
        <s v="Dạ, em mong có thể được đậu CV để có cơ hội được học tập và thử sức làm game và có thể được đóng góp cho công ty ạ. Em cảm ơn ạ."/>
        <s v="Mong có thể đồng hành cùng SUN và cảm ơn SUN đã tạo cơ  hội cho mọi người."/>
        <s v="Rất mong được hợp tác và đồng hành cùng Sun.Studio trong thời gian tới để tạo nên những tựa game chất lượng cho Gamer"/>
        <s v="Thank you for considering my application. I’m excited about the opportunity to learn and contribute at SUN.STUDIO, and I’m happy to provide any additional information if needed."/>
        <s v="Tôi rất mong muốn có cơ hội được trở thành thực tập sinh tại Sun Studio. Tôi sẵn sàng học hỏi, cải thiện kỹ năng Game Design và tích lũy kinh nghiệm trong môi trường chuyên nghiệp. Đồng thời, tôi cũng hy vọng có thể đóng góp những ý tưởng và giá trị của m"/>
        <s v="As a recent Software Engineering graduate, I am highly motivated to pursue a career in the gaming industry. I bring a strong foundation in programming logic and a proactive learning mindset. I am eager to join Sun Studio's professional environment to cont"/>
        <s v="Tôi rất mong có cơ hội được học hỏi và phát triển tại SUN.STUDIO, đồng thời đóng góp vào việc xây dựng những sản phẩm game chất lượng. Tôi luôn chủ động cải thiện kỹ năng và sẵn sàng thích nghi để mang lại giá trị tốt nhất cho công ty."/>
        <s v="Em mong muốn được học hỏi tư duy thiết kế hệ thống và cách cân bằng gameplay thực tế tại studio. Với nền tảng kỹ thuật sẵn có, em hy vọng sẽ hiểu sâu hơn về cách kết nối giữa ý tưởng thiết kế và triển khai kỹ thuật để tạo ra những trải nghiệm game cuốn hú"/>
        <s v="Dạ em định hướng theo game developer lâu dài và mong muốn được làm việc trong môi trường chuyên nghiệp để nâng cao năng lực và hiểu rõ hơn về quy trình phát triển game thực tế. Em sẵn sàng bắt đầu từ vị trí intern để học hỏi và phát triển bản thân."/>
        <s v="Em mong sẽ được đồng hành cùng với SUN.STUDIO, được góp phần và học hỏi môi trường mới những kinh nghiệm mới để đem lại những giá trị cho quý công ty."/>
        <s v="Tôi mong được đồng hành với SUN.STUDIO trong chặng đường sắp tới để được học hỏi và cống hiến sức trẻ của mình."/>
        <s v="Em mong muốn có cơ hội thực tập tại SUN.STUDIO"/>
        <s v="Nếu được mình rất mong có thể trở thành một thành viên và có thể gắn bó lâu dài với studio"/>
        <s v="I’m really excited about the opportunity to join SUN.STUDIO and contribute to real-world AI projects.&#10;I’m eager to learn, take on challenges, and continuously improve my skills while supporting the team as much as I can."/>
        <s v="I’m highly interested in working on real-world AI systems that create measurable impact, especially in areas like LLM applications and data-driven products.&#10;I would really value the opportunity to contribute, learn from experienced teams, and continuously"/>
        <s v="I’m very excited about the opportunity to join SUN.STUDIO and contribute to your products. I’m eager to learn, improve my skills, and support the team in building better and more engaging games. I hope to grow with the company and make meaningful contribu"/>
        <s v="I am truly inspired by SUN.STUDIO's journey in the gaming industry. I hope to have the opportunity to become a dedicated contributor to your team, leveraging my technical expertise to drive innovation and help strengthen the company’s position in the glob"/>
        <s v="Cảm ơn SUN.STUDIO đã dành thời gian để làm bài test này.&#10;Em biết mình đến với vị trí này mà chưa có kinh nghiệm Unity — nhưng em không xem đó là điểm yếu cố định. Em có nền tảng lập trình, em biết mình học nhanh khi được đặt vào môi trường thực tế, và em "/>
        <s v="Em mong muốn có cơ hội được tham gia cùng công ty và cùng nhau phát triển những dự án tốt nhất"/>
        <s v="As a big fan of games, I am highly motivated to apply my background in AI Engineering to enhance the development process at SUN.STUDIO."/>
        <s v="Rất vui khi được biết đến công ty ạ"/>
        <s v="Em cảm ơn SUN.STUDIO vì đã cho chúng em cơ hội để có thể có 1 kì intern nhằm trau dồi, mài dũa kiến thức liên quan đến các project thực tế."/>
        <s v="Tôi rất mong muốn được học tập và phát triển trong công ty nói chung và ngành Game nói riêng. Tôi muốn được góp công sức và chất xám vào để giúp công ty phát triển hơn."/>
        <s v="Em mong muốn được làm việc trong môi trường như SUN.STUDIO để vừa học hỏi vừa phát triển kỹ năng QA một cách bài bản. Em sẵn sàng bắt đầu từ những việc nhỏ, không ngại khó, và luôn cố gắng cải thiện bản thân để có thể đóng góp giá trị tốt hơn cho team"/>
        <s v="Cảm ơn mọi người đã dành thời gian xem xét hồ sơ"/>
        <s v="I’m eager to contribute, learn quickly, and turn real problems into practical AI solutions that bring value to your team."/>
        <s v="Hãy cho em một cơ hội theo nghề DA, kiếm việc khó quá em sắp bỏ nghề rồi"/>
        <s v="I just want to express how excited I am about this opportunity. While I am in the early stages of my career, my technical foundation, work ethic, and drive to learn are fully ready for the real-world challenges at SUN.STUDIO. I look forward to the chance "/>
        <s v="Em rất hy vọng sẽ có cơ hội được trở thành một phần của SUN.STUDIO trong kỳ thực tập tới. Em mong muốn được học hỏi từ các anh chị đi trước, trải nghiệm môi trường làm việc thực tế và dùng hết khả năng của mình để cùng team xây dựng những giải pháp tốt nh"/>
        <s v="Mình rất ấn tượng với cách SUN.STUDIO xây dựng sản phẩm và đầu tư vào chất lượng sáng tạo, đặc biệt là về hình ảnh và video. Mình mong muốn được học hỏi thêm về UA Marketing trong môi trường chuyên nghiệp như vậy, đồng thời đóng góp thế mạnh của mình về v"/>
        <s v="I’m really excited about the opportunity to contribute to SUN.STUDIO. I hope to apply my Backend and AI experience to build impactful and scalable products, while also learning from a talented team. I’m especially interested in creating solutions that com"/>
        <s v="Em rất hào hứng với cơ hội được gia nhập SUN.STUDIO và học hỏi từ một đội ngũ sáng tạo, chuyên nghiệp. Dù em vẫn đang ở giai đoạn đầu của sự nghiệp, em luôn sẵn sàng học hỏi, đón nhận thử thách và nỗ lực hết mình để đóng góp. Em hy vọng không chỉ phát tri"/>
        <s v="Em rất hi vọng được trở thành 1 phần của SUN.STUDIO, giúp cho SUN càng ngày càng phát triển hơn.&#10;Cảm ơn SUN.STUDIO đã đem lại 1 cơ hội rất lớn cho em."/>
        <s v="Em mong là sẽ có cơ hội làm việc với anh chị trong team"/>
        <s v="Em rất thích chơi game và cũng đam mê làm mảng AI/Dữ liệu nữa. Em hy vọng mùa hè này có cơ hội thực tập ở SUN.STUDIO để được tận mắt thấy một tựa game thực tế vận hành ra sao, và được làm thật, học thật từ các anh chị đi trước"/>
        <s v="Mình mong muốn được tham gia quá trình thực tập của công ty"/>
        <s v="Em rất mong muốn có được cơ hội được tham gia vào SUN.STUDIO rất muốn đóng góp các ý tưởng của mình cho những giai đoạn phát triển Game trong SUD.STUDIO"/>
        <s v="Em tin rằng mới năng lực và sự cố gắng của em thì vị trí AI Engineering này sẽ phù hợp với em. Ngoài ra, em muốn Studio là nơi đầu tiên em được làm với đam mê và xây dựng ước mơ đánh bại VNG vào một ngày nào đó trong tương lai. &quot;Đánh bại&quot; ở đây không phải"/>
        <s v="Em muốn chia sẻ rằng em đến với SUN.STUDIO không chỉ để tìm một công việc, mà là để tìm một nơi có thể biến những dòng code AI khô khan thành những trải nghiệm sống động. Em có một sự 'ám ảnh' tích cực với các chi tiết đời thực trong game và sự phản ứng c"/>
        <s v="I am very enthusiastic about the opportunity to join SUN.RISER and contribute to real Unity 2D game projects. I enjoy learning new technologies and continuously improving my Unity and C# skills through hands-on projects.&#10;&#10;I am a proactive and responsible "/>
        <s v="Hi vọng được trở thành một phần của công ty"/>
        <s v="Tôi muốn nói rằng tôi rất hứng thú với cơ hội làm việc ở SUN.STUDIO. &#10;Tôi cam kết sẽ học hỏi từ team, đóng góp hết khả năng, và cùng nhau tạo ra những game chất lượng cao mà người chơi yêu thích.&#10;Tôi sẵn sàng bắt đầu từ ngày đầu tiên và trở thành một thàn"/>
        <s v="Hi vọng quý công ty xem xét thật kỹ"/>
        <s v="Rất mong có cơ hội được tham gia SUN.STUDIO thông qua chương trình SUN.RISER để học hỏi và đóng góp trong môi trường thực tế."/>
        <s v="Tôi muốn gửi gắm đến SUN.STUDIO là tôi ứng tuyển vào SUN.STUDIO không chỉ để học mà còn để đóng góp thực sự. Tôi hiểu rằng ngành Game là một lĩnh vực mới với tôi, nhưng điều đó không làm tôi lùi bước. Với nền tảng về RAG systems, prompt engineering và AI "/>
        <s v="Tôi mong muốn được học tập và trải nghiệm những điều bổ ích thông qua quá trình thực tập ở quý công ty. Hi vọng quý công ty sẽ tạo điều kiện và cơ hội cho tôi được học hỏi nhiều hơn,"/>
        <s v="Cảm ơn đã dành thời gian xem hồ sơ của em. Em rất mong được làm việc và học hỏi từ quý công ty."/>
        <s v="I am very interested in the opportunity to learn and contribute at SUN.STUDIO. I would also like to learn more about how AI is applied in real game development workflows."/>
        <s v="I am deeply impressed by Sun.Studio’s mission to create high-impact products. I want to share that I value accuracy and reliability above all in my work. I am eager to apply my technical skills to help the team minimize risks and ensure a seamless experie"/>
        <s v="Em mong muốn có cơ hội được học hỏi và phát triển tại SUN.STUDIO, một môi trường trẻ và năng động. Em sẵn sàng bắt đầu từ những task nhỏ, chủ động học hỏi và cải thiện kỹ năng để có thể đóng góp tốt hơn cho team trong quá trình làm việc."/>
        <s v="Hi vọng được trở thành một phần của công ty và được trải nghiệm nhiều game hay ho và thú vị"/>
        <s v="Tôi hi vọng là mình có thể cùng làm việc và tích lũy kinh nghiệm với đội ngũ của quý công ty."/>
        <s v="Đến với chương trình SUN.RISE 2026, tôi rất mong muốn được tham gia thực tập để học hỏi để phát triển trong ngành này nếu có thể tôi muốn đóng góp sức mình cho công ty sau này. Mặc dù CV và GPA của tôi và đang còn chưa được đẹp mắt lắm nhưng tôi nghĩ thái"/>
        <s v="I am deeply passionate about technology and how it shapes user behavior and digital experiences. Having worked in fast-evolving environments like blockchain and digital products, I’ve developed a strong interest in building and scaling tech-driven product"/>
        <s v="Dù chưa từng có kinh nghiệm trực tiếp tham gia quá trình sản xuất Game nhưng với em Game luôn là lĩnh vực đầy tính sáng tạo và nhiều thách thức. Em thực sự khát khao được trao cơ hội thử sức tại SUN.STUDIO được học tập và làm việc để có thể đưa những kiến"/>
        <s v="Dù chưa có kinh nghiệm làm đồ án trực tiếp về Game và nền tảng Mobile, nhưng em đã có nền tảng tốt về phân tích logic và kiểm thử hệ thống phần mềm. Em mang đến SUN.STUDIO một tinh thần nhiệt huyết, không ngại cái mới và vô cùng khao khát được học hỏi ngh"/>
        <s v="Em mãnh liệt tin mình là mảnh ghép có thể bổ sung cho bức tranh công nghệ của công ty và em chỉ cần có cơ hội được chứng minh."/>
        <s v="Em mong sẽ có cơ hội được trao đổi trực tiếp với công ty về hồ sơ của bản thân và hy vọng SUN.STUDIO sẽ có một mùa internship thật thành công ạ."/>
        <s v="Thank you for considering my application. I’m excited to apply for SUN.RISER and learn from SUN.STUDIO. I really hope to have the opportunity to learn and work with the team, improve my Unity skills and contribute to the development of fun and accessible "/>
        <s v="I am highly interested in applying AI to real-world products and would love the opportunity to learn and contribute at SUN.STUDIO. I am eager to experiment, build practical AI solutions, and grow in a collaborative environment."/>
        <s v="Không"/>
        <s v="Tuy em chưa có nhiều kinh nghiệm trong việc lập trình Unity nhưng em sẽ cố gắng học hỏi liên tục để không chỉ bắt kịp với nhịp độ của studio mà còn để góp phần tạo nên các tựa game thực sự hoàn chỉnh cũng như theo đuổi đam mê của mình."/>
        <s v="Là một kỹ sư phần mềm mới tốt nghiệp, điều em muốn gửi gắm lớn nhất là sự nhiệt huyết và tinh thần sẵn sàng dấn thân. Em có nền tảng tư duy logic vững vàng, nhưng em hiểu mình cần cọ xát thực tế rất nhiều để làm ra những tựa game chất lượng. Em rất kỳ vọn"/>
        <s v="Chúc SUN.STUDIO sẽ càng ngày càng phát triển ạ!"/>
        <s v="I’m very interested in learning and contributing in a game development environment, and I look forward to the opportunity to grow my skills while supporting your team’s projects."/>
        <s v="Em thực sự nghiêm túc với định hướng Data Analyst và mong muốn được phát triển lâu dài trong lĩnh vực này.&#10;&#10;Em không chỉ tìm một kỳ thực tập, mà tìm một môi trường mà em có thể học cách giải quyết bài toán thực tế, hiểu cách dữ liệu tạo ra giá trị cho sản"/>
        <s v="Em rất mong có cơ hội được học hỏi và đóng góp tại SUN.STUDIO."/>
        <s v="Nếu có cơ hội trúng tuyển vào các vị trí thực tập sinh, em mong rằng SUN.STUDIO sẽ là nơi có một môi trường làm việc thân thiện, cầu tiến. Những mối quan hệ, trải nghiệm và giá trị mà SUN mang đến sẽ giúp bản thân em ngày càng hoàn thiện và phát triển trê"/>
        <s v="I would like to share that I am eager to learn, open to challenges, and excited about the opportunity to grow in a fast-paced environment like SUN.STUDIO. I would value the chance to contribute while developing deeper understanding of growth marketing and"/>
        <s v="Mình rất mong có cơ hội được tham gia và học hỏi tại SUN.STUDIO. Dù còn là sinh viên năm 2, mình luôn chủ động rèn luyện kỹ năng Unity và sẵn sàng tiếp thu góp ý để cải thiện bản thân. Mình hy vọng có thể đóng góp vào các dự án game 2D của công ty và phát"/>
      </sharedItems>
    </cacheField>
    <cacheField name="CV" numFmtId="0">
      <sharedItems>
        <s v="https://api.typeform.com/responses/files/af59c765842d256a6b19dda5f36acaede0803e973d05a7cc2225ee13e186418a/cv_intern.pdf"/>
        <s v="https://api.typeform.com/responses/files/04f57b802dfab7bc41f81802d0af17d1f919e526e6ab815fe4a53518b4ad2d10/CV___Data_Analysis_Intern___Phạm_Ngọc_Trí.pdf"/>
        <s v="https://api.typeform.com/responses/files/f8137e009d217a437ef2a22054dc0e91e60489c8858d10d0e02dad6f76d32896/CV_NguyenTrongNghia_UnityDeveloper.pdf"/>
        <s v="https://api.typeform.com/responses/files/e3d7fa588d5228d6f0f01b823d437afdccf75b2682b96418f290011392e551b5/CV_Game_Design_Intern_Đặng_Thế_An.pdf"/>
        <s v="https://api.typeform.com/responses/files/2625f62526c8aabc839b37a2620f1a9db363d6f1b09e54e94e7efd0890126ea6/CV___Unity_Development_Intern___Nguyễn_Công_Trung.pdf"/>
        <s v="https://api.typeform.com/responses/files/a7521ca33a5886955e0aa8cff0afd19aa2203e2a911d21f5940a315b68e2b12b/CV_UnityDevelopment_TranDoHoangTan.pdf"/>
        <s v="https://api.typeform.com/responses/files/4daf05074df1b4a5024a18ade40bd22c037f262114c891e5abdb3a44b916211e/CV_Game_Designer_Intern_Nguyễn_Minh_Khôi.pdf"/>
        <s v="https://api.typeform.com/responses/files/577976c1e3cc6d1fdc2886d246aa5060c9d02d3ceec1c8020127397cf8a58028/CV.pdf"/>
        <s v="https://api.typeform.com/responses/files/7e3eb98ce253cd0705271e5498eb8bab9be2346bd2cfe685da3d12c6e8d03d47/CV_Nguyen_Duc_Hoang_Unity_Developer__30_3_2026_.pdf"/>
        <s v="https://api.typeform.com/responses/files/8c921e90f409e99278ce56cdee988c0cffd9d215d52a29a9f835ccedc62ddb86/Dat_Tran_TopCV.vn_090426.223435__1___3_.pdf"/>
        <s v="https://api.typeform.com/responses/files/6e0e59b4dd4066f42f455ba97e234fdfbc43839efe05ad178dfce3296ca192b8/CV_GameDesignerIntern_Trần_Quốc_An.pdf"/>
        <s v="https://api.typeform.com/responses/files/9cd376e0d75c562169274163998ef74115cca7b0436aecb1c2fb0a2316338a9d/CV_Data_Analysis_Intern_PhamMinhNgan.pdf"/>
        <s v="https://api.typeform.com/responses/files/28b24fda5028b13ccff8413d5b49e1fdadfdc61a4424a7c0f17240565425da2f/CV_GameDesignerIntern_VoNguyenHung.pdf"/>
        <s v="https://api.typeform.com/responses/files/192ac2dc50e0468553f108dd56105e1e10a17de450dcd0a21fd9b39b520639e7/CV_GameDesignerIntern_TranDongKhang.pdf"/>
        <s v="https://api.typeform.com/responses/files/64ce4da0b6fb67d925246efc5d6f1308072613bfabbaa4886021db7d16f540ad/Intern_Unity_Developer_Game.pdf"/>
        <s v="https://api.typeform.com/responses/files/6535733ae0fdc68a2223741c52df68917bfbc7518ad1f173357ec356df59aacc/CV___Unity_Development_Intern___Nguyễn_Phương_Nam.pdf"/>
        <s v="https://api.typeform.com/responses/files/325a572c62882f7c0c56fec8f7042ee4997f259f608a3992d151c24b0527ef6b/KietTrinh_CV.pdf"/>
        <s v="https://api.typeform.com/responses/files/9640816c8fdd41b05a71a130941a72079f2532834fcad2cdaa68cbde0712c77f/CV___Game_Designer_Intern___NgoTrungThien.pdf"/>
        <s v="https://api.typeform.com/responses/files/49a9e551024e1fc3a04bac70d2dea38da51a0f60c8635a20913ffc3613a41f93/CV_Tran_Danh_Vinh.pdf"/>
        <s v="https://api.typeform.com/responses/files/5f7eac26ce7d1cbe704b1fe99586b7985924abda4647d6ebea0735ad7ed22139/CV___AI_Engineer_Intern___Huỳnh_Cao_Tuấn_Kiệt.pdf"/>
        <s v="https://api.typeform.com/responses/files/5ee87f8f2d3247b5a468e15d31b1fca98926d1b9dd584158ab5d9a5dd93c13e7/Nguyễn_Quốc_Anh.pdf"/>
        <s v="https://api.typeform.com/responses/files/070b9a437fbc83ce78ea18fea8be84117aacdbf91e396aef2e76913d6d16d7be/CV_Game_Design_Intern_Tran_Phuong_Anh.pdf"/>
        <s v="https://api.typeform.com/responses/files/88a085aed49d56d77e5f3182079cbae43cf34584583722ea9d2a3523b2c872f0/TranLap_Nhan__Game_Designer.pdf"/>
        <s v="https://api.typeform.com/responses/files/ed22fb6dc0590a518076fd642725fb4deb69e39610c1e81897dd15ceb6e8320c/CV___Unity_Development_Intern___Tạ_Ngọc_Minh.pdf"/>
        <s v="https://api.typeform.com/responses/files/17d2ad1e85b7684c949ba556f594153d5cbf4161272655214fd0929e43505402/CV_DuongTheKhai_GameDesignerIntern.pdf"/>
        <s v="https://api.typeform.com/responses/files/1b237672126ea08d8483a1c307f9d2ebd25c09af7bc4ebfb9028ed3e4f3aeb71/CV___Data_Analysis_Intern___Đỗ_Phú_Duy.pdf"/>
        <s v="https://api.typeform.com/responses/files/e08a3f9c1c63e15a724e0698f5dfe2ea199f57a4c35751f48908eb4c799d3cf4/CV___Data_Analysis_Intern___Lê_Hữu_Tài.pdf"/>
        <s v="https://api.typeform.com/responses/files/a1942272df9d15a4a3ed1ffefc3aeba52f22eb8709bdf6af7f5c9d5c03178d0e/CV___Data_Analysis_Intern___Nguyễn_Bình_Minh_Quân.pdf"/>
        <s v="https://api.typeform.com/responses/files/0ba3d4016feebbfded743f5ec0b0d122b935a33de8f731f54ea23da8ecded209/CV___AI_Engineering_Intern___Phan_Đức_Anh.pdf"/>
        <s v="https://api.typeform.com/responses/files/8b05c5501e635ba28fae083a6363af0c3953606e85e3c00435c6673e00ec97e0/CV___Game_Design_Intern___Nguyễn_Trương_Trọng_Hiếu.pdf"/>
        <s v="https://api.typeform.com/responses/files/fa1b15a05f5a9a637d8311a003ee947cbf5e2cbdf8cf31df14c2811c1769ae86/CV_GameDesigner_Intern_NguyenKhacKy.pdf"/>
        <s v="https://api.typeform.com/responses/files/afa1622ddb3fedbe9cc6effde4bfbb8f4eb14b1760b6b17321430f04d043059a/CV___Unity_Developer_Intern__Phạm_Thanh_Phong.pdf"/>
        <s v="https://api.typeform.com/responses/files/2fdffa75de17aa16a8fe240047e8508a7042e2e7cc5a196e8da76e94f91ef4b1/NguyenThanhHien.pdf"/>
        <s v="https://api.typeform.com/responses/files/00e4398db24a73fd2c58ca0cb2897d491ca8ed70f3c66d903e2b55344e695f72/CV___Game_Design_Intern___Vũ_Trường_Hùng.pdf"/>
        <s v="https://api.typeform.com/responses/files/26321aec4288e6e5e6b66a5a410af01356498bc768af76316192413e3ef5a791/CV___Unity_Developer_Intern___Lê_Đình_Thiện.pdf"/>
        <s v="https://api.typeform.com/responses/files/122d52c5bc08c500f19cd8caa7d4410c0454c6b1cd5146f19975607c1a8087cd/Cv.pdf"/>
        <s v="https://api.typeform.com/responses/files/a2712d76e0a6340a8747f44b67c0ccb542e2c993557b5ea321e52cf750b47418/CV___Game_Development_Intern___Nguyễn_Anh_Tường.pdf"/>
        <s v="https://api.typeform.com/responses/files/7b7232dff254e35815a10437c391022d2aa2772abdf0d0b0994574c5bf008565/CV___AI_Engineer_Intern___Luu_Thuong_Hong.pdf"/>
        <s v="https://api.typeform.com/responses/files/07a99ccdb8398dbd6eafa8a72d0489ae9d3c4eaf2139e3241422268a5d51cee9/DinhThanhTung_CV_en_GameDesign.pdf"/>
        <s v="https://api.typeform.com/responses/files/1216a8acc2c4d79fe949167e880b1faabf4615e4c4dc0cf49ba35b1fd1b31ccf/CV___AI_Engineer_Intern___Phạm_Anh_Huy.pdf"/>
        <s v="https://api.typeform.com/responses/files/e9c62ce0a86826510e7d79f55ca1d628853b21a1e1c710ea3f51667d73b90ac1/CV___AI_Engineering__Data_Analysis___Trần_Bảo_Phúc.pdf"/>
        <s v="https://api.typeform.com/responses/files/a7e5e7ee3c242d865764ce22dd88e380b32805a768acefe8d8dc49374de3b09b/CV__AI_Engineering_Intern___Tran_Chau_Phu.pdf"/>
        <s v="https://api.typeform.com/responses/files/c082a25d5847ac6afe84941809691831cec07785b03ed5814f9f567dac054704/CV___AI_Engineering_Intern___Lê_Huỳnh_Nhật_Hưng_.pdf"/>
        <s v="https://api.typeform.com/responses/files/33b5ec23244c33f18529037b24f433283cb2fcee03255e79ae604e6862b5fff9/CV___AI_Engineering_Intern___Bùi_Trương_Thái_Sơn.pdf"/>
        <s v="https://api.typeform.com/responses/files/51978201fbd73caf36fa7569a5e49fabddce41a7fe129938d7f366190f818773/CV___Data_Analysis_Intern___Nguyễn_Hoàng_Vũ.pdf"/>
        <s v="https://api.typeform.com/responses/files/fe49c1215d88cda299c1fae7b1b00f72a205be6b86a134e8e5814bde4c3d65ce/CV_Data_Analyst_Intern_Tang_Thi_Van.pdf"/>
        <s v="https://api.typeform.com/responses/files/6afb456be1ae90bf17ea2b627a06972f118a821868a18fe73e66d125e43b4a28/CV___Unity_Development_Intern___Hoàng_Võ_Ngọc_Nguyên.pdf"/>
        <s v="https://api.typeform.com/responses/files/69a382b14fe3d1beff1f534018860474017cfe6d5844b20326edde33aba1e49d/CV___Data_Analysis_Intern___Hoàng_Đôn_Thiện_Hòa.pdf"/>
        <s v="https://api.typeform.com/responses/files/0e80c5146b919565afa7a640844aac47e7324536f9bec95713427c5909165e0d/CV___AI_Engineering_Intern___Lê_Hoàng_Minh_Huy.pdf"/>
        <s v="https://api.typeform.com/responses/files/1a18997f6512b37b45535bdc5867b79369906360da49e91633221911cf34e1d8/Tran_Tuong_Vi___Human_Resources_Intern.pdf"/>
        <s v="https://api.typeform.com/responses/files/d33197ef617e2a04f5469121f98f7c529a7fafd018233673286bf2c57eeafb62/Ngo_Quang_Thang___AI_Intern_CV.pdf"/>
        <s v="https://api.typeform.com/responses/files/c5080d11f4e19ba5fded75a8d5709c8b111aa5f0a28985b843fdcca32becb287/CV___AI_Engineer_Intern___Trần_Thị_Cẩm_Tú.pdf"/>
        <s v="https://api.typeform.com/responses/files/47e336659677080dc6b9ac08aca17651a8d5ce4b2229b649c0e781e8dae0e234/CV___AI_Engineering_Intern___Lê_Thượng_Đế.pdf"/>
        <s v="https://api.typeform.com/responses/files/49995bdf4a8f02ba96d24d8f7be9e294d1ed22a4fb142cc0b2e3ad38e792268e/CV__Unity_Development_Intern_Nguyen_Duy_Tam.pdf"/>
        <s v="https://api.typeform.com/responses/files/466950a48ead7c1cebe67525b70331b25c7084c3d9d9bf7a330f04c8965dea56/NguyenThanhDat_CV_FE.pdf"/>
        <s v="https://api.typeform.com/responses/files/913a9844eb0d0cfb1ae0c26fd6a1caf74a015ab7792709f4b3311cd20d6c6050/CV___Unity_Development_Intern___Hoàng_Đình_Ngọc_Quang.pdf"/>
        <s v="https://api.typeform.com/responses/files/33b80cc0fce962c044c2de751057b7dc15bf5b9263d18d45f96b58cdf3ac606c/CV___AI_Engineer_Intern___Pham_Nam_Huyen.pdf"/>
        <s v="https://api.typeform.com/responses/files/f450780c1f800b2a08270cda5b1a49e500431947ff5903b2ef01d3c000e5a2c2/CV___Unity_Development_Intern___Trần_Thiện_Thuật.pdf"/>
        <s v="https://api.typeform.com/responses/files/55ae2bf19e92aba997f01186ab6d7c0afbc476e5d9e3e02a13fdc450c74e3666/CV___Data_Analysis_Intern___Bui_Thi_Thanh.pdf"/>
        <s v="https://api.typeform.com/responses/files/e436ba5505db080cded0e76331bb1219c9c3eb09ec21cf048a1d4581fd4dfb15/CV___Data_Analysis_Intern___Phan_Thị_Ngọc_Linh.pdf"/>
        <s v="https://api.typeform.com/responses/files/d7ccb550fb196ca2f07156fea9eee62a8523a116e7634b54c1cf1e26839ae92a/CV_UnityDevelopmentIntern_TrầnQuangAnhThuận.pdf"/>
        <s v="https://api.typeform.com/responses/files/ab0fcb15ceb6a2d22635d729a28cba208409937025a6f2014006d56079d8e6ec/CV___Game_Quality_Assurance_Intern___Nguyễn_Lâm_Nhã_Uyên.pdf"/>
        <s v="https://api.typeform.com/responses/files/39dc45b2d6992ec65df1265ec3929705877f63942dd9ffb9db922ff7f448b4cf/CV___AI_Engineering_Intern___Lê_Thanh_Hải.pdf"/>
        <s v="https://api.typeform.com/responses/files/9db784c49df225d52ff3b4115379a148cd369806c5636ecc49aa8eb1a0dbe8f5/CV___UA_Intern___Trần_Minh_Tâm.pdf"/>
        <s v="https://api.typeform.com/responses/files/f17fde5ed2b5519b66aefc220a7efb429aa3d89216388717c8e495f7915fabfd/CV_TruongQuangHuy_AI_Intern.pdf"/>
        <s v="https://api.typeform.com/responses/files/1a94eb35f04f92e9c435cd2b3226af21c8d29d300e63893f531e986985a407f8/CV___Data_Analysis_Intern___Nguyễn_Như_Hoàng_Tiến.pdf"/>
        <s v="https://api.typeform.com/responses/files/f91d3b6d05bb1cf5873b04cd9e4d8a02b6a45de2dd14c6a956a3aa72b633570d/CV_AI_Engineer_Intern_Từ_Thế_Phong.pdf"/>
        <s v="https://api.typeform.com/responses/files/2fffe136de9f5b906fd23d09092e8d4567853ffa591c1ce3f988f7fce539c937/CV___Data_Analysis_Intern___Nguyễn_Ngọc_Anh_.pdf"/>
        <s v="https://api.typeform.com/responses/files/d7ef40376f3826cc31e6ec7cc59d299e8af13fe3a65ec5f6226cb2229d5fa39f/NhanNguyenPhuc_CS.pdf"/>
        <s v="https://api.typeform.com/responses/files/e585125ecfd69f5a7e95eb54452bea045138b07b338bd298099ccf75a6dcda62/CV___Data_Analysis_Intern___Nguyễn_Tân_Niên.pdf"/>
        <s v="https://api.typeform.com/responses/files/1f736557a29312c6c137020feae6d2f476cd583cf46334a419b7b0f27358df7c/CV___Data_Analysis_Intern___Lê_Quốc_Đạt.pdf"/>
        <s v="https://api.typeform.com/responses/files/2de0c188b99fb08f9574efd35b5a69d718f391ff738650e8490d6cc642170ffb/CV_BuiHuuHoang_GameDesignerIntern.pdf"/>
        <s v="https://api.typeform.com/responses/files/bd8837fc08d2de6a717f6ea596ee2c18c009fe995ade8cdffee7846b2ef92f5a/CV___AI_Engineering_Intern___Lê_Quốc_Anh.pdf"/>
        <s v="https://api.typeform.com/responses/files/201cfda18c6a2ac7481ac727cbfbf9acea0695e9e49e491c71b7787bfa4b484d/CV___AI_Engineer_Intern___HaTuanAnh.pdf"/>
        <s v="https://api.typeform.com/responses/files/d914454b06e295b1494f5751301f86f65c896e259443a1516a3df3f18cf4b925/CV___Game_Development_Intern___Nguyễn_Hoàng_Nhựt_Minh.pdf"/>
        <s v="https://api.typeform.com/responses/files/df74df34cce58e0508bbfaf80b7b0c65b0befd6e4c7bc95b76218b1bd4320916/CV___Data_Analysis_Intern___Nguyễn_Đỗ_Bảo.pdf"/>
        <s v="https://api.typeform.com/responses/files/c71055fd22a8a3aed3133a94e1fa1d02abc143b273777e1ee54743c876bfb166/CV___Unity_Development_Intern___Lê_Đức_Ngọc_Bảo.pdf"/>
        <s v="https://api.typeform.com/responses/files/83f68021392f2dfec9c4ed45da9356bea5c83c8f9d1203f1242e51e15034d923/CV___Unity_Development___Trần_Duy_Anh_Khoa.pdf"/>
        <s v="https://api.typeform.com/responses/files/5fbac08faa6986638bbdaa77be3362f395b7a5432f0b5f0f7dc9af7098525994/CV___Data_Analysis_Intern___Trần_Gia_Bảo_Anh.pdf"/>
        <s v="https://api.typeform.com/responses/files/3a6acd6d4f4767f4f6e166c2c181a8ddce7024092f9202d14549ab84bd7a9bd0/CV___AI_Engineer_Intern___Nguyen_Thanh_Owen.pdf"/>
        <s v="https://api.typeform.com/responses/files/ee0dd682bb1d771392c8eb91ba1ed3cfe9f368026e14433af0d78829e461f8dc/CV___AI_Engineering_Intern___Phan_Đình_Thái.pdf"/>
        <s v="https://api.typeform.com/responses/files/2f89cded93fd97744b80dd6ac511ca22cfd52eda910d93696bcb30beb2f11a1d/CV___AI_Engineering_Intern___Nguyễn_Hoàng_Anh_Tuấn.pdf"/>
        <s v="https://api.typeform.com/responses/files/13ce1c138308c19e310ea2f0e1b72e024da1faca71de2034d5f5855655e7f4de/CV___Unity_Development_Intern___Nguyễn_Hiếu_Thuận.pdf"/>
        <s v="https://api.typeform.com/responses/files/315a712f04491fb9709779bd6bbd3d94d46fb1bfc745cb8d9ba733cad569c785/cv.pdf"/>
        <s v="https://api.typeform.com/responses/files/3c6a52aa01e5a74e1c7916912deed381030556df188e16cb493301cc5c04b70c/CV_Nguyen_Hung_Phat.pdf"/>
        <s v="https://api.typeform.com/responses/files/f5bf755277ab2ea133a66c36a4d97eb480b102d604bca6e2509ef5b40d82a528/CV___AI_Engineer_Intern___Nguyễn_Đình_Quân.pdf"/>
        <s v="https://api.typeform.com/responses/files/595deea966c478bd9aa0278e4b89a07d0d466ff734da064ecc46364c044d03e3/CV___Quality_Assurance_Intern___Ngô_Thế_Đạt.pdf"/>
        <s v="https://api.typeform.com/responses/files/842c0863455320e109ac433218682c262ea07b21c249d8e0f2330ad5bab3d5c1/CV___Unity_Devolopment_Intern___Âu_Gia_Quốc.pdf"/>
        <s v="https://api.typeform.com/responses/files/0d4d5686a239a28813bcfe7058dbab979db88faf416caae9a78d2262ff2b4420/CV___Data_Analysis_Intern___Hồ_Sỹ_Kiên.pdf"/>
        <s v="https://api.typeform.com/responses/files/e6571cb60e20ddab94c5b18644fb3f3d9665fc71536be8324341e07f09873f2b/CV___Game_Design_Intern___Nguyễn_Trọng_Tín.pdf"/>
        <s v="https://api.typeform.com/responses/files/9145a98dbead25c9c7392f20b4dceb14aebe27481534db4732d8e5e54ec4ea07/CV___Game_Design_Intern___Lê_Đức_Ngọc_Bảo.pdf"/>
        <s v="https://api.typeform.com/responses/files/b22b62d34cf4248ceb57a2c17b614e85489e4e40a05eb76403846505e5e5364f/CV___Unity_Development_Intern___Dương_Gia_Huy.pdf"/>
        <s v="https://api.typeform.com/responses/files/2f23e7ae5d672b69707c0992cb576fbac8809937fc2b281696a9df38d70b0522/CV_Tester_game_Tô_Duy_Hào.pdf"/>
        <s v="https://api.typeform.com/responses/files/fa66bd29b491a695e3932e14f6aaa53631a00ad5f142b7912fd101e452396121/CV___Game_Quality_Assurance_Intern___Tran_Thien_Phuc.pdf"/>
        <s v="https://api.typeform.com/responses/files/64328656a3584ca322f0b5b8fd476272db2fdf18cc02663d4c57a60f8d682d1c/CV___Game_User_Acquisition_Intern___Nguyen_Hoang_Quan.pdf"/>
        <s v="https://api.typeform.com/responses/files/d93aa58561292d0ae9161191c5d412fcc6723e8227878a2b0045b9a78ed1875e/CV_Son_ENG.pdf"/>
        <s v="https://api.typeform.com/responses/files/41b9c362b3d996aa30d0cf4ff590953b4043814d32686707123ee5677c3bb46e/CV___AI_Engineer_Intern___Nguyễn_Bích_Khuê.pdf"/>
        <s v="https://api.typeform.com/responses/files/fcd7000484a6deb72868beb7bc4acea848208ab3a93704720eac1f387ad9fe6d/CV_NguyenThanhKhang_Game_QA_Intern.pdf"/>
        <s v="https://api.typeform.com/responses/files/f91e2e00e580532c8fb45251c8b78b51291a7f010a3005381ee1b15e7b59eba5/inbound5323035336007774194.pdf"/>
        <s v="https://api.typeform.com/responses/files/c20af2aa1fd8654cb219f60432c95ae7b4c156b0c8d51e699155027729d80177/CV___AI_Engineer_Intern___Nguyễn_Tấn_Lộc.pdf"/>
        <s v="https://api.typeform.com/responses/files/bf2d490301046f5e6f1e73c8a33218e53bfd19b313c37dbdae7d0bcf11aa8edd/CV___Human_Resources_Intern___Nguyen_Vu_Tuong_Vy.pdf"/>
        <s v="https://api.typeform.com/responses/files/20dbbc50732985f275a0db419b876ad77048b86b80f9c7a9af01fc8c79357836/CV___Game_Designer___Trần_Thị_Minh_Vi.docx"/>
        <s v="https://api.typeform.com/responses/files/74f482e6b44b10e47dd02d72cf2ee37ccd2f0c8fb5eeb0c410bef9c91f4107e5/NGUYENMINHTRI.pdf"/>
        <s v="https://api.typeform.com/responses/files/4d2b2b03c284c150b8f5da63e2ca951c723a4bd843368806105c03f36b704011/CV___Unity_Development_Intern___Mai_Xuân_Hưng.pdf"/>
        <s v="https://api.typeform.com/responses/files/7a41119c7f4c86f3b5ec7e32dee7b7e0663cac3cad0c740ddbb2cafd069903ef/CV_Unity_Developer_Intern_Duong_Khanh_Nguyen.pdf"/>
        <s v="https://api.typeform.com/responses/files/413b29ffd4b9d0b3f21a6386888fe160c827d20a97f85cbf3415e5f68a9724ad/CV___AI_Engineering_Intern___Võ_Nguyễn_Thảo_Uyên.pdf"/>
        <s v="https://api.typeform.com/responses/files/cbff5534cc3b2e0025b9480516547d65b020ba3f79473917fa1bbf65567763b4/CV___Data_Analysis_Intern___Võ_Ngọc_Duy.pdf"/>
        <s v="https://api.typeform.com/responses/files/fdeea48f0463bc538f70c9fedc14231d27cbe66daadf47ddfebf47b4011ac4cd/CV___Unity_Developer___Trần_Khôn_Chí.pdf"/>
        <s v="https://api.typeform.com/responses/files/3e5433edeb53e30a22b0325115766c61021b3610b1091288709f9335eed5e2fb/resume.pdf"/>
        <s v="https://api.typeform.com/responses/files/b51f4ec9358635c435a9a5c5a2eeaa734b32ffb79377d970d22809f098c7deda/CV_Data_Analysis_Intern__Nguyen_Tran_Phuc_Dat.pdf"/>
        <s v="https://api.typeform.com/responses/files/04d0e28c7c2ddf19174613b7075285e7f063efbc803d6a72cf480c06efb7c35b/CV_Dương_Văn_Thắng.pdf"/>
        <s v="https://api.typeform.com/responses/files/9986ed293f7f1a8879e63037690e6095c8e4bb60a0abd1364d5d0db64835031e/CV___AI_Engineer_Intern___Trương_Trí_Khải.pdf"/>
        <s v="https://api.typeform.com/responses/files/aae55abbea7bf75350732bbe216baa464ca0009241a3fea1fb0551d4d08944d5/CV_AI_Engineer_Intern_Đào_Thiên_Phú.pdf"/>
        <s v="https://api.typeform.com/responses/files/ab110afc40f529ec549d8fbe6678499da6f7d6c4047c9b6b7b83a6c7390b401c/CV___Data_Analysis_Intern_Thái_Hữu_Thọ.pdf"/>
        <s v="https://api.typeform.com/responses/files/e2326b473e1be32b654514880e04d28215e5f53125da715bce15369512545631/CV___Unity_Development_Intern___Huỳnh_Tuấn_Phong.pdf"/>
        <s v="https://api.typeform.com/responses/files/661863035197d304d4272fe0afb8f8157ebef657234b0163d91d7dc79ff0bbc5/CV___Data_Analysis_Intern___Trầm_Hữu_Nhân.pdf"/>
        <s v="https://api.typeform.com/responses/files/6c11db3b4c640e216e7515f62cd183e2617c8aed44ace68039439e835c1b4617/Game_User_Acquisition_Intern___Đỗ_Nhật_Hạ___CV.pdf"/>
        <s v="https://api.typeform.com/responses/files/a2a2073eec66d25db15213a06aa0cfe20345eb74097f75dcef66c8764966038c/CV___Game_User_Acquisition_Intern___Trương_Việt_Hoàng.pdf"/>
        <s v="https://api.typeform.com/responses/files/deb0977cd7ddb16f71d904453014dad93696f905376635add85e8b5a402ee77c/CV__Unity_Developer_Intern_Ngô_Gia_Thịnh.docx"/>
      </sharedItems>
    </cacheField>
    <cacheField name="Submitted At" numFmtId="166">
      <sharedItems containsSemiMixedTypes="0" containsDate="1" containsString="0">
        <d v="2026-04-22T08:31:53Z"/>
        <d v="2026-04-22T09:58:54Z"/>
        <d v="2026-04-22T10:48:04Z"/>
        <d v="2026-04-22T11:11:47Z"/>
        <d v="2026-04-22T11:34:40Z"/>
        <d v="2026-04-22T12:07:27Z"/>
        <d v="2026-04-22T12:08:47Z"/>
        <d v="2026-04-22T12:14:53Z"/>
        <d v="2026-04-22T12:18:25Z"/>
        <d v="2026-04-22T12:23:01Z"/>
        <d v="2026-04-22T12:52:28Z"/>
        <d v="2026-04-22T12:56:43Z"/>
        <d v="2026-04-22T13:04:21Z"/>
        <d v="2026-04-22T13:25:04Z"/>
        <d v="2026-04-22T13:26:15Z"/>
        <d v="2026-04-22T13:45:32Z"/>
        <d v="2026-04-23T02:11:21Z"/>
        <d v="2026-04-22T13:54:42Z"/>
        <d v="2026-04-22T14:06:07Z"/>
        <d v="2026-04-23T02:15:46Z"/>
        <d v="2026-04-22T14:33:04Z"/>
        <d v="2026-04-22T14:36:00Z"/>
        <d v="2026-04-22T14:37:21Z"/>
        <d v="2026-04-22T14:45:59Z"/>
        <d v="2026-04-22T14:43:24Z"/>
        <d v="2026-04-22T15:03:27Z"/>
        <d v="2026-04-22T15:42:02Z"/>
        <d v="2026-04-22T15:57:05Z"/>
        <d v="2026-04-23T02:35:08Z"/>
        <d v="2026-04-22T16:46:23Z"/>
        <d v="2026-04-22T17:27:32Z"/>
        <d v="2026-04-22T18:03:31Z"/>
        <d v="2026-04-22T18:30:56Z"/>
        <d v="2026-04-22T19:36:16Z"/>
        <d v="2026-04-22T19:59:05Z"/>
        <d v="2026-04-22T21:21:40Z"/>
        <d v="2026-04-22T23:49:52Z"/>
        <d v="2026-04-23T02:35:36Z"/>
        <d v="2026-04-23T01:57:19Z"/>
        <d v="2026-04-23T03:02:32Z"/>
        <d v="2026-04-23T03:16:22Z"/>
        <d v="2026-04-23T03:16:49Z"/>
        <d v="2026-04-23T03:54:49Z"/>
        <d v="2026-04-23T04:54:43Z"/>
        <d v="2026-04-23T02:37:17Z"/>
        <d v="2026-04-23T02:42:36Z"/>
        <d v="2026-04-23T02:45:39Z"/>
        <d v="2026-04-23T02:53:31Z"/>
        <d v="2026-04-23T06:58:44Z"/>
        <d v="2026-04-23T03:07:48Z"/>
        <d v="2026-04-23T07:42:15Z"/>
        <d v="2026-04-23T08:02:09Z"/>
        <d v="2026-04-23T08:23:45Z"/>
        <d v="2026-04-23T03:35:22Z"/>
        <d v="2026-04-23T03:42:29Z"/>
        <d v="2026-04-23T03:53:24Z"/>
        <d v="2026-04-23T09:14:12Z"/>
        <d v="2026-04-23T03:58:41Z"/>
        <d v="2026-04-23T04:20:35Z"/>
        <d v="2026-04-23T04:37:06Z"/>
        <d v="2026-04-23T04:42:50Z"/>
        <d v="2026-04-23T04:44:06Z"/>
        <d v="2026-04-23T09:19:54Z"/>
        <d v="2026-04-23T05:18:31Z"/>
        <d v="2026-04-23T09:29:29Z"/>
        <d v="2026-04-23T06:33:14Z"/>
        <d v="2026-04-23T09:32:58Z"/>
        <d v="2026-04-23T06:55:47Z"/>
        <d v="2026-04-23T10:04:49Z"/>
        <d v="2026-04-23T07:02:05Z"/>
        <d v="2026-04-23T07:06:13Z"/>
        <d v="2026-04-23T07:07:05Z"/>
        <d v="2026-04-23T10:18:12Z"/>
        <d v="2026-04-23T10:57:42Z"/>
        <d v="2026-04-23T07:45:46Z"/>
        <d v="2026-04-23T07:49:58Z"/>
        <d v="2026-04-23T07:52:53Z"/>
        <d v="2026-04-23T07:53:47Z"/>
        <d v="2026-04-23T07:56:08Z"/>
        <d v="2026-04-23T12:06:53Z"/>
        <d v="2026-04-22T13:54:23Z"/>
        <d v="2026-04-23T08:10:36Z"/>
        <d v="2026-04-23T08:12:37Z"/>
        <d v="2026-04-23T08:16:52Z"/>
        <d v="2026-04-22T14:16:27Z"/>
        <d v="2026-04-22T16:07:00Z"/>
        <d v="2026-04-23T08:33:55Z"/>
        <d v="2026-04-23T08:39:52Z"/>
        <d v="2026-04-23T08:41:53Z"/>
        <d v="2026-04-23T08:44:15Z"/>
        <d v="2026-04-23T08:58:44Z"/>
        <d v="2026-04-23T09:05:43Z"/>
        <d v="2026-04-23T09:08:00Z"/>
        <d v="2026-04-23T09:12:13Z"/>
        <d v="2026-04-23T09:12:53Z"/>
        <d v="2026-04-23T02:26:14Z"/>
        <d v="2026-04-23T03:22:13Z"/>
        <d v="2026-04-23T09:27:03Z"/>
        <d v="2026-04-23T07:41:33Z"/>
        <d v="2026-04-23T08:31:40Z"/>
        <d v="2026-04-23T09:50:03Z"/>
        <d v="2026-04-23T10:00:13Z"/>
        <d v="2026-04-23T10:22:19Z"/>
        <d v="2026-04-23T10:10:22Z"/>
        <d v="2026-04-23T10:12:28Z"/>
        <d v="2026-04-23T12:00:44Z"/>
        <d v="2026-04-23T01:21:44Z"/>
        <d v="2026-04-23T10:23:40Z"/>
        <d v="2026-04-23T06:11:28Z"/>
        <d v="2026-04-23T11:06:41Z"/>
        <d v="2026-04-23T11:48:19Z"/>
        <d v="2026-04-23T06:54:27Z"/>
        <d v="2026-04-23T08:04:24Z"/>
        <d v="2026-04-23T12:12:51Z"/>
        <d v="2026-04-23T12:19:25Z"/>
        <d v="2026-04-23T12:27:45Z"/>
        <d v="2026-04-23T12:28:36Z"/>
        <d v="2026-04-23T12:36:05Z"/>
        <d v="2026-04-23T12:45:54Z"/>
      </sharedItems>
    </cacheField>
    <cacheField name="Token" numFmtId="0">
      <sharedItems>
        <s v="5i8xakjgkoge8rv39ucpqx5i8xakjg9t"/>
        <s v="q4bzy817knon6rwu7tq4bzg8wp39bqf8"/>
        <s v="cqucertyhscuypvkcquce2ag30h2hiwz"/>
        <s v="k8h8ej4kihgxkz0k8hn6vp5bq3vrr6dn"/>
        <s v="f34elene3daco7ef34elinexo3mbb44a"/>
        <s v="tkq524gebqz8suguori9xq0tkq5mwmop"/>
        <s v="xybrj60a3yoxudj15uxybrw5yry7volz"/>
        <s v="6qihxwwb0ee30coxwfwgpet6qihxwwki"/>
        <s v="4edddcgwdirim45ops34edddcgza6s5o"/>
        <s v="gp1r5jc2a36mbarzqhgp1rj9iw1g7d1z"/>
        <s v="5u8011g0yve8c56bb5u8011lelb5rnlt"/>
        <s v="lpb15fhony2d9jv5ilpb15fhi12ri89e"/>
        <s v="adnv2lryy5n2a70izadnz2o6njgzjwy4"/>
        <s v="6zwvwghojnfwr6zr0ar6zwvwtt52e1ny"/>
        <s v="kf1cgam5qu15rkyu6kf151aisqm1sqya"/>
        <s v="brkljour2agfrjxflp4fkvy0brkljour"/>
        <s v="dysvoyjt8q95wq9pdysvonxw548ay9em"/>
        <s v="5s9kqictcx1gp8j5s9kqihoclafkxyo0"/>
        <s v="kgd0ehaqms9o8q8u0racbkgd0ehaq2at"/>
        <s v="xkbf3k4rtxel9mxkbyf8vu577wxi5boi"/>
        <s v="xr5l9z3wp0ya6uota3xr5l9bnxm2dixf"/>
        <s v="021uso1f71vaw542lpa9021usocr81vj"/>
        <s v="mlj0i0ytuapksxmmmlj0i0hrnnb2hypq"/>
        <s v="40siskw1a0257a8kgniy40siskraegou"/>
        <s v="vupums02t5t89vupyifg9x0tunmeqaj1"/>
        <s v="jpx134j6ejstoxjpx19z2du1j4z3atka"/>
        <s v="owj5uqnw2s2ezs1yowjyty1p9ynmsrwd"/>
        <s v="drigco307hwvpsodrigcyyb4u1ra9b8n"/>
        <s v="taqwclcplpgxnqbfr4ed4staqwclu4x8"/>
        <s v="k0jjonlmxrlb7pbk0jjcrli7vbss0zsk"/>
        <s v="dt21ozjilbrq77dt21kv4hnrta8xg7c8"/>
        <s v="zhd1hfp21yakf7754zhdo5299ggd3iyt"/>
        <s v="e20ajqy7g1z2ypean3e20ajqyfc9kk6n"/>
        <s v="zjhpnbdes9q1tzjhpnmrexazti1r9khk"/>
        <s v="ad7het09e02y0t7dd3o9ad7hetz1zqb6"/>
        <s v="hf5whe8u0k1c7zx7ihf5whfnfx7enij1"/>
        <s v="o980wdf96nn6occ0nuk3eqz7ibnk1cc0"/>
        <s v="7s05v8x377npgn7oygt6ax7s05v8xvix"/>
        <s v="esvwo8wgnuvy76j0ila1gesvwo8wcci9"/>
        <s v="e32u7kel9ef2fs9fbqs3ve32u7k8ii88"/>
        <s v="14v2frao1xvnkkxapyp14v2frhdtvyha"/>
        <s v="8iksnqn4bp6o0udu0h8iksnekqs5q5nk"/>
        <s v="tbi682j2puph6ojgftbi68m93knwjxij"/>
        <s v="acozyokaqnik6xacou7w3pg9dvgjkyqq"/>
        <s v="eggkkjrgdijps6z0mgeggk7itlxqre7o"/>
        <s v="r8zw0xa31empff23v5e5zr8zw0x0ihio"/>
        <s v="tc6rslr6xc8vumefa6x4tc6rchszt9y1"/>
        <s v="ikap1e0kx7jhcadx332bikap1ekyb210"/>
        <s v="2v7xgj9mmf6gjf12v7wdqura7ep2fcoe"/>
        <s v="1k2ryj11cffd6dyxu75hsshj1k2ryj11"/>
        <s v="chjd0bg2xeqgng0chjdg3u9tz3v2v9wk"/>
        <s v="e722lf6s8rm2z4oife7221jdf497sljh"/>
        <s v="zepchq55v44yqdvx95wwzepc5kl78xk3"/>
        <s v="l1baykmraa2nol1babs0jn425x6kkibs"/>
        <s v="78lsw1q1hkwzybe78lsxhk0vgq0rt2cn"/>
        <s v="9jyc02t8je3s4w7hfahs9jyc0z8tx8zo"/>
        <s v="3r5v9eajevcdwmjdf9vxv3r5v9eai0c2"/>
        <s v="prm8rqgw9eati1prmgma340e0j7ugyp8"/>
        <s v="lfr5suyjw5loa1414xdo6lfr5sl8lr5g"/>
        <s v="6re0jzpajya12krttd6re0ycbsxl6i8h"/>
        <s v="i44jk43b1r622oeji44jkpfw11qy870c"/>
        <s v="cr6mo5hl3qrdqabcrkkeun1khhnpef0m"/>
        <s v="ifbklc3ug3z8y39ypifbklcgy2h9zvbo"/>
        <s v="98zakyimagq605z5ose98zakyeihvvxb"/>
        <s v="09k5wzcusjyrta8o0kaq7nqr09k5wzcu"/>
        <s v="7n8fe0tnw8ysb5c7n8fdy43f2lue3obr"/>
        <s v="zeu4id37awlrtalr6gzeu4id30bsyia5"/>
        <s v="h4l3nr42m7uvs5k0hh4l3ne6r7uhkdb3"/>
        <s v="s1hx5fupdls7ukvwbdhs1hx5q8ixo5j7"/>
        <s v="8qtluz4dql8bzpb4eg8qtlut78q0eb8w"/>
        <s v="v81l47u23e2wbdzmjjv81lni18sakeqn"/>
        <s v="zxe5ua7wadihstp1vylhzxe5ua8fsng9"/>
        <s v="e2godtetw1zop8e1rxe2god4oxgz0u6m"/>
        <s v="ld1e7jjjyg42o2ct770xld1e7r1m9kx2"/>
        <s v="axf8cghuk0ll7ombaxf8cghqdp4h2d2f"/>
        <s v="amyyx4ejtrkffpzn7fxgamyyx4elb8re"/>
        <s v="2s321in4u83iea4rc2s321z8afl4gl5f"/>
        <s v="v2bjx47ny28vgykz3uros0v2bjhls6na"/>
        <s v="bx31ahxfb30i2seo4mxbx31ahxehyjw3"/>
        <s v="04oc3l3nttgtzdnwo5e04oc3l3oh1jrt"/>
        <s v="fs66ove00aacufcbg98fs66ov9tzow17"/>
        <s v="mtzhvraqls02z4tcg5gu0umtzhvr1nh5"/>
        <s v="o1ukiiwu14eej51wt7j6guo1ukiii5la"/>
        <s v="z7tmn53ehxiony6qz70z7tmn52yjcz31"/>
        <s v="0r1wbhdoh8bhimdfuax0r1wbhs9285sf"/>
        <s v="hc4e195cf52bhkshc4e19iewmxqhmwq6"/>
        <s v="kpdppq7bg0rm4dwsig2ckpdppq7vrl9g"/>
        <s v="aprx3dixitt06v5g9hxvaprx3dikijxl"/>
        <s v="kqfxaihta4p9nttakqzn7cxrn73d69a4"/>
        <s v="avc3xqqe8u1ivz5o0z1xahtavc3x5fq6"/>
        <s v="xucxo4m7xioo6j84dpgxucxo4m3vmea6"/>
        <s v="8m7zov7afg8arzoler8m7zor4fox09xy"/>
        <s v="uzdbtixmqoy4gd6plzuzdb5sdal6d0se"/>
        <s v="jq3ngkfvfpascv4cjq3hx5xsgzcq72iq"/>
        <s v="yi346nh2a7ifg7xxyi34nqo4u307zwnl"/>
        <s v="djivk6fhz2es35pehghkmodjivk9uz37"/>
        <s v="n9fckofrxwb6a52yrn9fckzqbs4k1blv"/>
        <s v="bg04gbw08ahrtbg045xbnsqc27fx1dhx"/>
        <s v="4kn5bzy6qg16i34kn58bwyjhm6iiw95d"/>
        <s v="hwh6psymxllff79mbr1hwhfffil0xlgq"/>
        <s v="0edam13uywiwwlqs25iwu0edascxrenf"/>
        <s v="fkxkzna0ea1z3n47kyqtfkxkz3dmlwln"/>
        <s v="ik6ajd46h69t4qgnriik6ajdsqdodl8l"/>
        <s v="yu7mz2ldnx8xnnkqyudh1pkmm7pylive"/>
        <s v="5j2o835u9c8zite6q65j28kuhkz1vix5"/>
        <s v="m9kd2m4h5or2i0qujc7m9kd2muif7vpj"/>
        <s v="l2vv3q5foeqdainbd81by5ql2vvdzf2e"/>
        <s v="9usexs0ao2psfxcmfnl9usexni3ee28y"/>
        <s v="tizi1sx55dll0prr2kcbtizi1snt4x9p"/>
        <s v="thqpomucyc9ipushthqpohhld3xtluv6"/>
        <s v="yfmy0u70tkz48j2uyfmy0ynug9lbnp0e"/>
        <s v="jnu2jh50m1izer034zi7zjnu2jh5fic5"/>
        <s v="zyovr5kmr7jhcffqeeyzyovr5u9ggflu"/>
        <s v="a77zv16y7jr4xr39ey6a77zv1kjesupo"/>
        <s v="0bdf8r6wukwt11cj6if0bdf8mqh8xpcg"/>
        <s v="awbftgrzbl5rpeawbftgrn41hgtazq2j"/>
        <s v="ocvt9u9yb4esx4pzj4s2locvt9unbgiq"/>
        <s v="cbo3zao4wl9o07gcbo3zaqa9m4da41yh"/>
        <s v="d828jvh8ei53aqdya0tffd828lrobi24"/>
      </sharedItems>
    </cacheField>
    <cacheField name="Batch" numFmtId="0">
      <sharedItems containsSemiMixedTypes="0" containsString="0" containsNumber="1" containsInteger="1">
        <n v="1.0"/>
      </sharedItems>
    </cacheField>
    <cacheField name="PIC" numFmtId="0">
      <sharedItems>
        <s v="Quỳnh"/>
        <s v="Nhiên Lâm Chu Diệu"/>
        <s v="Minh"/>
        <s v="Yen"/>
      </sharedItems>
    </cacheField>
    <cacheField name="Round 1 - CV Result" numFmtId="0">
      <sharedItems>
        <s v="Failed"/>
        <s v="Passed"/>
        <s v="Waiting list"/>
      </sharedItems>
    </cacheField>
    <cacheField name="Round 1 - Nhận xét " numFmtId="0">
      <sharedItems containsBlank="1">
        <m/>
        <s v="Có làm BI, n8n ở 2 job Intern. GPA cao. Có project về Social Media Ads: data pipeline, SQL, performance metrics khá match với SOW "/>
        <s v="Có kinh nghiệm làm công ty game, có 3 dự án làm chung với bạn về game 2D,3D trên Unity, học FPT, điểm tổng không cao nhưng các môn Giải thuật, lập trìng C# Unity điểm cao, có IELTS 6.5. Đã ra trường thì có thể consider Fresher"/>
        <s v="Làm 2 dự án game được vài demo. Từng làm giảng dạy game Teky Technology Academy 10 tháng đến 04/2026 (chưa biết bạn dạy gì trong này). Điểm lập trình C#, giải thuật around 7-8, OOP thì được 9. Có thể thử cho bài test"/>
        <s v="Các môn học Lập trình/Game điểm không cao, khoảng 6-7"/>
        <s v="Học FPT - Lập trình game, điểm &gt;8 khá cao. Concern: Năm 2???"/>
        <s v="1. Skill: có biết black-box testing, viết report, có làm qua domain game nhưng CV không trình bày kĩ task bạn làm, chỉ là list ra -&gt; 1 &#10;2. Dự án, cuộc thi: có dự án game, testing -&gt; 2&#10;3. Full-time availability -&gt; 4&#10;4. GPA: không nhớ -&gt; 1&#10;5. Điểm môn học: "/>
        <s v="WL -&gt; Fail. Không có gì đặc biệt, chỉ có làm 1 project cá nhân hơi liên quan thôi. Nhưng objectives có muốn làm BI"/>
        <s v="Bạn này chuyển qua Fresher/Junior"/>
        <s v="Có làm dự án Indie Flappy Bird riêng và cũng như 2 dự án trên trường. 5 lần Đạt sinh viên giỏi, xuất sắc của trường. Học điểm cũng cao, lập trình 8-9"/>
        <s v="Không làm gì liên quan hết"/>
        <s v="khá tốt nhưng mới năm 2, hẹn năm sau"/>
        <s v="Consider NV2 của bạn. CV toàn Web Developer, không có project liên quan đến Data, BI. Điểm XSTT không cao"/>
        <s v="◦ Recipient of three merit-based academic scholarships, awarded to top-performing students each term based&#10;on GPA.&#10;◦ 1st Place, Mastering IT Academic Competition, HCMUTE (2025) – team-based CS problem-solving contest.&#10;◦ 2nd Place, Mastering IT Academic Co"/>
        <s v="1. Skill: có intern tester, có dự án game, nắm hiểu sâu các nghiệp vụ về testing, motivation cũng rõ ràng và thể hiện được cụ thể position/industry game -&gt; 4&#10;2. Dự án, cuộc thi: có 2 dự án -&gt; 3&#10;3. Full-time availability -&gt; 4&#10;4. GPA: 2.8 -&gt; 1&#10;5. Điểm môn h"/>
        <s v="artist"/>
        <s v="Có thể cân nhắc NV2 - Game QA"/>
        <s v="WL -&gt; Fail. Consider NV2 của bạn. Có kinh nghiệm làm AI Intern, chương trình học cũng thiên về AI hình ảnh"/>
        <s v="Obj liên quan BI. Học XSTK điểm cao 9.2. Đi học và đi thi liên quan Data Analysis nhiều"/>
        <s v="2&#10;nd Prize – IT Hackathon: SOLANA PRAGMATIC"/>
        <s v="Có kinh nghiệm làm Game trên Unity, chủ yếu làm game 3D. Tốt nghiệp rồi nên test thử cho Fresher"/>
        <s v="• Top 25%, LotusHacks 2026 (Hackathon, International) Mar 2026&#10;• Top 19/83, UIT Data Science Challenge 2025 (AI Challenge, University) Oct 2025&#10;• Preliminary Round, HCMC AI Challenge 2025 (Division A, AI Challenge, City) Aug 2025&#10;• Elimination Round, HCMU"/>
        <s v="Nothing special"/>
        <s v="Chuyên Long An"/>
        <s v="Chuyên Nguyễn Thịnh Thành- Trà Vinh"/>
        <s v="GPA cao"/>
        <s v="Waiting list vì những gì bạn làm thiên về DE, vẫn có thể match yêu cầu bên mình nhưng bạn không thể hiện rõ ràng được lý do muốn qua DA"/>
        <s v="Nữ, điểm GPA rất cao, có 2 lần học bổng. Từng làm Data Intern tại Galaxy Joy về visualize PowerBI"/>
        <s v="Vớt vì là con gái, viết có self-awareness và thành thật. Học cũng giỏi do có 2 học bổng "/>
        <s v="WL -&gt; Fail. CV không có gì đặc biệt trừ việc bạn đang làm game Casual và phân tích data người dùng của thể loại game này"/>
        <s v="GPA cao&#10;' Top 2 Finalist EVENTA - ACM Multimedia 2025 (Track 2): Participation Certificate, Ranking&#10;• Top 2 Finalist ROOMELSA - SHREC 2025: Participation Certificate, Ranking"/>
        <s v="IELTS 7.5, exp game"/>
        <s v="thiên hướng AI research "/>
        <s v="GPA cao, Dean’s List (Academic Year 2024 – 2025) – Ranked in the Top 5% of the Regular Program for&#10;outstanding academic excellence."/>
        <s v="Đạt giải Final Prize ấn tượng ở giải Game Việt"/>
        <s v="1. Skill: chỉ có kinh nghiệm frontend, cũng chưa thể hiện được nhiều mong muốn làm trong lĩnh vực testing và game -&gt; 1&#10;2. Dự án, cuộc thi: chưa có -&gt; 1&#10;3. Full-time availability -&gt; 4&#10;4. GPA: 2.8 -&gt; 1&#10;5. Điểm môn học: trung bình 7-8 -&gt;3&#10;6. Ngành - trường h"/>
        <s v="Không học về Kỹ thuật phần mềm hay Lập trình. Lớn quá cho Fresher luôn rồi"/>
        <s v="CV chỉ có công việc BI ở Ninja Van là có liên quan. Điểm học tập không quá tốt ở môn XSTT. Lớn quá cho Intern/Fresher"/>
        <s v="WL -&gt; Fail. Chỉ làm 1 project về BI thôi, điểm ok là học cấp 3 trường chuyên, chuyên lý"/>
        <s v="Bạn cũng làm 2 project game solo 2D và 3D. Trình bày Porfolio trên Notion cũng gọn gàng, sạch sẽ, đầu tư. Cho vào test coi Greenwich dạy sao và có được Fresher"/>
        <s v="1. Skill: có thể hiện được knowledge về testing, có project apply vào nhưng chưa cụ thể lắm project về gì -&gt; 3&#10;2. Dự án, cuộc thi: chưa có -&gt; 1&#10;3. Full-time availability -&gt; 4&#10;4. GPA: 8.3 -&gt; 3&#10;5. Điểm môn học: trung bình 7-8 -&gt; 3&#10;6. Ngành - trường học -&gt; 4"/>
        <s v="có thể gửi qua teqm QA. LotusHack Hackathon 2026 | Top 30"/>
        <s v="Won 3rd prize in the 2023 Binh Dinh Provincial Excellent Student Mathematics Competition."/>
        <s v="Vớt. Nữ, điểm XSTT không quá xuất sắc. Có từng đi Intern DE và BI"/>
        <s v="đam mê game"/>
        <s v="CV không mở được luôn. Điểm không có gì xuất sắc dù bạn học bên nhóm Kinh tế"/>
        <s v="Công việc Data Labelling không liên quan"/>
        <s v="1st Prize - 2025 HCMUS Capture The Flag Cybersecurity Contest&#10;Honorable Mention - 2023 ICPC Vietnam National Programming Contest&#10;Top 18 teams - 2024, 2025, 2026 The Thach Thuc Academic Competition&#10;2nd Prize - Can Tho City Youth Informatics Contest (Compet"/>
        <s v="UIT, học các môn Lập trình, OOP điểm bình thường around 7-8, có làm game nhưng mà chỉ 1 game nhỏ và không chơi được. Hiện đang làm thêm 1 game nữa nên vớt coi thử bạn làm ra sao"/>
        <s v="WL -&gt; Fail. Công việc cũ là DS Research nên các tool của bạn không quá match. Điểm XSTT 8"/>
        <s v="Bạn này từng làm level design ở Lihuhu, đi học GPA cao 3.6 nhưng code thì không ngon -&gt; Consider chuyển qua NV2 của bạn. Bạn quyết định chọn NV1 Unity và rất quyết tâm vì side project riêng của bạn. Vì cũng đã có kinh nghiệm công ty game nên cho bạn thử"/>
        <s v="Học ở Đà Nẵng. Đạt giải nhì Cuộc thi Thách thức Tư duy Thuật toán"/>
        <s v="Nothing special ngoại từ cái tên"/>
        <s v="Điểm cao"/>
        <s v="Chuyên LQĐ- Khánh hOÀ"/>
        <s v="Certificate of Academic Achievement for the 7 Semesters of the School 2022 - 2026&#10;Full Scholarship from Sacombank for 3 years of studying 2023 - 2025&#10;NVIDIA – Applications of AI for Anomaly Detection Certificate 03/2025 - 04/2025&#10;A Better Vietnam – Englis"/>
        <s v="Chưa có làm gì liên quan hết, con game duy nhất bạn làm chỉ đang ở bước prototye. Học điểm cũng không cao"/>
        <s v="Điểm XSTT cao &gt;9. Chưa có kinh nghiệm đi làm. Có các project về SQL cho business"/>
        <s v="⭐"/>
        <s v="Bạn đặt obj cho QA career rõ ràng, mà bạn có thể hợp cả 2 NV. Hiểu biết nhiều dòng game, biết về Jira track bug, project cá nhân có làm QA làm test case (Mà thấy bạn thích các game của Game Publisher như VNG, VTC hơn)"/>
        <s v="Có thể vớt tại bạn này bày tỏ enjoy công việc QA"/>
        <s v="Có thể cân nhắc NV2-DA"/>
        <s v="Bạn này từng apply GD, nhưng khá yếu về kiến thức, midset cũng không quá sáng =&gt; reject"/>
        <s v="Có project làm QA dù không liên quan ngành game lắm. Trình bày động lực cũng rõ ràng"/>
        <s v="nothing special, cân nhắc qua team DA"/>
        <s v="đam mê game, thành thực"/>
        <s v="Nothing special, nữ nên vớt"/>
        <s v="IELTS 8.0. Điểm GPA cao. Học cấp 3 trường Top thành phố (Trung học Thực hành Sư phạm). Kêu có tìm hiểu về game Casual"/>
        <s v="Có ghi skill QA về manual/auto nhưng không thấy thể hiện cụ thể. Không thể hiện động lực ứng tuyển rõ ràng"/>
        <s v="Có kinh nghiệm lấy data theo requirement cho start-up. Điểm XSTK 8.7. Có làm nhiều project BI"/>
        <s v="Chuyên ngành thực tế không match"/>
        <s v="Có học bổng 2 lần. Nhưng mà chủ yếu kinh nghiệm là ML. Điểm cao"/>
        <s v="Background Lập trình game FPT nên vớt vào Waiting list Các dự án bạn làm về Game điểm hơi thấp, các môn lập trình điểm cũng &lt;7"/>
      </sharedItems>
    </cacheField>
    <cacheField name="Round 2 - Test result" numFmtId="0">
      <sharedItems containsBlank="1">
        <m/>
        <s v="Test"/>
        <s v="Failed"/>
        <s v="Withdraw"/>
        <s v="Chờ test"/>
        <s v="Passed"/>
        <s v="Test Review"/>
      </sharedItems>
    </cacheField>
    <cacheField name="Round 2 - HR Assignee&#10;- Tổng hợp &amp; gửi chấm bài làm&#10;- HR Intern: Email book lịch + Thực hiện Online Interview 30 phút" numFmtId="0">
      <sharedItems containsBlank="1">
        <m/>
        <s v="Quỳnh"/>
        <s v="Nhiên"/>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343" sheet="2.1. Batch 2 - 20260501 - 2000"/>
  </cacheSource>
  <cacheFields>
    <cacheField name="Họ và tên" numFmtId="0">
      <sharedItems containsBlank="1">
        <s v="Trầ Đạt"/>
        <s v="Nguyễn Thị Minh Thư"/>
        <s v="Nguyễn Thị Khánh Đoan"/>
        <s v="Mai Anh Sơn"/>
        <s v="Nguyễn Hoàng Long"/>
        <s v="Lê Phước Thái"/>
        <s v="Trần Thị Yến Nhi"/>
        <s v="Nguyễn Tấn Thắng"/>
        <s v="Lê Huy Toàn"/>
        <s v="Tiêu Thị Kim Cương"/>
        <s v="Trần Thị Thu Hoài"/>
        <s v="Phạm Nguyễn Tài Tuệ"/>
        <s v="Lê Minh Quang"/>
        <s v="Lê Nguyễn Kiều Oanh"/>
        <s v="Nguyễn Trọng Nhân"/>
        <s v="Dụng Lan Anh"/>
        <s v="Nguyễn Trương Hoàng"/>
        <s v="Nguyễn Minh Quang"/>
        <s v="Đinh Hoàng Nam"/>
        <s v="Trần Ngọc Yến Vy"/>
        <s v="Nguyễn Mạc Gia Huy"/>
        <s v="Nguyễn Ngọc Thắng"/>
        <s v="Nguyễn Thị Ngọc Minh"/>
        <s v="Nguyễn Gia Huy"/>
        <s v="Nguyễn Đồng Thanh"/>
        <s v="Trần Xuân Lộc"/>
        <s v="Nguyễn Văn Trí"/>
        <s v="Lê Trọng Thiện"/>
        <s v="Nguyễn Hoàng Minh"/>
        <s v="Phạm Hồng Nhân"/>
        <s v="Tran Gia Hy"/>
        <s v="Lương Nguyệt Thuý"/>
        <s v="Hoàng Kim Tùng"/>
        <s v="Tôn Võ Hoài Khiêm"/>
        <s v="TRẦN THỊ THU LƯƠNG"/>
        <s v="Nguyễn Trần Nhựt Nam"/>
        <s v="Nguyễn Nhật Quang"/>
        <s v="Hồ Trọng Nghĩa"/>
        <s v="La Nguyễn Quốc Thịnh"/>
        <s v="Lê Thị Bích Trà"/>
        <s v="Bùi Khánh Duy"/>
        <s v="Phạm Cao Trí"/>
        <s v="Nguyễn Ngọc Phương"/>
        <s v="Tuan Anh Tran"/>
        <s v="Lê Nguyên Khang"/>
        <s v="Đặng Hoàng Như Thuỷ"/>
        <s v="Trần Đại Hải"/>
        <s v="Nguyễn Vạn Xuân"/>
        <s v="NGO QUANG MINH"/>
        <s v="Nguyễn Thanh Phong"/>
        <s v="Nguyễn Thế Anh"/>
        <s v="Hoàng Thanh Lâm"/>
        <s v="Nguyễn Quốc Anh Quân"/>
        <s v="Nguyễn Đình Việt Hoàng"/>
        <s v="Nguyễn Võ Ngọc Bảo"/>
        <s v="Bùi Đình An Lộc"/>
        <s v="Lê Thành Công"/>
        <s v="Nguyen Thi Hong Nhung"/>
        <s v="Nguyễn Tấn Thành"/>
        <s v="Nguyễn Mai Phương"/>
        <s v="Nguyễn Hồng Luân"/>
        <s v="Phạm Anh Đức"/>
        <s v="Trần Tấn Tài"/>
        <s v="Nguyễn Hữu Tuấn Tú"/>
        <s v="Nguyễn Nhật Hiệu"/>
        <s v="Cù Thanh Tường"/>
        <s v="Nguyễn Thị Như Quỳnh"/>
        <s v="Nguyễn Khải"/>
        <s v="Trần Ngọc Khánh Huy"/>
        <s v="VŨ BÍCH VI"/>
        <s v="Phạm Thành Đạt"/>
        <s v="Lâm Thành Trung"/>
        <s v="Lại Ngọc Phương Nam"/>
        <s v="Nguyễn Thanh Quân"/>
        <s v="Lê Thế Vinh"/>
        <s v="Trần Nguyễn Khắc Duy"/>
        <s v="Mai Hoàng Hưng"/>
        <s v="Nguyễn Thành Danh"/>
        <s v="Huỳnh Nguyễn Minh Khang"/>
        <s v="Tôn Thất Minh Toàn"/>
        <s v="Hoàng Nhân Khánh"/>
        <s v="Nguyễn Xuân Hoài"/>
        <s v="Phạm Thanh Tùng"/>
        <s v="Lê Quân Đạt"/>
        <s v="Trần Tiến Cường"/>
        <s v="Vũ Quốc Bảo"/>
        <s v="Trần Lê Hoàng Huy"/>
        <s v="Phạm Minh Phát"/>
        <s v="Trần Hoàng Phúc"/>
        <s v="Đinh Bảo Thy"/>
        <s v="Nguyễn Phi Long"/>
        <s v="Nguyễn Trần Mạnh Thắng"/>
        <s v="Dương Triệu Vy"/>
        <s v="Trần Khánh Linh"/>
        <s v="Nguyễn Võ Minh Quân"/>
        <s v="Nguyễn Thị Yến Linh"/>
        <s v="Nguyễn Trọng Khôi"/>
        <s v="Thái Thanh Kha"/>
        <s v="Hoàng Hải Yến"/>
        <s v="Nguyễn Thái Diễm Quỳnh"/>
        <s v="Lê Quốc Việt"/>
        <s v="Mai Quỳnh Châu"/>
        <s v="Nguyễn Quốc Tiến"/>
        <s v="Trần Như Phú Quang"/>
        <s v="Lê Thanh Phát"/>
        <s v="Vũ Minh Chiến"/>
        <s v="Lê Công Tuấn"/>
        <s v="Nguyễn Vy Thảo"/>
        <s v="Lê Minh Chiến"/>
        <s v="Ngụy Thành Đạt"/>
        <s v="Lê Nguyễn Nhật Trường"/>
        <s v="Nguyễn Toàn Phúc"/>
        <s v="Trần Khánh An"/>
        <s v="Đặng Thị Thúy Vi"/>
        <s v="Trần Duy Anh Dũng"/>
        <s v="Trần Tấn Vạn"/>
        <s v="Nguyễn Thanh Bình"/>
        <s v="Nguyễn Xuân Duy"/>
        <s v="Lê Cường Thịnh"/>
        <s v="Trần Thị Thanh Vi"/>
        <s v="Trần Nhật Duy"/>
        <s v="Trương Gia Hào"/>
        <s v="Võ Văn Giang"/>
        <s v="Phạm Tấn Đạt"/>
        <s v="Dat Do Van"/>
        <s v="Nguyễn Vũ Thuỳ Trâm"/>
        <s v="Huỳnh Quốc Huy"/>
        <s v="Nguyễn Xuân Đăng Trình"/>
        <s v="Ngô Gia Thịnh"/>
        <s v="Mai Xuân Thường"/>
        <s v="Trần Lê Đông Anh"/>
        <s v="Đoàn Thị Minh Anh"/>
        <s v="Trần Đỗ Hoàng Tân"/>
        <s v="Võ Thị Tiên Phước"/>
        <s v="Duong Khanh Trang"/>
        <s v="Trương Vạn Niên"/>
        <s v="Bùi Đoàn Thúy Vy"/>
        <s v="Nguyễn Văn Lam"/>
        <s v="Nguyễn Phương Tùng"/>
        <s v="Lê Bảo Quốc"/>
        <s v="Tô Võ Yến Thơ"/>
        <s v="Nguyễn Khắc Tùng Dương"/>
        <s v="Thái Thị Mỹ Quyên"/>
        <s v="Nguyễn Đức Thắng"/>
        <s v="Tiêu Trí Bằng"/>
        <s v="Châu Mỹ Phương"/>
        <s v="Triệu Tấn Huy"/>
        <s v="Nguyễn Thắng Lợi"/>
        <s v="Bùi Tuấn Hùng"/>
        <s v="Nguyễn Việt Hùng"/>
        <s v="Trương Hoài Phong"/>
        <s v="Phạm Huỳnh Tấn"/>
        <s v="Truong Quang Nghia"/>
        <s v="Lê Văn Tài"/>
        <s v="Nguyễn Thanh Tùng"/>
        <s v="Nguyễn Đăng Khôi"/>
        <s v="Trịnh Tấn Hào"/>
        <s v="Lê Hoàng Việt"/>
        <s v="Nguyễn Minh Đạt"/>
        <s v="Trương Vĩnh An"/>
        <s v="Nguyễn Đình Minh Nhật"/>
        <s v="Xuan Hoang Ha"/>
        <s v="Nguyễn Hạnh Bảo Ân"/>
        <s v="Thạch Nhựt Hào"/>
        <s v="Huỳnh Thành Tài"/>
        <s v="Nguyễn Hoàng Tùng Linh"/>
        <s v="Minh"/>
        <s v="Nguyễn Văn Đăng"/>
        <s v="Hoàng Hữu Nhân"/>
        <s v="Phùng Ngọc Tuấn"/>
        <s v="Vũ Ngọc Sơn"/>
        <s v="Trần Văn Trường"/>
        <s v="Đỗ Việt Hùng"/>
        <s v="Nguyễn Thúy Thương"/>
        <s v="Lê Bình Nguyên"/>
        <s v="Vũ Hoàng Long"/>
        <s v="Đỗ Tuấn Trực"/>
        <s v="Lê Thái Khánh Ngân"/>
        <s v="Nguyễn Mạnh Hùng"/>
        <s v="Nguyễn Trần Phước Lộc"/>
        <s v="Trần Trung Tuấn Hưng"/>
        <s v="Trần Duy Khang"/>
        <s v="Nguyễn Phú Thịnh"/>
        <s v="CAO HUYỀN MY"/>
        <s v="Nguyễn Phú Toàn"/>
        <s v="Tran Dinh Phu"/>
        <s v="Nguyen Tien Thinh"/>
        <s v="Phạm Anh Văn"/>
        <s v="AN NGUYỄN QUỐC"/>
        <s v="Nguyễn Nhân Quỳnh Như"/>
        <s v="Triệu Đoan Kỳ"/>
        <s v="Phùng Trung Bắc"/>
        <s v="Trần Trí Đức"/>
        <s v="Trần Anh Thái"/>
        <s v="Cao Thiên Quang"/>
        <s v="Bui Thien Phuc"/>
        <s v="Võ Nguyễn Bảo Ngọc"/>
        <s v="Nguyễn Nam Huy"/>
        <s v="Nguyễn Thi Anh Thành"/>
        <s v="Nguyễn Duy Huân"/>
        <s v="Trần Quốc Đạt"/>
        <s v="Đoàn Hồng Bảo"/>
        <s v="Đoàn Minh Đức"/>
        <s v="Đặng Quỳnh Châu"/>
        <s v="Trần Doãn Thanh Quý"/>
        <s v="Nguyễn Trần Xuân Nhi"/>
        <s v="Phạm Đỗ Quang Long"/>
        <s v="Nguyễn Duy"/>
        <s v="Võ Anh KHải"/>
        <s v="Lê Tuấn Khôi"/>
        <s v="Nguyễn Minh Trung"/>
        <s v="Hung Nguyen"/>
        <s v="Nguyễn Thị Huyền Trang"/>
        <s v="Võ Đức Cao Thượng"/>
        <s v="Bùi Hà Bảo Khanh"/>
        <s v="Nguyễn Thanh Trúc"/>
        <s v="Bùi Bình Nguyên"/>
        <s v="Hồng Chung Lâm"/>
        <s v="Phạm Nguyễn Quang Thoại"/>
        <s v="Nguyễn Đức Toàn"/>
        <s v="Nguyễn Đức Phúc"/>
        <s v="Vũ Quang Huy"/>
        <s v="Nguyen Hong Yen"/>
        <s v="Nguyễn Thảo Ly"/>
        <s v="Đặng Quốc Viêt"/>
        <s v="Nguyễn Phúc Loan"/>
        <s v="Nguyễn Hoàng Quân"/>
        <s v="Phạm Hồng Phát"/>
        <s v="Phạm Tuấn Đăng Khoa"/>
        <s v="Nguyễn Trung Tín"/>
        <s v="Trần Tiến Dũng"/>
        <s v="Nguyễn Quốc Duy"/>
        <s v="Nguyễn Hoàng Phúc"/>
        <s v="Nguyễn Thị Bình Minh"/>
        <s v="Dương Thị Bảo Trân"/>
        <s v="Trần Tiến Đạt"/>
        <s v="Lục Minh Phú"/>
        <s v="Bùi Nam Việt"/>
        <s v="Vũ Đỗ Bình An"/>
        <s v="Nguyễn Tất Kiên"/>
        <s v="Lê Tấn"/>
        <s v="Võ Thị Ngọc Chi"/>
        <s v="Lâm The Rin"/>
        <s v="Tran Truong Lan Anh"/>
        <s v="Lê Phan Xuân Dũng"/>
        <s v="Phan Huỳnh Châu Thịnh"/>
        <s v="Phan Thảo Vy"/>
        <s v="NGUYEN LE YEN NHI"/>
        <s v="Võ Phạm Gia Long"/>
        <s v="HỒ NGỌC NHUNG"/>
        <s v="Nguyễn Văn Quốc"/>
        <s v="Biện Hữu Khang"/>
        <s v="Huy Nguyễn Quốc"/>
        <s v="Nguyễn Thanh Hiền"/>
        <s v="Phan Thế Hoàng"/>
        <s v="Hồ Tài Liên Vy Kha"/>
        <s v="Phạm Nguyễn Khánh Minh"/>
        <s v="Bùi Tuấn Cường"/>
        <s v="Đoàn Nguyễn Đan Quỳnh"/>
        <s v="Trần Phan Đăng Khôi"/>
        <s v="Nguyễn Võ Vân Anh"/>
        <s v="Lê Trương Thiên Bảo"/>
        <s v="Vũ Kim Khanh"/>
        <s v="Trần Hữu Kim Quý"/>
        <s v="Hoàng Nguyên Hương"/>
        <s v="Lê Minh Kha"/>
        <s v="Lê Võ Xuân Hưng"/>
        <s v="Trần Duy Phát"/>
        <s v="Trần Thị Cát Tường"/>
        <s v="Nguyễn Tiểu Anh"/>
        <s v="Đoàn Mạnh Tất"/>
        <s v="Trương Dương Thùy Trang"/>
        <s v="Quách Thảo Vy"/>
        <s v="Nguyen Phuong Nhi"/>
        <s v="Ngô Chí Cường"/>
        <s v="Lê Nhật Hào"/>
        <s v="Châu Gia Bảo"/>
        <s v="Trần Vĩnh Trường"/>
        <s v="Lâm Minh Tùng Quân"/>
        <s v="Lương Nguyễn Anh Quân"/>
        <s v="Đinh Thị Thanh Hằng"/>
        <s v="Ngô Thị Ánh Dương"/>
        <s v="Đoàn Nguyễn Minh Thư"/>
        <s v="Trần Tiến Lực"/>
        <s v="Trần Anh Huy"/>
        <s v="Nguyễn Đặng Minh Duy"/>
        <s v="Ngô Nguyên Thảo"/>
        <s v="Nguyễn Nguyên Bảo Phú"/>
        <s v="Nguyễn Thị Hồng Nhung"/>
        <s v="Nguyễn Lâm Thao"/>
        <s v="Vòng Nguyên Hy"/>
        <s v="Nguyễn Thị Thu Trang"/>
        <s v="Triệu Hoàng Duy"/>
        <s v="Vũ Trần Khánh Như"/>
        <s v="Ngô Trương Thiên"/>
        <s v="Lê Anh Khôi"/>
        <s v="Vĩnh Bảo Phúc"/>
        <s v="NGUYỄN PHẠM UYÊN UYÊN"/>
        <s v="Nguyễn Khoa Quang Duy"/>
        <s v="Phan Tấn Lộc"/>
        <s v="Huỳnh Duy Khanh"/>
        <s v="Huỳnh Thái Bảo"/>
        <s v="Lê Hà Bảo Khanh"/>
        <s v="Nguyễn Thị Quỳnh Tâm"/>
        <s v="Vũ Hoàng Minh"/>
        <s v="Nguyễn Anh Minh"/>
        <s v="Lê Minh Nhật"/>
        <s v="Ngô Thế Kiệt"/>
        <m/>
        <s v="Nguyễn Hoàng Nhật Thiên"/>
        <s v="Nguyễn Đặng Thanh Duy"/>
        <s v="Lê Hoàng Tâm"/>
        <s v="Diệp Thái Phong"/>
        <s v="Phạm Quang Duy"/>
        <s v="Lê Phạm Quỳnh Duyên"/>
        <s v="Trần Phước Đại"/>
        <s v="Phạm Tiến Hùng"/>
        <s v="Giao Thái Bảo"/>
        <s v="Trần Hùng Sơn"/>
        <s v="Hồ Kim Ngọc"/>
        <s v="Lâm Tấn Vũ"/>
        <s v="Trương Quốc Cường"/>
        <s v="Lâm Vũ Bội Nhi"/>
        <s v="Trương Lê Đán Phúc Nguyên"/>
        <s v="LAM MAI HUONG GIANG"/>
        <s v="Đoàn Minh Trí"/>
        <s v="Nguyễn Thị Mỹ Nữ"/>
        <s v="Phan Vũ Trường An"/>
        <s v="Nguyễn Hà Viết Thống"/>
        <s v="Lê Nguyễn Tấn Thịnh"/>
        <s v="Trần Gia Huy"/>
        <s v="Nguyễn Bùi Quang"/>
        <s v="Nhơn Minh Kiệt"/>
      </sharedItems>
    </cacheField>
    <cacheField name="Ngày sinh" numFmtId="165">
      <sharedItems containsDate="1" containsString="0" containsBlank="1">
        <d v="2000-08-27T00:00:00Z"/>
        <d v="2005-07-07T00:00:00Z"/>
        <d v="2006-11-10T00:00:00Z"/>
        <d v="2001-06-02T00:00:00Z"/>
        <d v="2003-01-11T00:00:00Z"/>
        <d v="2003-02-25T00:00:00Z"/>
        <d v="2005-04-21T00:00:00Z"/>
        <d v="2005-02-23T00:00:00Z"/>
        <d v="2005-06-25T00:00:00Z"/>
        <d v="2005-10-26T00:00:00Z"/>
        <d v="2005-07-16T00:00:00Z"/>
        <d v="2004-10-26T00:00:00Z"/>
        <d v="1993-05-11T00:00:00Z"/>
        <d v="2003-02-19T00:00:00Z"/>
        <d v="2005-07-27T00:00:00Z"/>
        <d v="2005-03-31T00:00:00Z"/>
        <d v="2004-11-15T00:00:00Z"/>
        <d v="2005-04-17T00:00:00Z"/>
        <d v="2005-05-21T00:00:00Z"/>
        <d v="2004-01-06T00:00:00Z"/>
        <d v="2005-06-26T00:00:00Z"/>
        <d v="2004-11-13T00:00:00Z"/>
        <d v="2003-10-07T00:00:00Z"/>
        <d v="2004-11-18T00:00:00Z"/>
        <d v="2005-08-30T00:00:00Z"/>
        <d v="2002-09-04T00:00:00Z"/>
        <d v="2003-06-29T00:00:00Z"/>
        <d v="2005-02-06T00:00:00Z"/>
        <d v="2005-07-24T00:00:00Z"/>
        <d v="2005-06-27T00:00:00Z"/>
        <d v="2004-08-31T00:00:00Z"/>
        <d v="2004-05-16T00:00:00Z"/>
        <d v="2005-12-23T00:00:00Z"/>
        <d v="2004-03-31T00:00:00Z"/>
        <d v="2004-08-20T00:00:00Z"/>
        <d v="2004-03-20T00:00:00Z"/>
        <d v="2000-05-14T00:00:00Z"/>
        <d v="2004-03-10T00:00:00Z"/>
        <d v="2003-09-05T00:00:00Z"/>
        <d v="2005-01-12T00:00:00Z"/>
        <d v="2003-08-13T00:00:00Z"/>
        <d v="2004-01-01T00:00:00Z"/>
        <d v="2005-05-08T00:00:00Z"/>
        <d v="2002-03-01T00:00:00Z"/>
        <d v="2004-01-17T00:00:00Z"/>
        <d v="2002-04-11T00:00:00Z"/>
        <d v="2005-07-21T00:00:00Z"/>
        <d v="2005-02-15T00:00:00Z"/>
        <d v="2004-09-05T00:00:00Z"/>
        <d v="2005-07-12T00:00:00Z"/>
        <d v="2005-08-13T00:00:00Z"/>
        <d v="2002-10-16T00:00:00Z"/>
        <d v="2003-10-17T00:00:00Z"/>
        <d v="2004-10-25T00:00:00Z"/>
        <d v="2005-10-02T00:00:00Z"/>
        <d v="2004-10-17T00:00:00Z"/>
        <d v="2004-06-15T00:00:00Z"/>
        <d v="2005-04-13T00:00:00Z"/>
        <d v="2007-07-06T00:00:00Z"/>
        <d v="2004-04-24T00:00:00Z"/>
        <d v="2002-08-20T00:00:00Z"/>
        <d v="2003-08-15T00:00:00Z"/>
        <d v="2004-01-05T00:00:00Z"/>
        <d v="2003-01-04T00:00:00Z"/>
        <d v="2004-02-18T00:00:00Z"/>
        <d v="2003-03-09T00:00:00Z"/>
        <d v="2004-09-07T00:00:00Z"/>
        <d v="2003-11-14T00:00:00Z"/>
        <d v="2004-02-20T00:00:00Z"/>
        <d v="2004-02-02T00:00:00Z"/>
        <d v="2005-12-07T00:00:00Z"/>
        <d v="2004-02-28T00:00:00Z"/>
        <d v="2004-12-23T00:00:00Z"/>
        <d v="2005-04-14T00:00:00Z"/>
        <d v="2006-07-05T00:00:00Z"/>
        <d v="2006-02-15T00:00:00Z"/>
        <d v="2004-11-08T00:00:00Z"/>
        <d v="2005-07-14T00:00:00Z"/>
        <d v="2004-01-14T00:00:00Z"/>
        <d v="1998-06-18T00:00:00Z"/>
        <d v="2003-01-03T00:00:00Z"/>
        <d v="2005-12-04T00:00:00Z"/>
        <d v="2005-08-21T00:00:00Z"/>
        <d v="2004-08-28T00:00:00Z"/>
        <d v="2002-03-29T00:00:00Z"/>
        <d v="2004-11-22T00:00:00Z"/>
        <d v="2005-10-29T00:00:00Z"/>
        <d v="2005-07-15T00:00:00Z"/>
        <d v="2005-02-16T00:00:00Z"/>
        <d v="2004-04-19T00:00:00Z"/>
        <d v="2003-11-01T00:00:00Z"/>
        <d v="2004-10-05T00:00:00Z"/>
        <d v="2003-04-14T00:00:00Z"/>
        <d v="2005-12-16T00:00:00Z"/>
        <d v="2003-10-06T00:00:00Z"/>
        <d v="2005-03-24T00:00:00Z"/>
        <d v="2003-10-14T00:00:00Z"/>
        <d v="2006-02-16T00:00:00Z"/>
        <d v="2004-05-21T00:00:00Z"/>
        <d v="2005-08-09T00:00:00Z"/>
        <d v="2003-01-17T00:00:00Z"/>
        <d v="2003-07-19T00:00:00Z"/>
        <d v="2003-09-27T00:00:00Z"/>
        <d v="2005-10-07T00:00:00Z"/>
        <d v="2005-10-18T00:00:00Z"/>
        <d v="1998-10-12T00:00:00Z"/>
        <d v="2004-07-01T00:00:00Z"/>
        <d v="2005-08-19T00:00:00Z"/>
        <d v="2003-12-25T00:00:00Z"/>
        <d v="2005-01-05T00:00:00Z"/>
        <d v="2005-05-12T00:00:00Z"/>
        <d v="2005-04-03T00:00:00Z"/>
        <d v="2002-12-13T00:00:00Z"/>
        <d v="2004-07-21T00:00:00Z"/>
        <d v="2004-02-23T00:00:00Z"/>
        <d v="2004-01-26T00:00:00Z"/>
        <d v="2005-11-04T00:00:00Z"/>
        <d v="2001-11-18T00:00:00Z"/>
        <d v="2006-08-22T00:00:00Z"/>
        <d v="2005-05-03T00:00:00Z"/>
        <d v="2005-10-10T00:00:00Z"/>
        <d v="2004-02-12T00:00:00Z"/>
        <d v="2004-10-09T00:00:00Z"/>
        <d v="2003-11-18T00:00:00Z"/>
        <d v="2006-08-31T00:00:00Z"/>
        <d v="2004-12-04T00:00:00Z"/>
        <d v="2005-11-30T00:00:00Z"/>
        <d v="2006-08-02T00:00:00Z"/>
        <d v="2005-11-08T00:00:00Z"/>
        <d v="2003-02-28T00:00:00Z"/>
        <d v="2004-05-25T00:00:00Z"/>
        <d v="2004-03-29T00:00:00Z"/>
        <d v="2003-04-03T00:00:00Z"/>
        <d v="2005-04-25T00:00:00Z"/>
        <d v="2005-08-20T00:00:00Z"/>
        <d v="2004-03-13T00:00:00Z"/>
        <d v="2003-06-06T00:00:00Z"/>
        <d v="2003-11-15T00:00:00Z"/>
        <d v="2004-03-18T00:00:00Z"/>
        <d v="2003-06-25T00:00:00Z"/>
        <d v="2004-04-01T00:00:00Z"/>
        <d v="2004-05-19T00:00:00Z"/>
        <d v="2002-02-19T00:00:00Z"/>
        <d v="2004-05-22T00:00:00Z"/>
        <d v="2003-04-09T00:00:00Z"/>
        <d v="2005-06-18T00:00:00Z"/>
        <d v="2004-01-24T00:00:00Z"/>
        <d v="2004-05-18T00:00:00Z"/>
        <d v="2005-12-19T00:00:00Z"/>
        <d v="2004-09-12T00:00:00Z"/>
        <d v="2004-05-30T00:00:00Z"/>
        <d v="2004-08-03T00:00:00Z"/>
        <d v="2004-08-18T00:00:00Z"/>
        <d v="2005-09-23T00:00:00Z"/>
        <d v="2003-04-05T00:00:00Z"/>
        <d v="2004-11-03T00:00:00Z"/>
        <d v="2003-03-03T00:00:00Z"/>
        <d v="2005-06-05T00:00:00Z"/>
        <d v="2004-08-25T00:00:00Z"/>
        <d v="2005-05-10T00:00:00Z"/>
        <d v="2005-11-14T00:00:00Z"/>
        <d v="2004-09-18T00:00:00Z"/>
        <d v="2004-09-26T00:00:00Z"/>
        <d v="2004-10-23T00:00:00Z"/>
        <d v="2004-01-10T00:00:00Z"/>
        <d v="2004-11-04T00:00:00Z"/>
        <d v="2000-03-28T00:00:00Z"/>
        <d v="2004-01-22T00:00:00Z"/>
        <d v="2004-09-04T00:00:00Z"/>
        <d v="2002-04-07T00:00:00Z"/>
        <d v="2003-06-09T00:00:00Z"/>
        <d v="2004-02-09T00:00:00Z"/>
        <d v="2003-11-13T00:00:00Z"/>
        <d v="2004-03-17T00:00:00Z"/>
        <d v="2005-10-30T00:00:00Z"/>
        <d v="2004-01-02T00:00:00Z"/>
        <d v="2003-02-13T00:00:00Z"/>
        <d v="2004-03-22T00:00:00Z"/>
        <d v="2003-06-11T00:00:00Z"/>
        <d v="2003-01-01T00:00:00Z"/>
        <d v="2005-10-28T00:00:00Z"/>
        <d v="2004-08-16T00:00:00Z"/>
        <d v="2004-05-28T00:00:00Z"/>
        <d v="2004-09-01T00:00:00Z"/>
        <d v="2006-07-03T00:00:00Z"/>
        <d v="2005-02-13T00:00:00Z"/>
        <d v="2004-05-17T00:00:00Z"/>
        <d v="2004-06-24T00:00:00Z"/>
        <d v="2002-10-26T00:00:00Z"/>
        <d v="2004-06-28T00:00:00Z"/>
        <d v="2002-05-04T00:00:00Z"/>
        <d v="2006-03-12T00:00:00Z"/>
        <d v="1997-11-07T00:00:00Z"/>
        <d v="2004-06-16T00:00:00Z"/>
        <d v="2004-08-29T00:00:00Z"/>
        <d v="2004-02-10T00:00:00Z"/>
        <d v="2005-06-30T00:00:00Z"/>
        <d v="1996-02-27T00:00:00Z"/>
        <d v="2003-03-20T00:00:00Z"/>
        <d v="2004-07-12T00:00:00Z"/>
        <d v="2003-11-30T00:00:00Z"/>
        <d v="2005-05-16T00:00:00Z"/>
        <d v="2005-06-08T00:00:00Z"/>
        <d v="2002-02-03T00:00:00Z"/>
        <d v="2004-03-07T00:00:00Z"/>
        <d v="2004-04-04T00:00:00Z"/>
        <d v="2004-07-31T00:00:00Z"/>
        <d v="2005-05-14T00:00:00Z"/>
        <d v="2004-09-21T00:00:00Z"/>
        <d v="2000-01-05T00:00:00Z"/>
        <d v="2005-02-14T00:00:00Z"/>
        <d v="2006-10-31T00:00:00Z"/>
        <d v="1994-09-02T00:00:00Z"/>
        <d v="2003-10-29T00:00:00Z"/>
        <d v="2005-03-15T00:00:00Z"/>
        <d v="2003-10-04T00:00:00Z"/>
        <d v="2005-02-21T00:00:00Z"/>
        <d v="2005-03-03T00:00:00Z"/>
        <d v="2004-10-11T00:00:00Z"/>
        <d v="2003-05-19T00:00:00Z"/>
        <d v="2005-05-19T00:00:00Z"/>
        <d v="2003-05-27T00:00:00Z"/>
        <d v="2005-08-06T00:00:00Z"/>
        <d v="2001-08-04T00:00:00Z"/>
        <d v="2004-07-25T00:00:00Z"/>
        <d v="2003-08-28T00:00:00Z"/>
        <d v="2003-12-10T00:00:00Z"/>
        <d v="2005-09-05T00:00:00Z"/>
        <d v="2005-09-13T00:00:00Z"/>
        <d v="2004-08-11T00:00:00Z"/>
        <d v="2005-01-04T00:00:00Z"/>
        <d v="2004-12-29T00:00:00Z"/>
        <d v="2005-09-22T00:00:00Z"/>
        <d v="2004-10-31T00:00:00Z"/>
        <d v="2004-10-01T00:00:00Z"/>
        <d v="2005-11-01T00:00:00Z"/>
        <d v="2004-10-07T00:00:00Z"/>
        <d v="2003-07-15T00:00:00Z"/>
        <d v="2005-12-22T00:00:00Z"/>
        <d v="2005-12-26T00:00:00Z"/>
        <d v="2005-02-09T00:00:00Z"/>
        <d v="1999-05-22T00:00:00Z"/>
        <d v="2004-07-28T00:00:00Z"/>
        <d v="2003-06-10T00:00:00Z"/>
        <d v="2005-04-15T00:00:00Z"/>
        <d v="2005-07-06T00:00:00Z"/>
        <d v="2005-07-02T00:00:00Z"/>
        <d v="2003-06-26T00:00:00Z"/>
        <d v="2003-05-22T00:00:00Z"/>
        <d v="2005-11-17T00:00:00Z"/>
        <d v="2006-09-04T00:00:00Z"/>
        <d v="2001-09-15T00:00:00Z"/>
        <d v="2005-02-04T00:00:00Z"/>
        <d v="2005-03-05T00:00:00Z"/>
        <d v="2002-09-16T00:00:00Z"/>
        <d v="2003-10-20T00:00:00Z"/>
        <d v="2004-10-30T00:00:00Z"/>
        <d v="2006-06-17T00:00:00Z"/>
        <d v="2000-09-13T00:00:00Z"/>
        <d v="2000-11-13T00:00:00Z"/>
        <d v="2004-12-18T00:00:00Z"/>
        <d v="2002-01-16T00:00:00Z"/>
        <d v="2006-01-02T00:00:00Z"/>
        <d v="2004-12-02T00:00:00Z"/>
        <d v="2005-03-26T00:00:00Z"/>
        <d v="2005-10-27T00:00:00Z"/>
        <d v="2004-07-09T00:00:00Z"/>
        <d v="2005-04-30T00:00:00Z"/>
        <d v="2005-11-06T00:00:00Z"/>
        <d v="2005-11-12T00:00:00Z"/>
        <d v="2005-11-28T00:00:00Z"/>
        <d v="2006-12-23T00:00:00Z"/>
        <d v="2003-10-15T00:00:00Z"/>
        <m/>
        <d v="2003-11-23T00:00:00Z"/>
        <d v="2004-04-07T00:00:00Z"/>
        <d v="2005-04-28T00:00:00Z"/>
        <d v="2002-05-30T00:00:00Z"/>
        <d v="2004-08-10T00:00:00Z"/>
        <d v="1998-08-21T00:00:00Z"/>
        <d v="2005-08-24T00:00:00Z"/>
        <d v="2005-02-03T00:00:00Z"/>
        <d v="2002-08-02T00:00:00Z"/>
        <d v="2005-06-11T00:00:00Z"/>
        <d v="2002-07-17T00:00:00Z"/>
        <d v="2002-01-23T00:00:00Z"/>
        <d v="2003-04-04T00:00:00Z"/>
        <d v="2004-01-03T00:00:00Z"/>
        <d v="2003-04-13T00:00:00Z"/>
        <d v="2003-11-27T00:00:00Z"/>
        <d v="2003-02-03T00:00:00Z"/>
        <d v="2005-07-18T00:00:00Z"/>
        <d v="1999-07-20T00:00:00Z"/>
      </sharedItems>
    </cacheField>
    <cacheField name="Email" numFmtId="0">
      <sharedItems containsBlank="1">
        <s v="dat723457@gmail.com"/>
        <s v="thu.nguyenminh070705@gmail.com"/>
        <s v="doanam10@gmail.com"/>
        <s v="sonanhmai0206@gmail.com"/>
        <s v="longnguyenhoang1101.work@gmail.com"/>
        <s v="lephuocthai860@gmail.com"/>
        <s v="yennhi.ataraxia@gmail.com"/>
        <s v="thangak18@gmail.com"/>
        <s v="huytoan709@gmail.com"/>
        <s v="ttkimcuong2610@gmail.com"/>
        <s v="kasahoaitran1609@gmail.com"/>
        <s v="taitue04@gmail.com"/>
        <s v="quanglm.1993@hotmail.com"/>
        <s v="lnkoanh2003@gmail.com"/>
        <s v="nhannguyen2772005@gmail.com"/>
        <s v="lananh310305@gmail.com"/>
        <s v="hoangmcd@gmail.com"/>
        <s v="quangng170@gmail.com"/>
        <s v="dhnam23@clc.fitus.edu.vn"/>
        <s v="yenvy.tny@gmail.com"/>
        <s v="hayden.nmacgiahuy@gmail.com"/>
        <s v="thangnguyen13112004@gmail.com"/>
        <s v="nguyenthingocminh0710@gmail.com"/>
        <s v="giahuynguyen9700@gmail.com"/>
        <s v="ndthanh308@gmail.com"/>
        <s v="xuanloc492002@gmail.com"/>
        <s v="trivannguyen94@gmail.com"/>
        <s v="thien.lee@hcmut.edu.vn"/>
        <s v="hoangminhnguyen2407@gmail.com"/>
        <s v="nhanphamhong2k5@gmail.com"/>
        <s v="trangiahy31082004@gmail.com"/>
        <s v="luongnguyetthuy@gmail.com"/>
        <s v="hktung.work@gmail.com"/>
        <s v="khiem.ton19406@hcmut.edu.vn"/>
        <s v="tranthithuluongarmy@gmail.com"/>
        <s v="namnhut1426@gmail.com"/>
        <s v="quang.nguyen1452000vn@gmail.com"/>
        <s v="hotrongnghia310@gmail.com"/>
        <s v="thinhlanguyenquoc@gmail.com"/>
        <s v="medenn5240@gmail.com"/>
        <s v="buikhanhduy13082003@gmail.com"/>
        <s v="caotripham2004@gmail.com"/>
        <s v="nguyenngocphuong0147@gmail.com"/>
        <s v="trantuananhk4x6@gmail.com"/>
        <s v="nguyenkhang170104@gmail.com"/>
        <s v="thuybm02@gmail.com"/>
        <s v="tdaihai.work@gmail.com"/>
        <s v="xuan.nguyenvanxuaniq2@hcmut.edu.vn"/>
        <s v="quangminh.it.59@gmail.com"/>
        <s v="phonggnguyen9@gmail.com"/>
        <s v="ngtanh1308@gmail.com"/>
        <s v="lamhoang16102002@gmail.com"/>
        <s v="nguyenquocanhquangl@gmail.com"/>
        <s v="viethoang251004@gmail.com"/>
        <s v="contact.adamnguyen@gmail.com"/>
        <s v="locbuidinhan@gmail.com"/>
        <s v="lethanhcong.work@gmail.com"/>
        <s v="nhung13042005@gmail.com"/>
        <s v="nguyentanthanh06072007@gmail.com"/>
        <s v="phuongnmp24419@gmail.com"/>
        <s v="hongluan208@gmail.com"/>
        <s v="hsganh1508@gmail.com"/>
        <s v="22521287@gm.uit.edu.vn"/>
        <s v="tuantuhuunguyen.work@gmail.com"/>
        <s v="hieu180230@gmail.com"/>
        <s v="cuthanhtuong0903@gmail.com"/>
        <s v="nhuquynhnguyenthi709@gmail.com"/>
        <s v="nguyenkhai1470@gmail.com"/>
        <s v="huybacdau123@gmail.com"/>
        <s v="vubi8266@gmail.com"/>
        <s v="ptdat1225@gmail.com"/>
        <s v="trungdevil3@gmail.com"/>
        <s v="phuongnam23122004@gmail.com"/>
        <s v="quannguyen.14042005@gmail.com"/>
        <s v="lethevinh123457@gmail.com"/>
        <s v="duytnk.dev@gmail.com"/>
        <s v="mhhung0811@gmail.com"/>
        <s v="nguyenthanhdanh2001230095@gmail.com"/>
        <s v="hnmkhang11@gmail.com"/>
        <s v="tonhat.minhtoan1998@gmail.com"/>
        <s v="hoangkhanh11223@gmail.com"/>
        <s v="hoainx.work@gmail.com"/>
        <s v="tungfphamj2108@gmail.com"/>
        <s v="dongquanpro2014@gmail.com"/>
        <s v="trantcuong2312@gmail.com"/>
        <s v="vuquocbao2903@gmail.com"/>
        <s v="hoanghuytranle48@gmail.com"/>
        <s v="phathideptrai2k5@gmail.com"/>
        <s v="trhoangphuc1572005@gmail.com"/>
        <s v="dbthy.cathy@gmail.com"/>
        <s v="22520818@gm.uit.edu.vn"/>
        <s v="thangmanhnguyen.w@gmail.com"/>
        <s v="duongtrieuvygr@gmail.com"/>
        <s v="trankhanhlinh.devgame.contact@gmail.com"/>
        <s v="quannguyen16122004@gmail.com"/>
        <s v="yenlinhnguyen1267@gmail.com"/>
        <s v="trongkhoi2432005@gmail.com"/>
        <s v="thaikha14102003@gmail.com"/>
        <s v="hoanghaiyencbm@gmail.com"/>
        <s v="nguyenthaidiemquynh162.work@gmail.com"/>
        <s v="vietlq7721900@gmail.com"/>
        <s v="mqchaufw@gmail.com"/>
        <s v="nqttqnmk@gmail.com"/>
        <s v="trnhphquang190703@gmail.com"/>
        <s v="ltphatt2709@gmail.com"/>
        <s v="chienvuminhk22us@gmail.com"/>
        <s v="letuancong37@gmail.com"/>
        <s v="nguyenvythao1810@gmail.com"/>
        <s v="leminhchienvt121098@gmail.com"/>
        <s v="thanhdat06112004@gmail.com"/>
        <s v="philongnguyen1704@gmail.com"/>
        <s v="lnnt190805@gmail.com"/>
        <s v="toanphuc02@gmail.com"/>
        <s v="khanhan501@gmail.com"/>
        <s v="dangthithuyvi120505@gmail.com"/>
        <s v="tdadung23@apcs.fitus.edu.vn"/>
        <s v="vajn.tt@gmail.com"/>
        <s v="iambinhage17@gmail.com"/>
        <s v="xuanduy2302@gmail.com"/>
        <s v="cthinhh890@gmail.com"/>
        <s v="thanhvi041105@gmail.com"/>
        <s v="trannhatd1811@gmail.com"/>
        <s v="truonggiahao2208@gmail.com"/>
        <s v="vangiang24112020@gmail.com"/>
        <s v="dat519825@gmail.com"/>
        <s v="dovandat2614@gmail.com"/>
        <s v="tram10102005@gmail.com"/>
        <s v="quochuyhuynh.120204@gmail.com"/>
        <s v="dnpdanhqn25@gmail.com"/>
        <s v="dangtrinh1811@gmail.com"/>
        <s v="ngogiathinh1@gmail.com"/>
        <s v="maithuong.dev@gmail.com"/>
        <s v="tranledonganhtth@gmail.com"/>
        <s v="minhanh120204@gmail.com"/>
        <s v="tantran282006@gmail.com"/>
        <s v="vothitienphuoc2005@gmail.com"/>
        <s v="trang.dk2823@gmail.com"/>
        <s v="vannientruong2505@gmail.com"/>
        <s v="thuyvy29032004@gmail.com"/>
        <s v="nguyenlam261005@gmail.com"/>
        <s v="nguyenphuongtung222@gmail.com"/>
        <s v="quoclb23416@st.uel.edu.vn"/>
        <s v="tovoyentho@gmail.com"/>
        <s v="tungduong.g2004@gmail.com"/>
        <s v="quyenthai.060603@gmail.com"/>
        <s v="ngduc.thang031@gmail.com"/>
        <s v="Daryntribang@gmail.com"/>
        <s v="chmfuong@gmail.com"/>
        <s v="huytrieutan@gmail.com"/>
        <s v="winnguyen1905.work@gmail.com"/>
        <s v="buituanhung1234@gmail.com"/>
        <s v="viethungng2205@gmail.com"/>
        <s v="windy09042003@gmail.com"/>
        <s v="phamhuynh.tan04@gmail.com"/>
        <s v="nghiatruong1.dev@gmail.com"/>
        <s v="letai1854@gmail.com"/>
        <s v="thanhtungnguyennnn@gmail.com"/>
        <s v="ndkhoi.gdsciu@gmail.com"/>
        <s v="trinhtanhao@gmail.com"/>
        <s v="viet2004kb@gmail.com"/>
        <s v="minhdat18061999.ag@gmail.com"/>
        <s v="vinhan188@gmail.com"/>
        <s v="nhat2004hcm@gmail.com"/>
        <s v="hoangdh2392005@gmail.com"/>
        <s v="nguyenan542003@gmail.com"/>
        <s v="haonhut.thach@gmail.com"/>
        <s v="htt032003@gmail.com"/>
        <s v="linhnht23413b@st.uel.edu.vn"/>
        <s v="minh2508tv@gmail.com"/>
        <s v="nguyendangdh1@gmail.com"/>
        <s v="nhan.hoanghenrykaka@hcmut.edu.vn"/>
        <s v="pntuan23@clc.fitus.edu.vn"/>
        <s v="vungocson189204@gmail.com"/>
        <s v="truongvtrpaul@gmail.com"/>
        <s v="doviethung.5409@gmail.com"/>
        <s v="nguyenthuythuong179@gmail.com"/>
        <s v="lebinhnguyen2004@gmail.com"/>
        <s v="Vhlong2013@gmail.com"/>
        <s v="trucdt.gl@gmail.com"/>
        <s v="khanhnganle12.2@gmail.com"/>
        <s v="hnm142758@gmail.com"/>
        <s v="phuocloc742@gmail.com"/>
        <s v="animetmn@gmail.com"/>
        <s v="khangduytran2610@gmail.com"/>
        <s v="nguyenphuthinh.dev@gmail.com"/>
        <s v="huyenmyqtqb@gmail.com"/>
        <s v="leggotoan@gmail.com"/>
        <s v="phutd0212@gmail.com"/>
        <s v="thinhnt.uit@gmail.com"/>
        <s v="vanphamanh2303@gmail.com"/>
        <s v="an0981806943@gmail.com"/>
        <s v="nnqnhu12@gmail.com"/>
        <s v="kid14190@gmail.com"/>
        <s v="phungtrungbac.cv@gmail.com"/>
        <s v="triducst285@gmail.com"/>
        <s v="trananhthai01092004@gmail.com"/>
        <s v="caothienquang248@gmail.com"/>
        <s v="thienphuc13022005@gmial.com"/>
        <s v="vonguyenbaongoc0504@gmail.com"/>
        <s v="work.nguyennamhuy@gmail.com"/>
        <s v="anhthanhnguyenthi202@gmail.com"/>
        <s v="duyhuan10a15@gmail.com"/>
        <s v="tqdat.it@gmail.com"/>
        <s v="doanhongbao9a@gmail.com"/>
        <s v="dduc1171@gmail.com"/>
        <s v="chaudq71@gmail.com"/>
        <s v="tdtq1606@gmail.com"/>
        <s v="xuannhi.work298@gmail.com"/>
        <s v="phamquanglong085@gmail.com"/>
        <s v="nddevgame@gmail.com"/>
        <s v="khaivo300605@gmail.com"/>
        <s v="letuankhoi96@gmail.com"/>
        <s v="nguyenminhtrung2120@gmail.com"/>
        <s v="nguyenhung.9a5.nbk@gmail.com"/>
        <s v="21520488@gm.uit.edu.vn"/>
        <s v="thuong.voduccao2313@hcmut.edu.vn"/>
        <s v="khanhbao0806@gmail.com"/>
        <s v="thanhtrucn35@gmail.com"/>
        <s v="anhnguyen.732004@gmail.com"/>
        <s v="hongchunglam.work@gmail.com"/>
        <s v="quangthoai31072004@gmail.com"/>
        <s v="nductoan1815@gmail.com"/>
        <s v="nducphuc04219@gmail.com"/>
        <s v="vuquanghuy0916@gmail.com"/>
        <s v="yennguyen140205@gmail.com"/>
        <s v="nguyenthaoly.bl2@gmail.com"/>
        <s v="dqviet2994.as@gmail.com"/>
        <s v="nguyenphucloan29102003@gmail.com"/>
        <s v="wuannhoang153@gmail.com"/>
        <s v="phat.phamhong@hcmut.edu.vn"/>
        <s v="ititiu22087@student.hcmiu.edu.vn"/>
        <s v="tin.nguyen210205@hcmut.edu.vn"/>
        <s v="tiendungtns81@gmail.com"/>
        <s v="duynguyenquoc276@gmail.com"/>
        <s v="phucnguyen2716@gmail.com"/>
        <s v="thanyminminh@gmail.com"/>
        <s v="baotrand636@gmail.com"/>
        <s v="trantiendat8124@gmail.com"/>
        <s v="lucminhphu2705@gmail.com"/>
        <s v="bnviet05@gmail.com"/>
        <s v="vudobinhan1207@gmail.com"/>
        <s v="kien.nguyen06082005@hcmut.edu.vn"/>
        <s v="letan261201@gmail.com"/>
        <s v="chi.vtn.lly@gmail.com"/>
        <s v="lamtherin25072004@gmail.com"/>
        <s v="anhtran240903@gmail.com"/>
        <s v="lephanxuandung1012@gmail.com"/>
        <s v="chauthinh59@gmail.com"/>
        <s v="phanthaovy31082004@gmail.com"/>
        <s v="nhinguyenw05@gmail.com"/>
        <s v="gialong13092005@gmail.com"/>
        <s v="ngocnhung151104@gmail.com"/>
        <s v="vanquoc11082004@gmail.com"/>
        <s v="bhkhang0401@gmail.com"/>
        <s v="nguyenquochuy291204@gmail.com"/>
        <s v="nguyen1608thien@gmail.com"/>
        <s v="hoangphancbl2005@gmail.com"/>
        <s v="cybersecvykha@gmail.com"/>
        <s v="minhjohn4@gmail.com"/>
        <s v="cuong.bui789tuan@hcmut.edu.vn"/>
        <s v="quynhdoannguyendan0110@gmail.com"/>
        <s v="khoi.tranphandang@hcmut.edu.vn"/>
        <s v="nvvananh11@gmail.com"/>
        <s v="lebaott514@gmail.com"/>
        <s v="kvu5066@gmail.com"/>
        <s v="tranhuukimquy05092005@gmail.com"/>
        <s v="hnhuong1507@gmail.com"/>
        <s v="leminhkha1412@gmail.com"/>
        <s v="hunglecrkh2k5@gmail.com"/>
        <s v="duyphatS2.digital@gmail.com"/>
        <s v="cattuongtran9@gmail.com"/>
        <s v="anh.nguyen.ta22@gmail.com"/>
        <s v="doanmanhtat05@gmail.com"/>
        <s v="tdttrang1401@gmail.com"/>
        <s v="vyquachfor.work@gmail.com"/>
        <s v="mosynhi@gmail.com"/>
        <s v="cuongngochi12@gmail.com"/>
        <s v="lenhathao010181@gmail.con"/>
        <s v="chgiabao36925@gmail.com"/>
        <s v="vinhtruong060705@gmail.com"/>
        <s v="tungquanforwork0207@gmail.com"/>
        <s v="luongnguyenanhquan@gmail.com"/>
        <s v="hangthanhdinhthi@gmail.com"/>
        <s v="naduong.gdsciu@gmail.com"/>
        <s v="24521725@gm.uit.edu.vn"/>
        <s v="luctr1509@gmail.com"/>
        <s v="anhhuyrubic@gmail.com"/>
        <s v="mduy88201010@gmail.com"/>
        <s v="nnthao02@gmail.com"/>
        <s v="phunguyen_vn2003@yahoo.com"/>
        <s v="ngthihongnhung3010@gmail.com"/>
        <s v="lamthao17062006@gmail.com"/>
        <s v="vnghy14@gmail.com"/>
        <s v="ngthutrang0806@gmail.com"/>
        <s v="trieuhoangduy1309@gmail.com"/>
        <s v="vtkhanhnhu@gmail.com"/>
        <s v="tngo2505@gmail.com"/>
        <s v="leanhkhoibk@gmail.com"/>
        <s v="kevinphuc.work@gmail.com"/>
        <s v="uyenuyennguyen81@gmail.com"/>
        <s v="duy.nguyenkhoaquang@gmail.com"/>
        <s v="locphantan26@gmail.com"/>
        <s v="duykhanh280220039a9@gmail.com"/>
        <s v="23520105@gm.uit.edu.vn"/>
        <s v="lehabaokhanh972004@gmail.com"/>
        <s v="quynhtam0302@gmail.com"/>
        <s v="11a2trantiendat@gmail.com"/>
        <s v="crossmanger1330@gmail.com"/>
        <s v="nguyenanhminh2005cantho@gmail.com"/>
        <s v="nhatminhle.sd2019@gmail.com"/>
        <s v="ngothekiet2003@gmail.com"/>
        <m/>
        <s v="thien.nguyenhn@hcmut.edu.vn"/>
        <s v="thanhdyy23@gmai.com"/>
        <s v="phunguyen_vn2010@yahoo.com"/>
        <s v="chibaolam2000@gmail.com"/>
        <s v="diepthaiphong15@gmail.com"/>
        <s v="monluette@gmail.com"/>
        <s v="duyenle30052@gmail.com"/>
        <s v="tpdai108@gmail.com"/>
        <s v="hungphamtien101@gmail.com"/>
        <s v="giaobao2kk5@gmail.com"/>
        <s v="tranhungson322005@gmail.com"/>
        <s v="thanhu0108@gmail.com"/>
        <s v="nguyenminhthuvcst@gmail.com"/>
        <s v="vulamtan2005@gmail.com"/>
        <s v="cuongtr341@gmail.com"/>
        <s v="lamnhi232002@gmail.com"/>
        <s v="tldpn4@gmail.com"/>
        <s v="huonggiang03012004@gmail.com"/>
        <s v="tri26842684@gmail.com"/>
        <s v="nguyenthimynu13042003@gmail.com"/>
        <s v="truongan.271103@gmail.com"/>
        <s v="thong.nguyen1476@hcmut.edu.vn"/>
        <s v="tanthinh030203@gmail.com"/>
        <s v="huy.0977907282@gmail.com"/>
        <s v="qbnguyen0718@gmail.com"/>
        <s v="kynenhon@gmail.com"/>
      </sharedItems>
    </cacheField>
    <cacheField name="SĐT" numFmtId="0">
      <sharedItems containsBlank="1">
        <s v="+84329343938"/>
        <s v="+84906706289"/>
        <s v="+84984283445"/>
        <s v="+84966838756"/>
        <s v="+84908561071"/>
        <s v="+84354724412"/>
        <s v="+84819309989"/>
        <s v="+84396177323"/>
        <s v="+84902660321"/>
        <s v="+84948485519"/>
        <s v="+84865116067"/>
        <s v="+84357008034"/>
        <s v="+84934197743"/>
        <s v="+84985824457"/>
        <s v="+84816352781"/>
        <s v="+84775470336"/>
        <s v="+84913421855"/>
        <s v="+84338539450"/>
        <s v="+84369280305"/>
        <s v="+84899893168"/>
        <s v="+84373569734"/>
        <s v="+84985384224"/>
        <s v="+84961788948"/>
        <s v="+84393424052"/>
        <s v="+84978702454"/>
        <s v="+84706169918"/>
        <s v="+84911777488"/>
        <s v="+84345754672"/>
        <s v="+821021816197"/>
        <s v="+84329181856"/>
        <s v="+84798766186"/>
        <s v="+84888738201"/>
        <s v="+84923107814"/>
        <s v="+84858951424"/>
        <s v="+84926083260"/>
        <s v="+84799443204"/>
        <s v="+84933376639"/>
        <s v="+84966404344"/>
        <s v="+84707072966"/>
        <s v="+84378462570"/>
        <s v="+84585089691"/>
        <s v="+84342871816"/>
        <s v="+84819860373"/>
        <s v="+84368757916"/>
        <s v="+84902944859"/>
        <s v="+84768114665"/>
        <s v="+84906517865"/>
        <s v="+84944386941"/>
        <s v="+84384194364"/>
        <s v="+84902941212"/>
        <s v="+84356147177"/>
        <s v="+84772731783"/>
        <s v="+84336437356"/>
        <s v="+84764251004"/>
        <s v="+84329501759"/>
        <s v="+84367937626"/>
        <s v="+84772017159"/>
        <s v="+84918923200"/>
        <s v="+84906433607"/>
        <s v="+84869123103"/>
        <s v="+84325958250"/>
        <s v="+84823083259"/>
        <s v="+84944884531"/>
        <s v="+84376261382"/>
        <s v="+84359772230"/>
        <s v="+84379522232"/>
        <s v="+84707982939"/>
        <s v="+84858561490"/>
        <s v="+84395224204"/>
        <s v="+84398606281"/>
        <s v="+84705800474"/>
        <s v="+84375865352"/>
        <s v="+84981959775"/>
        <s v="+84703435034"/>
        <s v="+84966013783"/>
        <s v="+84389264839"/>
        <s v="+84917157785"/>
        <s v="+84979712043"/>
        <s v="+84852214104"/>
        <s v="+84705862279"/>
        <s v="+84797879129"/>
        <s v="+84989522125"/>
        <s v="+84395953421"/>
        <s v="+84914092549"/>
        <s v="+84338486018"/>
        <s v="+84938043751"/>
        <s v="+84382896246"/>
        <s v="+84355785209"/>
        <s v="+84369889062"/>
        <s v="+84763238572"/>
        <s v="+84388493610"/>
        <s v="+84941655089"/>
        <s v="+84866788164"/>
        <s v="+84843866788"/>
        <s v="+84862741773"/>
        <s v="+84969443263"/>
        <s v="+84989836733"/>
        <s v="+84967685601"/>
        <s v="+84908003798"/>
        <s v="+84901734187"/>
        <s v="+84528815642"/>
        <s v="+84847046049"/>
        <s v="+84388585995"/>
        <s v="+84902561608"/>
        <s v="+84973643001"/>
        <s v="+84387649640"/>
        <s v="+84986914970"/>
        <s v="+84795076141"/>
        <s v="+84334422117"/>
        <s v="+84764914166"/>
        <s v="+84914749064"/>
        <s v="+84704671908"/>
        <s v="+84943352368"/>
        <s v="+84789430105"/>
        <s v="+84382567569"/>
        <s v="+84903500049"/>
        <s v="+84384077279"/>
        <s v="+84961682107"/>
        <s v="+84985052900"/>
        <s v="+84901162143"/>
        <s v="+84365043675"/>
        <s v="+84774421452"/>
        <s v="+84909462208"/>
        <s v="+84906623426"/>
        <s v="+84363539478"/>
        <s v="+84356708642"/>
        <s v="+84914832707"/>
        <s v="+84335538025"/>
        <s v="+84583973996"/>
        <s v="+84981312709"/>
        <s v="+84879530458"/>
        <s v="+84349373249"/>
        <s v="+84383502327"/>
        <s v="+84941665470"/>
        <s v="+84332422436"/>
        <s v="+84825478182"/>
        <s v="+84815006825"/>
        <s v="+84946490224"/>
        <s v="+84971014978"/>
        <s v="+84869293053"/>
        <s v="+84783771091"/>
        <s v="+84337163704"/>
        <s v="+84941584575"/>
        <s v="+84348720082"/>
        <s v="+84386036132"/>
        <s v="+84327644031"/>
        <s v="+84899771436"/>
        <s v="+84783555097"/>
        <s v="+84918925902"/>
        <s v="+84375359048"/>
        <s v="+84333434629"/>
        <s v="+84329782205"/>
        <s v="+84764818891"/>
        <s v="+84943402253"/>
        <s v="+84918428711"/>
        <s v="+84928567592"/>
        <s v="+84389832755"/>
        <s v="+84767009955"/>
        <s v="+84812297178"/>
        <s v="+84325553400"/>
        <s v="+84382943515"/>
        <s v="+84867911513"/>
        <s v="+84868389329"/>
        <s v="+84838065505"/>
        <s v="+84379683151"/>
        <s v="+84369377060"/>
        <s v="+84706732140"/>
        <s v="+84961361214"/>
        <s v="+84345383575"/>
        <s v="+84342488229"/>
        <s v="+84355510082"/>
        <s v="+84931332285"/>
        <s v="+84985214127"/>
        <s v="+84852864102"/>
        <s v="+84387834332"/>
        <s v="+84854870179"/>
        <s v="+84971911342"/>
        <s v="+84363553536"/>
        <s v="+84935866252"/>
        <s v="+84358522978"/>
        <s v="+84946855825"/>
        <s v="+84944090450"/>
        <s v="+84922117580"/>
        <s v="+84774030157"/>
        <s v="+84917199533"/>
        <s v="+84867853867"/>
        <s v="+84345138026"/>
        <s v="+84385470580"/>
        <s v="+84925674684"/>
        <s v="+84872721473"/>
        <s v="+84359933524"/>
        <s v="+84388637259"/>
        <s v="+84767265062"/>
        <s v="+84356936568"/>
        <s v="+84343811836"/>
        <s v="+84775122980"/>
        <s v="+84707969308"/>
        <s v="+84375734990"/>
        <s v="+84918199338"/>
        <s v="+84898406809"/>
        <s v="+84911535377"/>
        <s v="+84946827825"/>
        <s v="+84707721611"/>
        <s v="+84814474321"/>
        <s v="+84836099465"/>
        <s v="+84356539038"/>
        <s v="+84839160604"/>
        <s v="+84785567806"/>
        <s v="+84896647885"/>
        <s v="+84969984144"/>
        <s v="+84902316248"/>
        <s v="+84945645996"/>
        <s v="+84356787352"/>
        <s v="+84985659398"/>
        <s v="+84767367435"/>
        <s v="+84395470613"/>
        <s v="+84918960090"/>
        <s v="+84564520610"/>
        <s v="+84344898294"/>
        <s v="+84345378032"/>
        <s v="+84368835294"/>
        <s v="+84942901405"/>
        <s v="+84902908542"/>
        <s v="+84916811897"/>
        <s v="+84387018309"/>
        <s v="+84366074770"/>
        <s v="+84344026945"/>
        <s v="+84833052952"/>
        <s v="+84981893696"/>
        <s v="+84918234000"/>
        <s v="+84768191431"/>
        <s v="+84354304881"/>
        <s v="+84384205428"/>
        <s v="+84326735507"/>
        <s v="+84938537347"/>
        <s v="+84328452607"/>
        <s v="+84399396164"/>
        <s v="+84385328124"/>
        <s v="+84868232031"/>
        <s v="+84909978708"/>
        <s v="+84397938536"/>
        <s v="+84386658478"/>
        <s v="+84938730581"/>
        <s v="+84359387036"/>
        <s v="+84566853255"/>
        <s v="+84362572875"/>
        <s v="+84384340684"/>
        <s v="+84944734659"/>
        <s v="+84944449487"/>
        <s v="+84335441261"/>
        <s v="+84919399209"/>
        <s v="+84834904537"/>
        <s v="+84799494849"/>
        <s v="+84977568817"/>
        <s v="+84852299711"/>
        <s v="+84364360804"/>
        <s v="+84948795154"/>
        <s v="+84386783066"/>
        <s v="+84909212394"/>
        <s v="+84918303751"/>
        <s v="+84909940436"/>
        <s v="+84812002998"/>
        <s v="+84949452527"/>
        <s v="+84906862986"/>
        <s v="+84797784766"/>
        <s v="+84948843864"/>
        <s v="+84762590023"/>
        <s v="+84938210020"/>
        <s v="+84817995925"/>
        <s v="+84383638934"/>
        <s v="+84906648217"/>
        <s v="+84911296046"/>
        <s v="+84822203534"/>
        <s v="+84868204505"/>
        <s v="+84325608801"/>
        <s v="+84389459715"/>
        <s v="+84764884258"/>
        <s v="+84888553944"/>
        <s v="+84948017324"/>
        <s v="+84901484575"/>
        <s v="+84854936613"/>
        <s v="+84348860520"/>
        <s v="+84933519727"/>
        <s v="+84366024073"/>
        <s v="+84859361633"/>
        <s v="+84796853563"/>
        <s v="+84337686257"/>
        <s v="+84886432119"/>
        <s v="+84981883419"/>
        <s v="+84931822658"/>
        <s v="+84932850236"/>
        <s v="+84988214583"/>
        <s v="+84818183667"/>
        <s v="+84965023726"/>
        <s v="+84938129556"/>
        <s v="+84395506568"/>
        <s v="+84963870759"/>
        <s v="+84399347360"/>
        <s v="+84707182711"/>
        <s v="+84932199527"/>
        <s v="+84355749461"/>
        <s v="+84981228657"/>
        <s v="+84947733481"/>
        <s v="+84983631443"/>
        <s v="+84944144560"/>
        <s v="+84941521447"/>
        <s v="+84365405525"/>
        <s v="+84902429999"/>
        <s v="+84394762745"/>
        <s v="+84858098054"/>
        <s v="+84367664855"/>
        <m/>
        <s v="+84963877559"/>
        <s v="+84373792380"/>
        <s v="+84385800144"/>
        <s v="+84988634825"/>
        <s v="+84767098134"/>
        <s v="+84842094192"/>
        <s v="+84901956202"/>
        <s v="+84963733570"/>
        <s v="+84976973831"/>
        <s v="+84784345079"/>
        <s v="+84944859735"/>
        <s v="+84849362717"/>
        <s v="+84829334908"/>
        <s v="+84962213194"/>
        <s v="+84869910467"/>
        <s v="+84362494249"/>
        <s v="+84852367703"/>
        <s v="+84785406202"/>
        <s v="+84397569676"/>
        <s v="+84393589643"/>
        <s v="+84918748454"/>
        <s v="+84934025703"/>
        <s v="+84392227658"/>
        <s v="+84394111920"/>
        <s v="+84764440624"/>
      </sharedItems>
    </cacheField>
    <cacheField name="Nguyện vọng 1" numFmtId="0">
      <sharedItems containsBlank="1">
        <s v="Game Quality Assurance Intern"/>
        <s v="Human Resources Intern"/>
        <s v="Data Analysis Intern"/>
        <s v="AI Engineering Intern"/>
        <s v="Game Design Intern"/>
        <s v="Unity Development Intern"/>
        <s v="Game User Acquisition Intern"/>
        <m/>
      </sharedItems>
    </cacheField>
    <cacheField name="Nguyện vọng 2" numFmtId="0">
      <sharedItems containsBlank="1">
        <s v="Game Quality Assurance Intern"/>
        <m/>
        <s v="Game User Acquisition Intern"/>
        <s v="Data Analysis Intern"/>
        <s v="Game Design Intern"/>
        <s v="AI Engineering Intern"/>
        <s v="Unity Development Intern"/>
        <s v="Human Resources Intern"/>
      </sharedItems>
    </cacheField>
    <cacheField name="Lý do ứng tuyển vị trí" numFmtId="0">
      <sharedItems containsBlank="1">
        <s v="Đóng góp và phát triển."/>
        <s v="I’m motivated to choose the HR Intern position at SUN.RISER because it aligns closely with both my academic background and my career direction in Human Resources. As a Business Administration student with a focus on HR, I’m interested in how HR supports e"/>
        <s v="I'm motivated by the chance to apply data skills in a real gaming environment. Sun Studio's scale—with millions of active users—means insights I contribute can drive actual product decisions. This internship is the perfect opportunity to grow from self-st"/>
        <s v="Vừa thích game và vừa mê AI và Data"/>
        <s v="Em chọn vị trí AI Engineer và Data Analysis tại SUN.RISER vì đây là cơ hội tuyệt vời để em kết hợp niềm đam mê chơi game cùng kỹ năng xử lý dữ liệu của mình.  Vì thế em rất mong muốn được trực tiếp nghiên cứu ứng dụng AI vào các sản phẩm thực tế của công "/>
        <s v="Mong muốn được học hỏi thêm kiến thức chuyên môn, phát triển trong môi trường chuyên nghiệp, trao dồi kinh nghiệm thực tế."/>
        <s v="Em chọn vị trí này ở SUN.RISER vì em vốn là một fan của dòng game Puzzle và studio có một tựa game khiến em rất tò mò - Wood Block Puzzle. Game mang lại cảm giác 'vừa đủ', vừa đủ dễ để bắt đầu nhưng cũng đủ thách thức để không thể ngừng chơi ngay, em khao"/>
        <s v="Em có một niềm đam mê mãnh liệt với trò chơi điện tử từ nhỏ và luôn khao khát được hiểu cách chúng vận hành. Thay vì chỉ là người chơi, em muốn trở thành người trực tiếp tạo ra những trải nghiệm đó. Vị trí này tại SUN.RISER là cơ hội tuyệt vời để tôi biến"/>
        <s v="Em rất thích chơi game và việc làm game là 1 niềm đam mê rất lớn. Với nền tảng kỹ thuật hiện có, em mong muốn được cống hiến hết mình tại SUN.RISER để chinh phục những thử thách mới trong việc tạo ra những tựa game hấp dẫn."/>
        <s v="Điều khiến tôi lựa chọn vị trí Game User Acquisition tại SUN.RISER là sự kết hợp giữa niềm yêu thích của tôi với lĩnh vực marketing dựa trên dữ liệu và sự quan tâm đến ngành game. Tôi hiểu rằng User Acquisition không chỉ là chạy quảng cáo, mà còn là quá t"/>
        <s v="I chose this position at SUN.RISER because it aligns well with my skills and offers a great opportunity to learn, grow, and contribute in a dynamic environment."/>
        <s v="Với nền tảng Pháp luật được đào tạo từ trường ĐH Luật TP.HCM, tôi tin bản thân hoàn toàn phù hợp với những nhiệm vụ của vị trí HR intern"/>
        <s v="I have passion for designing games and wishes to gain more hands-on experience to further improve my skills, in which this program could help me a lot"/>
        <s v="I’m motivated to join SUN.RISER because I enjoy turning AI into practical tools. With my background in Python and small AI projects, I focus on building structured workflows to solve real problems. I’m especially impressed by SUN.RISER’s focus on automati"/>
        <s v="Em muốn học cách thiết kế game và trải nghiệm thực tế quá trình tạo nên một game hoàn chỉnh"/>
        <s v="This position allows me to work with real game data and apply data analysis to understand user behavior and retention, similar to some previous projects I have done. I also have experience analyzing game data and building dashboards through my projects, a"/>
        <s v="Đó là cơ hội được hiểu sâu cách dữ liệu phản ánh chất lượng và hiệu suất của một tựa game. Em đặc biệt quan tâm đến các mà các chỉ số liên kết với nhau để đưa ra một insight nào đó về một game đang thực sự tốt hay đang gặp vấn đề."/>
        <s v="I want to gain hands-on experience related to the concept of User Acquisition in the game context in Marketing"/>
        <s v="Là một sinh viên chuyên ngành Kỹ thuật Phần mềm, em hiểu rằng một dòng code tốt chỉ thực sự có giá trị khi nó mang lại trải nghiệm ổn định cho người dùng. Em chọn QA vì em yêu thích việc phân tích hệ thống để tìm ra các lỗ hổng logic song song với đó là đ"/>
        <s v="I am interested in HR and believe SUN.RISER is a dynamic and creative environment, especially as a game company. I am excited about the opportunity to learn and grow in such a fun and energetic workplace."/>
        <s v="Điều khiến em quyết định ứng tuyển vào vị trí HR Intern tại SUN.STUDIO trước hết là sự ấn tượng với quy mô và sức sáng tạo của công ty trong lĩnh vực Game. Qua tìm hiểu, em thấy chương trình SUN.RISER không chỉ dừng lại ở việc hỗ trợ hành chính mà thực sự"/>
        <s v="Tôi chọn vị trí này vì SUN.RISER nổi tiếng với môi trường làm việc năng động và chú trọng đào tạo thế hệ trẻ. Tôi tin rằng với cấu trúc tổ chức tại đây, kỹ năng của mình sẽ được phát huy tối đa, đồng thời tôi có cơ hội học hỏi từ những chuyên gia hàng đầu"/>
        <s v="Em chọn vị trí Data Analyst Intern tại SUN.RISER vì em muốn có cơ hội áp dụng những kiến thức về data mà em đã học vào thực tế. Ngoài ra, em cũng khá hứng thú với ngành game vì đây là lĩnh vực có nhiều dữ liệu về hành vi người dùng, nên em nghĩ sẽ học hỏi"/>
        <s v="Em chọn vị trí này tại SUN.RISER vì phù hợp với định hướng trở thành Unity Game Developer của em, đặc biệt là phát triển gameplay và tích hợp AI vào game. Em mong muốn được học hỏi quy trình làm việc thực tế, nâng cao kỹ năng và đóng góp vào các dự án của"/>
        <s v="Với chuyên ngành là Data Science , em đã được học bài bản từ Data đến AI , do đó em ứng tuyển vào 2 vị trí thực tập:&#10;1/ AI Engineer&#10;2/ Data Analyst&#10;Đặc biệt hơn, một môi trường chuyên nghiệp, năng động và có liên quan đến game như SUN.RISER thực sự khiến "/>
        <s v="Em chọn vị trí này vì đây là một vị trí giao thoa giữa kỹ thuật và đam mê, nó cho phép em áp dụng tư duy lập trình (lập trình viên thường có thể đoán được lỗi có thể phát sinh ở đâu) vào việc đảm bảo trải nghiệm người dùng cuối trong ngành game."/>
        <s v="Là một cử nhân mới tốt nghiệp về chuyên ngành Trí tuệ Nhân tạo, trên hết trong tâm là một người trẻ có niềm đam mê và hứng thú với game cũng như nguyện vọng có thể được là 1 phần phát triển các tựa game được nhiều người đón nhận như cách bản thân đã từng."/>
        <s v="Em ứng tuyển đơn giản vì em rất thích game và muốn được tự tay tạo ra chúng.&#10;Về khả năng, em có nền tảng lập trình tốt, tư duy logic nhạy bén và khả năng học hỏi công nghệ mới rất nhanh, nên em tự tin mình sẽ sớm làm quen được với môi trường Unity."/>
        <s v="Em mong muốn được phát triển trong một môi trường có lộ trình rõ ràng, được học từ đội ngũ làm game thực chiến và được va chạm với các dự án đang hình thành. Với em, SUN.RISER là cơ hội phù hợp để em chuyển từ việc chỉ học và quan sát sang việc thật sự đó"/>
        <s v="Sau khi tìm hiểu chương trình thực tập em nhận thấy môi trường ở Sun Riser rất phù hợp để em có thể phát triển"/>
        <s v="Là một sinh viên mới tốt nghiệp ngành Khoa học dữ liệu, em đặc biệt ấn tượng với các dự án AI mà SUN.RISER đang triển khai. Em khao khát được làm việc trong một môi trường năng động để vừa học hỏi từ các chuyên gia, vừa tận dụng kỹ năng lập trình Python, "/>
        <s v="Em có nền tảng ngành Quản trị nguồn nhân lực và định hướng phát triển chuyên sâu trong HR ở tương lai xa. Đây là ngành học em rất tâm huyết, cũng như những kinh nghiệm em tích luỹ được trong kỳ thực tập trước và trong quá trình học tập, em cảm thấy bản th"/>
        <s v="Em chọn SUN.STUDIO vì em thấy vị trí Human Resources Intern trong chương trình SUN.RISER khá sát với định hướng của mình là làm việc với con người, đặc biệt là mảng tuyển dụng và phát triển nhân sự.&#10;Em muốn được học sâu hơn về Nhân sự trong một môi trường"/>
        <s v="Mình chọn vị trí AI Engineering Intern tại SUN.RISER vì đây là môi trường phù hợp với định hướng phát triển của mình theo hướng AI engineering – không chỉ dừng ở việc xây dựng mô hình mà còn làm việc với dữ liệu, pipeline và triển khai thực tế; đồng thời "/>
        <s v="Em bị thu hút bởi môi trường năng động của ngành Game. Em đặc biệt hứng thú với vai trò kết nối con người, góp phần xây dựng đội ngũ phù hợp để tạo ra sản phẩm chất lượng. Bên cạnh đó, môi trường trẻ, năng động cùng cơ hội học hỏi toàn diện từ tuyển dụng "/>
        <s v="I am motivated to join SUN.RISER as an AI Engineer to gain practical work experience and apply my technical skills to real-world projects. I believe this position will provide the professional environment I need to grow while contributing to the team's go"/>
        <s v="Em muốn được trải nghiệm cũng như đút kết kinh nghiệm về mảng game."/>
        <s v="Mình muốn được đóng góp cho Sun Studio, ngoài ra học hỏi nhiều hơn về lập trình game, về Unity, và quan trọng nhất là về cách hợp tác, làm việc chung."/>
        <s v="I choose this position because I want to develop my expertise in a real-world environment where AI, Data, and product systems are tightly integrated.&#10;For me, SUN.RISER is an opportunity to learn from real systems, understand how all components work togeth"/>
        <s v="Mình chọn vị trí này vì đây là cơ hội để nâng cao kỹ năng phân tích dữ liệu trong lĩnh vực có tốc độ phản hồi nhanh và trực quan như game. Dữ liệu game phản ánh hành vi người dùng gần như theo thời gian thực - từ DAU, Retention đến ARPU - tạo nên môi trườ"/>
        <s v="I am a dedicated person with a genuine passion in game development. I have always wanted to turn game development into a long-term career. So, this position is a great opportunity for me to accomplish that dream."/>
        <s v="Mặc dù định hướng data nhưng em rất có hứng thú với thiết kế game và đã từng sử dụng qua Godot Engine để làm game. Vị trí Data Analyst của SUN.RISER là một cơ hội tuyệt vời để vừa học hỏi trau dồi kỹ năng phân tích xử lý dữ liệu, vừa thoả mãn đam mê thiết"/>
        <s v="Em mong muốn được ứng tuyển vào vị trí này vì ngày từ năm nhất đại học em đã có sở thích và niềm đam mê trong việc xử lý các nghiệp vụ liên quan đến dữ liệu. Bên cạnh đó với việc cạnh tranh trong thị trường lao động ngày càng gay gắt nên em muốn được sớm "/>
        <s v="I am a Computer Science student with a focus on AI, and I have hands-on experience as a QA Tester. This background allows me to understand both system logic and product quality. I am eager to learn, improve my skills, and contribute to the team. I am also"/>
        <s v="Vì đam mê game và muốn học để có thể hiểu và biết code game. Vì ko được học Unity ở trường nên muốn được intern để có thêm kinh nghiệm"/>
        <s v="Ở đây có thể đào tạo và dệt ước mơ trở thành game designer của em."/>
        <s v="Tôi cảm giác đây là một môi trường phù hợp để bản thân có thể phát triển kỹ năng cũng như tư duy"/>
        <s v="Từ lâu em đã luôn tìm kiếm 1 cơ hội để có thể làm game và thực hiện ước mơ và sun riser đến với em như một sự tình cờ để em có thể viết tiếp nó"/>
        <s v="Tôi chọn vị trí này tại SUN.RISER vì khao khát được áp dụng chuyên môn AI và Full-stack vào các dự án thực tế, đồng thời phát triển trong môi trường công nghệ đột phá."/>
        <s v="I’m motivated to apply for this position at SUN.RISER because I’m looking for an environment where I can grow both technically and professionally through real-world projects."/>
        <s v="SUN.RISER's creative vision motivates me to apply my Game Dev background professionally. Having built 2D Unity titles using C# and OOP, I am eager to contribute my strong technical foundation, clean code, and passion for engaging game mechanics to your up"/>
        <s v="I’m interested in SUN.RISER because it focuses on applying AI to real workflows. I enjoy building practical AI solutions like pipelines and automation, and I’d like to grow more with LLM systems in a real working environment."/>
        <s v="Em chọn vị trí này vì đam mê biến ý tưởng sáng tạo thành những cơ chế game logic và lôi cuốn."/>
        <s v="I chose SUN.RISER because it's the ideal environment for a recent graduate like myself to leverage my strengths in AI and data analytics. With experience building RAG systems with approximately 85% accuracy and interning in Prompt Engineering at Vinova, I"/>
        <s v="My motivation for choosing the Unity Development Intern position in SUN.RISER comes from my passion for game development and my desire to work on real game products. I want to improve my Unity/C# skills, learn from experienced developers, and contribute t"/>
        <s v="I chose this position because I want to understand software quality from a testing perspective, as testing is an essential part of the software development lifecycle. I am interested in how products are validated, how issues are identified early, and how "/>
        <s v="Leveraging a solid background in Unity development, I aim to excel as a Game QA at SUN.STUDIO. I thrive in cross-functional environments where I can bridge the gap between Dev, Design, and Art teams through clear communication and proactive problem-solvin"/>
        <s v="Vì là vị trí công việc mà em luôn hướng đến. Tham gia dự án NCKH và được làm việc với dữ liệu, em đã yêu thích với việc phân tích insight từ dữ liệu để đưa ra kết luận và hướng đi phù hợp giúp tăng doanh thu. SUN.RISER là môi trường lý tưởng để em kết hợp"/>
        <s v="Tôi là một người có niềm đam mê mạnh mẽ ở mảng game, từ việc chơi game, xem streamer đến mò mẫm những bài phân tích game. Vì thế, với kiến thức và kĩ năng của một người sinh viên truyền thông, tôi mong muốn được cống hiến sức lực của mình ở một môi trường"/>
        <s v="My marketing background, data analysis experience with SmartPLS, Excel and content strategy work across multiple brands align perfectly with SUN.RISER's UA focus. I'm driven by the challenge of combining creativity with data to scale mobile products and S"/>
        <s v="Có niềm đam mê về game và cảm thấy khó chịu khi nó bị lỗi"/>
        <s v="Tôi bị ấn tượng bởi những gì mà công ty đã và đang làm được, một môi trường tuyệt vời để tôi có thể phát triển hơn trong sự nghiệp. Tôi cảm thấy rằng mình đủ tư duy và thái độ để cống hiến cho một công ty lớn và có tiếng như SUN.RISER. Đây là một cơ hội m"/>
        <s v="Em đã có một chút kinh nghiệm về AI, nên em nghĩ đây là động lực lớn nhất để em tiếp tục apply AI Engineer."/>
        <s v="Được đào tạo về kỹ năng, tư duy theo quy trình quy chuẩn trong ngành. Được gặp gỡ và học hỏi từ đội ngũ thực chiến nhiều kinh nghiệm để tương lai tạo ra đóng góp giá trị cho công ty."/>
        <s v="ình không chỉ muốn là người xây dựng hạ tầng hay bảo vệ hệ thống; mình muốn được là người trực tiếp tạo ra giá trị trải nghiệm. Sau thời gian dài rèn luyện với Rust và C++, mình nhận thấy ngành Game Developer là nơi thử thách cao nhất về khả năng tối ưu h"/>
        <s v="I am particularly interested in this role because it allows me to apply my current skills while also developing new ones through real practical experience."/>
        <s v="I am motivated to join SUN.RISER because it aligns with my goal of becoming a QA Engineer in a product-driven environment. I am interested in game testing, especially ensuring quality in game logic, UI, and user experience.&#10;&#10;With my knowledge of test case"/>
        <s v="My motivation stems from a deep passion for creating immersive gaming experiences. Having built a foundation in C# and Unity, I am eager to apply my skills in a professional environment like SUN.RISER. I admire the company's creative direction and believe"/>
        <s v="I chose SUN.RISER to transition from operations to direct game creation. My 2-year tenure at VTC Online provided deep insights into player psychology. Leveraging my CS background from HCMUT and hardware skills, I offer product-driven design or technical r"/>
        <s v="I am eager to challenge myself in a new field."/>
        <s v="I have been following SUN.STUDIO’s innovative projects for some time and am deeply impressed by your creative tech environment. Currently, I am a final-year student specializing in RAG and LangChain architectures. I am eager to challenge myself in a new f"/>
        <s v="Tôi muốn kết hợp lý thuyết và kiến ​thức vào việc làm game chuyên nghiệp. Mục tiêu của tôi là được đóng góp vào các dự án của công ty, đồng thời học hỏi các quy trình kỹ thuật để tạo ra những game thú vị"/>
        <s v="Tôi chọn vị trí này vì phù hợp với chuyên ngành Game tôi đang theo học. Tôi muốn được học hỏi thêm từ dự án thực tế và nâng cao khả năng phát triển Game trong môi trường chuyên nghiệp."/>
        <s v="With my proactive learning and great passion in AI field, I realized that the internship opportunity at SUN.RISER really help me to have chance to work in real project and professional environment.&#10;Moreover, the idea of integration AI into game product is"/>
        <s v="Enhance my personal skills and first time to adapt to professional working space"/>
        <s v="I am motivated to join SUN.RISER for two main reasons:&#10;&#10;Technological Alignment: SUN.RISER’s commitment to innovation perfectly matches my career goal of becoming an AI Engineer.&#10;&#10;Growth &amp; Contribution: I am highly impressed by the professional growth opp"/>
        <s v="Điều khiến em chọn vị trí này là bởi vì khi làm việc, em sẽ được trực tiếp tham gia vào quá trình phát triển game dưới sự hướng dẫn của mentor. Trong các dự án, em luôn là người tích hợp UI và có khả năng làm việc nhóm, nên em nghĩ mình là bản ghép phù hợ"/>
        <s v="I'm passionate about game development and want to gain real hands-on experience in an actual production environment. SUN.RISER's work really resonates with me, and I'd love to learn from an experienced team while contributing what I can as a fresh develop"/>
        <s v="Tôi chọn SUN.RISER vì mong muốn chuyển hóa dữ liệu thành các chiến lược kinh doanh thực tế. Với kinh nghiệm quản lý KPI qua CRM ở VUS và xây dựng dashboard phân tích lợi nhuận, rủi ro qua các dự án cá nhân tôi tự tin có thể cung cấp những insight giá trị "/>
        <s v="Đam mê lớn nhất của mình là theo đuổi con đường phát triển game. Mình ứng tuyển vào SUN.RISER vì mình tin rằng đây chính là môi trường lý tưởng nhất để mình khai phá tiềm năng bản thân và tiến xa hơn trong sự nghiệp."/>
        <s v="- For every game I’ve played, whether online or offline, I quickly grasp the mechanics, develop a deep understanding, and effectively leverage available resources to come up with fast solutions.&#10;- My experience competing professionally in esports has shar"/>
        <s v="Tôi lựa chọn vị trí này tại SUN.RISER vì đây là môi phù hợp để tôi phát triển kỹ năng lập trình game với Unity và tham gia vào các dự án thực tế."/>
        <s v="Em mong muốn được học tập trong môi trường chuyên nghiệp hơn, ngoài ra tiếp xúc với những người đã có kinh nghiệm sẽ giúp em phát triển và đi sâu hơn trong chuyên ngành này."/>
        <s v="Firstly, as a gamer and Sudoku addicted myself, I am surprised that Viet Nam have a game studio and especially in puzzle genre. Secondly, I always want to be a game designer since I were in high school and now finding out a Viet Nam based puzzle game stud"/>
        <s v="I choose this position at SUN.RISE because it offers a valuable opportunity to learn and I am very passionate about AI"/>
        <s v="I chose this position at SUN.RISER because it matches my skills and career goals. I also want to learn, gain practical experience and contribute to the team in a professional environment."/>
        <s v="I am eager to join SUN.STUDIO as a Game Design Intern to contribute the logical mindset and technical skills gained from my game-related projects and self-study. I aim to apply my academic foundation to a professional environment, bridging the gap between"/>
        <s v="Điều khiến em muốn gia nhập Sun Studio là văn hóa môi trường trẻ trung, nhiệt huyết. Em rất mong muốn được tham gia và đóng góp công sức của mình trong việc biến những ý tưởng game đầy tiềm năng thành các sản phẩm thành công và có khả năng giữ chân người "/>
        <s v="Muốn có việc làm về phát triển game, học hỏi kinh nghiệm"/>
        <s v="Mình chọn SUN.RISER vì mình muốn làm việc trong một môi trường thực chiến. Mình thấy SUN mạnh về dòng Casual, đúng hướng mình đang theo đuổi nên mình muốn vào đây để va chạm thực tế, xem quy trình vận hành một con game lớn nó chạy như thế nào và góp sức m"/>
        <s v="Với kỹ năng làm việc, dẫn dắt nhóm và các dự án đã làm từ khi còn ở ghế nhà trường. Em có khả năng làm việc tại vị trí này của công ty và mong muốn được đóng góp cho công ty trong tương lai."/>
        <s v="As a third-year student studying Data Science, I am eager to apply the knowledge and skills I have gained throughout my studies to real-world projects. Being a Data Analyst Intern at SUN.RISER is the best opportunity to do so. Also, SUN.RISER is a well-kn"/>
        <s v="I am motivated to join SUN.RISER because it offers the opportunity to work with real game data and turn it into actionable insights that directly impact product decisions. The end-to-end exposure—from data querying and transformation to dashboarding—stron"/>
        <s v="Mong muốn được thử sức trong môi trường doanh nghiệp và mảng game cũng như nâng cao, học hỏi thêm kiến thức chuyên môn thông qua chương trình"/>
        <s v="Thông qua quá trình intern, mình muốn tìm hiểu, cách để tạo ra một con game là như thế nào. Ở hiện tại, mình vừa mới tốt nghiệp đại học xong. Và rất sẵn sàng được đào tạo trong một môi trường chuyên nghiệp mới."/>
        <s v="Em chọn Game Design vì em thích nghĩ về cách game giữ người chơi, kiểu như progression hay reward. Dạo này em đang tự làm một game RPG nhỏ trên Roblox để test mấy cái đó luôn. Nên em muốn vào SUN.RISER để xem thực tế là làm như nào và học hỏi thêm."/>
        <s v="Là vì muốn được làm công việc liên quan đến ngành nghề và đam mê của em"/>
        <s v="I am highly motivated to join SUN.STUDIO as an AI Engineering Intern because my background in Mathematics and Computer Science, along with my hands-on experience in LLM application development, aligns closely with your mission of automating internal workf"/>
        <s v="Điều mà em mong muốn khi chọn vị trí thực tập sinh Data Analysis xuất phát từ khát khao tham gia cống hiến và va chạm với các dự án thực tế. Bên cạnh đó, em có niềm đam mê với lĩnh vực data analysis và data engineering với tinh thần học hỏi và trách nhiệm"/>
        <s v="My biggest passion is bringing unique game ideas to life and making them profitable through professional, high-quality work. SUN.RISER is the perfect place for me to achieve this."/>
        <s v="I believe core systems must be highly optimized to create accessible yet engaging Casual games for millions. Therefore, I aim to apply my hands-on experience in building similar projects to both grow personally and contribute effectively to SUN.RISER"/>
        <s v="Em chọn HR vì muốn hiểu cách doanh nghiệp xây dựng đội ngũ để tạo ra sản phẩm chất lượng, đặc biệt trong lĩnh vực game mà em quan tâm. Em muốn tham gia recruitment cycle để hiểu cách tìm đúng người và xây dựng talent pipeline. Từ trải nghiệm startup, em n"/>
        <s v="Em chọn vị trí này vì:&#10;- Cơ hội được tham gia và học hỏi quy trình sản xuất thực tế tại SUN.STUDIO&#10;- Có cơ hội được tham gia thị trường lao động đúng chuyên môn"/>
        <s v="Em chọn vị trí Game QA Intern tại SUN.RISER vì mong muốn được đóng góp vào việc tối ưu hóa trải nghiệm người dùng. Qua việc học và chơi game, em đã rèn luyện tư duy quan sát tỉ mỉ để phát hiện các lỗi về gameplay và user flow. Em tin rằng sự chỉn chu của "/>
        <s v="Mục tiêu của em là trở thành Game Developer nên đây là cơ hội quý giá để em từng bước hoàn thành mục tiêu đó. Được một Studio game top đầu bồi dưỡng chắc chắn sẽ đem lại cho em nhiều kinh nghiệm quý giá, hoặc hơn thế nữa sẽ tìm được bến đỗ sự nghiệp và đồ"/>
        <s v="I'm interested in Unity Development Intern position at SUN.RISER because it matches both my technical background and my long-term career direction in game development.&#10;And what attracts me most to SUN.RISER is the chance to work in a creative environment,"/>
        <s v="Trong quá trình học tập và có một ít kinh nghiệm làm việc thực tế ở vị trí Game Developer, em thấy đây là vị trí phù hợp với kỹ năng chuyên môn và định hướng phát triển lâu dài của em."/>
        <s v="What motivates me to apply for the AI Engineering Intern position at SUN.RISER is the opportunity to apply advanced AI techniques to solve real-world challenges in the gaming industry. I am particularly excited about the goal of integrating AI into workfl"/>
        <s v="I chose this position because Unity game development is my genuine passion. I want to apply what I've learned in a real, professional environment like SUN.RISER and grow as a developer under experienced mentors."/>
        <s v="Em định hướng phát triển theo HRBP nên mong muốn được trải nghiệm đa dạng chức năng nhân sự. Với nền tảng tuyển dụng trước đó, em muốn thử thách bản thân ở môi trường có tệp ứng viên khác và có trình độ cao hơn. Đồng thời, em cảm thấy em có những yếu tố p"/>
        <s v="Vì là cty làm game và có tuyển vị trí QC/tester, em hứng thú với cả 2 mảng."/>
        <s v="Em đã học những môn về phần kiểm thử và quản lý dữ liệu trong quá trình học của mình tại trường và em rất mong muốn được phát triển trong thị trường Game, thị trường mà em rất mong muốn được phát triển sự nghiệp"/>
        <s v="Thông qua tìm hiểu qua các diễn đàn và các mối quan hệ cá nhân, em ấn tượng với chính sách phát triển và các chế độ đãi ngộ cho nhân viên, điều này rất hợp với các dự định của em. &#10;Với nền tảng ICPC và kinh nghiệm làm game cá nhân, em hy vọng được vận dụn"/>
        <s v="Vì em mong muốn có thể xây dựng những sản phẩm game thực tế và tạo nhiều trải nghiệm khó quên cho người chơi.&#10;Đây cũng là một trong những nguyên nhân mà em đam mê chơi game và muốn hướng tới việc làm trong ngành game. Trong đó, em sẽ xây dựng những cơ chế"/>
        <s v="I design mechanics around one question: what makes a player want one more try. That’s the same question behind every game in SUN.STUDIO’s portfolio, and I want to bring that thinking to a team operating at that scale.​​​​​​​​​​​​​​​​"/>
        <s v="I chose SUN.RISER for its hands-on game development experience and mentorship, which I see as the ideal environment to grow in Unity and C#."/>
        <s v="I’m motivated to choose this position at SUN.RISER because it allows me to work on real game products while strengthening my technical skills and problem-solving mindset. I’m especially interested in how SUN.STUDIO builds and optimizes casual games, and I"/>
        <s v="I really love casual games and puzzles game like candy crush, Plants vs. Zombies, Subway surfers, having played them a lot since I was a kid. It's exciting to participate in designing these games and it was part of my dream too."/>
        <s v="I'm motivated to apply for this position because it aligns closely with both my interests and long-term career goals. I enjoy the process of building interactive experiences, from logic design to user experience."/>
        <s v="Định hướng tôi phù hợp với vị trí của công ty đang cần tuyển"/>
        <s v="Động lực để em chọn vị trí Game Design Intern trong SUN.RISER đó là niềm đam mê và thế mạnh về xây dựng hệ thống và cân bằng các chỉ số trong trò chơi, khiến trò chơi không bị mất cân bằng."/>
        <s v="Em đã từng thực hiện các dự án về chatbot RAG và CV, nên em muốn tiếp tục phát triển theo hướng AI Engineering trong môi trường sản phẩm thực tế. Em tin rằng ngành game là nơi AI có thể tạo ra nhiều giá trị như tối ưu vận hành, phân tích dữ liệu người chơ"/>
        <s v="Em chọn vị trí Game Design Intern tại SUN.STUDIO vì sau khi tìm hiểu và trải nghiệm, mình nhận ra mình thực sự thích quá trình làm ra và cải thiện một tựa game.&#10;Em tin SUN.STUDIO là môi trường phù hợp để em học hỏi, phát triển nghiêm túc và đóng góp lâu d"/>
        <s v="Với sự khó khăn khi chọn công việc ngành game hiện nay, công ty đã tạo điều kiện cho tất cả mọi người đều có cơ hội được làm việc. Mình rất thích điều đó ở công ty mình^^"/>
        <s v="I chose this position because I enjoy developing simple and fun games using Unity. I really like your focus on creating small and accessible games, which matches what I want to build. I hope to learn more and gain practical experience while contributing t"/>
        <s v="Do em có sở thích chơi game và muốn tạo những con game hay cho nhiều người có cùng đam mê, chơi con game do chính bản thân mình tạo ra"/>
        <s v="Từ đam mê và kinh nghiệm phát triển các dự án nền tảng, em khao khát được cọ xát thực chiến. Các tựa game casual và puzzle của SUN.RISER rất phù hợp với những dự án em từng thực hiện. Do đó, em tin môi trường chuyên nghiệp, năng động và sáng tạo tại đây c"/>
        <s v="I chose this AI Engineer Intern position to apply my knowledge to real-world problems and continue learning in a professional environment. I believe this role is a great fit to develop my skills and contribute to the team."/>
        <s v="I decide to choose Data Analysis position in SUN.RISER because SUN.STUDIO gives me the opportunity to work with such a diverse dataset in the gaming field. Besides, the company also provides a clear path to becoming a full-time employee. This demonstrates"/>
        <s v="My main motivation is to apply my AI/Machine Learning expertise to solve complex, real-world problems on live products. SUN.RISER’s dynamic environment, which highly values logical thinking and proactive problem-solving, is the perfect place for me to acc"/>
        <s v="Em lựa chọn vị trí AI Engineering Intern tại SUN.RISER vì vị trí này phù hợp với nền tảng backend mà em đã học, đồng thời cho phép em mở rộng sang các ứng dụng liên quan đến dữ liệu và AI."/>
        <s v="I have been into game development since second year in university and through research, I find that SUN STUDIO is the ideal environment to grow and develop."/>
        <s v="Mình chọn vị trí Unity Intern trong chương trình SUN.RISER vì mong muốn được phát triển kỹ năng lập trình C# và Unity 2D trong môi trường làm game thực tế.&#10;Mình đặc biệt quan tâm đến lĩnh vực casual game – lĩnh vực mà SUN.STUDIO đang tập trung phát triển."/>
        <s v="I’m motivated to apply for this position at SUN.RISER because it aligns closely with both my technical background and my career goal of becoming a professional Unity Developer."/>
        <s v="I am particularly motivated to apply for the Data Analyst Intern position at SUN.RISER because it aligns closely with both my academic background and my long-term career goals. As a student majoring in MIS, I have developed a strong interest in how data c"/>
        <s v="This role perfectly merges my AI major with my interest in gaming. My goal is to build practical AI tools that accelerate game development. With a strong Computer Science background and experience automating tasks using AI models, I really want to be a pa"/>
        <s v="Em muốn tiếp thu thêm kinh nghiệm thực tế về chuyên nghành,nâng cao kỹ năng làm việc nhóm,nâng cao tinh thần trách nhiệm"/>
        <s v="Em đam mê cả game lẫn dữ liệu, nên vị trí này là sự kết hợp lý tưởng. Em muốn tận dụng kỹ năng phân tích của mình để hiểu hành vi người chơi và đóng góp vào việc cải thiện trải nghiệm game thực tế."/>
        <s v="I'm drawn to the Data Analyst Intern role at SUN.RISER because it aligns with my hands-on experience in building end-to-end data pipelines and machine learning models. Having worked on projects involving anomaly detection, time series analysis, and featur"/>
        <s v="Tôi ứng tuyển vị trí Data Analysis Intern vì phù hợp với định hướng phát triển của tôi trong lĩnh vực phân tích dữ liệu. Tôi mong muốn được học hỏi thêm kinh nghiệm thực tế, nâng cao kỹ năng và phát triển tư duy phân tích trong môi trường chuyên nghiệp. T"/>
        <s v="I am passionate about turning raw data into insights. With experience in building ETL pipelines (Kafka, Spark) and Power BI dashboards (ODAP project), I want to join SUN.RISER to apply these skills in Sun Life's data-driven environment and help optimize c"/>
        <s v="As a game lover, I want to learn how data influences player behavior. This role at Sun.Studio lets me combine my hobby with data skills to help the company's games grow."/>
        <s v="I am impressed by Sun*'s unique model, which lies at the intersection of Technology, Business, and Education. I am seeking a position that allows me to develop deep technical expertise, understand business mindset, and have the opportunity to learn from t"/>
        <s v="Phù hợp với ngành học, định hướng nghề nghiệp và niềm yêu thích game."/>
        <s v="My ultimate goal is to become an exceptional marketer by deeply understanding consumer behavior, how strategies can shape purchasing intentions and reveal unmet needs. I aim to cultivate a creative mindset, expand my marketing knowledge, and develop impac"/>
        <s v="Em có sự yêu thích và hứng thú làm việc với AI. Điểm mạnh của em là có tư duy logic và tối ưu hoá hệ thống. Vì vậy, đây là một vị trí mà em cảm thấy mình phù hợp. Ngoài ra, em muốn được học tập nhiều hơn để có thể phát triển bản thân trong tương lai."/>
        <s v="Em mong muốn được làm việc với data trong môi trường thực tế để nâng cao kỹ năng phân tích và hiểu rõ cách dữ liệu hỗ trợ ra quyết định. Em cũng rất ấn tượng với định hướng sản phẩm và văn hoá năng động tại SUN STUDIO. Vì vậy, em mong muốn được trở thành "/>
        <s v="Tôi chọn vị trí Data Analyst Intern tại SUN.RISER vì đây là cơ hội phù hợp để tôi áp dụng kiến thức đã học vào môi trường làm việc chuyên nghiệp.&#10;&#10;Tôi mong muốn được làm việc trong một môi trường có thể học hỏi từ những người có kinh nghiệm, nâng cao kỹ n"/>
        <s v="As someone who is very interested in AI Development as well as being a gamer myself, having the opportunity to indulge myself in the best of both worlds to leverage my skills to improve gaming experience at Sunriser is a fantastic opportunity for myself."/>
        <s v="Tôi không tìm kiếm một vị trí thực tập chỉ để học hỏi, mà tôi tìm kiếm một thử thách thực tế để rèn luyện tư duy phân tích và kỹ năng kỹ thuật của mình để giải quyết các bài toán dữ liệu/hệ thống thực tại SUN.RISER."/>
        <s v="I’m motivated to join SUN.RISER because the AI Engineer role aligns with my goal of building real-world AI systems. I’m especially interested in working with LLMs and scalable solutions, and I see this as a great opportunity to grow while contributing to "/>
        <s v="The AI Engineer role at SUN.RISER lets me go deeper into what I'm most excited about — LLMs, RAG, and chatbots. School projects gave me a taste; now I want to ship real systems with a team that actually builds, learns together, and uses AI to create somet"/>
        <s v="Xin chào, em tên là Bùi Tuấn Hùng. Sinh viên mới ra trường có mong muốn được thực tập theo đúng đam mê của mình. Em muốn được học hỏi thêm bên công ty để trau dồi bản thân và cùng công ty phát triển."/>
        <s v="_ Tìm kiếm cơ hội được làm việc với các dự án AI thực tế.&#10;_ Muốn được tìm hiểu về ứng dụng AI trong game, mong muốn được đóng góp cho thị trường game Việt Nam."/>
        <s v="Tôi muốn phát triển bản thân ở một lĩnh vực khác, sau khi ra trường tôi chuyên về backend, nhưng thời điểm hiện tại tôi muốn theo về AI và về DA/DE"/>
        <s v="Tôi muốn nâng cao kĩ năng của bản thân trước khi ra trường đồng thời tôi cũng mong muốn góp phần cho sự phát triển của công ty"/>
        <s v="To explore, to learn and to fulfil my desire to work in the game industry. I love games, and it always will be. Every time I play a game, I think about its mechanical brilliance and always dream of designing one myself. I also love programming and I would"/>
        <s v="Em chọn SUN.RISER vì rất ấn tượng và thích thú với những sản phẩm game mà studio phát triển, và mong muốn code tạo ra các game như vậy trong môi trường của công ty."/>
        <s v="Em chọn vị trí Unity Developer và AI Engineer Intern trong chương trình SUN.RISER vì em đam mê phát triển game và tin rằng hai lĩnh vực này sẽ bổ trợ rất tốt cho nhau trong môi trường game dev thực tế."/>
        <s v="Em chọn vị trí này vì em là một người đã chơi nhiều thể loại game khác nhau và hiểu được cách game được thiết kế để thu hút người chơi, trải nghiệm người dùng cũng như cách một số game kiếm tiền hiệu quả."/>
        <s v="Vị trí này phù hợp với nguyện vọng và trình độ hiện tại của tôi"/>
        <s v="Có 2 lý do khiến tôi chọn vị trí này:&#10;- Lý do đầu tiên là chuyên môn của tôi là AI. Tôi đã được học về các kiến thức machine learning ở trường,nên tôi cảm thấy mình phù hợp với vị trí AI Engineering.&#10;- Lý do thứ 2 là tôi là một người rất thích game. Tôi c"/>
        <s v="I want to apply my experience processing 31M+ records and building Recommendation Systems to SUN.STUDIO's massive scale. I aim to leverage BigQuery to analyze user behavior and optimize core game metrics like DAU, ARPU, and Retention."/>
        <s v="Because it aligns strongly with both my technical interests and my long-term career direction. In my previous projects, I have worked with AI systems involving LLMs, RAG pipelines and data-driven applications. These experiences strengthened my passion for"/>
        <s v="Vì dù đã có nhiều kinh nghiệm lập trình nhưng lại chưa có nhiều kinh nghiệm trong mảng game developer, vốn đang có hứng thú với mảng này nên khi biết tin công ty đang có nhu cầu tuyển thực tập sinh tiềm năng nên mình rất hứng thú và mong có cơ hội thử sức"/>
        <s v="I am motivated to apply for this position at SUN.RISER because it aligns well with my academic background and career goals in the data field. I hold a Bachelor’s degree in Data Science from UIT, where I built a strong foundation in data engineer, data ana"/>
        <s v="Muốn học thêm những kiến thức mới về công việc và kĩ năng làm việc,  trải nghiệm môi trường làm việc năng động"/>
        <s v="Em mong muốn tham gia SUN.RISER 2026 vì công ty hoạt động trong lĩnh vực game – lĩnh vực mà em đam mê sâu sắc; được làm việc tại một công ty game luôn là mục tiêu nghề nghiệp mà em hướng tới."/>
        <s v="I am a fresh graduate with a passion for video games and data analysis. I want to use my data analytics skills and analytical mindset in practice. When I found this SUN.RISER INTERNSHIP PROGRAM 2026, I want to apply and be part of the company."/>
        <s v="I am passionate about Data Analysis and have a strong foundation in logical thinking and data . I want to apply my technical skills to real-world projects at SUN.RISER. Although I am new to the gaming industry, I am eager to learn and improve my expertise"/>
        <s v="I’m interested in this position because it focuses on applying AI to real workflows and solving practical problems.&#10;I enjoy building AI systems that reduce manual work, so I’m excited to contribute to improving efficiency at SUN.STUDIO."/>
        <s v="Tôi có niềm đam mê và kinh nghiệm với AI"/>
        <s v="Tui muốn trải nghiệm một điều gì đó mới mẻ trên con đường coding của mình và tui nghĩ  làm về Game sẽ là một lựa chọn hoàn hảo cho định hướng phát triển tương lai của tui."/>
        <s v="Em thấy mình là một người hay chú ý tiểu tiết, vì vậy, QA là một vị trí khá phù hợp với em, em muốn các sản phẩm được đưa tới khách hàng được chỉn chu nhất có thể. Ngoài ra, em còn có hứng thú với việc vận hành game, mà QA cũng là một mắt xích trong đó."/>
        <s v="I'm driven to understand AI deeply, not just use it, but build it. I grew from Computer Vision (YOLOv5, TFLite on hardware) to NLP (PhoBERT) to GNNs, each domain expanding how I think. SUN.RISER excites me because games demand real-time AI that directly s"/>
        <s v="I am motivated to choose this position at SUN.RISER because I am looking for an environment where I can both learn and apply my skills in real-world projects.&#10;&#10;I am particularly interested in building AI-driven solutions and I have been actively exploring"/>
        <s v="I want to join SUN.RISER because I’m serious about becoming an AI engineer and I want real-world experience, not just theory.&#10;The focus on mentorship and real projects really stands out to me.&#10;I believe my background in LLM, recommendation system and NLP "/>
        <s v="Mình ứng tuyển vào vị trí này vì niềm yêu thích với game, cùng với nền tảng của mình là thiết kế minh họa, kể chuyện bằng hình ảnh, UI,.. mình mong muốn được tiếp xúc nhiều hơn nữa về game, kết hợp những gì mình đã có và học hỏi, trau dồi, từ đó tạo nên n"/>
        <s v="Em nghĩ là những kinh nghiệm và kiến thức bản thân mình rất match với lại Job Description, đây cũng là định hướng mà em muốn phát triển bản thân trong tương lai. Ngoài ra thì AI Engineer Intern là một cơ hội để em có được những bước đầu tiên trong công vi"/>
        <s v="Em đặc biệt hứng thú với hướng phát triển casual,hyper-casual game của công ty, nơi gameplay đơn giản nhưng yêu cầu tối ưu trải nghiệm người chơi và dữ liệu rất cao. Bản thân em cũng đam mê làm những thể loại này vì trông nó tuy đơn giản nhưng mang lại cả"/>
        <s v="Tìm kiếm cơ hội việc làm"/>
        <s v="Em chọn vị trí Game QA Intern tại SUN.RISER vì em có hứng thú với lĩnh vực game và muốn tham gia vào quá trình đảm bảo chất lượng sản phẩm. Trong quá trình học, em đã có tiếp xúc với testing và nhận ra QA đòi hỏi sự tỉ mỉ và tư duy logic. Em mong muốn đượ"/>
        <s v="I have been making games for 2 years and still love making games. Your company uses Unity as one of your main tech stacks for developing mobile games, which aligns perfectly with my preferences."/>
        <s v="Em đang tìm kiếm một môi trường mà em có thể học hỏi lâu dài và đóng góp ý nghĩa, chứ không chỉ là một công việc đơn thuần. Em tin rằng vị trí này sẽ giúp em phát triển theo đúng hướng sự nghiệp em hướng tới"/>
        <s v="- Em có các kỹ năng cần thiết trong lúc học tập tại trường và đồng thời có kinh nghiệm làm việc game mobile cho doanh nghiệp đối tác của trường&#10;- Về khả năng logic vì em cũng chơi nhiều các tựa game dựa dạng puzzle game nên em hiểu cách vận hành và cách l"/>
        <s v="I want to learn from experience through hands-on projects. My goal is to contribute effectively and prove my value so that I can grow with the company long-term as a full-time employee."/>
        <s v="I want to be a member of SUN.STUDIO, and i am interested in AI agent and Data Analysis"/>
        <s v="I’m motivated to join SUN.RISER because the role focuses on applying LLMs to real workflows and building practical AI automation systems. This aligns with my experience in RAG and API-based pipelines, and I’m excited to contribute while learning in a cros"/>
        <s v="As an IT student, I love working with data, analyzing it, and making data-driven decisions. Additionally, I am passionate about the gaming industry and eager to work in this environment."/>
        <s v="Cơ hội được thực chiến trên môi trường công sở"/>
        <s v="What attracts me most is the opportunity to work directly with real datasets and systems, while being mentored by experienced teams. I believe this hands-on exposure will help me strengthen my analytical thinking, improve my ability to turn data into acti"/>
        <s v="I am motivated to choose the AI Engineering Intern position because I want to challenge myself in applying AI to real game production, where technology can improve workflows, quality, and player experience. SUN.RISER gives me the chance to learn from expe"/>
        <s v="Mong muốn tìm được nơi thực tập với các cơ hội thăng tiến cao hơn trong lĩnh vực data"/>
        <s v="Em có một niềm đam mê với game và mong muốn tham gia vào công việc phát triển game. Em nhận thấy công ty có điều kiện và môi trường phù hợp với em."/>
        <s v="Được biết công ty mình là một công ty mạnh về ngành game, cá nhân em cũng là một người đam mê và chơi nhiều thể loại game nên em cảm thấy công việc này rất hấp dẫn. Em cũng quan tâm tới dữ liệu và những con số thống kê, em cũng thường xuyên xem các phân t"/>
        <s v="Tôi đam mê Game và mong muốn phát triển lâu dài trong ngành. Với tư duy logic, sự tỉ mỉ và khả năng học hỏi nhanh, tôi hướng đến việc phân tích dữ liệu để cải thiện trải nghiệm người chơi. Tôi cũng chủ động trong việc phát hiện vấn đề và đề xuất giải pháp"/>
        <s v="Em tham gia một số dự án cá nhân như xây dựng hệ khuyến nghị thời trang, phát hiện gian lận trong giao dịch, chatbot y tế,... Tuy nhiên, em nhận thấy bản thân vẫn cần học hỏi thêm từ môi trường thực tế doanh nghiệp. Em mong muốn được ứng tuyển vị trí thực"/>
        <s v="E muốn ứng dụng những kiến thức mà em đã học được và thực hành để tích lũy kinh nghiệm ạ"/>
        <s v="Em muốn chọn vị trí này để có thể tìm hiểu về công việc chuyên ngành của em, phát triển các kĩ năng cốt lõi cần có. Bên cạnh đó cũng muốn học hỏi thêm các anh chị đi trước kinh nghiệm làm việc và tác phong công việc ạ."/>
        <s v="As a passionate gamer who has grown up immersed in game worlds, I see joining SUN.RISER data analysis as the perfect opportunity to me to build real-world data analysis skills within a technology-driven team and an open, collaborative community."/>
        <s v="I'm motivated by the intersection of data and player experience. Most internships track metrics, but SUN.RISER offers the chance to see how my analysis directly improves games that millions play. I'm passionate about understanding player behavior why comp"/>
        <s v="I'm applying for both roles, prioritizing AI Engineering Intern as I believe my background fits this position well. Through my projects, I enjoy not just building models but making the whole system work seamlessly. I also have a foundation in SQL, Power B"/>
        <s v="Mình mong muốn được thử sức trong lĩnh vực game và muốn áp dụng các kiến thức phân tích mình đã học vào thực tế"/>
        <s v="Em chọn vị trí AI Engineer tại SUN.RISER vì mong muốn được tiếp cận môi trường thực tế, nơi em có thể áp dụng kiến thức thay vì chỉ học lý thuyết. Đồng thời, em cũng muốn tìm hiểu hơn về cách ứng dụng AI trong lĩnh vực game."/>
        <s v="I am motivated to choose the Unity Developer Intern position at SUN.RISER because I am passionate about creating games and want to turn that passion into a professional career. I am eager to gain real experience, improve my skills, and contribute to build"/>
        <s v="I’m motivated to apply for this position at SUN.RISER because I’m looking for an environment where I can both strengthen my technical foundation and contribute to real-world products."/>
        <s v="Em là Đoàn Minh Đức, sinh viên năm 4 ngành Công nghệ Thông tin tại Đại học Sài Gòn.&#10;Em chọn apply vị trí này ở SUN.RISER vì em muốn trở thành một Unity Developer chuyên sâu, đồng thời phát triển thêm kỹ năng Game Design.&#10;Em đã tự phát triển 4 dự án game h"/>
        <s v="I am motivated to apply for this position at SUN.RISER because I am transitioning into data analytics and want to gain hands-on experience, especially in the game industry.&#10;I believe SUN.RISER is a great environment for me to learn from experienced team m"/>
        <s v="I have been passionate about games since I was young, and I want to pursue a QA role to ensure product quality and enhance user experience. I believe SUN.RISER offers a suitable environment where I can learn and grow professionally."/>
        <s v="Trong quá trình tham gia vào giai đoạn UAT của hệ thống, tôi cảm thấy hứng thú với việc tối ưu hóa trải nghiệm người dùng. Tôi chọn vị trí Game Quality Assurance Intern tại SUN.RISER vì đây là môi trường lý tưởng để tôi chuyển hóa tư duy phân tích hệ thốn"/>
        <s v="Ngoài việc trở thành một nhà phát triển game độc lập, bản thân em mong muốn có thể tìm hiểu thêm cách vận hành, duy trì và tiếp tục phát triển trong một dự án lớn.&#10;Đồng thời bản thân em cũng đang mong muốn tìm một nơi làm việc ổn định sau khi tốt nghiệp."/>
        <s v="Mình muốn tìm hiểu thêm về văn hóa và cách làm việc của công ty. Được làm việc cho một công ty làm game là ước mơ của mình."/>
        <s v="Điều khiến tôi lựa chọn vị trí Game Design tại SUN.RISER là cơ hội để phát huy khả năng sáng tạo trong việc xây dựng trải nghiệm trò chơi hấp dẫn. Tôi đặc biệt hứng thú với việc thiết kế gameplay, level design và xây dựng luật chơi để mang lại trải nghiệm"/>
        <s v="I choose the Data Analysis Intern position at SUN.RISER because it matches my background in Python, SQL, Power BI, data cleaning, and reporting, while also giving me a chance to apply data analysis in the game industry. I want to learn how data supports u"/>
        <s v="I am motivated by SUN.RISER’s dynamic environment, which fosters rapid learning and professional growth. As a final-year Data Science student, I want to bridge the gap between academic research and industry application. Your focus on high-impact AI projec"/>
        <s v="I chose to pursue a career in game development driven by my passion for creating interactive experiences. I have hands-on experience in this field and I am highly motivated to keep learning, improving my skills, and contributing to exciting game projects."/>
        <s v="I am motivated to apply for the Data Intern position at SUN.RISER because it aligns well with my background in Data Science and my interest in working with real-world data."/>
        <s v="Điều khiến tôi chọn vị trí Game Design Intern tại SUN.RISER bởi vì đây là cơ hội rất phù hợp để tôi phát triển cả tư duy sáng tạo lẫn khả năng phân tích dữ liệu trong môi trường làm game chuyên nghiệp. Bên cạnh đó, tôi mong muốn được làm việc cùng đội ngũ"/>
        <s v="I am motivated to apply to SUN.RISER because I am genuinely interested in the game industry, especially how data is used to understand player behavior and improve game experience."/>
        <s v="dạ vì khi chơi game mà gặp lỗi, điều đó cũng mang lại cảm giác khó chịu cho người chơi, em chơi game hay để ý mấy lỗi game, em nghĩ em phù hợp với vị trí này. Với sự kĩ tính, hay để ý lỗi và hiểu được cảm giác người d"/>
        <s v="Em muốn tìm một vị trí ổn định thực tập trước khi tốt nghiệp và tiếp tục cống hiến cho studio sau khi hoàn thành khoá thực tập nếu may mắn được studio chấp thuận. Đồng thời, đây cũng là cơ hội để em được làm việc với môi trường game studio để nâng cao kỹ "/>
        <s v="I’m motivated to join SUN.RISER because I want to develop my Unity skills in a real team environment, building on my experience working on projects with classmates. I’m looking for a place where I can learn from real workflows, contribute to actual produc"/>
        <s v="I'm motivated by the opportunity to work on real-world AI problems, not just academic exercises. This position allows me to apply what I've learned — from building ML models to working with LLMs — in a practical, impactful environment."/>
        <s v="I chose Data Analysis at SUN.RISER to leverage my predictive modeling skills (specifically churn analysis) within the gaming industry. My background in Unity allows me to bridge the gap between complex data insights and technical implementation, ensuring "/>
        <s v="I believe I am a strong candidate for this position because I combine a solid technical foundation in Data Science with a highly proactive and growth-oriented mindset.&#10;From my academic projects, I have gained hands-on experience working with data processi"/>
        <s v="Cực, áp lực"/>
        <s v="Interested in streamlining professional workflows via AI , I am motivated to join SUN.RISER to apply my experience in building AI Agents and designing prompt pipelines. I am eager to help identify and resolve operational bottlenecks through intelligent au"/>
        <s v="Mình chọn vị trí Data Analysis Intern tại SUN.RISER vì đây là cơ hội hiếm có để mình áp dụng kỹ năng phân tích vào một lĩnh vực vừa có tính cạnh tranh cao, vừa cực kỳ giàu dữ liệu như ngành Game. Và vì chương trình này cho phép mình chạm tay vào sản phẩm "/>
        <s v="Có môi trường để phát triển và cơ hội có việc làm ổn định."/>
        <s v="I’m really excited about this role because I get to work with real game data every day — turning raw numbers into clear insights that actually help the team build better games. That’s what truly motivates me. I want to be part of a team that creates fun, "/>
        <s v="Mình có đam mê về cả việc làm game và nghiên cứu về AI. Trước khi làm các dự án về AI như TrOCR, RAG, ... thì mình đã tự làm thử vài con game nhỏ. Do đó mình thấy rất hứng thú với việc có thể áp dụng AI vài game"/>
        <s v="I choose this position because it focuses on applying AI to real workflows through LLM-based systems and agent design. I am interested in building AI pipelines and integrating models into practical systems rather than only training models. The opportunity"/>
        <s v="My goal is to join a professional development process where I can contribute my skills. I believe that facing real technical challenges is the fastest way for me to grow into leadership roles in the future."/>
        <s v="What motivates me is the opportunity to transition my personal hobby from a simple past-time or academic necessity into an actual profession. This would allow me to not only develop the aptitude for game developing, but also to familiarize with a structur"/>
        <s v="Dạ em thích làm việc với dữ liệu và tìm insight từ số liệu, điều này em đã được thực hành qua các project SQL, Power BI và kỳ intern ở Miquant. Vị trí ở SUN.RISER hấp dẫn em vì được làm việc với dữ liệu thực tế từ sản phẩm game và xây dựng dashboard giúp "/>
        <s v="Mình được biết Sun có một môi trường làm việc rất tốt, cùng với những anh chị chuyên môn cao, năng động. Vì thế nên mình muốn vào đây để học hỏi, để phát triển bản thân cũng như nghề nghiệp sau này"/>
        <s v="Em  lựa chọn vị trí này tại SUN.RISER vì nhận thấy sự phù hợp giữa yêu cầu công việc và định hướng phát triển của bản thân. Vị trí này cho phép em áp dụng kiến thức và kỹ năng đã học vào các dự án thực tế, đồng thời học hỏi thêm nhiều công nghệ và kinh ng"/>
        <s v="Vì nó cũng hợp với chuyên ngành của tôi"/>
        <s v="Tôi mong muốn nâng cao kỹ năng phát triển game với Unity một cách bài bản. Qua các dự án, tôi nhận ra mình cần hiểu rõ hơn về toàn bộ quy trình phát triển game, không chỉ dừng ở việc hoàn thành tính năng. Tôi kỳ vọng được học hỏi trong môi trường thực tế "/>
        <s v="Em muốn thử sức và phát triển bản thân dù là thực tập thì em sẽ vẫn luôn trong tâm thế đi làm dốc hết sức hoàn thành công việc dù là những công việc khó hay dễ dù không biết thì em vẫn sẽ tìm hiểu và hoàn thành xuất sắc. Em mong Cty có thể cho em 1 cơ hội"/>
        <s v="With my choice, my career orientation is being a Data analyst, especially in Game Development, and this position is very suitable for me about my skills, knowledge as well as my career path. Besides, Sun Studio is the professional environment for working "/>
        <s v="I’m motivated to choose the AI Engineering Intern position at SUN.RISER because it allows me to apply AI in a real-world game development environment. I’m especially interested in how AI can improve player experience and production efficiency. SUN.STUDIO’"/>
        <s v="Mình quan tâm đến SUN.RISER vì muốn được học hỏi và trải nghiệm trong môi trường đề cao sáng tạo và trải nghiệm người dùng. Với định hướng phát triển trong lĩnh vực tuyển dụng, mình rất mong được hiểu cách một công ty như SUN thu hút và phát triển nhân sự"/>
        <s v="Đầu tiên, em muốn các kiến thức ứng dụng của AI trong game. Với nền tảng các môn học và các dự án về AI, em mong sẽ được đóng góp kiến thức vào dự án."/>
        <s v="muốn học hỏi thêm về dev game và làm điều mình thích"/>
        <s v="I am interested in this position because I enjoy working with data to understand user behavior, especially in the gaming domain. I want to apply my analytical skills to explore player engagement and gain real experience in using data to support product de"/>
        <s v="i choose this position because it's matches my interest in Software Testing and my goal to grow in QA. i am excited about SUN.RISER’s mentoring environment, the opportunity to learn real QA processes in game products, and contribute with my knowledge in t"/>
        <s v="I’m passionate about QA and want to gain real experience in game testing while growing my skills at SUN.RISER."/>
        <s v="I’m interested in the Data Analyst position at SUN.RISER because it lets me combine my analytical skills with my interest in the game industry. I’m motivated by the opportunity to turn player data into insights that can improve gameplay and user experienc"/>
        <s v="I choose the AI Engineer position because I want to apply my AI knowledge to real projects and practical challenges. SUN.RISER is a great opportunity for me to learn, contribute, and grow in a dynamic environment."/>
        <s v="I have a strong passion for working with data. I am especially drawn to SUN Group’s focus on large-scale projects and data-driven decision-making, which closely aligns with my background in data analysis and business problem-solving."/>
        <s v="Simply because I have an interest in data and enjoy using it to solve problems."/>
        <s v="Sau khi tìm hiểu về văn hoá làm việc, sứ mệnh và con số 1 tỷ lượt chơi của SUN.STUDIO, em cảm thấy ấn tượng và mong muốn mang năng lực nhân sự và phân tích hành vi được kiểm chứng thông qua hai bài nghiên cứu khoa học và 2 năm gia sư vào mảng thu hút nhân"/>
        <s v="Tôi lựa chọn vị trí HR Intern vì tôi cảm thấy đây không chỉ là một vị trí thực tập thông thường mà là cơ hội để được học hỏi và tham gia thực tế vào nhiều mảng quan trọng của Nhân sự như tuyển dụng, onboarding, employer branding và phát triển con người. Đ"/>
        <s v="I choose this position because it combines two things I'm interested in: data analysis and game. I really enjoy working with data to solve the bussiness problem, turn numbers into useful insights. At the same time, I have interested with games so I regula"/>
        <s v="Điều khiến tôi chọn vị trí này là vì tôi mong muốn được học hỏi, phát triển kỹ năng và trải nghiệm môi trường làm việc thực tế. Tôi tin đây là cơ hội phù hợp để nâng cao bản thân và tiến gần hơn đến định hướng nghề nghiệp của mình."/>
        <s v="Kinh nghiệm + môi trường làm việc tích cực và gắn bó lâu dài"/>
        <s v="I'm motivated by SUN.RISER's creative direction. With my background in Unity and experience developing pixel/low-poly projects, I want to bring my technical skills and fresh perspective to help the team build high-quality, engaging games."/>
        <s v="I'm motivated by the chance to apply AI in real game production. SunStudio stands out to me because it builds mobile games at large scale: over 10M monthly users. This position matches both my technical background and career direction."/>
        <s v="Tôi muốn làm việc và thử sức mình trong công ty, vì tôi cũng có 1 ít kinh nghiệm về QA Tester nên tôi chọn vị trí này."/>
        <s v="I want to apply AI to real-world products, especially in the game industry. SUN.RISER attracts me because it offers hands-on experience with real projects and a strong environment to grow as an AI engineer."/>
        <s v="Em chọn vị trí này vì niềm đam mê sâu sắc với việc xây dựng các thế giới trong game thông qua Unity. Sau khi tự phát triển các dự án game, em muốn thử thách bản thân trong một môi trường studio thực tế. Em tin rằng với nền tảng tư duy lập trình hệ thống c"/>
        <s v="I am interested in SUN.RISER because I want to develop my skills in game analysis and design, especially in Puzzle/Casual games. I am eager to learn how to create better player experiences and contribute to real products."/>
        <s v="What motivates me to join SUN.RISER is the desire to step out of the classroom and challenge myself in a real-world environment. While university has given me a strong logical foundation for working with data, my goal now is to bridge the gap between text"/>
        <s v="I chose this position to directly apply my AI and Data skills to real-world problems. More importantly, I am drawn to SUN.RISER's strong mentorship culture. I am not looking for a short-term stint; I want a professional environment where I can continuousl"/>
        <s v="I am driven by the belief that a company’s success is built on its culture. Sun Studio’s vibrant and dynamic workplace is exactly where I see myself thriving. I chose this role because I want to learn how to foster a creative community and maintain high e"/>
        <s v="Mình là một người rất thích chơi các tựa game casual và có tính cách tỉ mỉ tại vì hay soi những lỗi nhỏ khi chơi game. &#10;Mình chọn vị trí QA tại SUN.STUDIO vì mong muốn được học hỏi quy trình kiểm thử chuyên nghiệp và góp phần làm ra những con game mượt mà"/>
        <s v="I am motivated to apply for the SUN.RISER Game QA Intern position because I want to work on real game products and learn a professional QA process. I am interested in mobile and casual games, especially analyzing player experience and game logic. This rol"/>
        <s v="I choose the Human Resources Intern position because I am interested in people, communication, and building a positive working environment. I want to learn how HR supports recruitment, employee engagement, and company culture, especially in a young and cr"/>
        <s v="I’m applying for this role because my interest in games has grown from simply playing to wanting to contribute to the player journey, supported by my background in marketing and communications. The SUN.RISER opportunity aligns with my curiosity about comb"/>
        <s v="Building my Agents showed me firsthand how agentic workflows can eliminate hours of repetitive work - and SUN.RISER is where I want to take that from a side project to real product impact. The role's focus on prompt engineering, tool-use design, and cross"/>
        <s v="Em chọn SUN.RISER vì được trực tiếp tham gia làm sản phẩm thật. Em ấn tượng với môi trường đề cao kỹ năng thực tế, và với định hướng AI, em tin đây là nơi phù hợp để em phát triển lâu dài."/>
        <s v="Vị trí UA Intern tại SUN.RISER là một cơ hội quý báu giữa một thị trường việc làm đầy biến động để bản thân tôi có được cơ hội để học tập và cống hiến với định hướng nghề nghiệp Growth Marketing của tôi"/>
        <s v="I choose SUN.RISER because I am impressed by its young, energetic, and growth-driven environment. As someone who is interested in games and curious about Game User Acquisition, I believe SUN.RISER is the right place for me to learn, challenge myself, and "/>
        <s v="I am especially interested in Casual and Puzzle games, and I often play and analyze puzzle games to better understand level design, core loops, player retention, and user experience. I enjoy observing how successful games balance difficulty, optimize enga"/>
        <s v="Đây là cơ hội để em áp dụng kiến thức về Python, xử lý dữ liệu và machine learning vào thực tế. Em mong muốn được học hỏi thêm về xây dựng mô hình AI, phân tích dữ liệu và làm việc với các hệ thống dữ liệu thực tế, đồng thời phát triển kỹ năng trong môi t"/>
        <s v="Em chọn vị trí này tại SUN.RISER vì đây là cơ hội để em có thể thử sức, phát triển trong ngành game. Em mong muốn học hỏi quy trình sản xuất thực tế từ các anh chị giàu kinh nghiệm, đồng thời rèn luyện tư duy lập trình, kỹ năng viết code để cùng chung tay"/>
        <s v="I’m motivated to join SUN.RISER because of my interest in games as products shaped by user behavior and data. I’m drawn to SUN.STUDIO’s focus on accessible, global games. With my background in campaign analysis and optimization, plus my fast learning and "/>
        <s v="I’m motivated to join SUN.RISER because this role combines three things I enjoy most: creativity, data, and optimization. In my previous projects, I used analytics to improve content performance, and I found that I really enjoy the process of testing idea"/>
        <s v="Dạ vì em thích game"/>
        <s v="Em rất thích và đam mê với game"/>
        <s v="tôi yêu Sun Riser"/>
        <s v="I have a huge passion on gaming and also developing games. Furthermore, a small experience but a big enthusiastic about data engineer and data analytic. Fortunately, I found out that there is a data analysis intern role in a gaming company make me feel ve"/>
        <s v="I am driven by the challenge of finding edge cases and ensuring that the final product is seamless for the end-user. I enjoy the analytical process of breaking down a system to find its vulnerabilities before a user ever encounters them."/>
        <s v="vì mong muốn được cọ xát và trau dồi Data Analytics trong một môi trường kinh doanh thực tế, đòi hỏi khắt khe. Đồng thời, với nền tảng sẵn có về lập trình và mô hình hóa, mình kỳ vọng đây sẽ là nơi tôi có cơ hội được tham gia vào các bài toán khó hơn để p"/>
        <s v="To apply my expertise in user behavior and retention analysis to a massive, fast-paced ecosystem of over 1 billion players. Through my experience at Ahamove and my data projects, I have developed a strong passion for using SQL and Python to uncover behavi"/>
        <s v="I am motivated to apply for this position at SUN.RISER because it aligns with my passion for building real-world AI applications.&#10;I enjoy developing end-to-end systems and want to contribute to practical, scalable solutions.&#10;This role is a great opportuni"/>
        <s v="Em nhận thấy AI không chỉ giúp nâng cao trải nghiệm người chơi (NPC thông minh hơn, cá nhân hóa nội dung, tối ưu gameplay) mà còn mở ra nhiều hướng phát triển mới cho sản phẩm game.  Vì vậy, em mong muốn được tham gia vào SUN.RISER để vừa áp dụng kiến thứ"/>
        <s v="Tôi muốn học hỏi nội dung và tích lũy kinh nghiệm làm việc của vị trí Data Analysis Intern"/>
        <s v="I am motivated to join SUN.RISER because I want to apply DA and AI Engineering to solve high-impact, real-world problems. I see SUN.RISER as an environment where I can refine my MLOps skills and contribute to building smarter, data-driven applications tha"/>
        <s v="This position helps me to develop in-depth knowledge about both AI engineering and game development. I’m motivated by the chance to work in a professional team where I can learn from experienced engineers, contribute to meaningful projects, and continuous"/>
        <s v="Additionally, I am highly motivated to gain deeper experience in a Data Analysis role. Since I have an honest interest in gaming, I believe that working at SUN.RISER will allow me to apply my analytical skills to a field I am truly passionate about."/>
        <s v="I am motivated to apply in SunStudio because of your creating engaging player experience. I am drawn to games where mechanics and user experience are closely linked. From what I have seen, SunStudio has a good balance between both aspects. In the long ter"/>
        <s v="I’m genuinely interested in marketing and game entertainment. As SUN.STUDIO works in the gaming and digital entertainment industry, it is exciting for me to gain experience in understanding audiences, trends, and creating content that people truly engage "/>
        <s v="Em muốn có thêm kinh nghiệm về môi trường làm việc chuyên nghiệp để phát triển bản thân và nâng cao cơ hội việc làm"/>
        <s v="Điều khiến mình lựa chọn vị trí Human Resources Intern tại SUN.RISER là cơ hội được làm việc trực tiếp với đội ngũ nhân sự trong ngành Game - một lĩnh vực mang tính sáng tạo cao và đa dạng về cá tính. Mình tin rằng việc đồng hành cùng những con người giàu"/>
        <s v="Em muốn được thực tập vị trí này của công ty"/>
        <s v="Trong lúc đợi xe bus, em rất hay chơi các dòng game casual puzzle. &#10;Điều khiến em chọn vị trí này là vì em rất hứng thú với định hướng phát triển game casual của công ty. &#10;Bản thân em cũng đang phát triển các dự án game bằng Unity, nên em rất muốn được th"/>
        <s v="Em chọn vị trí này vì sự giao thoa giữa ngành nhân sự và môi trường game đầy thử thách. Dù không chơi game, em có niềm yêu thích với việc quản trị con người trong các lĩnh vực sáng tạo. Em muốn tận dụng tư duy phân tích tâm lý để hỗ trợ đội ngũ, đồng thời"/>
        <s v="Vì định hướng phát triển lâu dài của bản thân trong lĩnh vực QA/QC và đồng thời là sự thích thú với ngành game(một môi trường thú vị cũng như nhiều thách thức)."/>
        <s v="I want to bring my Computer Science background in automated testing to ensure technically flawless gameplay experiences."/>
        <s v="I love working at a young and energy enviroment"/>
        <s v="I’m motivated to apply for the Game User Acquisition Intern position at SUN.RISER because it combines data-driven thinking with creativity - exactly the direction I want to pursue. I’m especially interested in how UA uses testing, user insights, and perfo"/>
        <s v="Bản thân muốn tìm cơ hội bắt đầu vào ngành"/>
        <s v="Là 1 sinh viên có tính cách hơi hướng nội, em rất yêu thích game, từ việc trải nghiệm đến quá trình tạo ra 1 game hoàn chỉnh. Việc ứng tuyển vào vị trí AI Engineer Intern tại SUN.RISER là cơ hội để em hiện thực hóa định hướng của mình, được tiếp cận thực "/>
        <s v="Em muốn trau dồi nhiều kinh nghiệm hơn về mảng phân tích, dữ liệu trong môi trường thực tế ạ."/>
        <s v="AI Engineering: Với dự án ICAT, tôi có thể xây dựng AI Agent tự động hóa quy trình, tăng tốc sản xuất và gỡ lỗi hệ thống. Tư duy XAI giúp đảm bảo tính minh bạch cho các tính năng AI.&#10;Data Analysis: Kinh nghiệm từ dự án FRED giúp tôi trích xuất insight từ "/>
        <s v="Lý do em chọn SUN.RISER vì đây là một trong những studio có môi trường làm việc năng động và sáng tạo nhất hiện nay. Em mong muốn được học hỏi từ đội ngũ chuyên gia tại đây để hoàn thiện kỹ năng chuyên môn."/>
        <s v="Em chọn hướng Data Analyst vì em thích làm việc với dữ liệu và muốn sử dụng dữ liệu để hiểu các vấn đề và thông qua nó để ra các quyết định. Em muốn bắt đầu từ một môi trường có quy trình rõ ràng để học đúng cách ngay từ đầu, thay vì tự học rời rạc. Và SU"/>
        <s v="Là một sinh viên năm 3 ngành Khoa Học Máy Tính tại UIT, với một nền tảng vững chắc về AI và ML, một sở thích về việc chơi game và hướng đến trải nghiệm người dùng. Từ lâu công việc tại SUN.RISER đã là một điểm đến lí tưởng với mọi sinh viên có khát khao v"/>
        <s v="Vị trí hiện tại khá phù hợp với chuyên ngành hiện tại của em."/>
        <s v="I’m excited about SUN.RISER’s vision. With my expertise in AI and Software Engineering, I’m confident I can build smart solutions and add immediate value to your tech team."/>
        <s v="have a strong passion for working with people and have gained hands-on experience in HR-related activities. Through my previous experiences, I’ve developed an interest in recruitment, employee engagement, and supporting team development. I can stand a cha"/>
        <s v="Sự mới mẽ và sự phát triển"/>
        <m/>
        <s v="Khao khát có thể gắn bó với công ty để tạo nên con game có game play siêu cấp độc lạ, thu hút giới trẻ."/>
        <s v="em nghĩ vị trí intern là bước phù hợp để em tiếp cận quy trình làm game chuyên nghiệp, làm việc cùng các anh chị trong team và hiểu rõ hơn về từng vai trò như game design, development hay QA. Qua đó, em có thể xác định hướng đi lâu dài của mình trong ngàn"/>
        <s v="I want to join SUN.RISER because I am drawn to its focus on creating engaging and innovative player experiences. As a game designer, I enjoy the challenge of turning ideas into interactive systems that feel meaningful and rewarding. SUN.RISER’s projects m"/>
        <s v="Tôi đã được tiếp xúc với việc chơi game từ sớm, vì vậy tôi có một niềm đam mê mãnh liệt với các trò chơi. Và không chỉ chơi tôi còn một cái giấc mơ đó là sẽ tạo được một trò chơi của riêng mình, một trò chơi để chơi cùng bạn bè của tôi, nhưng càng lớn tha"/>
        <s v="Em ấn tượng với việc SUN.STUDIO tiên phong dùng AI trong Game Design. Với kinh nghiệm dùng AI làm GDD/Wireframes, em muốn học hỏi về Product Analysis và tối ưu data quy mô lớn để đóng góp hiệu quả cho các dự án Casual/Puzzle của công ty."/>
        <s v="My motivation stems from a deep curiosity about the hidden mechanics that keep players engaged. My fascination with game design actually took off from playing Teamfight Tactics. Over time, I found myself looking past the gameplay to analyze the underlying"/>
        <s v="I wanted to challenge myself in this position. Sun Studio opened a path for me to learn and become a true game designer."/>
        <s v="Mình chọn ứng tuyển vào SUN.RISER vì mình nhận thấy đây là môi trường phù hợp để phát triển tư duy thiết kế game một cách bài bản và thực tế. Cá nhân mình là một người rất thích sáng tạo, yêu cái đẹp . Mình tin rằng môi trường năng động và định hướng sản "/>
        <s v="Như đã ghi trong CV, tôi muốn trở thành một Game Designer có thể tạo ra các trò chơi độc đáo, sáng tạo, chinh phục người dùng và mang về doanh thu khủng cho quý công ty"/>
        <s v="I've always loved gaming and being able to make a living out of working on games would be like a dream come true.  I enjoy being around people knowledgeable about gaming and its intricacies"/>
        <s v="Personally, I have strong interest in the Game Industry, especially  the process of developing a game from initial concept, working with it from draft to real production. And furthermore, I am a gamer myself with high interested in cozy and casual game, t"/>
        <s v="Em lựa chọn vị trí này vì muốn mở rộng từ nền tảng thiết kế đồ họa sang thiết kế game và định hướng phát triển lâu dài trong lĩnh vực này. Với kinh nghiệm về hình ảnh và màu sắc, em tin rằng mình có thể hỗ trợ tốt về mặt thẩm mỹ và trải nghiệm người chơi."/>
        <s v="Em lựa chọn vị trí này vì yêu thích dòng game Casual/Puzzle và mong muốn được học hỏi cũng như tham gia vào quá trình thiết kế game thực tế. Em cũng cảm thấy định hướng của SUN.RISER rất phù hợp với mục tiêu phát triển của bản thân."/>
        <s v="Với em, Game Design là công việc biên tập trải nghiệm người chơi. Nền tảng Công nghệ đổi mới sáng tạo giúp em mạnh về phân tích hành vi, thiết kế workflow và định nghĩa game mechanics thay vì tập trung vào lập trình. Vị trí khớp với tư duy hệ thống và địn"/>
        <s v="Đối với em game không chỉ là để chơi mà còn là để trải nghiệm, đắm chìm vào thế giới của tựa game, vào nhân vật, nên em đang tìm kiếm một cơ hội trở thành một game designer"/>
        <s v="Em chọn vị trí này vì bản thân em rất hứng thú với trong việc học hỏi, trau dồi thêm kiến thức như thiết kế nhân vật, uiux, thiết kế bối cảnh trong lĩnh vực thiết kế game. Sau khi tìm hiểu, em thấy định hướng của công ty rất phù hợp với mục tiêu phát triể"/>
        <s v="Em rất thích trải nghiệm các thể loại game và đã luôn mong muốn có cơ hội để được thực tập và thử công việc liên quan đến sáng tạo game nên em xem đây là cơ hội để mình có thể cố gắng trong lĩnh vực này.&#10;Đây có thể là lần đầu tiên em tham gia vào vị trí n"/>
        <s v="I chose SUN.RISER because I want to grow in Game Design through real production experience. I enjoy analyzing gameplay systems, progression, and player experience, especially in Casual/Puzzle games. I also want to improve my design thinking by learning fr"/>
        <s v="Với kinh nghiệm về boardgame và các kiến thức đã tiếp thu ở trường, mình quyết định chọn vị trí này để làm quen với thị trường digital game và phát triển kĩ năng của bản thân."/>
        <s v="Em mong muốn được tham gia làm việc thực tế tại SUN.RISER để phát triển định hướng trở thành Game Designer. Với nền tảng về thiết kế, em mong muốn hướng sâu hơn vào lĩnh vực game, đặc biệt quan tâm đến việc xây dựng gameplay và tối ưu trải nghiệm người ch"/>
        <s v="I want to become a game designer who want to design amazing games with my passion"/>
        <s v="Mình chọn vị trí này vì muốn được học hỏi, phát triển kỹ năng và đóng góp vào các hoạt động sáng tạo, năng động của SUN.RISER."/>
        <s v="Hứng thú với nhiều loại game của SUN.RISER, đặc biệt là game Sweet Cookie và Bubble Fall"/>
        <s v="Em chọn vị trí này vì tôi yêu thích lĩnh vực game và muốn được tham gia vào quá trình tạo ra trải nghiệm thú vị cho người chơi. Em mong muốn được học hỏi trong môi trường chuyên nghiệp như SUN.RISER để phát triển thêm về tư duy thiết kế gameplay, khả năng"/>
        <s v="Beyond gaining hands-on experience, I choose this position to understand the real-world development workflows behind a leading game studio. I am deeply curious about how your team creates, optimizes, and scales complex games and software products. This in"/>
        <s v="Mình ứng tuyển vị trí Game Designer Intern tại SUN.RISER vì muốn nghiêm túc theo đuổi ngành game, lĩnh vực mình luôn đam mê. Dù xuất phát điểm là Graphic Designer chuyển ngành và vẫn còn là một fresher, mình luôn sẵn sàng học hỏi, thử thách bản thân và bắ"/>
      </sharedItems>
    </cacheField>
    <cacheField name="Hiểu role ứng tuyển làm gì? Vì sao bạn phù hợp?" numFmtId="0">
      <sharedItems containsBlank="1">
        <s v="Là một người đam mê dòng game RTS với kinh nghiệm đọc thiết kế GDD.tôi mong muốn phát triển sự nghiệp tại vị trí Game QA/QC,tôi không chỉ tập trung phát hiện lỗi UX/UI mà còn khao khát đóng góp những phản hồi chuyên sâu về Gameplay để cùng đội ngũ phát tr"/>
        <s v="I understand this role involves supporting the full HR cycle, especially recruitment, employer branding, onboarding, and learning &amp; development, such as sourcing candidates, coordinating interviews, assisting onboarding, creating content, and supporting t"/>
        <s v="I believe this role involves collecting, analyzing game data and turning it into actionable insights to support team decisions. With hands-on experience in Python, SQL, and Power BI through personal projects in forecasting and segmentation, I'm confident "/>
        <s v="Ứng dụng các mô hình học máy để tối ưu hóa trải nghiệm và hành vi người chơi, và em tin mình phù hợp nhờ nền tảng toán học vững chắc cùng khả năng triển khai AI linh hoạt vào các bài toán thực tế"/>
        <s v="Em nghĩ vị trí này sẽ tập trung vào việc khai thác dữ liệu người chơi để xây dựng các mô hình AI giúp tối ưu hóa cân bằng game và cá nhân hóa trải nghiệm người dùng. Em phù hợp với vai trò này nhờ sự kết hợp giữa tư duy của một người thích chơi game và nă"/>
        <s v="Tìm hiểu, nghiên cứu, tối ưu các mô hình trí tuệ nhân tạo, AI agent, các công cụ tự động hóa,... Tôi có nền tảng kiến thức chuyên môn, kinh nghiệm làm việc &amp; sử dụng, sẵn sàng học hỏi và cập nhật kiến thức."/>
        <s v="Em hiểu là công việc sẽ bao gồm việc phân tích game của đối thủ, thiết kế core loop, cân bằng độ khó của level, theo dõi các chỉ số để để tối ưu hóa sản phẩm. Em tin mình phù hợp vì có tư duy hệ thống, kỹ năng viết GDD và làm việc với các công cụ và AI, b"/>
        <s v="Theo tìm hiểu của em, vị trí Unity Intern tại SUN.RISER sẽ tham gia vào việc hỗ trợ phát triển logic game bằng C#, phối hợp với team để xử lý các UI/UX, cũng như tham gia vào quá trình tối ưu hóa và sửa lỗi (debug) để đảm bảo game vận hành mượt mà. Em ngh"/>
        <s v="Trong thời đại AI hiện nay, em nghĩ nhiệm vụ của 1 Game Developer là xây dựng kiến trúc hệ thống bài bản và đảm bảo game luôn vận hành ổn định, mượt mà.&#10;Là 1 sinh viên chuyên ngành kỹ thuật phần mềm, em ưu tiên tư duy thiết kế hệ thống để dễ dàng quản lý "/>
        <s v="Theo tôi, vị trí Game User Acquisition sẽ bao gồm việc lập kế hoạch, triển khai và tối ưu các chiến dịch marketing nhằm thu hút người chơi chất lượng. Công việc này không chỉ là chạy quảng cáo trên các nền tảng như Facebook, Google hay TikTok, mà còn bao "/>
        <s v="This role involves designing engaging game mechanics, balancing gameplay, and creating enjoyable player experiences. It also feels like being both a player and a creatorunderstanding what makes a game fun and meaningful, then translating that experience t"/>
        <s v="Về vai trò: Thực hiện quy trình tuyển dụng, sáng tạo nội dung truyền thông thương hiệu và hỗ trợ thiết kế tài liệu đào tạo nội bộ.&#10;Sự phù hợp: Em có kỹ năng viết tốt (đã viết 120+ bài), giúp tối ưu nội dung tuyển dụng/đào tạo. Tư duy ngành Luật giúp em sà"/>
        <s v="I believe this role involves supporting the design team in building and refining game systems and player experience through iteration and playtesting. I’m a good fit because I’ve designed and balanced mechanics in my projects while improving them based on"/>
        <s v="I believe this role involves analyzing workflows, identifying inefficiencies, and applying AI through prompts, pipelines, and agents to automate processes. I’m a good fit due to my experience with Python and AI projects, and my strong interest in building"/>
        <s v="Vị trí này sẽ:&#10;- Cụ thể hóa ý tưởng game bằng GDD thay vì nêu khái quát&#10;- Thiết kế các hệ thống, điều chỉnh, cân bằng game&#10;- Playtest game để tìm lỗi&#10;- Phác thảo UI/UX&#10;&#10;Em thấy phù hợp vì:&#10;- Em thích phân tích cơ chế game trong lúc chơi&#10;- Em sẵn sàng học "/>
        <s v="I believe this role involves knowing business requirements and needs, collecting data, transforming and analyzing data, and building dashboards to support decision-making. I am a good fit because I have strong SQL and Power BI skills, along with hands-on "/>
        <s v="Em nghĩ vị trí này sẽ là viết các câu truy vấn SQL để lấy dữ liệu từ BigQuery, xây dựng pipeline transform dữ liệu, phát triển dashboard để phục vụ team khác. &#10;Em đã xây dựng luồng xử lý dữ liệu tự động với Python và API, cũng như thiết kế dashboard bằng "/>
        <s v="Game User Acquisition sits at the core of performance marketing,  driving player growth through paid channels, creative testing, and metrics like CPI, ROAS, and LTV. I believe I'm a strong fit because my experience already follows the same logic as my pre"/>
        <s v="Em nghĩ vị trí này sẽ tìm kiếm lỗi và xác định các bước chính xác để lỗi đó xuất hiện. Sau khi lỗi được sửa thì sẽ phải kiểm tra có bị ảnh hưởng các tính năng khác hay không. Và vì bản thân em cũng là 1 người dùng nên sẽ rất cần những ứng dụng mượt mà về "/>
        <s v="From my understanding, this role likely involves supporting HR work such as employer branding and recruitment, along with some related coordination tasks. I couldn’t find a detailed JD. I’m proactive, adaptable, and fit well in dynamic environments like S"/>
        <s v="Vị trí này tập trung vào việc số hóa quy trình tuyển dụng, xây dựng thương hiệu nhà tuyển dụng trên mạng xã hội và tổ chức các hoạt động đào tạo, gắn kết nội bộ.&#10;&#10;Em tin mình là mảnh ghép phù hợp vì có tư duy hệ thống thông qua việc xây dựng Dashboard quả"/>
        <s v="Theo em, vị trí AI Engineer Intern tại SUN.RISER Nghiên cứu và ứng dụng các giải pháp AI (như Generative AI, Computer Vision) để tối ưu hóa quy trình sản xuất Game/Phần mềm và nâng cao trải nghiệm người dùng tại Sun. Em sẵn sàng cống hiến sự nhiệt huyết c"/>
        <s v="Theo em, đây sẽ là vị trí tập trung vào phân tích dữ liệu người chơi để tìm ra insight hỗ trợ cho việc cải thiện sản phẩm và tăng trải nghiệm người dùng.&#10;Em phù hợp vì có nền tảng SQL, Python, Power BI và đã làm một số project nhỏ về data. Tuy chưa có nhi"/>
        <s v="Em nghĩ vị trí này sẽ tham gia phát triển game bằng Unity, xây dựng gameplay, xử lý input và hỗ trợ hoàn thiện các tính năng trong dự án.&#10;Em phù hợp vì đã có kinh nghiệm làm các project thực tế như game Unity điều khiển bằng AI (FaceMesh) và hệ thống web "/>
        <s v="AI Engineer: Xây pipeline AI, xây dựng và tối ưu hệ thống AI chatbot, hoặc NPC trong game. Xây RAG&#10;Data Analyst: Đánh giá và phân tích dữ liệu người dùng, tìm cách rút ra những insight từ đó đưa ra lời khuyên hành động để phát triển trải nghiệm người dùng"/>
        <s v="Em nghĩ vị trí này sẽ thực hiện các test case để đảm bảo game vận hành đúng thiết kế. Cũng như mô tả lại các bước tái hiện lỗi nếu có và đóng góp ý kiến dưới góc độ người chơi để cải thiện gameplay và trải nghiệm người dùng.&#10;Em tin mình phù hợp vị trí này"/>
        <s v="Vị trí này sẽ sử dụng cũng như xây dựng AI như một Agent có thể đảm nhiệm các nhiệm vụ khác nhau một cách tự động, cũng như thiết kế và nghiên cứu các phương thức prompt khác nhau cho AI. Với kinh nghiệm đã từng làm về AI và RAG trước đó, cũng như kiến th"/>
        <s v="Em nghĩ vị trí này sẽ hỗ trợ lập trình bằng C#, fix bug và học quy trình làm game. Em phù hợp vì nền tảng tư duy lập trình tốt giúp em tiếp thu Unity rất nhanh. Đặc biệt, vì yêu thích làm game, em luôn có sự chủ động và năng lượng tích cực để hoàn thành t"/>
        <s v="Em tin mình phù hợp vì em có nền tảng nghiên cứu thị trường và phân tích insight người dùng để đưa ra đề xuất cụ thể; bên cạnh đó, em có khả năng kết hợp tư duy sáng tạo với tư duy số liệu, phù hợp với bản chất của User Acquisition là liên tục test creati"/>
        <s v="Vị trí của em sẽ ứng dụng AI vào lập trình game cũng như tối ưu quá trình làm game bằng AI, em tin rằng mình có thể hoàn thành tốt với khả năng học hỏi nhanh chóng"/>
        <s v="Em chọn vị trí này vì mong muốn ứng dụng chuyên môn Data Science và kinh nghiệm xây dựng AI Agents (RAG &amp; FAISS) vào thực tế tại SUN.RISER. Với nền tảng kỹ thuật vững chắc và tư duy tối ưu hóa, em tự tin có thể đóng góp ngay vào việc phát triển các giải p"/>
        <s v="Các công tác liên quan đến Tuyển dụng, đào tạo, gắn kết, hành chính đều sẽ nằm trong HR, với vai trò là 1 Intern, em nghĩ em sẽ được học tập và làm các nghiệp vụ trên. Về phần phù hợp, em đã trả lời ở câu trước, liên quan đến nền tảng, định hướng và kinh "/>
        <s v="Em hiểu vị trí này tham gia end-to-end tuyển dụng (sourcing, screening, phỏng vấn), xây dựng talent pipeline, hỗ trợ onboarding, employer branding và đào tạo nội bộ.&#10;&#10;Em nghĩ em sẽ phù hợp nhờ kinh nghiệm tổ chức sự kiện, quản lý team và phối hợp đa phòng"/>
        <s v="Mình nghĩ vị trí này sẽ làm về xử lý dữ liệu, xây dựng và triển khai mô hình AI vào hệ thống thực tế. Mình phù hợp vì có nền tảng lập trình, đã làm EDA và một số bài toán dự báo, đồng thời có tư duy hệ thống nên có thể học và làm tốt cả phần model lẫn eng"/>
        <s v="Em nghĩ vị trí này hỗ trợ đội ngũ trong các công việc vận hành nhân sự như tham gia Employee Onboarding, hoàn thiện và quản lý hồ sơ nhân sự, triển khai các hoạt động truyền thông nội bộ. Em thấy mình là người chủ động, có trách nhiệm và kỹ năng giao tiếp"/>
        <s v="My long-term goal has been to become an AI engineer. I've worked on many projects related to Agentic AI, LLM, and model improvement research, so I'm very confident in my abilities for this position."/>
        <s v="Về vị trí QA, em nghĩ vị trí này sẽ phụ trách về kiểm soát quá trình lập trình game để tìm ra những lỗi đang và có thể phát sinh trong quá trình phát triễn để kịp thời xử lý chúng."/>
        <s v="Mình có kiến thức nền tảng liên quan tới công việc tốt, kèm theo đó là khả năng làm việc trong nhóm và giao tiếp trong lĩnh vực."/>
        <s v="I believe this role focuses on building end-to-end system flows from data to product, rather than working on isolated AI components.&#10;I’m a good fit because I approach problems from a system-level perspective, aiming to understand how components interact a"/>
        <s v="Ở vị trí này, mình sẽ truy vấn dữ liệu từ BigQuery, xây dựng pipeline bằng Dataform, phát triển dashboard Tableau và viết tài liệu định nghĩa metrics như DAU, ARPU, Retention.&#10;Mình phù hợp vì có nền tảng SQL vững qua dự án Credit Risk — nơi mình tự xây ET"/>
        <s v="I think this roles will involve developing gameplay mechanics, optimizing game performance and maintaining using Unity. It will also includes collaborating with artists team, designers.&#10;I believe I'm a good fit because I have experience developing my pers"/>
        <s v="Thu thập, tổng hợp thành dashboard báo cáo, theo dõi phân tích các chỉ số liên tục và sau mỗi bản cập nhật, đánh giá phản hồi khách hàng của game mới và sau các bản cập nhật, hỗ trợ đưa ra quyết định xoay quanh dữ liệu đó. Em nghĩ mình phù hợp với vị trí "/>
        <s v="Theo em, về vị trí DA đối với doanh nghiệp về Game thì sẽ làm công việc như: Thu thập ý kiến, trải nghiệm, đánh giá,... của khách hàng, người chơi từ đó đưa ra những quyết định như cải tiến hoặc lược bỏ các chức năng. Em chưa dám khẳng định là mình phù hợ"/>
        <s v="I believe this role focuses on testing, improving product quality, and supporting development. I have 6 months of QA experience in AI projects, strong logical thinking, and attention to detail. I am eager to learn and contribute, which makes me a good fit"/>
        <s v="Tôi nghĩ vị trí này là làm về dev game, có thể tạo ra game mà mình mong muốn.&#10;&#10;Tôi nghĩ tôi phù hợp vì tôi đã có kiến thức lập trình chuyên về mảng Backend, khả năng học hỏi tốt, teamwork tốt và tôi cũng đam mê game."/>
        <s v="Xây dựng cơ chế, quy tắc, câu chuyện và trải nghiệm người dùng, giống như làm kiến trúc sư cho game."/>
        <s v="Với Data Analysis, mục tiêu quan trọng nhất là tạo ra được insight cũng như giải quyết được vấn đề từ việc nhìn nhận Data. Ở đây, bản thân tôi có đủ kĩ năng và tư duy để làm điều đó"/>
        <s v="Lên ý tưởng thực hiện ý tưởng và làm cho nó thực thi được để mọi người có thể chơi thử nó"/>
        <s v="Phát triển mô hình: Thiết kế, huấn luyện và tối ưu hóa các thuật toán học máy (Machine Learning) và học sâu (Deep Learning).&#10;&#10;Triển khai thực tế: Tích hợp các mô hình AI vào hệ thống phần mềm, đảm bảo khả năng hoạt động ổn định và hiệu quả trên hạ tầng cl"/>
        <s v="I believe I’m a good fit because I already have hands-on experience with AI projects. For example, I worked on a deep learning project for video frame interpolation using PyTorch, and I also implemented algorithm-based AI like Minimax with Alpha-Beta prun"/>
        <s v="This role involves writing C# logic, implementing mechanics, and optimizing Unity games. I believe I fit well because my HCMUT background and hands-on Unity experience provide strong OOP skills. Having built custom physics and led dev teams, I can effecti"/>
        <s v="I think this role focuses on using AI, especially LLMs, to optimize workflows and automate tasks. It involves prompt design and building simple AI pipelines.&#10;&#10;I’m a good fit because I have experience building multi-step AI pipelines and working with struc"/>
        <s v="Em nghĩ vị trí này sẽ lên kế hoạch và sắp đặt mọi quy tắc, thử thách và phần thưởng để dẫn dắt người chơi trải qua một cuộc hành trình cảm xúc có chủ đích, đồng thời thời phối hợp cùng các bộ phận khác để hiện thực hóa các nội dung đó vào sản phẩm.&#10;Là một"/>
        <s v="At Sun Studio, the AI ​​Engineering Intern will apply AI to optimize game products, while the Data Analysis Intern will focus on analyzing player data to support development decisions. With my background in AI development, and practical experience, I am c"/>
        <s v="I think this role involves building gameplay features in Unity, writing C# code, fixing bugs, and working with Game Designers and QA to improve the player experience. I believe I am a good fit because I have Unity/C# experience, basic game development kno"/>
        <s v="This role involves testing features, finding bugs, and ensuring the product works correctly before release. I believe I’m a good fit because I understand how systems work, pay attention to detail, and can clearly identify and communicate issues."/>
        <s v="I see this role as the vital link between development, design, and player experience. Combining my Software Engineering foundation with a sharp eye for detail, I bring a technical mindset to identify systemic issues and ensure seamless communication acros"/>
        <s v="Thu thập, xử lý, phân tích dữ liệu &#10;Thiết kế và lựa chọn các chỉ số phù hợp với mục tiêu nghiên cứu, sử dụng data để hỗ trợ&#10;Tham gia phân tích dữ liệu để hiểu hành vi người dùng, nâng cao chất lượng sản phẩm và xác định cơ hội tăng trưởng"/>
        <s v="Thu hút người chơi mới thông qua các chiến dịch quảng cáo trả phí trên mạng xã hội, chịu trách nhiệm lên ý tưởng và trực tiếp sản xuất các nội dung sáng tạo để tối ưu hóa tỷ lệ người dùng tải game, theo dõi số liệu và cập nhật xu hướng thị trường để điều "/>
        <s v="This role involves managing user acquisition campaigns, analyzing performance data and testing innovative content to increase mobile game user numbers. My experience managing 7 social media channels, creating viral content and analyzing data using Excel g"/>
        <s v="Vị trí này sẽ tìm và ngăn chặn các lỗi có thể xảy ra trong game, Mình cảm thấy phù hợp với vị trí này vì mình là một người đam mê về game và khó chịu khi nó bị lỗi hoặc vấn đề gì khác"/>
        <s v="GAME UA sẽ thu hút những game thủ cài đặt, đăng ký hoặc chơi game thông qua các hoạt động quảng cáo, marketing, và tôi có kinh nghiệm thiết kế những Social Post để quảng bá cho game. &#10;Game Design thì phụ trách sáng tạo và phát triển mọi khía cạnh trong ga"/>
        <s v="Đây là vị trí em sẽ được ứng dụng AI vào quy trình làm việc, và em đã có kinh nghiệm trước đó về vị trí liên quan, nên em nghĩ rằng em phù hợp cho vị trí này"/>
        <s v="Vị trí này sẽ làm là lập trình các tính năng gameplay theo đúng thời hạn và thông số theo tài liệu thiết kế. Đọc hiểu code nguồn có sẵn, debug và tối ưu hoá hiệu suất, tích hợp các hệ thống liên quan. Lý do phù hợp là theo con đường làm game lâu dài, vị t"/>
        <s v="Theo mình một Game Designer sẽ thiết kế các quy tắc trong game (Level Design), cân bằng game, viết Game Design Document,  và quan sát feedback của người dùng. Game Designer phải phục vụ người chơi, không phải phục vụ sở thích code của bản thân."/>
        <s v="From my understanding, this role involves supporting AI projects, working with data, and helping improve AI tools for practical use.&#10;I believe I am a good fit because I have interest in AI and I am always willing to learn and adapt to new challenges."/>
        <s v="I understand that this role involves executing test cases, identifying and reporting bugs, supporting regression testing, and collaborating with the team to ensure game quality before release.&#10;I believe I am a good fit because I have a strong foundation i"/>
        <s v="I believe this role involves translating game designs into functional features using Unity and C#, while optimizing performance for a seamless user experience. I am a strong fit because of my solid Software Engineering background and my ability to write c"/>
        <s v="This role involves crafting experiences and ensuring technical quality. My tenure at VTC Online ensures a profound understanding of player behavior. With a CS foundation from HCMUT and software testing skills, I can deliver practical game designs and prec"/>
        <s v="&quot;I am eager to challenge myself in a new field and I have knowledge in this field"/>
        <s v="I believe this role involves more than just building models; it’s about creating an end-to-end AI workflow, from developing automated data pipelines to integrating RAG architectures into functional applications."/>
        <s v="Phát triển logic, xây dựng cơ chế gameplay và tối ưu hóa hiệu suất để trò chơi vận hành mượt mà. Tôi thực sự yêu thích việc làm game và luôn khao khát tạo ra những game thú vị. Tôi đã từng tự tay phát triển dự án game cá nhân bằng Unity"/>
        <s v="Tôi nghĩ ở vị trí này tôi sẽ lập trình game trong unity, làm việc với Git và phối hợp với team. Thiết kế cơ chế chơi, level, nhiệm vụ. test gameplay và điều chỉnh trải nghiệm người chơi.&#10;Lý do vị trí phù hợp với tôi vì tôi đã có nền tảng về Unity và đã là"/>
        <s v="With AI engineer role, I think that the main task is integrate AI agent into the workload, which can help team to have automating repetitive tasks and enhancing overall production efficiency and quality. I consider myself a strong fit for this role becaus"/>
        <s v="In recent years, data and AI have become key drivers of business success. This strongly motivates me to pursue a career in this field. What interests me most is how companies can leverage data to understand their customers and improve decision-making. I o"/>
        <s v="I believe this role involves participating in the full project development lifecycle—from analyzing requirements and building efficient data/AI models to implementing functional features on web platforms.&#10;I think I am a strong fit for this position becaus"/>
        <s v="Em nghĩ ở vị trí này, em sẽ tìm hiểu về cơ chế gameplay 2d, tích hợp giao diện UI, làm quen cấu trúc project cũng như tìm hiểu về công cụ làm việc, phối hợp với team, báo cáo tiến độ dự án đồng thời sữa lỗi và tối ưu game."/>
        <s v="I think it involves hands-on development work — coding, prototyping, and learning the studio pipeline. I have the technical foundation for it, I pick things up quickly, and I'm genuinely passionate about making games."/>
        <s v="Vị trí này tập trung vào xử lý dữ liệu và xây dựng dashboard để cung cấp insight kinh doanh. Tôi là ứng viên phù hợp nhờ nền tảng SQL, Power BI, Python cùng kinh nghiệm thực tế phân tích hơn 20.000 bản ghi tài chính. Sự am hiểu hệ thống CRM tại VUS và khả"/>
        <s v="Theo mình tìm hiểu, vị trí Game Developer đòi hỏi nhiều hơn việc chỉ viết code, mà các developer còn phải thiết kế trải nghiệm tương tác mượt mà.&#10;Qua quá trình học Kỹ thuật Phần mềm tại trường Khoa học Tự nhiên, tìm hiểu về Game Development, Unity và phát"/>
        <s v="A Game QA is responsible for ensuring the quality of the game by identifying errors, bugs, and other issues. There are two common testing approaches: manual testing and automated testing. I believe I am well-suited for a QA position because I am patient, "/>
        <s v="Theo tôi, vị trí này sẽ tham gia phát triển và tối ưu các sản phẩm game bằng Unity, phối hợp với các bộ phận như thiết kế, art để hoàn thiện sản phẩm.&#10;Tôi phù hợp với vị trí này vì có nền tảng về C#, Unity và đam mê phát triển game."/>
        <s v="Em nghĩ vị trí này không chỉ là sử dụng unity để làm ra các tựa game mà còn phải đáp ứng được các nhu cầu của người chơi từ tối ưu cho đến đồ họa.&#10;Lý do em nghĩ em phù hợp với vị trí này là vì em là một người có thể học hỏi và làm việc một cách linh động."/>
        <s v="I assume that this role involves in working with prompts and AI to create a tool/AI agent/RAG in order to help accelerate the speed developing a game or something like that. If I were right, with my experience in prompt engineering and working with AI as "/>
        <s v="I think an AI Engineer is someone who researches and applies new AI tools to build autonomous systems and optimize business processes through both code and no-code. I think you're suitable for this position because you're a final-year Data Science student"/>
        <s v="I believe this role involves developing AI solutions, working with data, improving models and supporting business needs. I am a good fit because I am passionate about AI, eager to learn, adaptable, quick to learn and work well in a team."/>
        <s v="I believe this role involves market research, system design, and using data and AI to optimize metrics like Retention. I am a strong fit because my Data Science background and experience in game-related projects allow me to handle Product Analysis and Lev"/>
        <s v="Vị trí này sẽ là người thiết kế toàn bộ trải nghiệm chơi game của người chơi, phân tích hành vi người chơi, xây dựng luật chơi, bối cảnh, trang bị, nhân vật,... &#10;&#10;Em nghĩ mình sẽ phù hợp với vị trí này vì em yêu thích chơi game và có niềm đam mê mãnh liệt"/>
        <s v="Vị trí này sẽ chuyên về phát triển, tối ưu game dựa trên những concept của game designer đưa ra góp ý trao dồi ý tưởng thêm cho  game để hoàn chỉnh. Em đã làm những game 3D, 2D, RGP, TDS ,FPS trong quá trình học tập."/>
        <s v="Theo mình, vị trí này sẽ thiết kế hệ thống và xây dựng gameplay cho trò chơi. Trong tương lai, AI sẽ thay thế nhiều khâu thủ công, nên mình chọn Game Design để nắm rõ quy trình sản xuất tổng thể. Với tư duy hệ thống sẵn có, mình tin bản thân sẽ làm chủ đư"/>
        <s v="Đối với vị trí này sẽ làm về lập trình tính năng, chức năng của game đối với Game Developer. Tối ưu code và debug để game có thể tối ưu nhất có thể. Em phù hợp với vị trí này vì em đã có kinh nghiệm làm trong Unity Engine và tìm hiểu công nghệ AI để giúp "/>
        <s v="I believe a DA Intern is responsible for working with user data, organizing it and applying analytics tools to generate valuable insights that can support business decision-making. With my academic background and hands-on projects, I have developed the ne"/>
        <s v="I believe this role involves querying, transforming, and visualizing game data to generate insights for decision-making. I’m a good fit because I have strong SQL and Python skills, hands-on experience with data processing, and enjoy turning data into clea"/>
        <s v="sử dụng AI, làm việc với các model AI để ứng dụng vào quy trình cũng như chức năng của trò chơi"/>
        <s v="Mình nghĩ vị trí này là quá trình hỗ trợ sáng tạo, lên ý tưởng, xây dựng cốt truyện, quy tắc, nhân vật và cơ chế gameplay. Vì mình nhận thấy, mình có một thái độ nghiêm túc và cầu tiến trong công việc. Luôn sáng tạo, có tư duy về kỹ năng trình bày logic, "/>
        <s v="Em nghĩ vị trí này sẽ liên quan đến việc phân tích và cải thiện gameplay. Em phù hợp vì em cũng hay làm mấy cái đó, em có framework review game và đang tự làm game nhỏ để test system nên em nghĩ em bắt nhịp được khi được nhận vào công ty."/>
        <s v="Em nghĩ vị trí này sẽ làm những công việc như thực hiện những ý tưởng đưa ra cho dự án và sửa bug, lý do em nghĩ em phù hợp là vì khi còn học ở trường em cũng làm những công việc tương tự."/>
        <s v="I think this role focuses on understanding how different teams operate, identifying manual or inefficient steps, and redesigning those workflows using AI and automation. It involves not only prompt engineering, but also building end-to-end AI pipelines in"/>
        <s v="Em tin mình phù hợp với Sun.Studio nhờ nền tảng kỹ thuật thực chiến trong việc xử lý hệ thống dữ liệu lớn. Em có tư duy giải quyết vấn đề, sử dụng các công cụ hiện đại như SQL, Python và dbt để tối ưu hóa pipeline. Với tinh thần học hỏi và khả năng thích "/>
        <s v="The Unity Intern will directly use Unity to build games and collaborate with Game QA and Game Design to bring ideas to life. &#10;Meanwhile, Game QA creates specific production processes and coding standards to ensure high-quality games and prevent bugs or er"/>
        <s v="This role involves implementing Core Gameplay, integrating UI/UX Canvas, and fixing bugs with QA through Daily Scrum. I am a fit because I have developed similar projects using Scrum with strong team feedback and possess an eager-to-learn spirit"/>
        <s v="Em nghĩ vị trí này sẽ tham gia recruitment cycle, hỗ trợ onboarding, employer branding và L&amp;D. Em phù hợp vì em chủ động, học nhanh, chú ý chi tiết và có khả năng phối hợp, trình bày rõ ràng trong môi trường HR."/>
        <s v="- Em nghĩ vị trí này sẽ hỗ trợ team làm các task Unity như gameplay, UI, fix bug, setup scene/prefab và test build. &#10;- Em phù hợp vì em có nền tảng C# Unity, hiểu OOP và các kỹ thuật Unity cơ bản, đồng thời em học nhanh, chịu khó debug và muốn phát triển "/>
        <s v="Vị trí này bao gồm kiểm thử tính năng game, phát hiện và báo lỗi, đảm bảo trải nghiệm người dùng mượt mà. Em phù hợp vì có kinh nghiệm test qua các project, chú ý chi tiết và có tư duy hướng người dùng."/>
        <s v="NV1: Unity Developer có vai trò hiện thực hóa các thiết kế game của Game Designer (GD) với nền tảng chính là Unity (C#), xây dựng từng tính năng để hoàn thiện dự án.&#10;NV2: Game Designer giữ vai trò thiết kế thế giới game, màn chơi, nhân vật, cốt truyện và "/>
        <s v="I believe this role involves developing and improving game features, collaborating with other team members to build engaging gameplay experiences and enhance overall quality of the product.&#10;I think I'm a good fit because I have experience working with Uni"/>
        <s v="- Em nghĩ vị trí này phát triển gameplay, giao diện, hiệu ứng theo yêu cầu của dự án. Đồng thời làm việc nhiều với Game Designer, Artist,... để có một sản phẩm đầu ra tốt nhất.&#10;- Em phù hợp với vị trí này vì em có thể áp dụng tốt các kiến thức đã học vào "/>
        <s v="I believe it involves: integrating AI into game development workflows, optimizing game quality and deploying production-ready AI service that can handle real-time interaction in games.&#10;I am a strong fit for this position because of my solid technical foun"/>
        <s v="I believe this role involves building game features in Unity. I'm a good fit because I have hands-on experience working with Unity — setting up GameObjects, applying scripts, and understanding how game components interact — and I'm motivated to deepen my "/>
        <s v="Em nghĩ vị trí này sẽ hỗ trợ toàn bộ quy trình tuyển dụng, xây dựng talent pipeline, onboarding, đồng thời tham gia Employer Branding và hỗ trợ các hoạt động đào tạo nội bộ.&#10;&#10;Em phù hợp vì đã có kinh nghiệm tuyển dụng số lượng lớn ứng viên, có tư duy phân"/>
        <s v="Đảm bảo chất lượng đầu ra của game, khiến cho game trở nên thu hút có nhiều người chơi, tăng doanh thu. Tôi cảm thấy mình có thể phù hợp với vị trí này vì có thể tính toán được các tình huống rủi ro cũng như là có kinh nghiệm làm QC Hóa chất từ trước"/>
        <s v="Em nghĩ vị trí QA sẽ đảm bảo suốt quá trình phát triển Game sẽ diễn ra trôi chảy và chính xác. Không để lại các lỗi nặng và hạn chế mọi lỗi trong suốt quá trình phát triển"/>
        <s v="Tận dụng cơ hội được học tập và làm việc trong một môi trường chuyên biệt, nguồn lực và sự sáng tạo đều tập trung hoàn toàn vào game. Việc này là điều kiện lý tưởng để em tập trung cao độ phát triển kỹ năng và đóng góp hiệu quả nhất cho công ty."/>
        <s v="Vị trí này sẽ xây dựng mọi thứ liên quan đến logic của game, đằng sau những giao diện, những model 3D hay sprite 2D. Vì em đang trong giai đoạn tự học làm game với Unity, đã học qua 2 Pathway Unity Essentials và Junior Programmer. Em mong muốn có thể được"/>
        <s v="Game Design at SUN.STUDIO means making casual mechanics that feel simple on the surface but keep players coming back — balancing accessibility with enough depth to hold attention. I’ve done exactly that: designed original mechanics, documented them in ful"/>
        <s v="The role focuses on building game features with Unity and C# while collaborating with a team.&#10;I’m a good fit thanks to my programming background and my current focus on learning Unity and C#."/>
        <s v="I’m a good fit because I have a solid technical foundation, hands-on project experience, and I’m proactive, adaptable, and eager to learn."/>
        <s v="This role will involve in puzzle solving skills, teamwork skills and idea summarization skills. I am a good fit because my problem solving and puzzle solving skills are enough to identify a gameplay weakness and balancing the game's difficulty. Additional"/>
        <s v="I think this role involves working on game features, fixing bugs, and collaborating with the team to improve the game. &#10;I believe I’m a good fit because I’ve already completed several games through my personal projects, so I’m familiar with the developmen"/>
        <s v="Tôi có nền là developer và đang trong quá trình tìm hiểu về AI Engineering , tôi đang ở mức có thể tích hợp được AI vào các hệ thống ."/>
        <s v="Em nghĩ công việc chính của vị trí này sẽ là thiết kế và xây dựng hệ thống cho trò chơi, viết Game Design Document, sau đó liên tục cập nhật để trò chơi hoàn thiện hơn. Lý do em phù hợp với vị trí này là vì em có nền tảng về game khá nhiều, và kiến thức v"/>
        <s v="Em nghĩ vị trí này sẽ ứng dụng AI để tối ưu quy trình làm việc, hỗ trợ phân tích dữ liệu và nâng cao chất lượng sản phẩm game. Ngoài ra còn cần phối hợp với các team khác để triển khai giải pháp AI vào thực tế.&#10;Em nghĩ mình phù hợp vì bên cạnh các kiến th"/>
        <s v="Em nghĩ vị trí này sẽ tập trung vào việc nghiên cứu thị trường và các game hiện có, thiết kế gameplay và level, đồng thời tối ưu sản phẩm dựa trên dữ liệu và quá trình playtesting.&#10;&#10;Em phù hợp vì có nền tảng về user research, UX/UI, cùng kinh nghiệm CS ga"/>
        <s v="Đầu tiên mình rất thích chơi game và tìm tòi những điều hay và điều chưa hay về game. Vị trí này sẽ thiết kế tựa game theo góc nhìn của một người đam mê game như mình. Chẳng hạn như Game Choice Matters vậy, tạo ra các nhánh hội thoại phức tạp, xây dựng ti"/>
        <s v="I believe this role involves supporting the development of 2D casual games in Unity, including implementing basic gameplay features, integrating UI, fixing bugs, and learning development workflows from the team.&#10;&#10;I am suitable for this position because I "/>
        <s v="Em nghĩ vị trí này sẽ phát triển gameplay bằng Unity và C#, phối hợp với team để hoàn thiện game.&#10;Em phù hợp vì đã có kinh nghiệm làm game Unity, xây dựng các hệ thống gameplay và luôn chủ động học hỏi."/>
        <s v="Theo em tìm hiểu, vị trí Intern sẽ trực tiếp lập trình các cơ chế gameplay 2D cơ bản, tích hợp UI/UX, fix bug và làm quen với quy trình sản xuất game thực tế. Em tự tin mình phù hợp nhờ kiến thức OOP, C# và Unity 2D . Cùng tư duy toán học, AI, đồ họa và q"/>
        <s v="I think this role involves designing and building AI pipelines, developing and improving models, handling data, and evaluating performance for real-world applications. I’m a good fit because I have a solid foundation, learn quickly, and can apply my knowl"/>
        <s v="This role need to query and explore data about game products in BigQuery, optimize transformation pipelines, create interactive dashboards to present insights and analysis performance, track metric and make reports about data logic and insights. I’m famil"/>
        <s v="I expect this role focuses on deploying ML/DL algorithms to optimize live products. I am a strong fit due to my expertise in Deep Learning (Python, PyTorch) and backend system design. My proactive, logical approach enables me to seamlessly translate compl"/>
        <s v="Theo em, vị trí AI Engineering Intern tại SUN.RISER sẽ tập trung vào việc ứng dụng AI để hỗ trợ quy trình phát triển game, chẳng hạn như tự động hóa một số công việc, xử lý dữ liệu, hoặc cải thiện hiệu suất và chất lượng sản phẩm. Ngoài ra, vị trí này cũn"/>
        <s v="This role requires candidates to have a basic and strong understanding of Unity and a strive for growing, but a good fit candidate will have both knowledge and passion, which describe who I am."/>
        <s v="Mình nghĩ vị trí này sẽ tham gia phát triển gameplay, sửa lỗi và hỗ trợ team hoàn thiện game. Mình phù hợp vì đã có kinh nghiệm làm game 2D với Unity, hiểu C#, biết làm việc nhóm và luôn chủ động học hỏi để cải thiện sản phẩm."/>
        <s v="I believe this role involves developing gameplay features in Unity using C#, working with systems like UI, physics, and game logic, while collaborating with the team to build a stable product and optimize performance.&#10;&#10;I’m a good fit because I have hands-"/>
        <s v="The role involves collecting, cleaning, and analyzing data to generate insights for decision-making. I’m a good fit due to my MIS background, SQL experience, and strong analytical mindset. I’m detail-oriented, eager to learn, and ready to apply my skills "/>
        <s v="I believe this role involves using AI to automate workflows, speed up production and improve game quality. I am a strong fit because I have fast learning skills with hands-on AI experience. My excellent academic background proves I can quickly adapt to ne"/>
        <s v="Tôi có kinh nghiệm sử dụng và làm việc với Unity,git, đọc hiểu được code , đã có 1 dự án game 2d và 2 dự án 3d,có tinh thần học hỏi cao, trách nhiệm với công việc"/>
        <s v="Em nghĩ vị trí này sẽ liên quan đến việc thu thập, xử lý và phân tích dữ liệu người chơi để hỗ trợ các quyết định về game. Em phù hợp vì có nền tảng về SQL, Power BI và Python, cùng tư duy phân tích được rèn qua các dự án học thuật cấp bạc đại học."/>
        <s v="I believe this role involves collecting and processing data, building dashboards or reports to support business decisions, and identifying trends or anomalies through exploratory analysis. My background in both machine learning and analytical thinking all"/>
        <s v="Vị trí Data Analysis Intern sẽ hỗ trợ thu thập, xử lý và phân tích dữ liệu, tạo báo cáo và trực quan hóa dữ liệu để giúp đội ngũ đưa ra quyết định chính xác hơn. Tôi phù hợp với vị trí này vì có kiến thức cơ bản về Excel, SQL và tư duy logic tốt. Tôi cẩn "/>
        <s v="I believe this role involves ETL processing and data visualization to drive business decisions. I am a good fit because I have hands-on experience with Kafka, Spark (ODAP project), and Power BI, allowing me to turn complex raw data into actionable insight"/>
        <s v="This role is about turning player behavior data into insights that help game teams make better decisions. I think I'm a good fit because I have solid hands-on experience with SQL, Python, and Power BI, and I'm genuinely excited to apply that in a game ana"/>
        <s v="I think this role involves cleaning, analyzing data, and building reports or dashboards to support business decisions.&#10;I’m a good fit because I have experience with Python, SQL, and visualization tools like Power BI and Tableau, along with hands-on practi"/>
        <s v="Làm sạch và quản trị dữ liệu&#10;Phân tích dữ liệu hành vi&#10;Trực quan hóa qua các biểu đồ&#10;&#10;Mình phù hợp với vị trí DA Intern vì những kỹ năng về phân tích dữ liệu, AI Automation, tinh thần ham học hỏi, tư duy ownership."/>
        <s v="This role focuses on analyzing the game market, executing and optimizing user acquisition campaigns, testing creatives, and turning performance data into actionable insights.I believe I’m a good fit because I bring strong communication and coordination sk"/>
        <s v="Em nghĩ rằng vị trí này không chỉ là xây dựng một mô hình AI mà còn cần phân tích workflow của dự án, xây dựng các prompt để AI có khả năng lập luận chính xác, tạo structured output đảm bảo AI xuất ra dữ liệu chuẩn&#10;Em thấy mình phù hợp với vị trí này bởi "/>
        <s v="Em nghĩ vị trí này sẽ tập trung vào việc xử lý, làm sạch, chuẩn hóa, trực quan hóa dữ liệu, cũng như phân tích để đưa ra insight.&#10;Em phù hợp với vị trí vì em có định hướng theo Data Analyst và đã chuẩn bị kiến thức nền tảng: SQL, Tableau, Power BI, Python"/>
        <s v="Theo tôi, vị trí Data Analyst Intern sẽ tập trung vào việc thu thập, xử lý, phân tích dữ liệu và xây dựng báo cáo nhằm cung cấp những thông tin cần thiết cho người lãnh đạo đưa ra quyết định.&#10;&#10;Tôi phù hợp với vị trí này vì tôi có nền tảng về Data Science,"/>
        <s v="I believe this role would involve the application and usage of AI, either onto the video games themselves or just using AI to enhance user experience in general. As someone passionate about both of these 2 things as well as having a background that focuse"/>
        <s v="Ở vị trí này, tôi sẽ đảm nhận việc khai thác dữ liệu để tối ưu hiệu suất hoặc thiết lập bộ lọc logic để đảm bảo chất lượng sản phẩm game, nhằm mang lại trải nghiệm tốt nhất cho người dùng. Tôi phù hợp với SUN.RISER nhờ nền tảng MIS vững chắc, khả năng sử "/>
        <s v="This role involves building and deploying AI solutions, working with data, and integrating models like LLMs into real applications.&#10;I’m a good fit because I have a solid AI and software foundation, hands-on project experience, and I learn quickly to deliv"/>
        <s v="I see this role as building RAG pipelines, fine-tuning prompts, and shipping chatbots that actually work for users — not just demos. I'm a good fit because I've built LLM projects at school, debug with patience, and learn fast. I care about both the model"/>
        <s v="Em nghĩ vị trí này là liên quan đến phát thảo các bản thiết kế cả 2D và 3D. Kinh nghiệm vẽ 3D của em chưa phát huy như 2D nhưng phát thảo 3D sang 2D của em cũng có thể phù hợp với mong muốn khi làm việc với công ty."/>
        <s v="_ Theo mình ở vị trí này sẽ xây dựng các pipeline AI phục vụ cho Game: tích hợp hệ thống recommendation, hoặc ứng dụng các mô hình VLM/LLM để đánh giá các gameplay, behavior của user phối hợp với các team.&#10;_ Bản thân là 1 người đã trải nghiệm trích xuất t"/>
        <s v="Tôi chưa biết, vì về AI Engineer thì khá rộng, mỗi môi trường thì mạnh về một thế khác nhau, có chỗ thì chuyên về học máy/học sâu, chỗ thì tích hợp AI, chỗ thì phân tích nó, tôi nghĩ mình thích về việc phân tích dữ liệu, nên sẽ theo được với nó"/>
        <s v="Ở vị trí AI Engineering đó là tôi sẽ tìm hiểu các quy trình làm việc của các team sau đó sử dụng những model AI agent hiện nay ví dụ như claude hay chatgpt ( CodeX ) thay thế cho những công việc thủ công đó hoặc là giảm thiểu thời gian làm những công việc"/>
        <s v="I think my duties are to learn the responsibilities and skills required to design and implement a vision into a working video game. I believe that my excellent communication, teamwork, and creative skills will bring fresh ideas to the teams"/>
        <s v="Theo em, vị trí này sẽ tham gia trực tiếp vào quy trình sản xuất game mobile casual, từ việc phối hợp với Team Designer/Artist để hiện thực hóa ý tưởng thành gameplay cho đến khâu build, tối ưu hóa hiệu suất và đưa sản phẩm lên các kho ứng dụng Store."/>
        <s v="Em nghĩ vị trí Unity Developer Intern sẽ tập trung vào việc code C# trong Unity để xây dựng và tối ưu hóa gameplay cho các tựa game casual/puzzle của studio. Còn AI Engineer Intern sẽ áp dụng trí tuệ nhân tạo để hỗ trợ quy trình sản xuất. Em phù hợp với h"/>
        <s v="Game Designer là người tìm ý tưởng, lên kế hoạch phát triển và thiết kế game sao cho game phù hợp và vui đối với đối tượng người dùng đã được xác định. Là một người đã trải nghiệm nhiều thể loại game khác nhau, em tin rằng mình có thể học hỏi cách những n"/>
        <s v="tôi nghĩ sẽ làm về thiên về dữ liệu game và tôi cũng muốn trải nghiệm và tìm kiếm cơ hội mới lạ"/>
        <s v="Đối với vị trí AI Engineering đó là ứng dụng AI vào quy trình làm việc, giúp tăng tốc độ sản xuất và cải thiện chất lượng game. AI có thể giúp con người làm việc nhanh hơn không chỉ riêng việc code các phần xử lý mà còn có thể trong cả việc tạo assets. Tô"/>
        <s v="This role involves analyzing game data via BigQuery to track metrics like DAU and Retention. I fit perfectly due to my advanced SQL skills, experience visualizing 31M+ records, and user behavior mindset gained from building Recommendation Systems."/>
        <s v="I believe this role focuses on applying AI to improve game production workflows, automate processes and create practical tools that enhance efficiency and quality. I am a strong fit because I have hands-on experience with AI systems such as LLM applicatio"/>
        <s v="Vị trí này trực tiếp lập trình, tối ưu hệ thống và phối hợp sản xuất game thực tế. Tôi phù hợp vì là sinh viên năm 4 CNTT, có nền tảng Coding vững. Từng là game thủ nên có khả năng am hiểu sâu cơ chế game và có tư duy logic và khả năng chủ động giải quyết"/>
        <s v="I believe this role involves collecting, cleaning, and analyzing data to support business decisions. It likely includes working with tools such as SQL, Python, and data visualization platforms to extract insights, identify trends, and present findings in "/>
        <s v="em nghĩ vị trí này sẽ tạo asset game (ảnh, texture, icon, background), generate animation. Em thấy em phù hợp bởi vì em có nền tảng về AI và đã làm các bài toán xử lý ảnh như CNN và captioning, nên có thể nhanh chóng áp dụng vào việc tự động hóa và tối ưu"/>
        <s v="Với vị trí AI Engineer trong lĩnh vực game, em cho rằng công việc sẽ tập trung vào việc xây dựng và tích hợp các giải pháp AI vào pipeline sản xuất—ví dụ như tự động hóa tạo nội dung, tối ưu quy trình test game, hỗ trợ thiết kế gameplay bằng dữ liệu, và c"/>
        <s v="I am applying for a Data Analysis intern position. I think this role involves analyzing gaming data to identify patterns and propose solutions to improve game performance. With my hands-on experience in relevant data projects, I confidently believe to be "/>
        <s v="I believe this role involves using tools like Python, SQL, and Excel to analyze player behavior and create visualizations. I am a good fit because of my strong academic background in data . Through my previous internship and some competitions, I have gain"/>
        <s v="I believe this role focuses on analyzing workflows and building AI solutions to automate and optimize processes. I’m a good fit because I’ve built end-to-end AI pipelines and enjoy solving real-world problems with practical systems"/>
        <s v="Với vị trí AI Engineering tại SUN.RISER, tôi nghĩ vị trí này sẽ phối hợp với các team liên quan và triển khai các giải pháp AI – Automation. Ứng dụng AI vào quy trình phát triển game"/>
        <s v="Tui nghĩ vị trí này sẽ tập trung thiết kế gameplay, cân bằng cơ chế game và cải thiện trải nghiệm người chơi. Tui thấy bản thân mình phù hợp vì tui có tư duy logic tốt, biết chú ý đến những chi tiết nhỏ và có niềm đame mê về game. Tui thích phân tích cách"/>
        <s v="Theo em, vị trí này sẽ thực hiện viết test case, thực hiện test và báo cáo bug cho dev team để sửa lỗi, sau đó test lại sau khi sửa lỗi/thêm chức năng mới để đảm bảo game hoạt động mượt mà. Em nghĩ mình phù hợp với vị trí này vì em hay chú ý tiểu tiết, có"/>
        <s v="I see this role as applying AI to live game systems, player behavior, real-time decisions, or content pipelines. My background spans CV, NLP, and GNNs, all built end-to-end. I'm a fit because I don't just experiment, I ship: from model training to deploym"/>
        <s v="I believe this role involves building and applying AI solutions in real projects while learning quickly and working with a team.&#10;&#10;I am a good fit because I have hands-on experience with AI tools, especially LLM-based automation, and I learn fast through p"/>
        <s v="I think this role involves building end-to-end AI solutions that solve real-world problems, from data processing to deployment.&#10;I’m a good fit because I have a strong foundation in Python and NLP, and I’m interested in how AI systems are applied in practi"/>
        <s v="Mình nghĩ vị trí này sẽ tham gia xây dựng ý tưởng gameplay, thiết kế cơ chế, hỗ trợ thiết kế cấp độ, map, phối hợp cùng team hoàn thiện trải nghiệm người chơi. Mình nghĩ mình phù hợp với vị trí này vì mình yêu thích game, cũng từng tham gia tạo một boardg"/>
        <s v="Công việc sẽ làm: Phân tích workflow và xây dựng AI pipeline (prompt, agent/function calling, RAG), tích hợp API và phát triển AI tools nội bộ.&#10;Lý do phù hợp: Có kinh nghiệm với function calling (kể cả LLM chưa hỗ trợ API) và tối ưu prompt; đang phát triể"/>
        <s v="Theo em nghĩ thì vị trí này tham gia vào quá trình phát triển game bằng Unity, bao gồm Gameplay, UI, Input, Animation, Fix bug, tối ưu hiệu năng cũng như phối hợp với các thành viên khác để hoàn thiện sản phẩm.&#10;Em thấy bản thân mình phù hợp với vị trí này"/>
        <s v="Tôi nghĩ với vị trí AI engineer sẽ không chỉ huấn luyện các mô hình AI mà đặt trọng tâm vào việc xây dựng và vận hành các hệ thống AI hoàn chỉnh. Tôi tin rằng mình phù hợp với vị trí này là vì đã có cơ hội được học tập và xây dựng các kỹ năng liên quan đế"/>
        <s v="Em nghĩ vị trí Game QA Intern sẽ chịu trách nhiệm viết test case, tìm và báo lỗi và đảm bảo trải nghiệm người chơi được tốt nhất.&#10;Em phù hợp vì em có tính cẩn thận và đã có trải nghiệm cơ bản về testing trong quá trình học."/>
        <s v="This role involves working with the PO, Game Designers, Artists, and other developers to turn game ideas into actual playable features. My daily tasks would include discussing ideas, contributing suggestions, and implementing gameplay mechanics, systems, "/>
        <s v="Em hiểu vị trí Unity Development Intern sẽ tập trung vào việc viết C# để triển khai tính năng, tích hợp assets, debug và tối ưu game theo GGD&#10;Em phù hợp vì đã làm Unity hơn 10 tháng, hoàn thành vài dự án cá nhân bằng Unity với đa dạng thể loại game, em rấ"/>
        <s v="- Vị trí này sẽ tập trung làm những việc như:&#10;+ Lập trình cho hệ thống user như account, điểm số, puzzle, scene flow&#10;+ Thiết kế UI - UX: sử dụng các package như DOTween để UI - UX hoạt động tốt và đẹp hơn&#10;+ Tối ưu dung lượng và hiệu suất của game: dùng sp"/>
        <s v="I believe this role involves developing AI models, processing large datasets, and collaborating with the team to deploy real-world solutions.&#10;I am a good fit because of my strong foundation in AI and Data Science from my studies. Moreover, I eager to adap"/>
        <s v="Learn about how we build and train an agent, analysis data, i have knowledge about them. I used to develop projects that's intergrated agent to support and analysis data"/>
        <s v="This role involves analyzing workflows, designing prompt-based pipelines, and building AI automation systems using LLMs and APIs. I’m a good fit because I have experience with RAG systems, API integration, and structured outputs, and I’m comfortable think"/>
        <s v="I understand that this role involves working directly with raw game data to uncover valuable insights to support business decision-making. I believe I am a good fit because I have a solid foundation and practical experience in data processing and analytic"/>
        <s v="Chịu trách nhiệm chuyển hóa ý tưởng thành tính năng qua code C# và tối ưu hóa vận hành trên Unity; vì có nền tảng kỹ thuật vững, tư duy logic tốt và khả năng tự học nhanh thông qua các dự án cá nhân đã thực hiện"/>
        <s v="I believe the DA role focuses on analyzing player data to generate insights for product decisions, while the AI engineer role involves applying AI to improve workflows and game quality. I am a quite fit for this position because I have practical experienc"/>
        <s v="I think this role involves applying AI to support game production, such as building tools, automating workflows, improving quality, and collaborating with developers, designers, and QA. I believe I am a good fit because I have a strong interest in AI, log"/>
        <s v="Tôi nghĩ kỹ năng và kiến thức của mình hiện tại phù hợp với vị trí data tại công ty."/>
        <s v="Với Game Design, em hiểu công việc là thiết kế gameplay và tối ưu trải nghiệm người chơi. Với Unity Developer, em hiểu vai trò là phát triển game logic và các tính năng trong game."/>
        <s v="Phân tích hành vi người chơi, phân nhóm khách hàng, phân tích dữ liệu qua từng phiên bản trò chơi. Sự tư duy phân tích và đam mê về game là lý do em cảm thấy phù hợp"/>
        <s v="Vị trí này theo tôi là phân tích dữ liệu người chơi để đưa ra insight cải thiện trải nghiệm và hỗ trợ quyết định cho sản phẩm game.&#10;Dù là sinh viên mới, tôi có tư duy logic, sự tỉ mỉ và khả năng học nhanh. Quan trọng hơn, tôi thực sự đam mê game và mong m"/>
        <s v="Em nghĩ rằng vị trí này sẽ cần người hiểu về cách hoạt động của LLM, AI. Biết các công cụ như Langchain, n8n,... Em cảm thấy phù hợp với vị trí này vì em đã xây dựng chatbot y tế sử dụng RAG để truy xuất và tổng hợp thông tin từ tài liệu y khoa."/>
        <s v="Em nghĩ là sẽ làm việc với các mô hình ngôn ngữ lớn và thiết kế pipeline giải quyết các yêu cầu của công ty ạ"/>
        <s v="Em nghĩ vị trí này sẽ chủ yếu xử lý, làm sạch, trực quan hoá dữ liệu. Từ đó, chúng ta có thể tìm ra được insight khách hàng và đưa ra những đề xuất hợp lý cho những tệp khách hàng khác nhau"/>
        <s v="I believe this role is about turning game data into insights that improve player experience. I think my curiosity, logical thinking, and customer focus mindset make me a solid fit for this role."/>
        <s v="I'm a good fit because I combine technical skills with genuine curiosity about how people interact with products. My projects prove I can detect patterns and translate data into actionable insights.  I'm genuinely interested in gaming because it's where p"/>
        <s v="AI Engineering Intern involves designing prompts and building agent workflows. Game Data Analysis involves querying data and turning numbers into insights. My project experience in pipelines, data analysis, and passion for gaming make me a good fit for bo"/>
        <s v="Theo mình thì vị trí Data Analyst Intern sẽ phân tích hành vi người dùng,  theo dõi các chỉ số vận hành như Số người chơi hoạt động mỗi ngày, Tỉ lệ giữ chân người chơi, Doanh thu trung bình mỗi user; Tham gia chuẩn bị dữ liệu để so sánh hiệu quả giữa các "/>
        <s v="Em nghĩ vị trí AI Engineer sẽ tập trung vào xây dựng và triển khai mô hình AI, xử lý dữ liệu và tích hợp vào sản phẩm thực tế (game), đồng thời lựa chọn mô hình phù hợp với bài toán.&#10;Em nghĩ mình phù hợp vì có nền tảng Python, xử lý dữ liệu và kiến thức m"/>
        <s v="I believe this role involves building and optimizing gameplay features while collaborating with designers and QA. I am a good fit because I have a solid Unity foundation, enjoy problem-solving, and am eager to learn, improve, and contribute to creating en"/>
        <s v="I believe I’m a good fit because I have a strong foundation in algorithms and hands-on experience with AI projects. I’ve worked on problems like sleep stage classification and object detection, where I not only focused on model performance but also on how"/>
        <s v="Em hiểu vị trí Unity Developer sẽ bao gồm lập trình gameplay mechanics, xây dựng hệ thống game, triển khai tính năng và tối ưu.&#10;Em tin mình phù hợp vì đã tự phát triển 4 dự án game hoàn chỉnh bằng Unity (2D, 3D). Em có kinh nghiệm về thể loại puzzle, flat"/>
        <s v="I believe this role involves analyzing game data and tracking metrics like DAU, retention, and monetization.&#10;I am transitioning into data analytics with experience in SQL, Power BI, and Python, and I’m eager to learn and grow in game analytics."/>
        <s v="I believe this role involves testing games, finding and reporting bugs, and improving user experience. I am a good fit because I am detail-oriented, patient, and passionate about games, with a strong willingness to learn."/>
        <s v="Tôi có kinh nghiệm BA cum Tester ở dự án ATS tại CT Group, có thể đọc hiểu tài liệu nghiệp vụ, cũng như tạo test case cho dự án."/>
        <s v="Tham gia thảo luận với các tiền bối trong team. Phát triển các chức năng từ đơn giản đến phức tạp. Kết hợp với các team khác (artist, designer) để cùng chỉnh sửa và hoàn thiện dự án.&#10;Em nghĩ bản thân phù hợp với vị trí Unity Developement Intern này là vì "/>
        <s v="Về Unity Developer và Game Designer,  đó sẽ là phát triển hệ thống game bằng Unity và thiết kế trải nghiệm gameplay.&#10;Mình thấy mình phù hợp với vị trí vì mình không chỉ quan tâm tới việc code đã chạy chưa mà mình còn xét về cách nó tác động tới trải nghiệ"/>
        <s v="Tôi phù hợp vì đã có kiến thức nền tảng về phát triển game với Unity và C#, từng xây dựng điều khiển nhân vật, AI cơ bản và thiết kế level. Những kỹ năng này chủ yếu đến từ quá trình tự học và chủ động tìm tòi, giúp tôi có khả năng thích nghi nhanh và khô"/>
        <s v="I think this role involves cleaning, analyzing, and reporting game data to support product decisions.&#10;I am a good fit because I have experience with Python, SQL, Power BI, and EDA. I am detail-oriented, willing to learn, and interested in using data to im"/>
        <s v="I believe this role involves developing AI models, refining data pipelines, and implementing architectures like RAG. I think I am a good fit because I have hands-on experience building end-to-end systems using PyTorch and LangChain. My background and prof"/>
        <s v="I implement core game logic and integrate systems to deliver a complete gameplay experience. I fix bugs, develop new features, and collaborate with Game Designers to improve the product from both technical and player perspectives. With hands-on experience"/>
        <s v="I believe this role involves data analysis, cleaning, and ensuring data accuracy. I am a good fit because I have prior experience as a Data Intern working with real datasets, along with strong attention to detail and a willingness to learn."/>
        <s v="Em nghĩ khi được ở vị trí này em sẽ được tham gia thiết kế gameplay, level chơi, phân tích thị trường và tối ưu trải nghiệm người chơi. Ngoài ra cá nhân em nghĩ rằng bản thân mình có khả năng thích nghi nhanh, sẵn sàng tiếp cận các công nghệ mới và có thể"/>
        <s v="I think I am a good fit because I have a strong foundation in data analysis with Python and SQL, along with experience in data cleaning, exploration, and visualization. Through my projects, I have worked with real datasets to extract insights and present "/>
        <s v="Em nghĩ là kiểm tra, phát hiện lỗi, đảm bảo cho sản phẩm hoạt động đúng yêu cầu, không bị lỗi trước khi ra mắt, mang lại trải nghiệm tốt cho người dùng&#10;Em nghĩ là với sự kĩ tính, hay để ý đến chi tiết và hiểu được cảm"/>
        <s v="Em cho rằng vị trí này trước hết sẽ được tham gia hỗ trợ thiết kế/lập trình các hệ thống game nhỏ/mới hoặc tham gia kiểm thử cho các chức năng sắp và đang hoàn thiện.&#10;Lý do em cho rằng mình phù hợp vì em đang phát triển một dự án game 2D ARPG, đặc biệt là"/>
        <s v="This role likely involves building gameplay features in Unity, fixing bugs, and collaborating with a team.&#10;I’m a good fit because I’ve worked on Unity projects with classmates, have experience with C# and teamwork, and can quickly adapt and improve from f"/>
        <s v="I believe this role involves building AI/ML models, working with LLMs or APIs, and supporting the team in research and prototyping.&#10;I'm a good fit because I have hands-on experience with Python, HuggingFace through my own projects, I learn fast, and I'm g"/>
        <s v="This role bridges player behavior and game optimization. My Unity background helps me understand data logic at the source, while my churn prediction skills provide actionable insights. This ensures my analysis is always technically sound and deeply aligne"/>
        <s v="From my academic projects, I have gained hands-on experience working with data processing, machine learning, and building data-driven systems. I am comfortable working with Python and handling real-world data tasks such as preprocessing, analysis, and pip"/>
        <s v="Test game và api"/>
        <s v="I believe this role involves analyzing workflows to identify bottlenecks and designing AI Agents or pipelines to automate manual tasks. Having experience in building RAG systems and agentic architectures, I am interested in applying these skills to improv"/>
        <s v="Mình hiểu vị trí này sẽ phân tích hành vi người chơi, theo dõi KPI sản phẩm và hỗ trợ các team ra quyết định dựa trên dữ liệu. Mình phù hợp vì đã thực chiến đúng quy trình đó từ xử lý dữ liệu thô, phân tích bằng SQL/Python, đến visualize trên Power BI qua"/>
        <s v="dữ liệu thô, ban đầu thường rất lớn, phức tạp và không dễ sử dụng ngay, nên cần được truy vấn, làm sạch, chuẩn hóa và trực quan hóa thành những thông tin rõ ràng để hỗ trợ ra quyết định chính xác. Và chuyên ngành của mình toán thông kê giúp mình có nền tả"/>
        <s v="This role involves working with real game data, building dashboards on Tableau, and turning raw data into useful insights to help the team build better games.&#10;I believe I’m a good fit because I truly enjoy data analysis and problem-solving with numbers. I"/>
        <s v="Theo mình thì vai trò của một AI Engineer tại Sun Studio sẽ xoay quanh việc ứng dụng AI để trực tiếp nâng cao trải nghiệm người chơi hoặc tối ưu hóa quy trình sản xuất của team. Công việc có thể là phát triển Gameplay AI hoặc sử dụng LLM và GenAI để tạo r"/>
        <s v="This role involves analyzing workflows, identifying inefficiencies, and building AI agents to automate and improve them. It also requires designing prompts, integrating tools via APIs, and iterating based on user feedback. I’m a good fit because I have a "/>
        <s v="I am a good fit because I have a backend foundation and experience with real-world projects. I understand development workflows and know how to combine AI tools to optimize work. I am a fast learner, ready to grow and contribute."/>
        <s v="I believe the roles I have picked involve translating design concepts into real, functional systems while ensuring technical polish. I am confident that I am a great fit as I possess a strong foundation in Unity as well as a background in quality assuranc"/>
        <s v="Em hiểu vị trí này sẽ xoay quanh việc truy vấn và xử lý dữ liệu từ các sản phẩm game, xây dựng pipeline và dashboard để các team có thể theo dõi hiệu suất và ra quyết định. Em nghĩ mình phù hợp vì đã có nền tảng SQL, Python và kinh nghiệm xây dựng dashboa"/>
        <s v="Theo mình được biết vị trí này sẽ làm về mảng AI, làm các tool tự động hoá cho các quy trình dựa vào AI. Bên cạnh đó là RAG để tạo AI chuyên biệt cho công ty. Mình nghĩ mình sẽ phù hợp vì đã có tiếp xúc qua dự án RAG cũng như tìm hiểu về các projects AI t"/>
        <s v="Em nghĩ vị trí này sẽ tham gia phát triển sản phẩm, xây dựng tính năng và sửa lỗi, đồng thời học hỏi công nghệ mới và làm việc nhóm.&#10;&#10;Em phù hợp vì có nền tảng lập trình tốt, từng làm dự án thực tế và học nhanh. Em cũng có tinh thần trách nhiệm và luôn ch"/>
        <s v="Phân tích dữ liệu,  thống kê,  visualization, dụe đoán"/>
        <s v="Tôi nghĩ vị trí này bao gồm việc phát triển các tính năng game bằng Unity, lập trình gameplay với C#, đồng thời kiểm tra và phát hiện lỗi để cải thiện chất lượng sản phẩm. Tôi phù hợp vì có nền tảng lập trình, đã thực hiện các dự án Unity cơ bản tại trườn"/>
        <s v="Em nghĩ vị trí này sẽ làm:lập trình gameplay, làm logic game,làm việc với artist &amp; designer, fix bug &amp; tối ưu, Build &amp; release game.&#10;Em phù hợp với vị trí Game Developer vì em có nền tảng về Unity và lập trình C#, đồng thời đã thực hành qua một số project"/>
        <s v="I think that scope of work in Data Analysis Intern position is building dashboard, analyze some KPI, metrics for Game app and gain insights, do some tasks about database management, data processing and data pipeline. Because of my academic background and "/>
        <s v="I believe the AI Engineering Intern role involves applying AI to support game development, such as improving player experience, optimizing workflows, analyzing player data, and possibly building tools or models to assist designers and developers."/>
        <s v="Mình nghĩ vị trí HR sẽ bao gồm các công việc như hỗ trợ tuyển dụng, kết nối ứng viên và tham gia xây dựng môi trường làm việc tích cực.&#10;Mình đã từng tham gia vào quá trình tuyển thành viên, phối hợp tổ chức hoạt động và làm việc với nhiều người. Mình có k"/>
        <s v="Với vị trí AI Engineer, có hai hướng cho các công việc đó là: thứ nhất, thiết kế một pipeline cho LLM hoặc Agent để tích hợp giúp trả lời các câu hỏi của nhân viên; hướng thứ hai sẽ sử dụng thị giác máy tính để theo dõi, phân tích (ví dụ như phân tích rep"/>
        <s v="Unity Dev sẽ là nơi để thỏa sức sáng tạo các tựa game phù hợp với thị trường, và tôi có khả năng học hỏi nhanh và chịu học, chịu được áp lực tốt và đã làm quen trước về dev game thông qua các dự án mini từ RPG Maker"/>
        <s v="I believe this role involves analyzing game data and building dashboards to generate insights. I am a good fit because I have experience with SQL (BigQuery), data analysis, and a strong interest in user behavior."/>
        <s v="Em nghĩ vị trí này sẽ tập trung vào kiểm thử, tìm và báo lỗi, hỗ trợ đảm bảo chất lượng game trước khi phát hành. Em phù hợp vì có nền tảng về manual testing, viết test case, bug reporting, cùng tư duy logic, cẩn thận và tinh thần học hỏi tốt"/>
        <s v="I believe this role involves testing games, finding bugs, reporting issues, and ensuring a smooth user experience. I’m a good fit because I’m detail-oriented, enjoy playing and analyzing games, and I’m willing to learn and improve my QA skills."/>
        <s v="I think this role involves analyzing player data, tracking key metrics, and providing insights to improve gameplay and business decisions.&#10;I’m a good fit because I have strong analytical skills, experience working with data, and I can turn data into clear"/>
        <s v="I believe this role involves applying AI to improve workflows, automate tasks, and support game development processes. I think I am a good fit because I have experience with AI projects using Python, machine learning, and RAG systems. I am also eager to l"/>
        <s v="I’m a good fit because I have a strong background in data analysis and experience solving real business problems with data. I’m also quick to learn and comfortable working with both technical and non-technical teams."/>
        <s v="I see this role as a bridge between data analysis and business strategy. I am confident in my fit because I have a passion for using data-driven insights to optimize business outcomes."/>
        <s v="Dựa trên những thông tin JD của vị trí này, em thấy vị trí này không đơn thuần làm những việc hành chính mà giống như một đối tác chiến lược của công ty. Là một sinh viên Quản trị kinh doanh cùng với tư duy hệ thống, 2 năm kinh nghiệm gia sư và kinh nghiệ"/>
        <s v="Tôi nghĩ vị trí này sẽ hỗ trợ các công việc tuyển dụng, onboarding, đào tạo nội bộ và các hoạt động gắn kết nhân viên. Đây là 1 trong những công việc quan trọng giúp team Nhân sự vận hành hiệu quả và mang lại trải nghiệm tốt cho ứng viên cũng như nhân viê"/>
        <s v="I think this role involves working with game data to support better decision-making across different teams. This includes query and exploring data from BigQuery to understand game performance and key operational metrics, transforming raw data through clea"/>
        <s v="Tôi nghĩ vị trí này sẽ thu thập, xử lý và phân tích dữ liệu để hỗ trợ công ty ra quyết định hiệu quả hơn. Tôi phù hợp vì có tư duy logic, cẩn thận, ham học hỏi và yêu thích làm việc với dữ liệu."/>
        <s v="Vị trí này chủ yếu liên quan đến việc thu thập, xử lý và phân tích dữ liệu để đưa ra insight hỗ trợ quyết định kinh doanh. Em có thể  phù hợp vì có nền tảng về data analysis (và đã có kinh nghiệm làm việc với dữ liệu thực tế trong các project."/>
        <s v="I believe this role involves balancing creative mechanics with technical stability to ensure the best player experience. I’m a great fit because I’m proficient in Unity and C#, which allows me to understand the game’s logic deeply. My experience building "/>
        <s v="I think this role involves turning AI into practical tools for game production such as automating workflows, suporting content or data tasks and integrating AI services with internal tools to help teams work faster and more effective. I am a good fit beca"/>
        <s v="Đối với tôi QA Tester sẽ là bộ phận quan trọng để tìm ra bug, kiểm thử các tính năng để đảm bảo sản phẩm sẽ đạt được chất lượng tốt nhất. Tôi có sự tỉ mỉ và kinh nghiệm với QA nên tôi nghĩ tôi phù hợp với vị trí này"/>
        <s v="I’m a good fit because I have hands-on experience building real-world AI systems, including LLM-based applications, recommendation systems, and end-to-end ML pipelines. I’ve worked with scalable backends, deployed models, and optimized performance, which "/>
        <s v="Em hình dung vị trí này bao gồm việc hiện thực hóa các ý tưởng thiết kế thành mã nguồn C# trên Unity, xây dựng logic gameplay, giao diện người dùng và phối hợp cùng team để tối ưu sản phẩm. Em tin mình phù hợp nhờ nền tảng tư duy thuật toán vững chắc của "/>
        <s v="I believe this role involves analyzing Puzzle/Casual games, researching competitors, and supporting game design tasks such as core loop design, level balancing, and improving player experience. I am suitable for this position because I am really intereste"/>
        <s v="I believe this role involves analyzing data to support practical AI solutions. I am a good fit because I have a strong logical mindset and am highly proactive."/>
        <s v="- It revolves around the data lifecycle: from collecting, cleaning, and analyzing data to uncover insights, to training and optimizing deep learning models to solve real-world problems.&#10;- I am confident in my ability thanks to my hands-on experience proce"/>
        <s v="I believe I am a good fit because of my entrepreneurial mindset. Running my own business alongside my studies has taught me to take full ownership of my work and stay adaptable in fast-paced environments. I bring a blend of creative problem-solving and a "/>
        <s v="Mình nghĩ vị trí Game QA sẽ chịu trách nhiệm chơi thử và kiểm tra toàn diện game để tìm ra lỗi trước khi phát hành. &#10;Mình thấy mình phù hợp vì mình có tính cách tỉ mỉ và hay để ý chi tiết và có n ệ thông tin."/>
        <s v="I believe this role involves testing game features, identifying and reporting bugs, and ensuring stable performance and good player experience. I am a good fit because I have hands-on practice in manual testing, test case design, and validating business l"/>
        <s v="I think this role involves supporting recruitment, communicating with candidates, preparing HR documents, and assisting internal activities. I believe I am a good fit because I am responsible, detail-oriented, and willing to learn. My background in Market"/>
        <s v="This role consists of supporting and optimizing user acquisition campaigns, collaborating with creative teams, and analyzing performance. With a background in marketing communications and experience in content and campaign execution, I have a solid founda"/>
        <s v="This role is about analyzing team workflows, identifying bottlenecks, then designing prompts, pipelines, and agent tools to automate those gaps. My experience building Agent, end-to-end AI project - combined with a research background that trained me to t"/>
        <s v="Em nghĩ vị trí này liên quan đến việc tham gia phát triển sản phẩm và giải quyết các bài toán thực tế. Em phù hợp vì có nền tảng AI, khả năng học nhanh và tư duy giải quyết vấn đề tốt."/>
        <s v="Theo hình dung của tôi về vị trí này tập trung vào tăng trưởng user cho game thông qua performance marketing và data&#10;Tôi phù hợp vì có nền tảng digital marketing + tư duy data-driven. Đồng thời tôi đang chuyển hướng sang performance/growth, nên có mindset"/>
        <s v="I believe I am a good fit because I have a Marketing background, good English communication, basic knowledge of Google Ads, and experience in planning, content creation, and teamwork through my internship and projects."/>
        <s v="I think this role involves researching and improving game systems to create better player experiences. I believe I’m a good fit because I enjoy casual/puzzle games, have strong logical thinking skills, and am eager to learn and grow in game design."/>
        <s v="Theo em, vị trí AI Engineer/Data Analyst Intern tại SUN.STUDIO sẽ tập trung vào việc xử lý và phân tích dữ liệu người chơi, xây dựng và áp dụng các mô hình AI để tối ưu trải nghiệm game, cũng như hỗ trợ các đội như Game Design hoặc User Acquisition đưa ra"/>
        <s v="Theo em, vị trí này sẽ hỗ trợ lập trình và tích hợp giao diện UI/UX vào Unity, fix bug và tối ưu.&#10;Dù chưa có kinh nghiệm trong lập trình game, em có tinh thần trách nhiệm cao và luôn sẵn sàng học hỏi để hoàn thành tốt các nhiệm vụ được giao, giúp mang lại"/>
        <s v="This role involves market research, running and optimizing UA campaigns, testing creatives, and analyzing performance. I’m a good fit because I have experience in research and data-driven optimization, enjoy testing and improving results, and bring a fast"/>
        <s v="I may still be early in my career, but I bring curiosity, analytical thinking, and a strong willingness to learn and I believe that mindset makes me a strong fit for this role"/>
        <s v="Vì em có niềm đam mê với game ạ"/>
        <s v="Em nghỉ mình có thể triển khai nhưng ý tưởng về một trò chơi mình yêu thích và học hỏi thêm được nhiều kinh nghiệm"/>
        <s v="tôi nghĩ Data Analyst ở công ty về Games như Sunriser thì tôi nghĩ sẽ có sự khác biệt rất lớn về các domain khác, và theo tôi công việc chính của DA ở đây sẽ là phân tích data người chơi -&gt; insight người chơi. Và vì sao phù hợp với vị trí này thì tôi chỉ "/>
        <s v="This is the role where people using data to predict the trend involved collecting, cleaning player data to analyzed user behavior. I have both interest in technology and gaming which give me an understanding about player behavior which make me suitable fo"/>
        <s v="This role involves ensuring software reliability through comprehensive testing, and I am a great fit because my background in full-stack development and rigorous testing methodologies allows me to identify complex edge cases and collaborate seamlessly wit"/>
        <s v="Xử lý dữ liệu: Thu thập, làm sạch và chuẩn hóa dữ liệu từ nhiều nguồn khác nhau.&#10;Trực quan hóa: Xây dựng Dashboard theo thời gian thực để giám sát sức khỏe doanh nghiệp.&#10;Giải quyết vấn đề: Từ số liệu, tìm ra các điểm kém hiệu quả trong quy trình và đề xuấ"/>
        <s v="I believe this role involves analyzing massive player datasets to uncover in-game behavioral patterns, to help the team optimize the overall gaming experience. I am a strong fit I am proactive, 'ownership-driven' mindset, which perfectly aligns with Sun.S"/>
        <s v="I believe this role involves building and deploying AI solutions, working with data pipelines, and solving real-world problems.&#10;I am a good fit because I have hands-on experience developing end-to-end projects like a RAG-based system and credit scoring mo"/>
        <s v="- Vị trí này sẽ đòi hỏi nghiên cứu về các công nghệ AI từ đó áp dụng vào game để nâng cao trải nghiệm người dùng.&#10;- Em phù hợp với vị trí này vì là sinh viên ngành Khoa học Máy tính, đã được tiếp cận với AI và hiểu cách các mô hình hoạt động, từ đó có thể"/>
        <s v="Theo tôi, vị trí Game Data Analyst sẽ tập trung vào việc thu thập, xử lý và phân tích dữ liệu người chơi bao gồm theo dõi các chỉ số quan trọng như retention, DAU/MAU, ARPU, phân tích hành vi người chơi, đánh giá hiệu quả các sự kiện in-game. Tôi tin mình"/>
        <s v="I see this role as a bridge between data science and software engineering. It involves not only performing DA to find patterns and trends but also the AI Engineering required to turn those insights into scalable features"/>
        <s v="I believe an AI Engineer role involves not only building machine learning models but also taking responsibility for the entire pipeline from data preprocessing and model training to evaluation and deployment.&#10;I believe I am a good fit for this role becaus"/>
        <s v="I see this role as managing the data flow—from querying in BigQuery and transforming it with Dataform to visualizing it on Tableau.&#10;I’m a good fit because I’m strong in SQL and deeply familiar with gaming metrics. This allows me to provide clear insights "/>
        <s v="The game designer role needs to have clear mind for mechanic, balance and a lot of concepts to engaging player. As for AI engineer role, we need to have a strong foundation of Algorithms and coding skill with AI-specific knowledge to create different AI b"/>
        <s v="I believe this role involves preparing content or campaign materials, tracking progress, and reviewing campaign performance. I believe I’m a good fit as I have a strong interest in marketing, I have developed skills in research, teamwork, communication, a"/>
        <s v="Em thấy bản thân có đủ các kiến thức và yếu tố kỹ năng về vị trí mình chọn và tự tin có thể cống hiến cho công việc một cách tốt nhất"/>
        <s v="Mình hiểu vị trí này sẽ tham gia trực tiếp vào quy trình tuyển dụng, từ tìm kiếm, sàng lọc ứng viên đến hỗ trợ phỏng vấn và onboarding, đồng thời đồng hành trong các hoạt động về EB và L&amp;D.&#10;Mình phù hợp với vị trí này nhờ khả năng sáng tạo và thiết kế cơ "/>
        <s v="Em nghỉ vị trí này sẽ chuyên về dữ liệu, thống kế các dữ liệu. Vì em có khả năng tìm hiểu và học hỏi thêm."/>
        <s v="Theo em hiểu thì vị trí Game Design Intern sẽ tham gia vào quá trình thiết kế gameplay, từ việc việc lên ý tưởng cho tới mechanic, xây dựng gameplay loop, cân bằng game, và phối hợp với team dev/art để triển khai vào sản phẩm thực tế. Trong các dự án cá n"/>
        <s v="Là người hỗ trợ kết nối tài năng và tổ chức các hoạt động gắn kết để duy trì cảm hứng sáng tạo cho đội ngũ. Em tin mình phù hợp vì nền tảng kiến thức Tâm lý học giúp em dễ dàng thấu hiểu và tương tác hiệu quả với các cá nhân có cá tính khác biệt. Bên cạnh"/>
        <s v="- Vị trí này sẽ làm việc dưới sự dẫn dắt của mentor để thực hiện đảm bảo chất lượng cho dự án Game trước khi phát hành (Kiểm thử theo Checklist, Hỗ trợ các hạng mục IAP,ads,...)&#10;- Với kiến thức được trang bị tại trường và qua quá trình thực tập, đồng thời"/>
        <s v="I am a strong fit for this role because I approach quality assurance with a computer science and engineering mindset. Through my recent projects, I have developed a deep understanding of software structural quality, specifically utilizing automated testin"/>
        <s v="I think that I love to work with data and that is the reason I believe myself to be a good fit for these positions"/>
        <s v="I believe this role combines data-driven optimization with creative execution in user acquisition. With a marketing foundation, proven creativity and coordination experience, and an analytical mindset from my economics background, with a genuine interest "/>
        <s v="Về công việc, Data Analysis tập trung vào các công việc liên quan đến dữ liệu như Thu thập, Xử lý, Trực quan hoá, Đưa ra các đề xuất cho công việc.&#10;Bản thân mong muốn vị trí này vì những kĩ năng đã học được trong những năm học đại học và cũng như kinh ngh"/>
        <s v="Vị trí AI Engineer Intern giúp tối ưu hóa làm game từ khâu tạo prototype nhanh, tự động phát hiện lỗi đến phân tích dữ liệu người dùng để cải thiện nội dung.Em tự tin mình phù hợp vì có nền tảng về Machine Learning/LLM, khả năng lập trình và tư duy ứng dụ"/>
        <s v="Em nghĩ về Data analyst sẽ bao gồm các công việc về Data cleaning, xây dựng pipeline, hỗ trợ dashboard, từ đó rút ra insight."/>
        <s v="Vị trí này yêu cầu tối ưu hóa sản xuất và phân tích hành vi người chơi để tăng trưởng sản phẩm. Em phù hợp nhờ kinh nghiệm xây dựng Agent tự trị qua dự án ICAT, kỹ năng trích xuất insight từ dữ liệu lớn qua dự án FRED, và tư duy minh bạch từ giải Quán quâ"/>
        <s v="Game Design là người lên ý tưởng, xây dựng quy luật và cơ chế trong game để tạo ra trải nghiệm thú vị cho người chơi. Em là người có tư duy logic tốt và niềm đam mê lớn với việc phân tích các dòng game. Em thường xuyên tìm hiểu tại sao một trò chơi lại cu"/>
        <s v="Theo em, vị trí này sẽ hỗ trợ xử lí, làm sạch và chuẩn hoá dữ liệu để có thể sự dụng cho việc phân tích, sau đó trình bày kết quả để hỗ trợ ra quyết định. &#10;Em nghĩ mình phù hợp với vị trí này vì em có nền tảng lập trình với Python và đang học thêm về SQL "/>
        <s v="Ở vị trí này, em sẽ phải ứng dụng các kiến thức đã học, đứa các mô hình AI vào việc thiết kế trò chơi, cũng như giúp trò chơi hoạt động tốt hơn, đáp ứng được nhu cầu về trải nghiệm trò chơi, thị hiếu của người dùng."/>
        <s v="- Em nghĩ vị trí này sẽ hỗ trợ xây dựng và triển khai mô hình AI vào các sản phẩm thực tế.&#10;- Em nghĩ mình phù hợp với vị trí này vì em đang định hướng theo Data Science và đã có nền tảng về lập trình, đặc biệt là Python và các thao tác xử lý dữ liệu."/>
        <s v="I see this role as building scalable, AI-driven solutions. I’m a great fit because I combine Software Engineering rigor with AI expertise to deliver high-impact results immediately"/>
        <s v="I believe this role involves supporting recruitment, coordinating interviews, and contributing to employee engagement.&#10;I’m a good fit because I have HR experience, strong communication skills, and a genuine interest in working with people. I’m also proact"/>
        <s v="Kiểm thử đảm bảo chất lượng và phân tích dữ liệu&#10;Tôi thấy phù hợp là vì tôi luôn muốn những việc mình làm nó là phiên bản tốt nhất trước khi đưa cho ai đó"/>
        <m/>
        <s v="Em sẽ chọn vị trí thực tập sinh thiết kế game, vì em có trí tưởng tượng bay bổng, phong phú."/>
        <s v="Em nghĩ là sẽ phân tích game, cân bằng những chỉ số cơ bản nhỏ, có thể là fix những bug game nhỏ , viết các tính năng có logic cơ bản cho game.&#10;Và vì sao em phù hợp với vị trí này : em nghĩ mình thực sự phù hợp với vị trí này vì em có sự quan tâm một cách"/>
        <s v="I believe this role requires the design and refinement of gameplay mechanics that make for an enjoyable and cohesive gameplay experience. This will involve the creation of the core gameplay mechanics, the balancing of the various systems within the game, "/>
        <s v="Vị trí này sẽ làm việc thiết kế đầu cho trò chơi, bao gồm nắm bắt thị trường và cũng viết/vẽ nên một hình ảnh của trò chơi, cùng hợp tác với các team Dev, Art,... Và tạo nên trò chơi hoàn chỉnh nhất. Vì tôi đã trải nghiệm qua nhiều trò chơi, thường xuyên "/>
        <s v="Vị trí tập trung vào phân tích sản phẩm, thiết kế Core Loop và UX/UI cho game Casual. Em phù hợp vì có tư duy logic hệ thống , đã tự xây dựng GDD và phác thảo Wireframes cho dự án Bus Jam. Khả năng ứng dụng AI linh hoạt  cũng giúp em tự tin thích nghi nha"/>
        <s v="This role bridges player experience with data-driven design, focusing on core loops, game economy, and UI/UX flows. I believe by having watched multiple developer's videos on how their idea developed from scratch, I would an analytical edge for balancing "/>
        <s v="I’m Duyen - a young girl working in the creative industry with a strong passion for creating breakthrough gaming experiences. I firmly believe that I have a special advantage over other candidates that is my major - Game Design."/>
        <s v="I believe this role involves designing and refining game mechanics, supporting the development process, and collaborating with the team to create engaging player experiences. I think I’m a good fit because I enjoy analyzing how games work at a system leve"/>
        <s v="Game Designer cần phải tìm hiểu insight để biết thị trường hiện tại người dùng đang mong muốn gì để từ đó vạch ra chiến lược: cần những engine gì để tạo ra game, budget cho game, doanh thu từ game,...Tôi tin mình phù hợp với vị trí này vì từ khi còn đi họ"/>
        <s v="This role should involves a lot of brain storming, a lot of researching about methods and designs that successful games use, working with other game designers and especifically as an intern, a lot of taking criticisms and improving. I'd say that i'm an op"/>
        <s v="With Game Design, the role should be involving in design game pattern, investigate deep in player motives and behaviors; with QA, then it is to ensure the system run smoothly, gurantee both of them is to ensure a smooth and engaging player experience"/>
        <s v="Em nghĩ vị trí này sẽ hỗ trợ xây dựng ý tưởng game, tham gia thiết kế gameplay, nội dung và phối hợp với các bộ phận khác để hoàn thiện trải nghiệm người chơi. Em phù hợp với vị trí này nhờ nền tảng về thiết kế đồ họa và màu sắc, giúp em có tư duy thẩm mỹ"/>
        <s v="Theo em, vị trí này sẽ tập trung vào việc phân tích và tối ưu trải nghiệm game Casual/Puzzle thông qua việc nghiên cứu đối thủ, thiết kế hệ thống, cân bằng level và hỗ trợ cải thiện khi phát hiện lỗi.&#10;&#10;Em phù hợp vì có tư duy logic, yêu thích game Puzzle,"/>
        <s v="Vị trí này đòi hỏi việc thiết kế luật chơi (core loop), viết GDD và phân tích dữ liệu. Em tự tin phù hợp nhờ nền tảng BA mạnh về thiết kế logic, vẽ workflow và sự tỉ mỉ của người thích biên tập vào trải nghiệm người dùng. Đặc biệt, việc ứng dụng AI giúp e"/>
        <s v="Em nghĩ ở vị trí này những thứ em cần làm sẽ là thiết kế một level màn chơi, thiết kế cơ chế game, cân bằng game, và thiết kế cốt truyện hoặc thế giới game."/>
        <s v="Theo em nghĩ, vị trí này sẽ làm về thiết kế như tạo hình nhân vật, môi trường, giao diện ứng dụng, hoạt họa trong game. Em tin rằng bản thân phù hợp với vị trí này vì em có niềm đam mê với game, dù chưa có kinh nghiệm chuyên nghiệp nhưng em có khả năng họ"/>
        <s v="Em nghĩ Game Design Intern là công việc liên quan đến việc sáng tạo game, thiết kế giao diện và gameplay, thiết kế nhân vật, UX/UI và game lore.&#10;Em đã học các môn học của ngành Thiết kế đồ hoạ như thiết kế UX/UI , vẽ minh hoạ, truyền thông tương tác và cá"/>
        <s v="I think this role involves designing gameplay systems, improving player experience, and learning through testing and iteration.&#10;&#10;I believe I’m a good fit because I enjoy gameplay design and have experience with level design, UI/UX, and player-focused thin"/>
        <s v="- Ở vị trí Game Design sẽ đảm nhận việc thiết kế gameplay, level và trải nghiệm người chơi sao cho cuốn hút nhất có thể.&#10;- Mình phù hợp với vị trí này là vì mình là một người đam mê game và đã học hỏi rất nhiều về cách vận hành của game thông qua công việ"/>
        <s v="Theo em, vị trí Game Design Intern hỗ trợ thiết kế gameplay, cân bằng được mức độ khó của từng level, đồng thời phối hợp với developer để triển khai tính năng game và artist để đảm bảo hình ảnh nhân vật đúng với ý tưởng thiết kế. Em phù hợp vì có nền tảng"/>
        <s v="The role of a game designer is to craft the player’s experience: from concept, gameplay mechanics, and rules, to balancing systems and challenges.&#10;- I have worked in game industrial for year as a game tester. I understand the process of making a game and "/>
        <s v="Mình nghĩ vị trí Game Design Intern sẽ tham gia lên ý tưởng gameplay, xây dựng cơ chế game, viết mô tả tính năng và hỗ trợ cân bằng trải nghiệm người chơi."/>
        <s v="Game Design Intern là vị trí thiết kế gameplay, xây dựng cơ chế game, cân bằng độ khó và tối ưu trải nghiệm người chơi, đồng thời phối hợp với Developer, QA để hoàn thiện sản phẩm dựa trên phản hồi và dữ liệu.&#10;Tôi phù hợp vì có nền tảng IT, tư duy logic t"/>
        <s v="Em nghĩ vị trí này sẽ tham gia thiết kế gameplay, hỗ trợ xây dựng trải nghiệm người chơi và phối hợp với team phát triển game. Em phù hợp vì có nền tảng Công nghệ Thông tin, tư duy logic tốt và đặc biệt rất yêu thích lĩnh vực game nên em muốn học hỏi và p"/>
        <s v="I believe this role involves crafting engaging player experience from balancing core gameplay mechanics and systems to designing compelling narratives and world-building. I am a strong fit because I bridge creative storytelling with technical logic combin"/>
        <s v="Mình nghĩ vị trí này sẽ tham gia xây dựng gameplay, trải nghiệm người chơi và phát triển ý tưởng cho game. Với nền tảng Graphic Design cùng đam mê game lâu năm, mình tin khả năng thẩm mỹ, tư duy sáng tạo và tinh thần học hỏi sẽ giúp mình phù hợp và phát t"/>
      </sharedItems>
    </cacheField>
    <cacheField name="Đại học" numFmtId="0">
      <sharedItems containsBlank="1">
        <s v="Others - Khác"/>
        <s v="UEH – Đại học Kinh tế TP.HCM"/>
        <s v="UFM – Trường Đại học Tài chính – Marketing TP.HCM"/>
        <s v="HCMUS – Trường Đại học Khoa học Tự nhiên – ĐHQG TP.HCM"/>
        <s v="UIT – Trường Đại học Công nghệ Thông tin – ĐHQG TP.HCM"/>
        <s v="IUH – Trường Đại học Công nghiệp TP.HCM"/>
        <s v="HCMULAW – Trường Đại học Luật TP.HCM"/>
        <s v="RMIT – Trường Đại học RMIT Việt Nam"/>
        <s v="FTU – Trường Đại học Ngoại thương"/>
        <s v="HCMUT – Trường Đại học Bách Khoa – ĐHQG TP.HCM"/>
        <s v="HUFI – Trường Đại học Công nghiệp Thực phẩm TP.HCM"/>
        <s v="HUB – Trường Đại học Ngân hàng TP.HCM"/>
        <s v="SGU – Trường Đại học Công nghệ Sài Gòn"/>
        <s v="TDT – Trường Đại học Tôn Đức Thắng"/>
        <s v="OU – Trường Đại học Mở TP.HCM"/>
        <s v="PTIT – Học viện Công nghệ Bưu chính Viễn thông"/>
        <s v="HUTECH – Trường Đại học Công nghệ TP.HCM"/>
        <s v="VLU – Trường Đại học Văn Lang"/>
        <s v="FPT Poly – Trường Cao đẳng FPT Polytechnic TP.HCM"/>
        <s v="HCMUTC – Trường Đại học Giao thông Vận tải TP.HCM"/>
        <s v="NTT – Trường Đại học Nguyễn Tất Thành"/>
        <s v="IU – Trường Đại học Quốc tế – ĐHQG TP.HCM"/>
        <s v="UEL – Trường Đại học Kinh tế – Luật – ĐHQG TP.HCM"/>
        <s v="HSU – Trường Đại học Hoa Sen"/>
        <s v="HCMUNRE – Trường Đại học Tài nguyên và Môi trường TP.HCM"/>
        <s v="HCMUTE – Trường Đại học Sư phạm Kỹ thuật TP.HCM"/>
        <s v="HIU – Trường Đại học Quốc tế Hồng Bàng"/>
        <s v="UEF – Trường Đại học Kinh tế – Tài chính TP.HCM"/>
        <s v="GDU – Trường Đại học Gia Định"/>
        <m/>
        <s v="CEP – Trường Cao đẳng Kinh tế TP.HCM"/>
        <s v="CET – Trường Cao đẳng Kinh tế – Công nghệ TP.HCM"/>
      </sharedItems>
    </cacheField>
    <cacheField name="Đại học - Khác" numFmtId="0">
      <sharedItems containsBlank="1">
        <s v="Ngoại ngữ tin Học-Huflit"/>
        <m/>
        <s v="Yonsei University"/>
        <s v="HUFLIT -  Trường Đại Học Ngoại Ngữ - Tin Học TPHCM"/>
        <s v="Trường đại học Công Nghệ Sydney, UTS"/>
        <s v="Trường Đại Học Công Thương TP.HCM - HUIT"/>
        <s v="Greenwich FPT University"/>
        <s v="FPT University HCM"/>
        <s v="FPT - Trường đại học FPT - TP.HCM"/>
        <s v="HUFLIT - Đại học Ngoại Ngữ - Tin Học TP.HCM"/>
        <s v="HUIT - Trường Đại học Công Thương TP.HCM"/>
        <s v="Green Academy - Graphic Designer"/>
        <s v="Đại học giao thông vận tải thành phố Hồ Chí Minh(UTH)"/>
        <s v="UTH - Trường Đại học Giao thông vận tải Thành phố Hồ Chí Minh"/>
        <s v="Đại học Ngoại ngữ - Tin học Thành phố Hồ Chí Minh (HUFLIT)"/>
        <s v="Đại học FPT"/>
        <s v="MKU - Trường Đại Học Cửu Long."/>
        <s v="VTC Academy"/>
        <s v="HUFI đã đổi tên thành HUIT - Trường Đại học Công Thương TP. Hồ Chí Minh"/>
        <s v="Đại học Sư phạm Kỹ thuật Vĩnh Long"/>
        <s v="Đại học Sài Gòn"/>
        <s v="UTH - Trường Đại học Giao thông vận tải TPHCM"/>
        <s v="Green Academy"/>
        <s v="CTU - trường Đại học Cần Thơ"/>
        <s v="Trường Đại học Giao thông vận tải TP. HCM"/>
        <s v="VinUniversity"/>
        <s v="SGU - Trường Đại học Sài Gòn"/>
        <s v="Đại học Thương Mại (TMU)"/>
        <s v="Đại học Trà Vinh"/>
        <s v="Trường Đại học Ngoại ngữ- Tin học TpHCM"/>
        <s v="Swinburne University"/>
        <s v="SGU - Đại học Sài Gòn"/>
        <s v="FPT University"/>
        <s v="HUFLIT - Trường đại học Ngoại Ngữ - Tin Học TPHCM"/>
        <s v="FPTU - Trường Đại học FPT"/>
        <s v="Trà Vinh University"/>
        <s v="HUFLIT Đại học Ngoại Ngữ Tin Học"/>
        <s v="Đại học Kinh tế, Đại học Huế"/>
        <s v="FPTU - Đại học FPT"/>
        <s v="PTITHCM - Học viện Công nghệ Bưu chính Viễn thông cơ sở TP Hồ Chí Minh"/>
        <s v="HUFLIT - Trường Đại học Ngoại ngữ - Tin học TP. Hồ Chí Minh"/>
      </sharedItems>
    </cacheField>
    <cacheField name="SV năm mấy?" numFmtId="0">
      <sharedItems containsBlank="1">
        <s v="Đang đợi thi bằng tiếng anh và tốt nghiệp"/>
        <s v="Year 3 / Năm 3"/>
        <s v="Year 2 / Năm 2"/>
        <s v="Year 4 / Năm 4"/>
        <s v="Fresh graduate / Mới tốt nghiệp"/>
        <s v="Year 1 / Năm 1"/>
        <s v="Sinh viên kỳ cuối sắp tốt nghiệp"/>
        <s v="Đã kết thúc"/>
        <s v="Đã tốt nghiệp 1 năm"/>
        <s v="Đã hoàn thành chương trình học và đang chờ nhận bằng tốt nghiệp"/>
        <s v="Năm 2 ,Kỳ cuối"/>
        <s v="sinh viên đang trong kỳ thực tập"/>
        <s v="Graduated"/>
        <m/>
        <s v="Chuẩn bị tốt nghiệp"/>
        <s v="Working for 1 year as a QA game"/>
        <s v="Tốt nghiệp được 4 năm"/>
      </sharedItems>
    </cacheField>
    <cacheField name="Chuyên ngành" numFmtId="0">
      <sharedItems containsBlank="1">
        <s v="Công nghệ thông tin"/>
        <s v="Business Administration"/>
        <s v="Fintech (Công nghệ Tài chính)"/>
        <s v="Toán học - Khoa học dữ liệu"/>
        <s v="Mạng máy tính và Truyền thông dữ liệu"/>
        <s v="Khoa học máy tính"/>
        <s v="Kỹ thuật phần mềm"/>
        <s v="Công nghệ và đổi mới sáng tạo"/>
        <s v="Software engineering"/>
        <s v="Luật"/>
        <s v="Game Designer"/>
        <s v="Information Technology"/>
        <s v="Thị giác máy tính"/>
        <s v="Logistics and Supply Chain Management"/>
        <s v="Song ngành Khoa học dữ liệu và Tài chính"/>
        <s v="Marketing"/>
        <s v="Kỹ thuật phần mềm (Software Engineering)"/>
        <s v="Industrial Management (Quản lý công nghiệp)"/>
        <s v="Công nghệ thông tin kinh doanh"/>
        <s v="Công nghệ phần mềm"/>
        <s v="Tài chính – Ngân hàng (định hướng: Công nghệ tài chính)"/>
        <s v="Data Science"/>
        <s v="Artificial Intelligence"/>
        <s v="Khoa Học Dữ Liệu"/>
        <s v="Quản trị Nguồn nhân lực"/>
        <s v="An toàn thông tin"/>
        <s v="Quản trị kinh doanh"/>
        <s v="Kỹ sư phần mềm"/>
        <s v="Data Science in Business"/>
        <s v="Computer Science"/>
        <s v="Information System"/>
        <s v="Information Systems &amp; Computer Science"/>
        <s v="Kĩ thuật phần mềm"/>
        <s v="Thương mại điện tử"/>
        <s v="Truyền thông đa phương tiên"/>
        <s v="Phát Triển Phần Mềm"/>
        <s v="Digital Art - Nghệ thuật số"/>
        <s v="Hệ thống thông tin"/>
        <s v="Computer Engineering"/>
        <s v="Information System - IS"/>
        <s v="Lập Trình Game"/>
        <s v="Information systems"/>
        <s v="Game development"/>
        <s v="Graphic Designer"/>
        <s v="Trí tuệ nhân tạo"/>
        <s v="Thiết kế đồ họa"/>
        <s v="Thực tế ảo và lập trình games"/>
        <s v="Graphic design"/>
        <s v="Game Developer"/>
        <s v="Mathematics and Computer Science"/>
        <s v="management information system"/>
        <s v="Software Engineer"/>
        <s v="International Business Economics (Kinh tế đối ngoại)"/>
        <s v="Công nghệ tri thức"/>
        <s v="Quản trị nhân lực"/>
        <s v="Network Engineering"/>
        <s v="Technology Innovation"/>
        <s v="Lập trình Game (Game Programming)"/>
        <s v="Web Development"/>
        <s v="Software Development"/>
        <s v="Công nghệ thông tin (CLC)"/>
        <s v="Hệ thống thông tin kinh doanh và chuyển đổi số"/>
        <s v="Hệ thống thông tin quản lý"/>
        <s v="Toán Tài Chính"/>
        <s v="Hệ thống thông tin quản lý (chuyên ngành Kinh doanh số và Trí tuệ nhân tạo)"/>
        <s v="Kinh doanh quốc tế"/>
        <s v="Điện - Điện tử."/>
        <s v="Khoa học máy tính."/>
        <s v="Công nghệ thông tin - Trí tuệ nhân tạo"/>
        <s v="Economics"/>
        <s v="Applied Mathematics in Economics, Management and Finance"/>
        <s v="Hệ thống nhúng và IoT"/>
        <s v="Information Security"/>
        <s v="Bachelor of Engineering in Artificial Intelligence (AI)"/>
        <s v="Công nghệ đa phương tiện"/>
        <s v="Unity Game Developer"/>
        <s v="Khoa học máy tính / Khoa học dữ liệu"/>
        <s v="Information Technology - High Quality"/>
        <s v="Network"/>
        <s v="Hệ thống thông tin ứng dụng"/>
        <s v="Phân tích dữ liệu"/>
        <s v="Ngành công nghệ thông tin, chuyên nghành kĩ thuật phần mềm"/>
        <s v="Computer Science - Cyber Security"/>
        <s v="An toàn thông tin - Information assurance"/>
        <s v="I studied in a talented bachelor program with a broad and flexible curriculum. I focused on Software Engineering and am now pursuing my career in game development."/>
        <s v="Công nghệ thông tin"/>
        <s v="Công nghệ thông tin - Công nghệ phần mềm"/>
        <s v="Information Techonology"/>
        <s v="Actuarial Science"/>
        <s v="Accounting - Auditing"/>
        <s v="Business Analytics and Artificial Intelligence"/>
        <s v="Quản trị khởi nghiệp"/>
        <s v="Management Information Systems – MIS"/>
        <s v="Software Technology"/>
        <s v="MIS - Management Information System"/>
        <s v="Khoa học máy tính (hướng Trí tuệ nhân tạo)"/>
        <s v="Artificial Intelligience"/>
        <s v="Computer Sciences"/>
        <s v="Industrial Management"/>
        <s v="Management Information Systems"/>
        <s v="Multimedia Communications - Truyền thông Đa phương tiện"/>
        <s v="Digital Marketing"/>
        <s v="International Business Management"/>
        <s v="Kỹ thuật và Quản lí công nghiệp"/>
        <s v="Công nghệ thông tin (CLC) chuyên ngành Công nghệ tri thức"/>
        <s v="Mechatronics"/>
        <s v="Professional Communication"/>
        <s v="Luật Dân sự"/>
        <s v="Tâm lý học"/>
        <s v="Công nghệ Tài chính (Fintech)"/>
        <s v="Computer Science - Khoa học máy tính"/>
        <s v="International Economics (Kinh tế đối ngoại)"/>
        <m/>
        <s v="Công nghệ thông tin ( Ứng dụng phần mềm)"/>
        <s v="Business Economics"/>
        <s v="Game Design"/>
        <s v="Mạng Máy Tính và Truyền Thông Dữ Liệu (Computer Networks and Data Communication)"/>
        <s v="Tin học quản lý"/>
        <s v="Ngôn Ngữ Anh"/>
        <s v="Thiết kế đồ hoạ"/>
        <s v="Thiết kế Mỹ Thuật Số: Chuyên ngành Game - Hoạt hình 2D"/>
        <s v="Thiết kế đa phương tiện"/>
        <s v="Công nghệ thông tin - An ninh mạng"/>
      </sharedItems>
    </cacheField>
    <cacheField name="Thời gian tốt nghiệp (dự kiến nếu chưa tốt nghiệp)" numFmtId="14">
      <sharedItems containsDate="1" containsString="0" containsBlank="1">
        <d v="2026-06-30T00:00:00Z"/>
        <d v="2027-03-20T00:00:00Z"/>
        <d v="2028-04-15T00:00:00Z"/>
        <d v="2026-09-10T00:00:00Z"/>
        <d v="2025-11-26T00:00:00Z"/>
        <d v="2026-03-01T00:00:00Z"/>
        <d v="2027-02-02T00:00:00Z"/>
        <d v="2027-09-28T00:00:00Z"/>
        <d v="2027-09-01T00:00:00Z"/>
        <d v="2026-12-31T00:00:00Z"/>
        <d v="2027-03-28T00:00:00Z"/>
        <d v="2026-08-23T00:00:00Z"/>
        <d v="2026-04-13T00:00:00Z"/>
        <d v="2025-11-04T00:00:00Z"/>
        <d v="2027-09-15T00:00:00Z"/>
        <d v="2027-04-24T00:00:00Z"/>
        <d v="2026-06-01T00:00:00Z"/>
        <d v="2027-08-30T00:00:00Z"/>
        <d v="2026-11-01T00:00:00Z"/>
        <d v="2027-03-01T00:00:00Z"/>
        <d v="2025-12-14T00:00:00Z"/>
        <d v="2026-08-22T00:00:00Z"/>
        <d v="2025-06-12T00:00:00Z"/>
        <d v="2026-06-29T00:00:00Z"/>
        <d v="2027-04-30T00:00:00Z"/>
        <d v="2027-12-31T00:00:00Z"/>
        <d v="2027-10-20T00:00:00Z"/>
        <d v="2026-04-06T00:00:00Z"/>
        <d v="2026-05-30T00:00:00Z"/>
        <d v="2027-01-01T00:00:00Z"/>
        <d v="2026-11-30T00:00:00Z"/>
        <d v="2026-10-20T00:00:00Z"/>
        <d v="2026-02-11T00:00:00Z"/>
        <d v="2026-09-01T00:00:00Z"/>
        <d v="2026-12-20T00:00:00Z"/>
        <d v="2025-12-01T00:00:00Z"/>
        <d v="2028-08-01T00:00:00Z"/>
        <d v="2026-06-12T00:00:00Z"/>
        <d v="2026-04-24T00:00:00Z"/>
        <d v="2027-05-07T00:00:00Z"/>
        <d v="2027-06-06T00:00:00Z"/>
        <d v="2027-06-28T00:00:00Z"/>
        <d v="2027-11-01T00:00:00Z"/>
        <d v="2025-11-22T00:00:00Z"/>
        <d v="2025-11-29T00:00:00Z"/>
        <d v="2025-09-30T00:00:00Z"/>
        <d v="2027-12-01T00:00:00Z"/>
        <d v="2027-07-01T00:00:00Z"/>
        <d v="2026-09-15T00:00:00Z"/>
        <d v="2005-04-13T00:00:00Z"/>
        <d v="2029-09-05T00:00:00Z"/>
        <d v="2026-08-10T00:00:00Z"/>
        <d v="2024-09-30T00:00:00Z"/>
        <d v="2027-06-10T00:00:00Z"/>
        <d v="2025-08-14T00:00:00Z"/>
        <d v="2025-11-25T00:00:00Z"/>
        <d v="2026-10-10T00:00:00Z"/>
        <d v="2025-03-29T00:00:00Z"/>
        <d v="2027-04-26T00:00:00Z"/>
        <d v="2027-10-30T00:00:00Z"/>
        <d v="2027-08-08T00:00:00Z"/>
        <d v="2027-05-31T00:00:00Z"/>
        <d v="2028-11-24T00:00:00Z"/>
        <d v="2026-08-15T00:00:00Z"/>
        <d v="2026-06-10T00:00:00Z"/>
        <d v="2022-12-05T00:00:00Z"/>
        <d v="2027-04-01T00:00:00Z"/>
        <d v="2027-05-01T00:00:00Z"/>
        <d v="2026-06-08T00:00:00Z"/>
        <d v="2027-06-01T00:00:00Z"/>
        <d v="2024-06-03T00:00:00Z"/>
        <d v="2026-06-25T00:00:00Z"/>
        <d v="2026-10-31T00:00:00Z"/>
        <d v="2025-08-01T00:00:00Z"/>
        <d v="2026-06-09T00:00:00Z"/>
        <d v="2026-03-05T00:00:00Z"/>
        <d v="2026-02-05T00:00:00Z"/>
        <d v="2025-04-16T00:00:00Z"/>
        <d v="2026-10-30T00:00:00Z"/>
        <d v="2026-08-24T00:00:00Z"/>
        <d v="2027-03-21T00:00:00Z"/>
        <d v="2028-09-01T00:00:00Z"/>
        <d v="2025-10-08T00:00:00Z"/>
        <d v="2027-04-06T00:00:00Z"/>
        <d v="2025-04-24T00:00:00Z"/>
        <d v="2026-03-14T00:00:00Z"/>
        <d v="2025-11-05T00:00:00Z"/>
        <d v="2027-07-15T00:00:00Z"/>
        <d v="2026-11-02T00:00:00Z"/>
        <d v="2027-09-30T00:00:00Z"/>
        <d v="2027-11-27T00:00:00Z"/>
        <d v="2027-11-05T00:00:00Z"/>
        <d v="2025-11-15T00:00:00Z"/>
        <d v="2004-07-21T00:00:00Z"/>
        <d v="2026-09-08T00:00:00Z"/>
        <d v="2026-06-15T00:00:00Z"/>
        <d v="2026-01-26T00:00:00Z"/>
        <d v="2029-05-30T00:00:00Z"/>
        <d v="2025-08-27T00:00:00Z"/>
        <d v="2027-10-01T00:00:00Z"/>
        <d v="2026-03-31T00:00:00Z"/>
        <d v="2027-06-25T00:00:00Z"/>
        <d v="2026-02-15T00:00:00Z"/>
        <d v="2025-11-28T00:00:00Z"/>
        <d v="2026-08-31T00:00:00Z"/>
        <d v="2026-05-04T00:00:00Z"/>
        <d v="2026-12-30T00:00:00Z"/>
        <d v="2026-08-01T00:00:00Z"/>
        <d v="2027-04-22T00:00:00Z"/>
        <d v="2026-05-01T00:00:00Z"/>
        <d v="2026-07-30T00:00:00Z"/>
        <d v="2026-10-01T00:00:00Z"/>
        <d v="2027-03-05T00:00:00Z"/>
        <d v="2025-03-01T00:00:00Z"/>
        <d v="2005-04-25T00:00:00Z"/>
        <d v="2025-12-28T00:00:00Z"/>
        <d v="2025-12-15T00:00:00Z"/>
        <d v="2026-11-10T00:00:00Z"/>
        <d v="2025-09-21T00:00:00Z"/>
        <d v="2026-06-06T00:00:00Z"/>
        <d v="2026-03-30T00:00:00Z"/>
        <d v="2026-07-10T00:00:00Z"/>
        <d v="2026-05-15T00:00:00Z"/>
        <d v="2025-12-30T00:00:00Z"/>
        <d v="2027-03-30T00:00:00Z"/>
        <d v="2026-12-01T00:00:00Z"/>
        <d v="2026-07-31T00:00:00Z"/>
        <d v="2027-01-15T00:00:00Z"/>
        <d v="2025-08-08T00:00:00Z"/>
        <d v="2027-10-10T00:00:00Z"/>
        <d v="2026-09-22T00:00:00Z"/>
        <d v="2027-11-25T00:00:00Z"/>
        <d v="2027-06-30T00:00:00Z"/>
        <d v="2004-01-10T00:00:00Z"/>
        <d v="2026-01-19T00:00:00Z"/>
        <d v="2024-07-01T00:00:00Z"/>
        <d v="2026-08-26T00:00:00Z"/>
        <d v="2026-04-19T00:00:00Z"/>
        <d v="2027-08-01T00:00:00Z"/>
        <d v="2026-08-14T00:00:00Z"/>
        <d v="2025-06-09T00:00:00Z"/>
        <d v="2026-09-30T00:00:00Z"/>
        <d v="2025-05-01T00:00:00Z"/>
        <d v="2026-06-20T00:00:00Z"/>
        <d v="2027-04-28T00:00:00Z"/>
        <d v="2028-05-02T00:00:00Z"/>
        <d v="2026-12-12T00:00:00Z"/>
        <d v="2026-09-24T00:00:00Z"/>
        <d v="2026-08-20T00:00:00Z"/>
        <d v="2025-12-20T00:00:00Z"/>
        <d v="2028-06-30T00:00:00Z"/>
        <d v="2019-06-01T00:00:00Z"/>
        <d v="2026-10-16T00:00:00Z"/>
        <d v="2026-04-22T00:00:00Z"/>
        <d v="2023-06-19T00:00:00Z"/>
        <d v="2026-05-31T00:00:00Z"/>
        <d v="2005-06-08T00:00:00Z"/>
        <d v="2024-12-28T00:00:00Z"/>
        <d v="2026-09-05T00:00:00Z"/>
        <d v="2027-05-14T00:00:00Z"/>
        <d v="2026-04-01T00:00:00Z"/>
        <d v="2006-10-31T00:00:00Z"/>
        <d v="2027-04-15T00:00:00Z"/>
        <d v="2026-08-30T00:00:00Z"/>
        <d v="2026-04-04T00:00:00Z"/>
        <d v="2027-11-28T00:00:00Z"/>
        <d v="2025-07-19T00:00:00Z"/>
        <d v="2027-06-20T00:00:00Z"/>
        <d v="2026-04-07T00:00:00Z"/>
        <d v="2026-01-16T00:00:00Z"/>
        <d v="2027-11-30T00:00:00Z"/>
        <d v="2026-11-15T00:00:00Z"/>
        <d v="2027-01-31T00:00:00Z"/>
        <d v="2027-06-29T00:00:00Z"/>
        <d v="2025-11-20T00:00:00Z"/>
        <d v="2027-07-31T00:00:00Z"/>
        <d v="2026-04-09T00:00:00Z"/>
        <d v="2026-11-24T00:00:00Z"/>
        <d v="2027-08-29T00:00:00Z"/>
        <d v="2025-08-16T00:00:00Z"/>
        <d v="2027-07-30T00:00:00Z"/>
        <d v="2027-07-09T00:00:00Z"/>
        <d v="2026-11-22T00:00:00Z"/>
        <d v="2027-05-15T00:00:00Z"/>
        <d v="2026-04-18T00:00:00Z"/>
        <d v="2025-08-06T00:00:00Z"/>
        <d v="2025-10-31T00:00:00Z"/>
        <d v="2027-07-02T00:00:00Z"/>
        <d v="2027-09-24T00:00:00Z"/>
        <d v="2026-01-30T00:00:00Z"/>
        <d v="2004-10-30T00:00:00Z"/>
        <d v="2026-08-05T00:00:00Z"/>
        <d v="2027-04-25T00:00:00Z"/>
        <d v="2026-10-03T00:00:00Z"/>
        <d v="2028-04-18T00:00:00Z"/>
        <d v="2027-10-31T00:00:00Z"/>
        <d v="2025-09-23T00:00:00Z"/>
        <d v="2027-01-18T00:00:00Z"/>
        <d v="2026-11-20T00:00:00Z"/>
        <d v="2028-04-01T00:00:00Z"/>
        <d v="2025-05-28T00:00:00Z"/>
        <m/>
        <d v="2024-10-20T00:00:00Z"/>
        <d v="2026-05-22T00:00:00Z"/>
        <d v="2025-09-17T00:00:00Z"/>
        <d v="2005-08-24T00:00:00Z"/>
        <d v="2025-11-01T00:00:00Z"/>
        <d v="2024-09-20T00:00:00Z"/>
        <d v="2024-12-31T00:00:00Z"/>
        <d v="2026-05-29T00:00:00Z"/>
        <d v="2026-07-02T00:00:00Z"/>
        <d v="2003-02-03T00:00:00Z"/>
        <d v="2026-02-01T00:00:00Z"/>
        <d v="2022-12-30T00:00:00Z"/>
      </sharedItems>
    </cacheField>
    <cacheField name="GPA" numFmtId="0">
      <sharedItems containsBlank="1">
        <s v="5.74"/>
        <s v="8.27"/>
        <s v="9/10"/>
        <s v="2.8"/>
        <s v="8.45"/>
        <s v="3.0"/>
        <s v="8.97"/>
        <s v="7.96"/>
        <s v="8.5"/>
        <s v="8.49"/>
        <s v="8.7"/>
        <s v="7.3"/>
        <s v="2.9/4.0"/>
        <s v="8.63"/>
        <s v="8,21"/>
        <s v="9.03"/>
        <s v="9.01"/>
        <s v="7.64"/>
        <s v="8.58"/>
        <s v="8.04"/>
        <s v="7.85"/>
        <s v="3.29"/>
        <s v="9"/>
        <s v="7.28"/>
        <s v="8.99"/>
        <s v="7.5"/>
        <s v="7.6"/>
        <s v="8.36"/>
        <s v="9.84"/>
        <s v="3.5"/>
        <s v="6.67"/>
        <s v="8.05"/>
        <s v="6.95"/>
        <s v="7.35"/>
        <s v="7"/>
        <s v="7.8"/>
        <s v="7.2"/>
        <s v="7.0"/>
        <s v="8.9/10"/>
        <s v="8.86"/>
        <s v="8.81"/>
        <s v="7.1"/>
        <s v="7.5-8.0"/>
        <s v="8.74"/>
        <s v="8.2"/>
        <s v="7.22"/>
        <s v="7.26"/>
        <s v="7.74"/>
        <s v="7.33"/>
        <s v="8.4/4"/>
        <s v="8.66"/>
        <s v="3.69"/>
        <s v="7.4"/>
        <s v="8/10"/>
        <s v="7.31"/>
        <s v="8.3"/>
        <s v="6.19"/>
        <s v="9.0"/>
        <s v="7.7"/>
        <s v="7.45"/>
        <s v="8.62 or 3.7 (4.0 scale)"/>
        <s v="8.61"/>
        <s v="7.68"/>
        <s v="Chưa có"/>
        <s v="7,16"/>
        <s v="7.59"/>
        <s v="9.05"/>
        <s v="8.4"/>
        <s v="8.91"/>
        <s v="8.4/10"/>
        <s v="8.53"/>
        <s v="3.3/4.0 = 7.9/10"/>
        <s v="8.1"/>
        <s v="8.52"/>
        <s v="8.14"/>
        <s v="8.37"/>
        <s v="7.9"/>
        <s v="8.33"/>
        <s v="8.19"/>
        <s v="7.78"/>
        <s v="8.56"/>
        <s v="8.32"/>
        <s v="7.56"/>
        <s v="8.6"/>
        <s v="8.0"/>
        <s v="8.85"/>
        <s v="7.79"/>
        <s v="8.10/10"/>
        <s v="9.025"/>
        <s v="7.6/10"/>
        <s v="7.86"/>
        <s v="8.50"/>
        <s v="7.32"/>
        <s v="7.99"/>
        <s v="8.26"/>
        <s v="8.51"/>
        <s v="7.19"/>
        <s v="9.29"/>
        <s v="2.85"/>
        <s v="8.46"/>
        <s v="8.43"/>
        <s v="8.38"/>
        <s v="8.35"/>
        <s v="8.82"/>
        <s v="8.09"/>
        <s v="8.34"/>
        <s v="8.3/10"/>
        <s v="7.87"/>
        <s v="6.4"/>
        <s v="8.11"/>
        <s v="7.88"/>
        <s v="7.88 ( 3.15 trên thang 4 )"/>
        <s v="8.13"/>
        <s v="8.47"/>
        <s v="8.8"/>
        <s v="8.55"/>
        <s v="8.24"/>
        <s v="8.00"/>
        <s v="8.01"/>
        <s v="8.22"/>
        <s v="7.84"/>
        <s v="8.76"/>
        <s v="7.83"/>
        <s v="8.59"/>
        <s v="3.08"/>
        <s v="8.03"/>
        <s v="8.28"/>
        <s v="7,95"/>
        <s v="GPA: 8.9/10"/>
        <s v="9.27"/>
        <s v="8.18"/>
        <s v="8.325"/>
        <s v="8.15"/>
        <s v="8.12"/>
        <s v="7,2"/>
        <s v="8,25"/>
        <s v="8,03"/>
        <s v="8"/>
        <s v="7.93"/>
        <s v="7/10"/>
        <s v="7.65"/>
        <s v="6.96/10"/>
        <s v="7.98"/>
        <s v="7.38"/>
        <s v="3.47/4.0 ~ (8.7/10)"/>
        <s v="7.0/10"/>
        <s v="7.5 / 10"/>
        <s v="7.92"/>
        <s v="7.918"/>
        <s v="7.3/10"/>
        <s v="6.82"/>
        <s v="8.44/10 (3.63/4)"/>
        <s v="7.88/10"/>
        <s v="7.87/10"/>
        <s v="8.08"/>
        <s v="8.02"/>
        <s v="8.40"/>
        <s v="7.55"/>
        <s v="7.41"/>
        <s v="3.4"/>
        <s v="6.23"/>
        <s v="7.15"/>
        <s v="7,7"/>
        <s v="7.61"/>
        <s v="8,07"/>
        <s v="7.2/10"/>
        <s v="8.57"/>
        <s v="7.73"/>
        <s v="8.44"/>
        <s v="8.9"/>
        <s v="7.70"/>
        <s v="6.83"/>
        <s v="8.48"/>
        <s v="8.71"/>
        <s v="7.62"/>
        <s v="7.44"/>
        <s v="7.97"/>
        <s v="8.69"/>
        <s v="7.18"/>
        <s v="7,5"/>
        <s v="6.6"/>
        <s v="7.75"/>
        <s v="6.85"/>
        <s v="3.1"/>
        <s v="6.58"/>
        <s v="3.76"/>
        <s v="3.2"/>
        <s v="2.7"/>
        <s v="7.83/10"/>
        <m/>
        <s v="7.01/10"/>
        <s v="~ 6.5/10"/>
        <s v="3.0/4"/>
        <s v="8.29"/>
        <s v="5.99"/>
        <s v="7.63"/>
        <s v="7.21"/>
        <s v="7,6"/>
        <s v="7.81"/>
        <s v="GPA 3.24/4 or 8.1/10"/>
      </sharedItems>
    </cacheField>
    <cacheField name="Bảng điểm" numFmtId="0">
      <sharedItems containsBlank="1">
        <s v="https://api.typeform.com/responses/files/c72c71eef495c4496336d90a9b5a89a923d9cd891bf8e7347c330d5cb0dd3993/Tester_Tran_Dat.pdf"/>
        <s v="https://api.typeform.com/responses/files/2cba8f639901c000b4b03facf917168791bf52b240fe6462777f8ec701264c6b/Transcript___HR_Intern___Nguyễn_Thị_Minh_Thư.pdf"/>
        <s v="https://api.typeform.com/responses/files/abf1dec5884f570495fe11cfc8c96893b91c3cfdcc1ad86f103d6cedab961112/Transcript___Data_Analysis_Intern____Nguyễn_Thị_Khánh_Đoan.pdf"/>
        <s v="https://api.typeform.com/responses/files/e3ba2603ae7a2a753893aecbcbe788e185a007bfbae324de822fdded04fe0974/CV___AI_Engineer_Intern___Mai_Anh_Sơn.pdf"/>
        <s v="https://api.typeform.com/responses/files/2c83f638458062caa684c4f60b3bf72b1eac859662b89b7ad315a620981f193a/Transcript___AI_Engineer_Intern___Nguyễn_Hoàng_Long.pdf"/>
        <s v="https://api.typeform.com/responses/files/ca20ee235d6264931064ccf6396a75c84e14f3b0c680fb094b52a40c9a3fe08b/Transcript___AI_Engineering_Intern___Lê_Phước_Thái.pdf"/>
        <s v="https://api.typeform.com/responses/files/7af820a1eac76cc9484a43090d04ca998f831f4502b5a0a4f8b1031d1b73abec/Transcript___Game_Designer_Intern___Trần_Thị_Yến_Nhi.pdf"/>
        <s v="https://api.typeform.com/responses/files/4ff522afe17de6e87f2d0f73fc9dbd51058a7aec12cea317203f9ddb56de3535/Transcript___Unity_Game_Intern___Nguyễn_Tấn_Thắng.pdf"/>
        <s v="https://api.typeform.com/responses/files/cb480e503c01f85b0b809fc05d5771892c3fd0dbc580467257a4891cbb343d98/Transcript___Unity_Development_Intern___Lê_Huy_Toàn.pdf"/>
        <s v="https://api.typeform.com/responses/files/13be79ae651a4614ae23e3e1f43f4532a86192c73dad23da60a9ee096fc333d3/Transcript___Game_user_acquisition_intern___Tiêu_Thị_Kim_Cương.pdf"/>
        <s v="https://api.typeform.com/responses/files/c81e02062339d77b4ede55463281bf041401409b6cfdc9d5af3fb93d3cf93fa6/Transcript___GameDesigner____TranThiThuHoai.pdf"/>
        <s v="https://api.typeform.com/responses/files/a5700be2667366a8aa5cde223638e0061b4b6d204f7ecefec64362269e857402/Transcript___Human_Resource_intern___Phạm_Nguyễn_Tài_Tuệ.pdf"/>
        <s v="https://api.typeform.com/responses/files/042e7060232e0f5b5de0083e7b999826b33f63306029383204b004d1db874243/Transcript___Game_Designer___Le_Minh_Quang.pdf"/>
        <s v="https://api.typeform.com/responses/files/b95948e937dce5975288cfacb88429c674a8423691a331d6dec90a27f07132f8/Transcript___AI_Engineering_Intern___Lê_Nguyễn_Kiều_Oanh.pdf"/>
        <s v="https://api.typeform.com/responses/files/ade51cd4cd0b0e2d1391b134336d331e932a84bc1acd9efc4b834696fc6bb891/Transcript___Game_Design_Intern___Nguyễn_Trọng_Nhân.pdf"/>
        <s v="https://api.typeform.com/responses/files/b4bcbc0f5e32d0ce75a8e0dfd4b941516e1a907f5f72ee2b52d84261450dee0f/Transcript_Data_Analysis_Intern_Dụng_Lan_Anh.pdf"/>
        <s v="https://api.typeform.com/responses/files/292711307ab29b35f9bcee94742066987856ee1a630728e3ee94350d85777dc6/Transcript___Data_Analysis_Intern___Nguyễn_Trương_Hoàng.pdf"/>
        <s v="https://api.typeform.com/responses/files/584f0c7510b65badfa880d578fdc9598099f2f5a09bf19be80dedaf65d29bf64/Transcript___Game_User_Acquisition_Intern___Nguyễn_Minh_Quang.pdf"/>
        <s v="https://api.typeform.com/responses/files/7c64f301ba79b068b5339ef39b3f64fc732a4b597c07c4a4057964cceff0f8e6/Transcript___Game_Quality_Assurance_Intern___Đinh_Hoàng_Nam.pdf"/>
        <s v="https://api.typeform.com/responses/files/98f21de1b836e8bac282365647b82c1f034f856f9774e3e5e9fefa71ad53f4fc/Transcript___Human_Resources_Intern___Trần_Ngọc_Yến_Vy.pdf"/>
        <s v="https://api.typeform.com/responses/files/1b05b4cb4f2c983e25db1ea1d20da3449f26bddf190577df136e869f8f39c836/Bảng_điểm_học_tập_tiếng_Anh_sinh_viên_ĐHCQ_VLVH.pdf"/>
        <s v="https://api.typeform.com/responses/files/a02ea864ad4e7d50d690f2b6711684355cbc9d46e1869ef4c9db14f2a8255966/Official_Academic_Transcript_Nguyen_Ngoc_Thang.pdf"/>
        <s v="https://api.typeform.com/responses/files/1e0b5c69bb915f4cef3e4d72ecaecb4698d8aecd476686304ca68c379973ff84/Transcript___Data_Analysis_Intern___Nguyễn_Thị_Ngọc_Minh.pdf"/>
        <s v="https://api.typeform.com/responses/files/ab9413ff9c189224d30207d5eae81f03aeb358121e26dfd486f8535ad2171b5e/Transcript___Unity_Development_Intern___Nguyễn_Gia_Huy.pdf"/>
        <s v="https://api.typeform.com/responses/files/0178355bda90ffad9ca953a4b6eb9e17fc24b31cbf585257cc87e2bf3247e164/Transcript___AI_Engineer_Intern___Nguyễn_Đồng_Thanh.png"/>
        <s v="https://api.typeform.com/responses/files/75cbc0bc41d09a0f4a4a54fef7cbc14bdaed981d5e49a83d6fe55d6e296accb0/Transcript___Game_QA_Intern___Trần_Xuân_Lộc.pdf"/>
        <s v="https://api.typeform.com/responses/files/b11b18c345840677e79ac926e2a55d8d64aa18aff3ad7c6127858f7f673507bb/Transcript___AI_Engineering_Intern___Nguyễn_Văn_Trí.pdf"/>
        <s v="https://api.typeform.com/responses/files/9ab689d81a6526d051058a5624797bfe005d9bf1a332091f9d67641a52859de8/Transcript___Unity_Development_Intern___Lê_Trọng_Thiện.pdf"/>
        <s v="https://api.typeform.com/responses/files/bf34bc1232b3493200bbba5149887984f94c05a7daacd43efbddaea1a36d5a9f/Transcript___UA_Marketing___Nguyễn_Hoàng_Minh.pdf"/>
        <s v="https://api.typeform.com/responses/files/ee860ca48d9683da61b7aa8fbf68cbac7ae049de7ec2906f07c6ef1229259f0c/Transcript___AI_Engineering_Intern___Phạm_Hồng_Nhân.pdf"/>
        <s v="https://api.typeform.com/responses/files/bb788f3bf50b366e0465dd44960796f637a34cf190603d4d467bed2a7653bd26/Transcript_AI_Engineer_Intern_TranGiaHy.pdf"/>
        <s v="https://api.typeform.com/responses/files/25afaa42268e83793c46a32f43a66f83fb94c98cfe4753b6b55616a50fa9b1f3/Transcript___HR_Intern___Lương_Nguyệt_Thuý.PNG"/>
        <s v="https://api.typeform.com/responses/files/65277d9e9a53570364314c6c8da69772882ab82a0f5c61c2d06b3dabece5c9ae/Transcript___Human_Resources_Intern___Hoàng_Kim_Tùng.pdf"/>
        <s v="https://api.typeform.com/responses/files/36b94f173ca890df77c1838af7507e864bf7e8e84f352ce970ab5d554d8441f7/Transcript___AI_Engineering_Intern___Tôn_Võ_Hoài_Khiêm.pdf"/>
        <s v="https://api.typeform.com/responses/files/10b080ac4267ed3dcf7becd9fbd9b34530b363f9a13c2b83b7b1a7c2294df481/Transcript___HR_Intern___TRẦN_THỊ_THU_LƯƠNG.pdf"/>
        <s v="https://api.typeform.com/responses/files/5e52d1820c9135cfda68525f48ecbc80911f4ded100766e7ce2d03d328557a84/Diem__1_.xlsx"/>
        <s v="https://api.typeform.com/responses/files/935667d0588c4e420f4011e7c8d6742ec82dcccd85694f4317be52077188c293/UTS_Transcript.pdf"/>
        <s v="https://api.typeform.com/responses/files/21c4bc321fe354b2545299dccf8e8543f227dc372158d7b8e6aef2dbec53356c/Transcript___Unity_Development_Intern___Hồ_Trọng_Nghĩa.pdf"/>
        <s v="https://api.typeform.com/responses/files/d48547519ac1eb435adc75998e195e0adae0c24502c95c213756f3585433215f/Transcript___AI_Engineer__Intern___La_Nguyễn_Quốc_Thịnh.png"/>
        <s v="https://api.typeform.com/responses/files/d0c8a57b5d79a7596d83078269d23aef8d697b73b36e1a85fc831bcb9c88f43a/Transcript___Data_Analysis_Intern___Lê_Thị_Bích_Trà.pdf"/>
        <s v="https://api.typeform.com/responses/files/d7191e22981cfde4646f4c5ff6726c2e65b576e93aee8930178f57c607526b5f/Transcript___Unity_Development_Intern___Bui_Khanh_Duy.pdf"/>
        <s v="https://api.typeform.com/responses/files/6c6dff641f6f23da55dae027a9f27a71b24a4538ff0013002b58e91e1f912f73/Transcript___Data_Analysis_Intern___Phạm_Cao_Trí.pdf"/>
        <s v="https://api.typeform.com/responses/files/cbcd39da2dcf70f373a71eee2b80a8ce0952bb8b213151d3c5ae190c2dfd058f/Transcript___Data_Analysts_Intern___Nguyen_Ngoc_Phuong.pdf"/>
        <s v="https://api.typeform.com/responses/files/e6c09eff031621405c7d00589362cc38b214af28a7d02015c5d24132d6a85c10/Bang_Diem_Tran_Tuan_Anh.pdf"/>
        <s v="https://api.typeform.com/responses/files/8b27164459c77e116788cb2285d1ce88af76c14b68aa40293878c7a4d2c19287/Transcript_UnityDevelopmentIntern_LeNguyenKhang.pdf"/>
        <s v="https://api.typeform.com/responses/files/993e90684571374724efbfa034cf290112a676bd990579db69617a8b8e6d544f/DHNT___GD.pdf"/>
        <s v="https://api.typeform.com/responses/files/255e5cbffa6645c86f1fdc8a1835a47854db0aea59bcf97108502c351da73e6e/Bảng_điểm_Tran_Dai_Hai.pdf"/>
        <s v="https://api.typeform.com/responses/files/c4b19cc25d48a9f9db63bc6e2d18db1c4824924e0547a8a63c61e6d5f57e22b3/Transcript_Unity_Development_Intern_Nguyễn_Vạn_Xuân.pdf"/>
        <s v="https://api.typeform.com/responses/files/36dbd07f5c2ef9d6d53657cf4975b2836fcac711ca93aad780f766bea253c461/Transcript_AI_Engineer_Intern_NgoQuangMinh.pdf"/>
        <s v="https://api.typeform.com/responses/files/e2eda6d7f75cc8b4c6db25ede274e1f31b8a66c83a67d4ba8e18dd33da0176bb/Phòng_Đào_tạo___Academic_Affairs_Office.pdf"/>
        <s v="https://api.typeform.com/responses/files/41e439c62e972b26b0b7fe6a63c2bfccbb5f63b0a5183e7e8de9fa9b98905688/Transcript___Unity_Development_Intern___Nguyễn_Thế_Anh.pdf"/>
        <s v="https://api.typeform.com/responses/files/8ea9dbf7744b5e97d5ab4b9470f0be1ae88eb8e059fb2b08e685e55ca2998810/Transcript___AI_Intern___Hoàng_Thanh_Lâm.pdf"/>
        <s v="https://api.typeform.com/responses/files/daa9f3364f0ddcdbad63991f09afbeda13a19753ddf15e13e500655e18589a86/Transcript___Game_Design_Intern___Nguyễn_Quốc_Anh_Quân.jpg"/>
        <s v="https://api.typeform.com/responses/files/87233d5708452ce06be8d9f9f160d21f400a6b0e48dcef025af54471bf9ecf75/Transcript___AI_Engineering_Intern___Nguyễn_Đình_Việt_Hoàng.pdf"/>
        <s v="https://api.typeform.com/responses/files/5a7ba1a6db9a45d610b9b04d5a58a2615dc1c6ddf19286b4256893c2aae6b0d5/Transcript___Unity_Development_Intern___Game_Design_Intern___Nguyễn_Võ_Ngọc_Bảo.pdf"/>
        <s v="https://api.typeform.com/responses/files/2fb834cb4b2d5d58d06dbfa40f8f690f366e51ef894fc036789cf15b2f3c91cd/Transcript___Game_Quality_Assurance___Bui_Dinh_An_Loc.pdf"/>
        <s v="https://api.typeform.com/responses/files/3e1e6d282fd5db8865c853012ccf0e6a5803e8e49320ff8fe93ea79ea007e117/Transcript___Game_Quality_Assurance_Intern___Lê_Thành_Công.xlsx"/>
        <s v="https://api.typeform.com/responses/files/4f829ff9d06f5d2febf1c7c0bf9e6334782970b55c4be61771adaae121c0cb47/Transcript.pdf"/>
        <s v="https://api.typeform.com/responses/files/813e9e03552f70a19dd7e144a5a3146542aef77bd44767957c89e7abe791eccc/bảng_điểm.pdf"/>
        <s v="https://api.typeform.com/responses/files/bb22ce6a0cc24d8866cc62a2e40c04ecea85d87e0de30d856bb37e49b27777e8/Transcript___Game_User_Acquisition_Intern___Nguyễn_Mai_Phương.pdf"/>
        <s v="https://api.typeform.com/responses/files/b115b669892fd543e2f8da8c16ab7f001b30882048406f020e1ef796da8381e7/Transcript___Game_QA_Intern___Nguyễn_Hồng_Luân.jpg"/>
        <s v="https://api.typeform.com/responses/files/091b9282f0a37e47ce9b3e6ecff6cabfbb19e3b57f0e613018038266def2f283/A0.png"/>
        <s v="https://api.typeform.com/responses/files/39b3d0e9ead852359a6608bbf40aa23ca71aad423fcf74c510d3efdb08e5dda2/Transcript___AI_Engineer_Intern___Trần_Tấn_Tài.pdf"/>
        <s v="https://api.typeform.com/responses/files/b3284c184c8db7ed6a081bc74836dc6ca5a0b749dfafdd22a3664f903d1e4cc8/Transcript___Unity_Developement_Intern___Nguyễn_Hũu_Tuấn_Tú.pdf"/>
        <s v="https://api.typeform.com/responses/files/a0f35d866b4e3b34269e0244f179069efe3571350d3289600dc1d5ea52bdfd9f/Transcript___SunRiserIntern___NguyenNhatHieu.pdf"/>
        <s v="https://api.typeform.com/responses/files/7affece3b59943dec900f944585b8f6098547bee27f0d851d8730286fb224466/Transcript___AI_Engineer_Intern___Cu_Thanh_Tuong.pdf"/>
        <s v="https://api.typeform.com/responses/files/51a8a9fa736587e4e6f0f61d651cc6df8caf17573d80eca4de2b72375202bcac/Transcript___Game_Quality_Assurance_Intern___Nguyễn_Thị_Như_Quỳnh.pdf"/>
        <s v="https://api.typeform.com/responses/files/fa26aa048cf2bb84981b5c55cb18d81d0e9e9633969e6ce26f146b6d2dc7b8ca/Nguyen_Khai_Transcript.pdf"/>
        <s v="https://api.typeform.com/responses/files/2d50a96957fd2030a5bf6d6eb4f551b770414cd4439d7d0646e873e359727303/Transcript___Game_Design_Intern___Trần_Ngọc_Khánh_Huy.pdf"/>
        <s v="https://api.typeform.com/responses/files/cf219a7dad9e144cd43ef8d910ba56f9e6b66d3fce5d3533e1007f756e668af4/Vu_Bich_Vi___CV.pdf"/>
        <s v="https://api.typeform.com/responses/files/1ed1016c2ceef7755cd1cd1a96f90677ad608497fc33751520d945074a4706e3/Vu_Bich_Vi___CV.pdf"/>
        <s v="https://api.typeform.com/responses/files/f496a5d40a426306854bbc378c8b4770000ae3775ca94c7865a21571c594d52f/Transcipt___Unity_Development_Intern___Phạm_Thành_Đạt.pdf"/>
        <s v="https://api.typeform.com/responses/files/8cd8f6b03488f8d36b7aeeabecdbb683c81b616f6b48a8efe65909d08dca4e93/Bảng_điểm___Game_Developer__Game_Designer___Lâm_Thành_Trung.xlsx"/>
        <s v="https://api.typeform.com/responses/files/52f67e76f031affe6d5faaf0fd8e31a01d1798b5bec5a0f67b5af832f33ce78e/Transcript___AI_Engineer_Intern___Lai_Ngoc_Phuong_Nam.pdf"/>
        <s v="https://api.typeform.com/responses/files/a82fd054e4f7f7dbd845aba82116ec73700a31dcfe562db375c3ae23d734a0a6/Transcript___Data_Analysis_Intern___Nguyễn_Thanh_Quân.html"/>
        <s v="https://api.typeform.com/responses/files/8da4d66f7e53b06f638fd4b8ff02cb60b3d821ca8b9d6a3b8e3494f7b09ebef6/Transcript.pdf"/>
        <s v="https://api.typeform.com/responses/files/0bb19491fbc3d3bf3b6c47ed8971b454b1c09b3da098ad8a79be6de38a65d32b/Transcript___Unity_Development_Intern___Trần_Nguyễn_Khắc_Duy.pdf"/>
        <s v="https://api.typeform.com/responses/files/d6210b6edabf43e7717528f3700a689fe09e97f2dbb64fc528d4717d3facc154/Transcript___Game_Developer_Intern___Mai_Hoàng_Hưng.pdf"/>
        <s v="https://api.typeform.com/responses/files/45dc1c0b82b25e54a63451a68110ea7db7e8d71ea600f0d96524eafa9e5425cf/Transcript___Data_Analysis_Intern___Nguy.pdf"/>
        <s v="https://api.typeform.com/responses/files/481835c088e8a0948bfb2927c07fc4cea9d757e5391a89bad84444da058f6897/Transcript___Unity_Development_Intern___Huỳnh_Nguyễn_Minh_Khang.png"/>
        <s v="https://api.typeform.com/responses/files/0b2baf95a989b0b0215a709b2a68d58c2a8dbe64c31f72fc4fa930edf65711d6/CV___Game_Quality_Assurance_Intern___TON_THAT_MINH_TOAN.pdf"/>
        <s v="https://api.typeform.com/responses/files/c8d8d43c467bf0a3c1c1769327819e9dc2efe02f6fa1c8ac8f0b3bbd583135b4/Transcript___Unity_Developer_Intern___Hoàng_Nhân_Khánh.pdf"/>
        <s v="https://api.typeform.com/responses/files/044e30eabdff46b8b40b14b3b3d13f519d050e1fd5e0fbb9735c6716dd7264c9/CV_UnityDevelopment_NguyễnXuânHoài.pdf"/>
        <s v="https://api.typeform.com/responses/files/319c68364c602301a01cd8d8fab42d04435ea8cb884b93b4a9634f62ced99b24/Transcripit___AI_Engineer_Intern___Phạm_Thanh_Tùng.pdf"/>
        <s v="https://api.typeform.com/responses/files/ab2b46d5b049036c4edb4465f2561fe171bba806d64cba2ffceaf2eefdd6029f/CV___AI_Engineer_Intern___Lê_Quân_Đạt.pdf"/>
        <s v="https://api.typeform.com/responses/files/6ea7b197f3bdd72d5cc46dd869aef8f53efe1d1d260067f40b3cf1041f0ff071/Transcript___AI_Engineer_Intern___Lê_Quân_Đạt.pdf"/>
        <s v="https://api.typeform.com/responses/files/1293d8574505ef8f7037ba11bb16520bbaf14d30dbd684bbec29810801f15b08/Transcript___Game_Design_Intern___Trần_Tiến_Cường.pdf"/>
        <s v="https://api.typeform.com/responses/files/06e32e185afb0f4a1a0b048939101def4953b48f902738e7eaa0add28b6ccdc9/Transcript___Game_Designer_Intern___Vũ_Quốc_Bảo.jpg"/>
        <s v="https://api.typeform.com/responses/files/8807a772978818a3eaba285eb59d98207bb9fafe234adc2ce391cc136993b12c/Transcript_Unity_Development_Intern_TranLeHoangHuy.docx"/>
        <s v="https://api.typeform.com/responses/files/8424f0cee6b9fc1fd4fd230f27a3e3058e1f87916c4618c1c5ccf4156a700aad/Transcript_GameDesignIntern_PhamMinhPhat.pdf"/>
        <s v="https://api.typeform.com/responses/files/5a744069642a259f4645e2002657f36565bf0752558ad4913095a50e6fea4ccd/Bảng_điểm__FPT_Polytechnic.pdf"/>
        <s v="https://api.typeform.com/responses/files/4b725c8f43e6ffdc69c16498806cec8e36e21524f525e7d8bc29e58c11efe152/Transcript___Data_Analysis_Intern___Dinh_Bao_Thy.pdf"/>
        <s v="https://api.typeform.com/responses/files/d848efdd81cd15d678794a3c4b827bf3bf31e1a49af5d8fdb657a646db96f0d1/Transcript___Data_Analysis_Intern___Nguyễn_Phi_Long.pdf"/>
        <s v="https://api.typeform.com/responses/files/18f9fab060350696abc06435c0a8063d9f98c700d1434aad7b79f5a21f0a1a78/Transcript___AI_engineering__Intern___Nguyễn_Trần_Mạnh_Thắng.pdf"/>
        <s v="https://api.typeform.com/responses/files/5200902bd036d8087533e9fb18e377504d6f03ab2cfa864829a0ff872f869624/Transcript___Game_Design_Intern___Dương_Triệu_Vy.jpg"/>
        <s v="https://api.typeform.com/responses/files/6a1cf58191681be6abe30e6eb230dfff9c7a5ac42ac1114b3e3e338f547fb488/Transcript_Game_Design_TranKhanhLinh.pdf"/>
        <s v="https://api.typeform.com/responses/files/a297074a11a405dea01adc52a8b8d620a7c33f2d356d41b35a98488534c5d54b/Transcript___Unity_Developer_Intern___Nguyễn_Võ_Minh_Quân.pdf"/>
        <s v="https://api.typeform.com/responses/files/94ba18126cc11d73993d6e38066bb195c9c88932972ef132c106bb9b00292dea/Transcript___AI_Engineering_Intern___NguyenThiYenLinh.pdf"/>
        <s v="https://api.typeform.com/responses/files/eef5959ed955f0e5c1cbdac6f1d8278a8a14dcacdb1bbfb5fdebabf218473ef4/Transcript___Data_Analysis_Intern___Nguyễn_Trọng_Khôi.pdf"/>
        <s v="https://api.typeform.com/responses/files/2c93636da8a7283edc6cf91f899f2227ae9631a8c8bc559e146ba5fabf12342d/Unity_Development_Intern___Thái_Thanh_Kha.pdf"/>
        <s v="https://api.typeform.com/responses/files/16dea671a718b7812f06f6392b2a83d1abb44c21bf452d3ad3fb1d5a98133978/Transcript___Unity_Development_Intern___Hoàng_Hải_Yến.pdf"/>
        <s v="https://api.typeform.com/responses/files/33f1d72fb1f55c07f914beb7345a053a4e514fa4f8564d9e45bc8fb1149fd2c5/Official_Transcript___Human_Resources___Nguyễn_Thái_Diễm_Quỳnh.pdf"/>
        <s v="https://api.typeform.com/responses/files/852cc3b5f43155bd62ff2736e92a5c65e5ba50b111db1e41dc187690328c3b2a/Transcript___Unity_Development_Intern___Lê_Quốc_Viêt.pdf"/>
        <s v="https://api.typeform.com/responses/files/bb8b79f387d9033fc24a71f84ded902d0a571c992b77feeb8bd5dbd3526048de/Transcript___Game_Quality_Assurance_Intern___Mai_Quỳnh_Châu.pdf"/>
        <s v="https://api.typeform.com/responses/files/76b41cd4206e6a0e1726c5c338fd9fc59420d74c840f9a8ca79e0c5d5a9070f0/Transcript___Data_Analysis_Intern___Nguyễn_Quốc_Tiến.pdf"/>
        <s v="https://api.typeform.com/responses/files/a4d813f4c458ad17e1e12d3fbcb21c31ee30101ebbdc120f48e412d423280634/Transcript___Unity_Development_Intern___Trần_Như_Phú_Quang.pdf"/>
        <s v="https://api.typeform.com/responses/files/285cb1e483c4039d3df5b21c10609f508454c8bb4f5e1f951ee64db92d317919/Transcript___Unity_Development_Intern___Lê_Thanh_Phát.pdf"/>
        <s v="https://api.typeform.com/responses/files/a4cb7be8d5756438b31586d620e1f41988325fa9559e275327d4f45771f6eabf/Transcript___AI_Engineering_Intern___Vũ_Minh_Chiến.png"/>
        <s v="https://api.typeform.com/responses/files/c26d01a5171c1a4094d54d30dad638deec63028546e24930aa44a07f72d3cbde/Transcript___Unity_Development_Intern___Lê_Công_Tuấn.pdf"/>
        <s v="https://api.typeform.com/responses/files/0bafccbd9fc7414bf400d0911e62921b956ace8fdc522592b6c4a077189b6974/Transcript__Human_Resources_Intern___Nguyễn_Vy_Thảo.pdf"/>
        <s v="https://api.typeform.com/responses/files/31ca3eb24336e3e79e5f71b1e5ed57eefd261c6f1bed067dfbc255c45c092689/Transcript___Game_Quality_Assurance_Intern___Lê_Minh_Chiến.jpg"/>
        <s v="https://api.typeform.com/responses/files/f3ad80031664f70fbd69bb11a55406dcad1b5107b5670e6e2fe0bce7ca5d2576/Transcript___Quality_Assurance_Intern___Ngụy_Thành_Đạt.pdf"/>
        <s v="https://api.typeform.com/responses/files/113f3ed0f567ccf5aed589a138e7ef77b597ca856068c6ed414e9c159391194f/Transcript___Unity_Developer_Intern___Nguyen_Phi_Long"/>
        <s v="https://api.typeform.com/responses/files/eb36b46cf444c77c326bdff52d056ac23e5d5aaaf3d266d300cac817c1489ea5/Transcript___Unity_Developer_Intern___Lê_Nguyễn_Nhật_Trường.png"/>
        <s v="https://api.typeform.com/responses/files/4870f30309d041b7dfcd103762b312c6afdd04dfc571c04851081ed340138cd1/Transcripts___Game_Design_Intern___Nguyen_Toan_Phuc.xls"/>
        <s v="https://api.typeform.com/responses/files/4004659545817475238cc8feda509f2f4f58d74bf397d328969d76ec484e43f0/Transcript___Unity_Development_Intern___Trần_Khánh_An.pdf"/>
        <s v="https://api.typeform.com/responses/files/2d94e16ebd3551aff7c49b2995ec81e1536b60c0fff63f1139d1d8955db8a73b/DangThiThuyVi_Resume.pdf"/>
        <s v="https://api.typeform.com/responses/files/4870601bfe848c8d1dfdc89822f46c01449d55d91e0977d9fc91f5f5a8bb3ef9/Transript___Game_Design_Intern___Trần_Duy_Anh_Dũng.pdf"/>
        <s v="https://api.typeform.com/responses/files/3641bb2b1361e3acd3c3cb14441bd93708a4ac2ce04ac154189e6bbc81ff8b2a/Transcript___Unity_Development_Intern___Trần_Tấn_Vạn.pdf"/>
        <s v="https://api.typeform.com/responses/files/33df2b63c2487d4f8bfcd0e62a37f323184fd97252830202264399bfe86cfc7e/Transcript___AI_Engineering_Intern___Nguyen_Thanh_Binh.pdf"/>
        <s v="https://api.typeform.com/responses/files/c19c086381bec5756a13ebb791a0eb047e7dca8e0cea586ad855c8ce87ce3db6/Transcript___Game_Design_Intern___Nguyễn_Xuân_Duy.pdf"/>
        <s v="https://api.typeform.com/responses/files/273c273b00c812a4091f42be91af6f0142dd6489744f7dc08d6b656228adc72e/Transcript___AI_Engineer_Intern___Lê_Cường_Thịnh.pdf"/>
        <s v="https://api.typeform.com/responses/files/cc729938d88ad95adc4885f7926a25b2fae36e16d71ffccdb7c8de83d5e4aa50/Transcript___Game_Design_Intern___Trần_Thị_Thanh_Vi.pdf"/>
        <s v="https://api.typeform.com/responses/files/42fc6a2d0fe2617a190b4d0fdd47f4266192fad0c2b26d4adc0c046b82db9c28/Transcript___Game_Designer___Tran_Nhat_Duy.pdf"/>
        <s v="https://api.typeform.com/responses/files/3875033f3d752ec437adb0257b1a41836878d649e511801629d55b21de707056/Unity_Development_Intern___Trương_Gia_Hào.pdf"/>
        <s v="https://api.typeform.com/responses/files/07f3273d694c19a4e1692c975568631d0d6031e55d305449a388928d6e8a0d00/Bảng_điểm__FPT_Polytechnic.pdf"/>
        <s v="https://api.typeform.com/responses/files/613e5bacacea9ff25fb519b06c33dac6fa6dd23d576076efe83df6cb1139417d/Transcript___Unity_Developer_Intern___Phạm_Tấn_Đạt.pdf"/>
        <s v="https://api.typeform.com/responses/files/dfd396722b57e88e01526c43f40556b4693846b38e6ed81507b47deb27ee4a2e/Transcript___AI_Engineer_Intern___Đỗ_Văn_Đạt.pdf"/>
        <s v="https://api.typeform.com/responses/files/6d2f3cdf5f36f37e94a83aa28aea6a725e33a193435370001285514bbc6de487/Transcript___Data_Analysis_Intern___Nguyễn_Vũ_Thuỳ_Trâm.pdf"/>
        <s v="https://api.typeform.com/responses/files/4df8f9099109a6103344d17595a31d666539ae1fddf6ce8ae07c8163cc7e1408/Transcript___AI_Engineering_Intern___Huỳnh_Quốc_Huy.pdf"/>
        <s v="https://api.typeform.com/responses/files/09709a2e2a1dd621fb7420f69e4d5f787c62086bbf341df44ad45747ec955fd5/Transcript___AI_Engineering_Intern___Nguyen_Thanh_Danh.pdf"/>
        <s v="https://api.typeform.com/responses/files/a84b9139751bf135320ce85ced6ebac08645437c5abe0b141b5fe7b3c2d97677/Transcript___Unity_Developent_Intern___NguyenXuanDangTrinh.html"/>
        <s v="https://api.typeform.com/responses/files/8e10a01856cfd053bfcb5ecd4c216e5ddc23b5cd033cde6f70e33d7a349f2276/Transcript_Unity_Developer_Intern_Ngô_Gia_Thịnh.pdf"/>
        <s v="https://api.typeform.com/responses/files/0f7c826bee059d0a24833e75a565a373a0fe9227704b70c3e18aab591f98e866/Transcript___Unity_Development_Intern___Mai_Xuân_Thường.xlsx"/>
        <s v="https://api.typeform.com/responses/files/42c7676b1515a210c3ccf2db3edf84c014e0275845ee66c09830632d83d73edb/TLDA_Soft_Copy_Of_Transcript.pdf"/>
        <s v="https://api.typeform.com/responses/files/7b0c0b400f7832f029dcecbf1c1629021429d4541c95d4161333fa8cd75fa26a/Transcript___AI_Engineering_Intern___Đoàn_Thị_Minh_Anh.pdf"/>
        <s v="https://api.typeform.com/responses/files/9c222ed6be83d164fe4845b5a51426e3f0cb4fea0f9be970c104f913d56606fd/Transcript_intern_TranDoHoangTan.png"/>
        <s v="https://api.typeform.com/responses/files/405441be9c82bff237a03580acb983eac9d9a07adb2e0c26854debe15ea6eee9/Transcript_Data_Analysis_Intern_Võ_Thị_Tiên_Phước.pdf"/>
        <s v="https://api.typeform.com/responses/files/3eafd6265c5125030e7d4790189de6ecb6c25d44a4e4a19a4ad862a570c79d4b/Transcript___Data_Analysis_Intern___Duong_Khanh_Trang.pdf"/>
        <s v="https://api.typeform.com/responses/files/446f2e1282e32c61010d7977dd9c94d761e6c13afe6a8202a795593b2a0ef64d/Screenshot_2026_04_28_210334.png"/>
        <s v="https://api.typeform.com/responses/files/06966c38c9358611ab72aa71115efe2ca38005bea667808c4a811626d74b0ad8/Transcript___Data_Analysis_Intern___Bùi_Đoàn_Thúy_Vy.pdf"/>
        <s v="https://api.typeform.com/responses/files/02dcc5ba5e49d474f704acb299e42fe2ddf89b1af7c001e196366ca70559eb9c/Transcript___Data_Analysis_Intern___Nguyễn_Văn_Lam.pdf"/>
        <s v="https://api.typeform.com/responses/files/de9d9bd9b456634cc25f52ee14f6e3d87f673a6ec7cf49657b69f04cb0e8fbcf/Transcript___Data_Analysis_Intern___Nguyễn_Phương_Tùng.zip"/>
        <s v="https://api.typeform.com/responses/files/d961099181fa37a2aad9dad5fc1401378ffe218777d0e1523a3c6c7449188a10/Transcript___Data_Analysis_Intern___Lê_Bảo_Quốc.pdf"/>
        <s v="https://api.typeform.com/responses/files/7efbc8137f36c77a81beea6f530429a28cb1f7b6651ef63bd9a732a3be04c9d2/Transcript___Marketing_Intern___Tô_Võ_Yến_Thơ.pdf"/>
        <s v="https://api.typeform.com/responses/files/e8c1e4c52570b9e8e70b771ccbae7da5d694ec2c4560980f700011177324194d/Transcript___AI_Engineering_Intern___Nguyễn_Khắc_Tùng_Dương.xlsx"/>
        <s v="https://api.typeform.com/responses/files/12f8088c40e19fe383dcafe894a03302b0394f9b9e490275ca47f425c1d5e880/Transcript___Data_Analysis_Intern___Thái_Thị_Mỹ_Quyên.pdf"/>
        <s v="https://api.typeform.com/responses/files/f8fe653a10c2241889182bf24c27a9861c1da47af683c7a5c979959ca282a909/Transcript___Data_Analysis_Intern___Nguyen_Duc_Thang.pdf"/>
        <s v="https://api.typeform.com/responses/files/50b34be58b42ac969baf6bf43ac92cdf10161eacb964ae51f19552d6a59569c3/Transcript___AI_Engineer_Intern__Tiêu_Trí_Bằng.pdf"/>
        <s v="https://api.typeform.com/responses/files/b396e14a07480bb201a23fa58cd78714a2df2fa425d6c59e8b8f394b4c9cf92f/Chau_My_Phuong_transcript.pdf"/>
        <s v="https://api.typeform.com/responses/files/2b5d0e2d7c44563154361af2ced6194e180ebdb67b86f146914a5f1bd3a54572/Transcript___AI_Engineer_Intern___Trieu_Tan_Huy.pdf"/>
        <s v="https://api.typeform.com/responses/files/6be9a1641a72d05dd8ece9e42c9e5c8f89beb9ba535a2041968926de36bf9a9a/Cổng_thông_tin_sinh_viên.pdf"/>
        <s v="https://api.typeform.com/responses/files/76587f2b3416e2ab0271de7eae5dd0c6c34e34269fe1a3709b2d71e516a533ea/Transcript___Game_Design_Intern___Bui_Tuan_Hung.jpg"/>
        <s v="https://api.typeform.com/responses/files/c5957033c07fad52838b6df329cfc8cb28ca2d2314b71e009dbb2280c3370c55/Transcript___AI_Engineer_Intern___Nguyễn_Việt_Hùng_.pdf"/>
        <s v="https://api.typeform.com/responses/files/ecdb1145566fd5cd9066f8821b856caf1705139444cc82c0b0f009f6f66e7967/Transcript___AI_Engineer_Intern___Trương_Hoài_Phong.pdf"/>
        <s v="https://api.typeform.com/responses/files/7922f1ac1fb90acd9e9d44cae77658e3a9d7c1687196e3f2e26c57218f241172/Bảng_điểm.pdf"/>
        <s v="https://api.typeform.com/responses/files/86ba9bab334075340838a29e026ffc780438b88711d05eba5980ca374e0df478/Transcript___Game_Design_Intern___Trương_Quang_Nghĩa.xlsx"/>
        <s v="https://api.typeform.com/responses/files/5236b273f6fe39a03bb742e5a6b72ade9f6e2b266c8a44c93421095855082619/Transcript___Unity_Game_Developer_Internship___Lê_Văn_Tài.pdf"/>
        <s v="https://api.typeform.com/responses/files/69d722044344eeef0093c61cc66744d77df15a060cb178c842f068447d35edb6/Transript___Unity_Developer___Nguyễn_Thanh_Tùng.pdf"/>
        <s v="https://api.typeform.com/responses/files/683baddc03b1625cc0b6d964b2dfc8c1169bcc721614eae5a4f2bd4de98e1df4/Transcript___Game_Design_Intern___Nguyễn_Đăng_Khôi.pdf"/>
        <s v="https://api.typeform.com/responses/files/8ad30b30c3120cbff3f892acaaf466a5559ba5039e23b214bb7166c304ac3d2b/Screenshot_2026_04_27_223757.png"/>
        <s v="https://api.typeform.com/responses/files/6ae6c4b3ec19e6711ce3c83e138aafb18c20e9366075f4fd8d4ae9e8fa25566b/Transcript___AI_Engineering_Intern___Lê_Hoàng_Việt.pdf"/>
        <s v="https://api.typeform.com/responses/files/c1996b732b36a67b5fa12f0c5b2fd422b06a5b3e03f546124430a17bdcb92817/Transcript___Data_Analysis_Intern___Nguyễn_Minh_Đạt.pdf"/>
        <s v="https://api.typeform.com/responses/files/52fdd8194f5c8b00b2573cbde459dff2e49949479f3e947cd5fe3d59ee9d1f2b/Transcript___AI_Engineer_Intern___Trương_Vĩnh_An.pdf"/>
        <s v="https://api.typeform.com/responses/files/0a0703babc579a1249268508adfc3ddbc049919c0b1ac9afb16f1aaafd5895ab/Transcript___Game_Developer_Intern___Nguyễn_Đình_Minh_Nhật.xls"/>
        <s v="https://api.typeform.com/responses/files/bc07ba8bca73ba896d0ef009c5c5a1edb25e8d311ea134f7a42403f32c3e73a5/Transcript___Data_Analysis_Intern___Ha_Xuan_Hoang.html"/>
        <s v="https://api.typeform.com/responses/files/e98addfbcab47fa2cc3c0b11ce0535b61407de12f121e4b4ecd0948a918073ff/Transcript___AI_Engineer_Intern___Nguyễn_Hạnh_Bảo_Ân.pdf"/>
        <s v="https://api.typeform.com/responses/files/d814802f1a062b144ee1984917cdbee0ecbec672909a7b9924c0ff72cbfebfcc/Transcript___AI_Engineer_Intern___Thạch_Nhựt_Hào.pdf"/>
        <s v="https://api.typeform.com/responses/files/5fa6d7b6894d61dbb9ef71c7fad855e48007961912d758a9909aaed8feb0f9a1/Bảng_điểm_học_tập_tiếng_Việt_sinh_viên_ĐHCQ_VLVH.pdf"/>
        <s v="https://api.typeform.com/responses/files/2466465742b7f24905ac67e4b3d7aba26401dc24cccc8ef12ab83be539e9c660/Transcript___Data_Analysis_Intern___Nguyễn_Hoàng_Tùng_Linh.pdf"/>
        <s v="https://api.typeform.com/responses/files/32693e98ebe9bf7dffba88acc39bbd6453eafdfcbefedb2389c154028e2c8f49/Transcript___AI_Engineer_Intern___Lâm_Nhật_Minh.pdf"/>
        <s v="https://api.typeform.com/responses/files/a78e3d80353eef1c65e6aa8ea5b6c324a13886a1c11ab97e9f817901b02c7d91/Transcript___AI_Engineering_Intern___Nguyễn_Văn_Đăng.pdf"/>
        <s v="https://api.typeform.com/responses/files/73846813c6c83191fe6bd55a329961eb0ef119b4d53b8786a1bc20c6bdd7ed9f/Transcript___Game_Design_Intern___Hoàng_Hữu_Nhân.pdf"/>
        <s v="https://api.typeform.com/responses/files/acae2c3a29952c0f5126de6da80e04f3367c392fa9f34da3cc95f183f41affa7/Transcript___Quality_Assurance_Intern___Phùng_Ngọc_Tuấn.pdf"/>
        <s v="https://api.typeform.com/responses/files/fc427bd3a4cbc38fca230cde70906bd0eca13c972bdd2d40cf5a1973d5ec0d6d/Transcript__AI_Engineering_Intern___Vũ_Ngọc_Sơn.pdf"/>
        <s v="https://api.typeform.com/responses/files/974c87316fa317158594647783e842792908351192c16e52987b5882a3138012/Transcript___AI_Engineer___Trần_Văn_Trường.pdf"/>
        <s v="https://api.typeform.com/responses/files/a31bcedc0d831a06ca829342b94ffb0adb02f67543d3a4023ed6ea8d060223be/Transcipt___AI_Engineer_Intern___Đỗ_Việt_Hùng.pdf"/>
        <s v="https://api.typeform.com/responses/files/c2c563cc703208cc9ff3a5b1c8706c6115a041ecbb2bd634e3a41572d19949f0/Transcript___Game_Design_Intern___Nguyễn_Thúy_Thương.xlsx"/>
        <s v="https://api.typeform.com/responses/files/fbcb20924b98c64bb736c9276c4e5232aa439ded6e7a4791fc0561d296194be8/AcademicTranscript_VNese_10.pdf"/>
        <s v="https://api.typeform.com/responses/files/054f4a33d0427be3733dd54cb5ea5629e46e8506d33d41cbcc0c9540484d593e/Transcript___Unity_Game_Developer___Vu_Hoang_Long.PNG"/>
        <s v="https://api.typeform.com/responses/files/c7822a5d7bd88de88e7c5696e9e1dc1107e0f31d58646896c2852416159615c0/Kết_quả_học_tập.pdf"/>
        <s v="https://api.typeform.com/responses/files/d72291958ed546dae7869acdd92b1954654b69de4c101d4a130fa5c780b792ec/Transcript___Game_QA_Intern___Lê_Thái_Khánh_Ngân.pdf"/>
        <s v="https://api.typeform.com/responses/files/d3079af10677f22cae4d51a9a42526f18ad160865807c05a17f8e6bdda682460/Transcript___Unity_Development_Intern___Nguyễn_Mạnh_Hùng.pdf"/>
        <s v="https://api.typeform.com/responses/files/6f087ab6231e80b1133782c7d35cac9c6dd377a6c1dea6aa8554029334ab08b6/Transcript___Unity_Development_Intern___NguyenTranPhuocLoc.pdf"/>
        <s v="https://api.typeform.com/responses/files/75dc71c33abcb1889468fd4d02d7ae5ad1a235dcfd2b6ea2219962795cefd2e0/Transcript____Unity_Develeoper_Inter___Trần_Trung_Tuấn_Hưng.pdf"/>
        <s v="https://api.typeform.com/responses/files/4505dbeabfcfe0860072a384e32ea4325d92ddef9b489a9c0a95eb671043d24a/Bảng_điểm_22120153.pdf"/>
        <s v="https://api.typeform.com/responses/files/69c086d97da8e731bbb239654feca8b2e7a7d46f1d08e22ba031a5977b5ab1f1/SoftwareEngineer__NguyenPhuThinh.pdf"/>
        <s v="https://api.typeform.com/responses/files/a506b81cb41d7e88f92b76cfca699788d39a0c7747bce125d08c5cc631c442b6/Transcript___AI_Engineering_Intern___Cao_Huyền_My.pdf"/>
        <s v="https://api.typeform.com/responses/files/8c77fb7d03e6dccf667717e95baacb754d21ea52eaf71d4751a87627dbc26040/Transcript___Data_Analysis_Intern___Nguyễn_Phú_Toàn.pdf"/>
        <s v="https://api.typeform.com/responses/files/c2c8fa9e0bec5781299ed65600ceab916165d7a2f82cd426856c259f95743b34/Transcript____Unity_Development_Intern___Trần_Đình_Phú.xls"/>
        <s v="https://api.typeform.com/responses/files/9f56f9490eb7a02292512c8b214bc2e71c1f27c796ff45af3e49e86c13be5c8d/Transcript___DA_Intern_AI_intern___Nguyễn_Tiến_Thịnh.pdf"/>
        <s v="https://api.typeform.com/responses/files/3b95907238ce194913192f7a629ed85d6d42eaa52790a218ff74c7395412251e/Transcript___AI_Engineer_Intern___Phạm_Anh_Văn.pdf"/>
        <s v="https://api.typeform.com/responses/files/b39405d40f31bf1f172cb14416893901c7cb4e01cea796bca6e861fd154fe0aa/bangdiem.pdf"/>
        <s v="https://api.typeform.com/responses/files/22c657491499eddf3b82ccf059457264d4fc1b571c7e48e9006c3029bd37d359/Transcript___Game_Developer_Intern___Nguyễn_Nhân_Quỳnh_Như.png"/>
        <s v="https://api.typeform.com/responses/files/7f5642d3e6d49169e284787eb9c73709937e9944eb60c48071823365f8f89c97/Transcript___Data_Analysis_Intern___Triệu_Đoan_Kỳ.xls"/>
        <s v="https://api.typeform.com/responses/files/8fe70278b146f14bf1a989b0593edcf317a5b40d45caa7b9f0a232c651bc4d53/Transcript___Data_Analysis_Intern___Phùng_Trung_Bắc.xlsx"/>
        <s v="https://api.typeform.com/responses/files/03d1850bd204f0b4979d7bbf5bf4c4a94d82feaf3a92ed7a38fa022f18fb1e6c/Transcript___AI_Engineering_Intern___Trần_Trí_Đức.pdf"/>
        <s v="https://api.typeform.com/responses/files/35bcda81661c1ccf84833e628913df16041771719939565f4eb15bd709d15f53/Transcript___AI_Engineering_Intern___Trần_Anh_Thái.pdf"/>
        <s v="https://api.typeform.com/responses/files/8085744a4409ee214be12edee9c6ef9cbea7e066764c32d6b24425dac6b284f0/Transcript___Data_Analysis_Intern___Cao_Thiên_Quang.pdf"/>
        <s v="https://api.typeform.com/responses/files/e79e1922a6f9138f49159ba58c8ebf57b5aa9f5993f75cd4ccf5466269980a18/Transcript_Bui_Thien_Phuc.pdf"/>
        <s v="https://api.typeform.com/responses/files/d40db7e4108c1546e4c24bf498dd458c41572bdcd61723c2d6c3b0926c2af69e/Transcript___Data_Analysis_Intern___Võ_Nguyễn_Bảo_Ngọc.pdf"/>
        <s v="https://api.typeform.com/responses/files/8fc9c815eea2a0326eded95c88df731d8286de5a7dbe1832bd0db54be9db943d/Transcript___AI_Engineer_Intern___Nguyễn_Nam_Huy.pdf"/>
        <s v="https://api.typeform.com/responses/files/9130f0bd6aca5f3235642ae1c8415ecbe99085528cad2382c3acf72bd548c791/CV_Data_Analyst_Intern_Nguyen_Thi_Anh_Thanh.pdf"/>
        <s v="https://api.typeform.com/responses/files/07918f701f043951916e6c9bbfd424c5362f8f18f4588de2def7fdde67094069/Transcript_Nguyen_Duy_Huan.pdf"/>
        <s v="https://api.typeform.com/responses/files/108d0aa2051e9c3e6220dd3146418e3af7b85e7894b26eb1256dc7c7f0ac6b6f/Transcript___Unity_Developer_Intern___Trần_Quốc_Đạt.pdf"/>
        <s v="https://api.typeform.com/responses/files/c19df85e07e66436976c627696e9ad0b4d063a599a11f63701ab19cb92d44500/bangdiem.pdf"/>
        <s v="https://api.typeform.com/responses/files/cae5711f2c4e3985149fd97cc42c2e9db4bec9f78abdd90b0dd74719d50b711f/bảng_điểm.jpg"/>
        <s v="https://api.typeform.com/responses/files/e0db8e5e8644af347c65b9dc336c84ee3dee4c7d4a12238774031fd52f90fb07/Transcript___Data_Analysis_Intern___Dang_Quynh_Chau.pdf"/>
        <s v="https://api.typeform.com/responses/files/65e4387582a800677b90df4f6b83e303cf055a3f01a83606353cb710a9e586a5/Transcript___QA___Trần_Doãn_Thanh_Quý.pdf"/>
        <s v="https://api.typeform.com/responses/files/5cbca643946f91e154082095a1f55c16a8671d91faf0e6f9c826be42e16c5799/Transcript___Game_Quality_Assurance_Intern___NguyenTranXuanNhi.pdf"/>
        <s v="https://api.typeform.com/responses/files/c3585b9f0afde92207aadc44225126e0b1762a8a439c5d7a74937c3ae5443df6/Transcript_UnityDevelopmentIntern_PhamDoQuangLong.xls"/>
        <s v="https://api.typeform.com/responses/files/3191ebc4dbfd8528f3011fc06fe83de5221e818638eeef51f9c6243087687e2e/Nguyễn_Duy__DiemSinhVien.xls"/>
        <s v="https://api.typeform.com/responses/files/aab8bddceef1687ec09fe80dca9c4733e173702e3f4979a3791836116d1af7cb/Transcript___Game_Design_Intern___Võ_Anh_Khải.zip"/>
        <s v="https://api.typeform.com/responses/files/bdf2847420efd67977237ef01c0bb48b82ddcdae6fdc71b233f157d0b83ba5f7/Transcript___Data_Analysis_Intern___Lê_Tuấn_Khôi.jpg"/>
        <s v="https://api.typeform.com/responses/files/a6af48fad382b888b7fa025c4f4d6ef31c70c890e7dbee037e6a4dea8ec4561f/Transcript___AI_Engineer_intern___Nguyễn_Minh_Trung_1.jpeg"/>
        <s v="https://api.typeform.com/responses/files/0594b4edd3cd039fe46f306258b58eefd0bd99b3c63c554756bc2567e2eed2cd/Transcript___Unity_Development_Intern___Nguyễn_.pdf"/>
        <s v="https://api.typeform.com/responses/files/618507352cb077fa9a06783e7b1046ab4a74e51421e6e43f708770d3d6a064d9/Transcript___Data_Analysis_Intern___Nguyen_Thi_Huyen_Trang.PDF"/>
        <s v="https://api.typeform.com/responses/files/3a416fa21ce81670b2fa809906de0237cf6097d8578520af81646fbec5c90706/Transcript___Game_Design_Intern___Võ_Đức_Cao_Thượng.pdf"/>
        <s v="https://api.typeform.com/responses/files/15fefddcdc0af16b12383c78e1194d47838300087b4cdffc0c5c8c30ae068e0a/Transcript___Data_Analysis_Intern___Bùi_Hà_Bảo_Khanh.pdf"/>
        <s v="https://api.typeform.com/responses/files/073f4b967cceb7b59b99ddf380fb9c85ff6be2b2ba8507269c1dc5af29df424a/bangdiem_QAIntern_NguyenThanhTruc.xlsx"/>
        <s v="https://api.typeform.com/responses/files/281095dac50ea0e003ac74573e0b79867153330cde4ac3f08e83c779ef43bdc5/Transcript___Game_Development_Intern___Bùi_Bình_Nguyên.xlsx"/>
        <s v="https://api.typeform.com/responses/files/33323c9db922ac831bc1edb5c96d9eaeaa334ab373b5bc1dafd7a4e7c2a2b0e8/Transcript___Unity_Development_Intern___Hồng_Chung_Lâm.pdf"/>
        <s v="https://api.typeform.com/responses/files/65aac48c32c9c6150d022d89763d50a5d972a85356ccb600682013b6a3b843a5/Transcript___AI_Engineering_Intern___Phạm_Nguyễn_Quang_Thoại.pdf"/>
        <s v="https://api.typeform.com/responses/files/d9f6812b7ec84f26c2a70c867e3dfd4689be122752ba4953a50abbf9ba9b1b42/Transcript___Data_Analysis_Intern___Nguyễn_Đức_Toàn.pdf"/>
        <s v="https://api.typeform.com/responses/files/93be56b4e61aab7b695f154ea4e0b27b932c8a58ad91f926dccd2ccff98d60a7/Transcript___AI_Engineering_Intern___Nguyễn_Đức_Phúc.pdf"/>
        <s v="https://api.typeform.com/responses/files/0ac37181f3a7b728a6b1a8b17d226ec21646b5c6b1bad34a223c27c8b8c8861d/file_không_có_gì.txt"/>
        <s v="https://api.typeform.com/responses/files/e53a7484052e14c4581f8e2d64331498bcefb5b94b7428478957bb1db7d4f50c/Transcript___AI_Engineering_Intern___Nguyễn_Hồng_Yến.pdf"/>
        <s v="https://api.typeform.com/responses/files/bf44dceea9fc1735af5e9a312a3261cd299d33aad8a9a385b90cb5678a405b07/Transcript_Data_Analysis_Intern_Nguyen_Thao_Ly.xlsx"/>
        <s v="https://api.typeform.com/responses/files/a529b1333b693ccdaed75e268bbabea57c01aad2fe0093200d2d6767750edcd5/Transcript___Data_Analysis_Intern___Dang_Quoc_Viet.pdf"/>
        <s v="https://api.typeform.com/responses/files/612e7296ea8faaa33f179a47924795f3199130cb43781d013d2232168972025e/Transcript___Data_Analysis_Intern___Nguyễn_Phúc_Loan.pdf"/>
        <s v="https://api.typeform.com/responses/files/31cd1c8f1591a2c0c460a421ca4a47a8050d64528509945e88824bd954045fb7/Transcript___AI_Engineer___NguyenHoangQuan.pdf"/>
        <s v="https://api.typeform.com/responses/files/8961cd1606b031decca85e9149fec8c58a393f0f40123908e0cc102f074f08c1/Transcript_AI_Intern_PhamHongPhat.pdf"/>
        <s v="https://api.typeform.com/responses/files/d4367f0e75e7df144d14254959d2771df6794f39ce81779e41fc9f2bddecb5ec/Transcript_Unity_Development_Intern_Phạm_Tuấn_Đăng_Khoa.pdf"/>
        <s v="https://api.typeform.com/responses/files/ebe2077dc45c5c666d17008d94e763c0bbb9c721f3ec2f642566dda59b7aeca6/Transcript___Unity_Development_Intern___Nguyễn_Trung_Tín.pdf"/>
        <s v="https://api.typeform.com/responses/files/917636c0e7a2c7d2c3528abb1aa1a22c944022da0938fa5c17d98e26209bbcc7/Transcript___Data_Analysis_Intern___Trần_Tiến_Dũng.pdf"/>
        <s v="https://api.typeform.com/responses/files/d364ab1c0c8f536be92ad775772fdbc842d318bcf2e8319d3237c213fc212e09/Transcipt_AI_Engineering_Nguyễn_Quốc_Duy.pdf"/>
        <s v="https://api.typeform.com/responses/files/a77f8b2673efbb5e00d87a81f6e8d019d1573a51f5bbf6e6cf5087c65e738849/Transcript___Game_Unity_Intern___Nguyễn_Hoàng_Phúc.pdf"/>
        <s v="https://api.typeform.com/responses/files/a7d0def9e1c67664cdfa89b006bcb27ff900e2d32b56ba7ff2fb93d0ca02f62f/inbound5568924586459795018.pdf"/>
        <s v="https://api.typeform.com/responses/files/748f03eb3eebbb27d9119d38dc9f6985db95a2f1b4a4414c795f9151f9fbf8a8/Transcript___Unity_Development_Intern___Dương_Thị_Bảo_Trân.pdf"/>
        <s v="https://api.typeform.com/responses/files/55ba2f35f56fcd41e799f875878da5b2400c450f30eb19277302cc96da946f90/Transcript_Game_Developer_Intern_Trần_Tiến_Đạt.pdf"/>
        <s v="https://api.typeform.com/responses/files/cd5a625ba8624d2265d4c4f46506b2d3c3fd3b6bb1b2b1d8eb5a69bb1a3b1fd0/Transcript___Data_Analysis_Intern___Lục_Minh_Phú_.jpg"/>
        <s v="https://api.typeform.com/responses/files/b65e70b72db3731da6c3b512b1c62caa1531095adf058866c42671b2fbb6f181/Transcript___AI_Engineer_Intern___Bùi_Nam_Việt.pdf"/>
        <s v="https://api.typeform.com/responses/files/1a1571085663750d7c1f2ce81e81df49e074caf9760c50524d5a53f00b06192a/KQHT_31231023720__1_.xlsx"/>
        <s v="https://api.typeform.com/responses/files/608bdf1e7840b8662f3f6ca3afff51e6e7bc0570684aabc3370cbfa1dbe534d5/Transcript___AI_Engineer_Intern___Nguyễn_Tất_Kiên.pdf"/>
        <s v="https://api.typeform.com/responses/files/80b6610a03cebc2e250a0d3bf5f4f537fb45429ccbf9f216802617067484ba5c/Transcript___Unity_Development_Intern___Lê_Tấn_.pdf"/>
        <s v="https://api.typeform.com/responses/files/9ea942fe5c2bfc84f14dac92144d0c2c46a4c027b71bdbb4f98b6cb060d80e15/Transcript___Data_Analysis_Intern___Vo_Thi_Ngoc_Chi.pdf"/>
        <s v="https://api.typeform.com/responses/files/cf9dc8f2b14c4800336fcc3af63cf31eae0308215abf2a9832075c0cdac49cc9/LamTheRin___AcademicTranscript.pdf"/>
        <s v="https://api.typeform.com/responses/files/2ff98c8072412e0dad09463c0c0e8e912db15ebff0d18a0ed1266cd813237314/Transcript___Game_Quality_Assurance_Intern___Tran_Truong_Lan_Anh.JPG"/>
        <s v="https://api.typeform.com/responses/files/a8ae18abc12184f859e395d523ca41b76ea8b37b10bd86a2978dfe88bc5f91b0/Transcript___Data_Analysis_Intern___Lê_Phan_Xuân_Dũng.pdf"/>
        <s v="https://api.typeform.com/responses/files/e8ea1d88e1bd4399c5ad09ad672a938de3dfbc44dde05afb0c642124036c99f2/Transcript_AI_Engineering_Intern_Phan_Huynh_Chau_Thinh.pdf"/>
        <s v="https://api.typeform.com/responses/files/3903894c42a7e8f0c2b4bdca156888493bb282e24fc91a0d4a322558b690f288/CV___Data_Analysis_Intern___Phan_Thảo_Vy.xlsx"/>
        <s v="https://api.typeform.com/responses/files/7278cbe0b440cfdef0be431f400eca781f0d189f79eb7e9cfdf1c671ee24c2cb/Transcript___Data_Analysis_Intern___Nguyễn_Lê_Yến_Nhi.pdf"/>
        <s v="https://api.typeform.com/responses/files/3eb718a363b111f561d1c6ba1f16cea0b99d2dacb4ea8a61cf7bad9c0f580958/Transcript___HR_Intern___Võ_Phạm_Gia_Long.pdf"/>
        <s v="https://api.typeform.com/responses/files/1a2e74a3aa3a9c42ed7f54d18a8ae2c8a2552f37bb82bae151bba31c4dceba16/Transcript_HR_INTERN_HO_NGOC_NHUNG.pdf"/>
        <s v="https://api.typeform.com/responses/files/4900966993706cbddb33f3d6008e9f2432117031fd7a1f0e7e8a2ca86ac4f4e6/Transcript___Data_Analyst_Intern___Nguyen_Van_Quoc.pdf"/>
        <s v="https://api.typeform.com/responses/files/06a72adec2ec70f02eca43134146773001ba633156a92ee9da456351a7b9d274/Transcript___Data_Analysis_Intern___Biện_Hữu_Khang.png"/>
        <s v="https://api.typeform.com/responses/files/01e07568ab9ffca741156a54b113fb2915a844e8326f0d9f88423da48a6be628/Transcript___Data_Analysis_Intern___Nguyễn_Quốc_Huy.pdf"/>
        <s v="https://api.typeform.com/responses/files/0b811d1e88c29c52575709f06b43dba7d2450a65f017475bf2f2d66971c2f58a/Bảng_điểm__FPT_Polytechnic.pdf"/>
        <s v="https://api.typeform.com/responses/files/abfdcd463dc8a05a6267c065cdf959dfc4818334bea861f9676448a3d3638e00/Academic_Transcript.pdf"/>
        <s v="https://api.typeform.com/responses/files/08329fdbfda6c739ede485c94e9c12bea317c442cb59459f740f08ddd81f3489/CV___Game_Quality_Assurance_Intern___Hồ_Tài_Liên_Vy_Kha.pdf"/>
        <s v="https://api.typeform.com/responses/files/75c4f44c21ac5e858f1bdf2c664880cdb3c24ce407cdc706c1e76717cf458d7e/Transcript___AI_Engineer_intern___Pham_Nguyen_Khanh_Minh.pdf"/>
        <s v="https://api.typeform.com/responses/files/d4f84ff943591ed1c9cefc7fbf176ba86e415d6a8232c940ce19fa04c3113935/Transcript___Unity_Development_Intern___Bùi_Tuấn_Cường.pdf"/>
        <s v="https://api.typeform.com/responses/files/88e757356362c2bf17123eb28aaf2c12de0312cf9683bca39c6e724ea0f99e22/Transcript_Game_Design_Intern_Đoàn_Nguyễn_Đan_Quỳnh_1.pdf"/>
        <s v="https://api.typeform.com/responses/files/9398200d847916894d8c486fae0fa72e8ed58f55b905d8a14d3f5b52d4114d41/Transcript___AI_Engineering_Intern___Trần_Phan_Đăng_Khôi.pdf"/>
        <s v="https://api.typeform.com/responses/files/16a9664261f28b6f42ea7316010d80fb2325e5972311099b719b7b28f9b58dff/Transcript___AI_Engineering_Intern___Trần_Phan_Đăng_Khôi.pdf"/>
        <s v="https://api.typeform.com/responses/files/1df14ed49353dbc0eb8900f7ba227103b7ab7bdf2a58d9b7857c7b979b020f77/Phòng_Đào_tạo___Academic_Affairs_Office.pdf"/>
        <s v="https://api.typeform.com/responses/files/9f309a4987210c0eab47c981ec6f1c12fb91474f317c6b3a1b90d26ae4c3b1a0/Transcript___Game_QA_Intern___Lê_Trương_Thiên_Bảo.png"/>
        <s v="https://api.typeform.com/responses/files/c4c85713658901ce41343d1d67f99683fbc2bd5b38c9d732e0be9fe3a99282aa/Transcript___Game_Quality_Assurance_Intern___Vũ_Kim_Khanh.pdf"/>
        <s v="https://api.typeform.com/responses/files/f9882e203f3438c22e681e3a0308e1451829ba3e3ef2331273603f7c9d00e476/Transcript___Game_User_Acquisition_Intern___Trần_Hữu_Kim_Quý.pdf"/>
        <s v="https://api.typeform.com/responses/files/e158bc377d387467af20989fe7376bc15f09727e333d4b2fbca15c63d3cd7994/Transcript___Game_User_Acquisition_Intern___Hoàng_Nguyên_Hương.pdf"/>
        <s v="https://api.typeform.com/responses/files/4911e0cf736f938b7ae0c0ab098f7bd8fe726f679b8484ab1f0d24f56a11c075/Transcript___AI_Engineer_Intern___Lê_Minh_Kha.pdf"/>
        <s v="https://api.typeform.com/responses/files/cca08a5a64f0991a01cda7d9a26e884c93e33dd8cbccf49b661624765729d270/Transcript___AI_Engineer_Intern___Lê_Võ_Xuân_Hưng.png"/>
        <s v="https://api.typeform.com/responses/files/14b50256ddfe71d5f90255a6b45fbba5cdb00574c67b830edb3544456635b556/Transcript_USER_ACQUISITION_INTERN__Trần_Duy_Phát.pdf"/>
        <s v="https://api.typeform.com/responses/files/a8d74b18ec2e1c2ac595117e670a6133a8a42fec986ef8a11de51bcad1ccde63/Transcript___Game_User_Acquisition_Intern___Trần_Thị_Cát_Tường.pdf"/>
        <s v="https://api.typeform.com/responses/files/af5a19272fc50f4b46c9bb57385d50cefcc8de943569bfff11cecd5a1670c2ba/Transcript___Game_Design_Intern___Nguyen_Tieu_Anh.pdf"/>
        <s v="https://api.typeform.com/responses/files/b55aed26bd183ced22d0d05a5d27821cf2bfd511606dae76284e73f19623586e/Transcript___AI_Engineer_intern__Data_Analysis_intern___Đoàn_Mạnh_Tất.pdf"/>
        <s v="https://api.typeform.com/responses/files/a12bdb58a2b75a0f66103d2bcfb43248be6b88f340d5d5d1fafa0b01a260ad5c/Transcript___Unity_Development_Intern___Trương_Dương_Thùy_Trang.pdf"/>
        <s v="https://api.typeform.com/responses/files/482ebc8f91760a08ca38c3924b208c79756a615c2086389ea33277feb32f1f02/Transcript___Game_User_Acquisition_Intern___Quach_Thao_Vy.pdf"/>
        <s v="https://api.typeform.com/responses/files/cf6d4977e826340fa8e6b04efe7171058268108cfd3a78f3699e76301a47da0f/Transcript___Game_User_Acquisition_Marketing_Intern___Nhi_Nguyen.pdf"/>
        <s v="https://api.typeform.com/responses/files/6eddd9d205be05ff8fe34087f189066eb4dbf45d106eed2cfc79a85742a031b1/Bảng_Điểm_NgoChiCuong.pdf"/>
        <s v="https://api.typeform.com/responses/files/73342adf3cb852a4f59f3ec9dddb3ad652396f6bd2d5e0ecc47726821356a11a/image.jpg"/>
        <s v="https://api.typeform.com/responses/files/c96bf5183114dfb9d91f43ccc7288b0d7d977787ee9e09f894d62e631da3ec92/Transcript___Data_Analysis_Intern___Châu_Gia_Bảo.png"/>
        <s v="https://api.typeform.com/responses/files/99f100775f319ef6ab0b2d0e6b27f382855722fee4b6eef640971dda8aeced97/Transcript___Data_Analysis_Intern___Trần_Vĩnh_Trường.xlsx"/>
        <s v="https://api.typeform.com/responses/files/9b70bffdabe7a8df6551d84f1cf8d7979a889f23b4097e5937803ccb482c361f/Mon_hoc_CTDT_2352991.xlsx"/>
        <s v="https://api.typeform.com/responses/files/900c3beae71fe4b01d6805c20750ff31ed56e65bc8ef8b3b6b9c850cb56d254b/Transcript___Data_Analyst_Intern___Luong_Nguyen_Anh_Quan.xls"/>
        <s v="https://api.typeform.com/responses/files/81359af917e1ea1032934a8c5f4d578b802f1c73f674a0c280bcbfaf675b098e/Data_Analyst_Intern__Dinh_Thi_Thanh_Hang__Transcript.doc"/>
        <s v="https://api.typeform.com/responses/files/e0ee87273b4ea523713e5bd22cf17af64d11b5ee11ce087b83c12ae95277e27c/transcript_AI_Engineer_Intern___Ngô_Thị_Ánh_Dương.pdf"/>
        <s v="https://api.typeform.com/responses/files/866efa7eddb039dcbff3844ad3a5094029c2d3de0c694251724661fdde27c8e0/Transcript___AI_Engineer___Đoàn_Nguyễn_Minh_Thư.pdf"/>
        <s v="https://api.typeform.com/responses/files/61c8175d00238d8f237b66da705427c7f45ffdeb6f6b0c69ae55a13cdf2b82fe/Transcript___Data_Analysis_Intern___Trần_Tiến_Lực.jpg"/>
        <s v="https://api.typeform.com/responses/files/041e715e81dcd4ad9e7f1c30a630e768411050771c742694451bf6827c102943/Transcript___AI_Engineering_Intern___Trần_Anh_Huy.pdf"/>
        <s v="https://api.typeform.com/responses/files/bf654cabd0a2a0b63ad2273ec3293b9d7a931ed0cfad48e8ce4b4a94bc0e456c/Transcript___AI_Engineer_Intern___Nguyễn_Đặng_Minh_Duy.pdf"/>
        <s v="https://api.typeform.com/responses/files/e55b79b5f52853282305ba5c27c39dda478c7a42c6863c406fdc471cd77f6008/Transcript___Data_Analysis_Intern___Ngô_Nguyên_Thảo.pdf"/>
        <s v="https://api.typeform.com/responses/files/191089411987cbaa6cb3eea5625f78293344c1094b8cd39af458fa157f93464c/Transcript___Game_Designer_Intern___Nguyễn_Nguyên_Bảo_Phú.xlsx"/>
        <s v="https://api.typeform.com/responses/files/80f265428f5ca9ad9072410d626a247fd2ee9c8828b072cf5660b95a1dcc55eb/Transcript___Marketing_Intern___Nguyễn_Thị_Hồng_Nhung.png"/>
        <s v="https://api.typeform.com/responses/files/41828a4b1b6ab798cf5c70b50ed9cb4e202e2793a1d739a2bcdaa0ec299a208b/Bảng_điểm__FPT_Polytechnic.pdf"/>
        <s v="https://api.typeform.com/responses/files/78cee04ea9a54a5db1342b702acd46f8c06cefdd99119a13c0e0fae5e218a14a/Transcript___Human_Resource_Intern___Vòng_Nguyên_Hy.pdf"/>
        <s v="https://api.typeform.com/responses/files/7230ec95ab51b8727b4cbc9ee511bb6b6cc095256a038f53dc3e7f4b3656f783/inbound7513570420408529610.jpg"/>
        <s v="https://api.typeform.com/responses/files/23db1d2663ae18aeaed860a3ba9367eb8dae206ce1acd8dc0e58a08223f5ffd3/Transcript___Game_Design_Intern___Triệu_Hoàng_Duy.pdf"/>
        <s v="https://api.typeform.com/responses/files/eb1f8b936b2fec4c67a38e56f690f3449aecfcf1ee7e5a38fb1455d0e2aed445/Transcript_HR_Intern_Vũ_Trần_Khánh_Như.pdf"/>
        <s v="https://api.typeform.com/responses/files/9d08f9187582d179bdd238f3be5d886f3a185f4dac27d0853c0e50e19b824044/Bảng_điểm___Game_Quality_Assurance_Intern___Ngô_Trương_Thiên.pdf"/>
        <s v="https://api.typeform.com/responses/files/6085dd2179c2d33c8062bac72529b7505288769a99cf42c3cbf1ae06da2f9b24/Transcript___Game_Quality_Assurance_Intern___Lê_Anh_Khôi.pdf"/>
        <s v="https://api.typeform.com/responses/files/5dfe9c684340036fe9cb07573118f09de9c32dd49f3d024b01e25f02c44e8dd6/Bảng_điểm_sinh_viên.pdf"/>
        <s v="https://api.typeform.com/responses/files/990fde180ac0274ab3b18f980742f91ddbdab86d48d2a74e7cc0f7b671197a8c/Phân_hiệu_FTU___Cổng_thông_tin_sinh_viên.pdf"/>
        <s v="https://api.typeform.com/responses/files/3787794545d411b5dacc46cd5dac51e3fdb04d1e23bc08da215ba5d17a1ca80a/Transcrip___Data_Analysis_Intern___Nguyễn_Khoa_Quang_Duy.png"/>
        <s v="https://api.typeform.com/responses/files/06e3156e7080ddb9a8d2b58e6549470b15616a6474c8a93ad34421ed274bd5c9/Transcript___AI_Engineer_Intern___Phan_Tấn_Lộc.pdf"/>
        <s v="https://api.typeform.com/responses/files/cd63636f6c4271bfae779951cff445da7fc81b65927c469d6a2a26359867d736/Transcript_Data_Analyst_Intern_Huỳnh_Duy_Khanh.pdf"/>
        <s v="https://api.typeform.com/responses/files/bf4e693a715446252f8f51cd003b7dcd5dceb4fdd24cead89d487f927658e296/Transcript___AI_Engineer_Intern___Data_Analysis_Intern___Huỳnh_Thái_Bảo.pdf"/>
        <s v="https://api.typeform.com/responses/files/f74e518f23f08a935c07b4fd8f0211d0dda0ccb81ee5084ccb6f3413bab65977/Transcript_Game_Design_Intern___Lê_Hà_Bảo_Khanh.pdf"/>
        <s v="https://api.typeform.com/responses/files/9300a7c6ad7420557ab24e7381d29fe130cd1d5381121b71f5c09071c2cdf065/inbound8485158347175733156.xlsx"/>
        <s v="https://api.typeform.com/responses/files/58d248069c9324142e2874a3325a5789fd036f0728a6b93c8e106d9389ca74c4/Transcript___AI_Engineer_Intern___Trần_Tiến_Đạt.pdf"/>
        <s v="https://api.typeform.com/responses/files/23578bee8b07df5ae2c07b9bad9ee2a65b5f43b24df433d2b97f81e738739d38/Transcript___AI_Engineering_Intern___Vũ_Hoàng_Minh.pdf"/>
        <s v="https://api.typeform.com/responses/files/2ff00ebc129e64c095cac0f20267aa9c0c45555de34d8218f3c67771ae457104/MinhNguyenAnh_5.pdf"/>
        <s v="https://api.typeform.com/responses/files/c2abf3101259b3f1ffbd8800a119b7dd13c6e3b86f08eba229228a623b3ecf97/inbound8582114021282658067.pdf"/>
        <s v="https://api.typeform.com/responses/files/602ddeab97c70b4b827bcc9b843d8b1b5bfc004b1e932d4753b0e4304a842d45/CV_NgoTheKietIS.pdf"/>
        <m/>
        <s v="https://api.typeform.com/responses/files/d89fccc9047bcba528a63cda4ff6adcdd6ea61a08985e758e08cdaeae109d405/Transcipt_Game_Design_Intern_Nguyễn_Hoàng_Nhật_Thiên.xlsx"/>
        <s v="https://api.typeform.com/responses/files/8749365fc3ac5cb4ce5ae7c83f7481437e730b095c25bee24f1216bd3478cab5/Transcript___Game_Design_Intern___Nguyễn_Đặng_Thanh_Duy.pdf"/>
        <s v="https://api.typeform.com/responses/files/d6015f4accafa89a6193c12908b27f13b65ebe031c898fb2da3bc7b8eb8d1eeb/Transcript___Game_Designer_Intern___Nguyễn_Nguyên_Bảo_Phú.xls"/>
        <s v="https://api.typeform.com/responses/files/2aee2a00dfb61de3e01eb2268f9206943742e14d16f491abb9601cc81cb6e0d5/Game_Designer_Intern___Lê_Hoàng_Tâm.zip"/>
        <s v="https://api.typeform.com/responses/files/ae06ccfb4aa687518384b3f5f43e09752451472311956f15fc52ab5c3825b87b/Transcript___Game_Designer_Intern___Diệp_Thái_Phong.pdf"/>
        <s v="https://api.typeform.com/responses/files/11a327de5ea452480cff0b5a90495170fe45c80a3b95e7097f112477fd36beb3/Transcript___Game_Design_Intern___Phạm_Quang_Duy.pdf"/>
        <s v="https://api.typeform.com/responses/files/e87161d5ccc99f9735a3863df4286ea92ba2e4ab1fffcd3ffe6c9c7d75690643/Transcript___Game_Designer____Lê_Phạm_Quỳnh_Duyên.pdf"/>
        <s v="https://api.typeform.com/responses/files/fb4138b07389e06adfdfdc288770d3a8761886f42370b054bfe5319cb34a1ad1/Transcript___Game_Designer___Trần_Phước_Đại.pdf"/>
        <s v="https://api.typeform.com/responses/files/3d4d0b1fd2e6498a35b09a468d06a144304a132b95bf3a34c70de2965b392854/Transcript___Game_Design_Intern___Phạm_Tiến_Hùng.pdf"/>
        <s v="https://api.typeform.com/responses/files/562d0dfc491ad55815a9b1d606f9b696437fd558d9a3dafff4d857da442f684f/Transcript___Game_Design_Intern___Giao_Thái_Bảo.pdf"/>
        <s v="https://api.typeform.com/responses/files/f26a2afd411340445d43c9dd6f5644107cdc32345c33e63c659172c7aff65893/Transcript___Game_Design_Intern___Trần_Hùng_Sơn.pdf"/>
        <s v="https://api.typeform.com/responses/files/02f008602504f9e450a3cb7f7e1a0115233f5434d444174c07cfd43bf5b58f4d/Transcript___Game_Design_Intern___Hồ_Kim_Ngọc.pdf"/>
        <s v="https://api.typeform.com/responses/files/9b6ba7e3b367615cf0387b6ddb8a5c6e1b6ce272c24321f9b8a4764cc85b602a/Transcript___Game_Design_Intern___Nguyễn_Thị_Minh_Thư.pdf"/>
        <s v="https://api.typeform.com/responses/files/7bc8b80c74607e54fcfc1f029ac32b4ee84e3139942d7ef449a27d5cbee6ad6f/Transcript___Game_Design_Intern___Lâm_Tấn_Vũ.pdf"/>
        <s v="https://api.typeform.com/responses/files/37496f16a7e280622286f6b28444c4192941c746ecd86ab75c334af97baaa49e/Transcript_Game_Designer_Trương_Quốc_Cường.pdf"/>
        <s v="https://api.typeform.com/responses/files/cd34a024f6bdab93756832ae038ea84275a452b4d7d1bc206cf1deb4978c2f13/Transcript___Game_Design_Intern___Lâm_Vũ_Bội_Nhi.pdf"/>
        <s v="https://api.typeform.com/responses/files/aaab1ca80cc8629bef050780023d0d12354b6bfcb367e63a48baf9e1afeea04a/Transcript___Game_Design_Intern___Trương_Lê_Đán_Phúc_Nguyên_.pdf"/>
        <s v="https://api.typeform.com/responses/files/7e9e7ac98293a39bb14d5fc234366566f3d2ae951b9f17e304e178538e92de6d/Transcript___Game_Design_Intern___Lâm_Mai_Hương_Giang.pdf"/>
        <s v="https://api.typeform.com/responses/files/ba41dd314ab2d93d8f99ec84b48770b7187e724860c93eb631e7b923aa6b7c70/Transcript___Game_Design_Intern___Đoàn_Minh_Trí.png"/>
        <s v="https://api.typeform.com/responses/files/499994f39c77d128fe422d3485209f7f1523b31e5c42ce22d699bcd101693eb5/Transcript___Game_Design_Intern___Nguyễn_Thị_Mỹ_Nữ.pdf"/>
        <s v="https://api.typeform.com/responses/files/f19fa210ca0851c827e2ba1e8790eb800f1f779fe072e3c0c61d398f3354b765/Transcript___Game_Disigner_Intern___Phan_Vũ_Trường_An.xlsx"/>
        <s v="https://api.typeform.com/responses/files/b5631a549f8e85eaf5cbe3c1eb66f682aec914a06a8db71580d2769cb14e07af/Transcript___Game_Design_Intern___Nguyễn_Hà_Viết_Thống.pdf"/>
        <s v="https://api.typeform.com/responses/files/b921ac5a51406d0e712139e1e7af6b0d8c2e53cbd41dd23b9bae686649955919/Transcript___GAME_DESIGN_INTERN___Lê_Nguyễn_Tấn_Thịnh.pdf"/>
        <s v="https://api.typeform.com/responses/files/18d2bb1a934c77bd6880771de2e2b520057ac128accb56e37af10ed1b5327686/Transcript_Intern_Game_Design_TRAN_GIA_HUY.jpg"/>
        <s v="https://api.typeform.com/responses/files/e6900a4c50719fe948fcc02ead287948ba4bd6942322d5565fc2031a213813d0/Transcript___Game_Design_Intern___Nguyễn_Bùi_Quang.pdf"/>
        <s v="https://api.typeform.com/responses/files/bc39f9fbe92f05f93d06f57069ac8cc8fa17e19338797c1f7f111782d628d3ae/IMG_6894.png"/>
      </sharedItems>
    </cacheField>
    <cacheField name="Have you had any game-related or job-related experience before (personal project/coursework/competition…)?" numFmtId="0">
      <sharedItems containsBlank="1">
        <b v="1"/>
        <b v="0"/>
        <m/>
      </sharedItems>
    </cacheField>
    <cacheField name="If yes, please briefly describe your roles and the project outcomes" numFmtId="0">
      <sharedItems containsBlank="1">
        <s v="Thực tập Tester QA cho một Stuidio nhỏ 4 tháng."/>
        <s v="I was a HR Admin Intern at a logistics company, I supported daily HR operations, including managing employee records, preparing contracts and documents, and coordinating interview schedules. I also assisted in onboarding activities such as preparing mater"/>
        <s v="As team leader, I was responsible for conducting market research, identifying gaps in Vietnam's Fintech landscape, delegating tasks, and proposing the core product idea—FinQuest. The project resulted in a comprehensive research paper covering customer seg"/>
        <s v="Trực quan hóa dữ liệu doanh thu về game trên kaggle"/>
        <s v="Dự án: AnVie Spa Intelligent Chatbot System (Multi-Agent Architecture)&#10;&#10;Vai trò:&#10;- Phát triển hệ thống Backend bằng FastAPI và triển khai cơ chế &quot;message debouncing&quot; để tối ưu hóa lưu lượng truy cập API.&#10;- Thiết kế pipeline dạng module (modular pipeline) "/>
        <s v="Tôi có thực hiện một vài dự án liên quan tới Machine Learning/Deep Learning và Computer Vision như là: Hệ thống tự động giám sát giao thông thông minh, Hệ thống tự động đếm số người trong 1 khung hình,...."/>
        <s v="Trong dự án cá nhân Don't let the cake drop, em đảm nhận 100% vai trò thiết kế từ ý tưởng đến thực thi. Em đã xây dựng hệ thống Throw &amp; Catch độc đáo: ném chiếc bánh để tấn công nhưng phải nhanh tay hứng lại để sống sót. Bằng cách tối ưu hóa sự cân bằng g"/>
        <s v="Em chưa có đồ án làm game thuần tuý nhưng mà em nắm được tư duy thiết kế 1 sản phẩm"/>
        <s v="Em đã tự làm lại 1 game flappy bird và thêm 1 số tính năng để game trở nên thú vị hơn, anh/chị có thể hiểu rõ hơn ở video này: https://www.youtube.com/watch?v=0ZdoOE-_SFc"/>
        <s v="No"/>
        <s v="I worked as a Level Designer, Developer, and QA Tester, where I designed levels, balanced difficulty, and improved gameplay flow through playtesting and iteration. The project resulted in a polished 2D platformer with well-paced levels and a smoother play"/>
        <s v="Chưa có"/>
        <s v="In Dungeons &amp; Diners, I worked as a game designer, focusing on system design and balancing the in-game economy while iterating through playtesting, which resulted in a more stable progression and player flow. I also led design in Dungeon Farmer, where I c"/>
        <s v="Yes, I worked on a simple Snake game project in C++ for an Object-Oriented Programming course. My role included implementing basic features such as color changes and testing the game. Although the project was simple, it helped me understand core programmi"/>
        <s v="Vai trò của em: thiết kế gameplay, vẽ asset (pixel art), viết 1 phần game loop&#10;Kết quả: Chỉ hoàn thành được core loop và logic game, nhóm chưa có kinh nghiệm làm game nên trong sản phấm cuối cùng, game còn khá đơ, chưa có animation, VFX, visual feedback, "/>
        <s v="I have worked on an A/B testing project (Cookie Cats), where I analyzed player behavior and retention using SQL and Power BI. I performed statistical testing (Z-test) and built dashboards to visualize insights. The project showed that early gameplay exper"/>
        <s v="Trong cuộc thi đó em sẽ đảm nhận nhiệm vụ đọc hiểu, tiền xử lý và phân tích sơ bộ, trích xuất dữ liệu theo yêu cầu từ các bạn làm phần Business và thiết kế dashboard để trình bày. Kết quả của dự án là nhóm em đạt quý quân cuộc thi RMIT business analytics "/>
        <s v="N/A"/>
        <s v="Chưa từng"/>
        <s v="Not yet"/>
        <s v="Em đã có kinh nghiệm thực chiến trong mảng nhân sự tại HLV Joint Stock Company và Đoàn UEH, tập trung vào:&#10;Tuyển dụng &amp; Onboarding: Trực tiếp đăng tin, sàng lọc hồ sơ và điều phối phỏng vấn. Em cũng thiết kế lộ trình hội nhập giúp thành viên mới thích ngh"/>
        <s v="Em là Người đề xuất và Phát triển chính dự án 'Vietnamese Sentiment Analysis'. Em đã xây dựng framework Hybrid Stacking kết hợp TF-IDF và Transformer-based embeddings để tối ưu hóa việc phân loại cảm xúc tiếng Việt. Dự án đạt độ chính xác cao (91.81% trên"/>
        <s v="Em đã có kinh nghiệm thông qua các dự án học tập ở trường và khóa đào tạo tại Cybersoft về Data Analysis. Trong đó, em phụ trách làm sạch dữ liệu, xử lý bằng SQL hoặc Python (Pandas), sau đó hỗ trợ xây dựng dashboard trên Power BI hoặc Python (matplotlib,"/>
        <s v="Em đã có kinh nghiệm thông qua các dự án cá nhân.&#10;Cụ thể, em đã phát triển một game đua xe 2D bằng Unity, trong đó người chơi điều khiển xe bằng chuyển động đầu sử dụng MediaPipe FaceMesh. Em đảm nhiệm việc xây dựng gameplay, xử lý input và tích hợp AI và"/>
        <s v="Em chưa có kinh nghiệm liên quan đến Game, nhưng chơi game và phân tích game để chơi tốt hơn thì em có"/>
        <s v="Em từng học môn phát triển game và đã tạo ra một tựa game 2D sử dụng Unity.&#10;Ngoài ra em từng làm cộng tác viên manual tester cho tựa game metados."/>
        <s v="Từng có kinh nghiệm trong việc xây dựng chatbot về lĩnh vực Y tế sử dụng LLM và RAG để tạo ra một trợ lý ảo hỗ trợ giải đáp các câu hỏi về kiến thức Healthcare cũng như đặt lịch cho phòng khám dựa trên triệu chứng khi hỏi."/>
        <s v="Em đã có trải nghiệm liên quan đến hướng User Acquisition trong vai trò Global Marketing Intern tại Viện giáo dục Quốc tế của chính phủ Hàn Quốc. Trong dự án xây dựng kênh kênh truyền thông về du học Hàn Quốc, em chịu trách nhiệm từ nghiên cứu thị trường,"/>
        <s v="Em chưa từng có kinh nghiệm"/>
        <s v="Data Analyst Intern: Thu thập và xử lý dữ liệu quảng cáo (Facebook, Google, TikTok Ads), giúp tối ưu hóa ngân sách và tăng 25% ROI cho doanh nghiệp."/>
        <s v="Mình đóng vai trò chính trong việc phát triển và thiết kế: xây dựng web chess app với AI Minimax để tính nước đi và thiết kế giao diện/asset; ngoài ra phát triển game Tetris bằng C++ với đầy đủ cơ chế gameplay như collision, scoring và level. Kết quả là c"/>
        <s v="."/>
        <s v="I redesigned a simple 5x5 Go-playing bot using the AlphaGo algorithm, and I can play against it, but it's not really that smart yet."/>
        <s v="Không có"/>
        <s v="Làm game VR ngắm bắn mục tiêu đơn giản để học về các hệ thống trong Unity, về hiệu năng và framerate, và API C# để tương tác với các hệ thống và dữ liệu trong Unity."/>
        <s v="FPT Software: Built a hybrid RAG system with multi-stage retrieval and query routing, improving response quality and system reliability.&#10;Passport Lounge: Developed AI automation workflows and a chatbot system, reducing manual workload and enabling faster "/>
        <s v="Mình chưa có kinh nghiệm thực tế trong lĩnh vực game analytics, tuy nhiên mình đã tích lũy nền tảng phân tích dữ liệu qua các dự án học thuật liên quan đến hành vi người dùng và xây dựng dashboard — và mình tin đây là bước đệm tốt để nhanh chóng thích ngh"/>
        <s v="I finished my internship as a web developer where I joined a team of five members to develop a website for the company's English language center. My responsibilities included front-end website development and implementing several back-end features as assi"/>
        <s v="Hiện tại em đang là Mentor tại Mindx Technology School, công việc của em là giảng dạy kiến thức về Scratch, Gamemaker, Python và hướng dẫn các bạn học viên thực hiện các dự án về game."/>
        <s v="Yes. I have strong experience working on AI-related systems through both academic projects and practical work. As a Computer Science student focusing on AI, I have built and contributed to projects such as real-time object detection systems and AI-powered"/>
        <s v="chưa có kinh nghiệm về dev game"/>
        <s v="Thiết kế kịch bản mode chơi Main Story.&#10;Thực hiện các nhiệm vụ thiết kế game: kịch bản, hệ thống, màn chơi, cân bằng, UX Wireframes tiền&#10;tệ, level design, gameplay…"/>
        <s v="Các dự án của tôi liên quan đến phân tích dữ liệu, và business Intelligence, tôi lựa chọn case study và đưa ra được insight để giải quyết các vấn đề đó"/>
        <s v="-Đầu tiên là về sokoban thì mục tiêu của nó là hiện thực 1 màn chơi với mục tiêu là đẩy thùng đúng ô đồng thời hiện thực giải thuật tìm đường đi để tự giải nó&#10;-Trò chơi thứ 2 là cờ vua thực hiện 2 model AI để chơi thử"/>
        <s v="Đồ án Find Anyone Online là một hệ thống nhận diện khuôn mặt thông minh với các thông tin chi tiết sau:&#10;&#10;    Công nghệ sử dụng: Kết hợp sức mạnh của CNN (FaceNet) để trích xuất vector đặc trưng cao chiều cùng khung phát triển Spring Boot (Backend) và Reac"/>
        <s v="During my Game Development concentration at Ho Chi Minh City University of Technology (HCMUT), I acted as the Team Lead for several high-intensity projects:&#10;- Infinite Flyer (2D Game Development Coursework): I directed a 4-person team to deliver a complet"/>
        <s v="I don’t have direct game development experience, but I have worked on AI projects in computer vision and OCR, focusing on building pipelines and improving performance. I believe these skills can be applied to game-related systems."/>
        <s v="Bài tập: Thiết kế chế độ Tower Defense&#10;Nội dung thực hiện: &#10;- Xây dựng cơ chế thủ thành, thu thập tài nguyên và thăng cấp nhân vật.&#10;- Lập bảng cân bằng cho hệ thống quái vật, Boss và lộ trình 20 đợt tấn công.&#10;- Xây dựng hệ thống Buff Roguelike và Cây kỹ n"/>
        <s v="I only have experience writing prompts and responses for AI models, I do not have experience in game development."/>
        <s v="Yes. I developed Unity 2D platformer projects such as Celeste 2D Lite and Super Mario Bros 2D. My roles included implementing player controls, movement, jumping, dash/wall mechanics, checkpoints, UI, audio and VFX. The outcomes were playable PC game proto"/>
        <s v="I have experience through my projects, particularly a full-stack web application (StayHub), where I developed features and worked with system workflows and APIs. During development, I frequently tested different scenarios, checked data flows, and identifi"/>
        <s v="In the &quot;Surf n' Survive&quot; project, I served as Team Lead, coordinating a group of 6 people and directly programming the gameplay. A notable achievement was that the project made it to the Top 37 of Vietnam GameVerse 2025 and was exhibited at the FPT Meta A"/>
        <s v="- Dự án Nhiếp ảnh &quot;Dương Gian&quot; (Đồ án môn học).&#10;- Vai trò: Đảm nhiệm vị trí Thiết kế Album và Hậu kỳ hình ảnh, ứng dụng nghệ thuật &quot;Khảm xà cừ&quot; truyền thống vào bố cục đồ họa.&#10;- Kết quả: Đạt 9.7 điểm (cao nhất lớp) và được đánh giá là đồ án xuất sắc nhất."/>
        <s v="I don't have direct game industry experience, but my background in social media management, viral content creation and data analysis transfers well to UA marketing. I'm a fast learner who's genuinely passionate about mobile games and I'm committed to quic"/>
        <s v="Từng thực hiện test game 2D nó dạng giống như trò Mario"/>
        <s v="Tôi từng phụ trách xây dựng kênh Tiktok về một tựa game MOBA trên điện thoại, nhằm marketing và thu hút thêm user cho game."/>
        <s v="AI Engineer Intern: phát triển chatbot nội bộ dùng RAG/LLM, tối ưu chất lượng phản hồi và cải thiện phân loại dữ liệu.&#10;Tham gia cuộc thi UIT - Data Science Challenge 2025: fine-tune mô hình LLM, đạt Top 7 vòng Private Test."/>
        <s v="Mình đã tham gia gamejam làm game trong 3 ngày ( Winter MelonJam 2025) với 3 bạn khác với vai trò là Unity Dev. Theme của jam đợt đó là &quot;Mask&quot; (mặt nạ) nên mình và team bàn và chốt ý tưởng về chú hề có mặt nạ dịch chuyển giữa hiện tại và quá khứ để giải đ"/>
        <s v="Trong project C++ game engine cơ bản này, mình đóng vai trò là nhà phát triển chính, trực tiếp xây dựng nền tảng hệ thống bằng ngôn ngữ C++. Công việc của mình tập trung vào việc hiện thực hóa các mẫu thiết kế (design patterns) như Composite để tạo cấu tr"/>
        <s v="Yes, I previously worked as an AI Engineer Intern, where I supported the development of an AI chatbot workflow project using GitHub Copilot in Visual Studio Code.&#10;My role involved assisting with prompt design, workflow testing, and improving the chatbot’s"/>
        <s v="I have experience in software testing through projects like a social networking app and an e-commerce system. I worked on test case design, bug reporting, regression testing, and data validation using SQL, and also applied automation testing with Selenium"/>
        <s v="I have developed personal game projects where I served as the Lead Developer. My roles included architecting gameplay mechanics in C#, managing assets in Unity, and optimizing UI performance. These projects resulted in functional prototypes with smooth ch"/>
        <s v="I served as Operations Manager at VTC Online for 2 years, managing user accounts and monitoring player trends to provide data-driven strategic insights. Additionally, I developed an AI-Powered Travel Planner using Python and Search Algorithms , and a Food"/>
        <s v="Tôi giữ vai trò developer, trực tiếp thiết kế logic trò chơi, xây dựng cơ chế điều khiển vật lý và quản lý vòng đời của các đối tượng trong môi trường Unity.&#10;Hoàn thiện Gameplay: Xây dựng thành công cơ chế hạ cánh tàu vũ trụ dựa trên trọng lực và quán tín"/>
        <s v="Tôi đã được thực hiện thiết kế xây dựng map, giao diện UI, lập trình gameplay bằng Unity (C#).&#10;kết quả hoàn thành game chạy ổn định, các chức năng chính hoạt động đúng và được thầy cô khen ngợi."/>
        <s v="I'm develop product of retrieval events system as a product for competition AI Challenge HCMC 2024. My team over 3000 participants and engage in the finalists with great system with AI integration."/>
        <s v="As a lead contributor under Dr. Nguyen Van Hoi, I orchestrated an anomaly detection project by leveraging NFST techniques and the ADBench dataset to optimize model performance. Through proactive coordination and systematic experimentation, I archieved hig"/>
        <s v="I am the Winner (First Prize) of the Bright Data Track at HackHarvard 2026 with the project Unibuddy. Serving as the AI engineer, I specialized in large-scale web scraping and data processing to build a real-time data analytics platform. This project outp"/>
        <s v="Relic Seeker&#10;Vai trò: Thiết kế UI/UX, sửa lỗi và tối ưu.&#10;Kết quả: Đơn giản hóa các cơ chế giải đố phức tạp thành tương tác dễ hiểu, đồng thời cải thiện hiệu năng giúp game chạy ổn định trên nhiều thiết bị mobile.&#10;&#10;StreetBeat&#10;Vai trò: Xây dựng core gamepla"/>
        <s v="I've worked on several projects using Unity and C#. Most recently, I interned at IMBA where I worked on two live games, handling gameplay features and UI. I also built a full roguelike game as my graduation thesis, where I led a team of 2 and handled core"/>
        <s v="Dự án 1: Arrows&#10;&#10;Công nghệ: Unity 2D, C#&#10;&#10;Vai trò: Solo Developer&#10;Kết quả: Xây dựng thuật toán tạo màn chơi tự động, có khả năng mở rộng vô hạn, đảm bảo các câu đố luôn có cách giải và cho phép dễ dàng tích hợp các tài nguyên đồ họa (assets) mới. Xử lý lo"/>
        <s v="Tôi đã có kinh nghiệm xây dựng 1 vài dự án cá nhân nhỏ liên quan đến phát triển game bằng Unity. Vai trò của tôi là lập trình chính, chịu trách nhiệm xây dựng gameplay, xử lý logic."/>
        <s v="Em có làm một vài tựa game nhỏ để tự học về Unity tuy nhiên các tựa game đó quy mô chưa lớn và em cũng chưa có cơ hội tiếp xúc với môi trường làm việc chuyên nghiệp hơn."/>
        <s v="Prompt engineered, generated and directed ai videos for Facebook and KitKat's official commercial campaign"/>
        <s v="I developed a puzzle game where players merge tiles with the same even number such as 2 and 2 to create 4 and earn points. After each move, a new random even-number tile appears. The game ends when the board is full and no more moves are possible. My role"/>
        <s v="I developed a puzzle game project where players match tiles with the same even number, for example 2 times 2 equals 4, to earn points. After each successful match, a new, randomly generated even-numbered tile appears on the board. The game ends when the b"/>
        <s v="I served as the Developer and Designer for projects including a Snake Game, Rush Hour puzzles, Wumpus World AI Agent. Beyond coding the logic, I designed diverse level layouts and visual assets, creating distinct gameplay scenarios with escalating difficu"/>
        <s v="Dù chưa có kinh nghiệm thực tập ở những công ty khác nhưng em có kinh nghiệm phân tích game và viết GDD cơ bản."/>
        <s v="game cốt truyện - game dev&#10;phát triển phòng mẹ và em với cơ chế drag &amp; drop và chọn trắc nghiệm sử dụng scriptableobject. Raycast để check đồ vật, highlight vật phẩm, góc nhìn thứ nhất cho nhận vật."/>
        <s v="Lập trình viên chính cho hai dự án cá nhân:&#10;- WacWac: Game đua vịt casual, ứng dụng kiến trúc tất định và nội suy Cubic để tối ưu hóa chuyển động mượt mà - kết quả đạt 10 điểm môn học Quản lý dự án phần mềm&#10;- NumStrata: Game puzzle giải đố số học hiện đan"/>
        <s v="Dự án Game Việt 2024 do em làm leader của team và dẫn dắt team đạt được giải sáng tạo Game Việt, em phụ trách review code, merge git và làm một vài chức năng của game.&#10;Dự án tốt nghiệp cũng được em dẫn dắt team và phụ trách về review code, backend và làm "/>
        <s v="1. Airline Pricing Analysis and Recommendation System: Built a system to predict flight prices from records crawled from Traveloka. Cleaned data, trained models, and created a tool to suggest when to buy tickets (R2 &gt; 0.7).&#10;2. Aspect-Based Sentiment Analy"/>
        <s v="Yes, I have job-related experience through my bachelor thesis, ViMUNCH – a Vietnamese Metaphor Understanding Benchmark for LLMs. In this project, I worked on data collection, manual annotation, and evaluation of multiple large language models across diffe"/>
        <s v="trong quá trình làm đồ án: vai trò là hỗ trợ tìm kiếm chuẩn bị và lọc data cùng với đánh giá kết quả của mô hình trong việc phân loại bệnh. Kết quả dự án khá tốt khi có thể phân loại nếu ảnh không quá mờ vì chưa có các phương pháp làm rõ ảnh"/>
        <s v="Mình chỉ thiết kế bài post về game để đưa vào portfolio ứng tuyển thực tập thôi. Rất tiếc là vẫn chưa có cơ hội thử sức về mảng game."/>
        <s v="Em có làm project ở trường và hiện tại đang tự phát triển một game RPG nhỏ trên Roblox. Em tập trung thiết kế gameplay loop như progression và reward system, đồng thời sử dụng framework riêng để phân tích và cải thiện gameplay. Qua đó em hiểu rõ hơn cách "/>
        <s v="Thiết kế cơ chế gameplay, tinh chỉnh giao diện, animation, test game. Kết quả đạt giải sáng tạo cuộc thi Game Việt 2024"/>
        <s v="I have had experience with AI-related projects and internships, mainly focused on building practical LLM applications and workflow automation systems.&#10;&#10;During my internship at FIRIS Consulting and Investment, I worked as an AI Engineer where I developed P"/>
        <s v="The game is KYS, a 2D Stealth-Roguelike built with Unity. It features stealth action with a loop mechanic similar to Hades: players lose items upon death but keep permanent upgrades. The project strongly focuses on system design and optimizing the user ex"/>
        <s v="I have completed 3 Unity game projects, achieving a 9.7/10 in Game Development with Unity:&#10;- As Lead Core Systems for ChillFarm, I architected an Event-driven framework and engineered the custom Economy Balancing model &#10;- For Tom &amp; Jerry: Cheesy Runner, I"/>
        <s v="Em chưa có nhiều kinh nghiệm trực tiếp với ngành game, nhưng có góc nhìn người dùng từ việc trải nghiệm một số game mobile."/>
        <s v="- Triển khai toàn bộ Gameplay mechanic&#10;- Triển khai UI (UI Toolkit)&#10;- Triển khai Sound, Effect, Animation.&#10;- Tối ưu hiệu xuất cho android&#10;- Manual test, Debug và build/release sản phẩm.&#10;- Upload sản phẩm lên Itch.io"/>
        <s v="Trong môn Lập trình căn bản, em đã tham gia phát triển game Rắn săn mồi và đạt 8/10 điểm. Trong quá trình thực hiện, em đã kiểm tra hoạt động của game, phát hiện và xử lý một số lỗi logic cơ bản."/>
        <s v="22/12/2025 - 06/02/2026&#10;Thực tập Game Design Gihot Studio: Phân tích đánh giá một số dự án game nội bộ; Quy trình thiết kế game; Lý thuyết thiết kế game."/>
        <s v="During my previous internship, I had hands-on experience in working on playable ads projects. My role involved rebuilding interactive gameplay scenes from a base game in Unity, and adapting them for platforms such as Luna or Unity Playworks Creative Cloud"/>
        <s v="- Vào năm ngoái, em có làm đồ án tốt nghiệp với chủ đề là phát triển game 3D hỗ trợ trẻ em học Tiếng Anh bằng Unity.&#10;- Vai trò của em là developer chính của dự án, đồng thời thiết kế giao diện cho trò chơi.&#10;- Kết quả là có một sản phẩm hoàn chỉnh được pub"/>
        <s v="When I joined Amiras as an AI Engineer Intern, the company needed to build a RAG chatbot to leverage its internal knowledge base — but there was no foundation at all: no codebase, no pre-defined tech stack, no documentation. I was practically starting fro"/>
        <s v="I completed a Game Design and Development course from Michigan State University (Coursera), where I built a 2D top-down shooter in Unity — implementing player movement, enemy AI, and collision detection. I also independently developed a 3D Solar System si"/>
        <s v="(1) Recruitment Intern tại Giao Hàng Tiết Kiệm&#10;Tại đây, em phụ trách sàng lọc và liên hệ 50 - 70 ứng viên mỗi tuần cho các vị trí tuyển dụng số lượng lớn. Em tham gia đăng bài tuyển dụng, tối ưu nội dung đạt hơn 30.000 lượt tiếp cận, phối hợp sắp xếp phỏn"/>
        <s v="..."/>
        <s v="Space Defend – Unity 2D Survival Game&#10;- Phát triển game sinh tồn 2D modular trong Unity bằng C#, thiết kế framework có khả năng mở rộng để tích hợp các hành vi AI steering phức tạp, hệ thống cấp độ quái (wave) linh hoạt và quản lý đối tượng hiệu suất cao."/>
        <s v="Em đã học qua 2 Pathway miễn phí của Unity Learn là Essentials và Junior Programmer, qua đó em cũng được làm nhiều Prototype, trong đó em tự hào nhất là game top-down Sumo Wrestling và knockoff Fruit Ninja.&#10;Ngoài ra, em đang là Lead Developer cho dự án Ga"/>
        <s v="Advanced Battleship: Redesigned the classic game with three projectile types and a dual-mode bot AI, delivering a more strategic experience while preserving the core fun.&#10;Modified Tic Tac Toe: Eliminated the draw condition entirely with a single rule chan"/>
        <s v="No, I haven’t had such experience yet."/>
        <s v="I built Slither Game as a personal project and handled the full front-end implementation using HTML5 Canvas and JavaScript, including game logic, controls, collision detection, scoring, animation, and responsive UI. The result is a playable web game with "/>
        <s v="I have done some small game like Flappy bird, Tetris, Chess or Snake in C# using Monogame when i was in high school. For a bigger personal project, I was re-making Minecraft from scratch using GLFW/Glad"/>
        <s v="I completed a personal project called &quot;Parking Car&quot;, where I built the core gameplay based on a tutorial, then expanded it by designing additional levels and adding new features.&#10;My role was handling the full development process. The outcome was a fully c"/>
        <s v="Hiện tại em đang trong dự án làm game Action RPG đồ họa Pixel, HD - 2D. Vai trò chính của em trong dự án là Game Designer, ngoài ra em cũng tham gia vào các vai trò khác như Tester, Developer, do đây là dự án nhóm nhỏ nên cần làm nhiều việc. Hiện tại dự á"/>
        <s v="Vietnamese Traffic Law Chatbot&#10;Python, Hugging Face, Sentences Transformer, RAG, Qdrant, API, Selenium, Beautifulsoup&#10;June 2025 Github&#10;• Description: Develop a Vietnamese traffic law question-answering system using advanced Retrieval-Augmented Generation "/>
        <s v="Em đã có kinh nghiệm thông qua dự án học phần “Red Hood’s Adventure” – một trải nghiệm VR mang tính giáo dục dựa trên câu chuyện Cô bé quàng khăn đỏ.&#10;&#10;Trong dự án, em tham gia thiết kế gameplay flow, logic tương tác và UI concept, đồng thời đóng góp vào v"/>
        <s v="Dự án thực tập tại trường: Leader của nhóm 5 người về trò chơi ăn cá, kết quả đạt được đánh giá tốt bởi doanh nghiệp. Cuộc thi FPT Hackathon AI 2025: Lập trình Front-end lên Server cuộc thi cho ô tô được chạy đoạt giải khuyến khích ở vòng chung kết."/>
        <s v="none"/>
        <s v="Em là leader của nhóm qua các dự án game ở trường, thông qua các dự án đó em biết sâu về cách thức hoạt động của nhân vật trong unity, tổ chức file code theo mvc, biết cách xử lý UI game, xử lý animation, dùng các AI cho npc (behavior tree, finite state m"/>
        <s v="- Bài tập lớn môn Kỹ năng chuyên nghiệp cho kỹ sư (Turn-based/chiến thuật)&#10;+ Vai trò: Team Lead (nhóm 8 người) và là Sole Developer đảm nhận mảng kỹ thuật. Em chịu trách nhiệm thiết kế kiến trúc code, hiện thực logic cho 3 nhân vật, quản lý hệ thống vật p"/>
        <s v="I have worked on personal projects such as GraphRAG, NER with PhoBERT, and CNN models, where I designed pipelines, developed models, and handled data processing for practical AI tasks."/>
        <s v="I haven’t  had experience in the gaming field yet, but i’m interested in it and willing to learn quickly to adapt to the role."/>
        <s v="Developed a deep learning-based Optical Character Recognition (OCR) system to accurately extract and recognize Vietnamese handwritten text from images."/>
        <s v="From Jan 2025 - Sep 2025: I developed 2 prototypes, a Unity web-based 3D platformer and a React-interactive game. Both of them I have trouble in optimizing it to run smoothly on the company's website, but the games run smoothly locally.&#10;From Sep 2025 - Ma"/>
        <s v="Trong dự án game 2D mình thực hiện tại trường, mình đảm nhận vai trò Unity Developer và Leader nhóm.&#10;Mình phụ trách xây dựng gameplay, xử lý va chạm, hệ thống bắn đạn, máu nhân vật, UI cơ bản và tối ưu hiệu năng. Đồng thời mình quản lý task, phân chia côn"/>
        <s v="I’ve developed two complete Unity games, Helix Smash and Hole Master, where I worked as a solo developer. My responsibilities included developing gameplay mechanics, implementing core systems like UI, audio, and data management, and optimizing performance"/>
        <s v="Cleaned and structured large‑scale datasets (50,000+ records), applied SQL/Python for preprocessing, and ensured data quality for analysis.&#10;Conducted exploratory data analysis and predictive modeling (clustering, regression) to identify 3 high‑potential c"/>
        <s v="Yes, I have game-related experience from a coursework project where I helped build a Gomoku (Caro) game. My main responsibilities were designing the user interface and debugging the core game logic. Specifically, I fixed logic bugs related to the win, los"/>
        <s v="quản lý dự án ,code chính ,vẽ map .Dự án đạt 8.5/10 điểm"/>
        <s v="Em tự phát triển game Pikachu Onet Connect Animals bằng C#.Net, đảm nhận toàn bộ từ thiết kế logic gameplay, xử lý thuật toán tìm đường kết nối đến giao diện người dùng. Kết quả là hoàn thiện sản phẩm chạy ổn định và đúng yêu cầu."/>
        <s v="I completed a Data Analyst Internship at The Saigon Times, where I analyzed over 50,000 daily user sessions using Google Analytics and Python to uncover traffic patterns and user behavior. I built automated reporting dashboards with Pandas and Matplotlib,"/>
        <s v="I developed a complete BI system for airline analytics. I built an ETL pipeline with SSIS to manage and clean complex datasets before loading them into a Data Warehouse. I also created Power BI dashboards to track KPIs like OTP and Delay trends. Additiona"/>
        <s v="This is a personal project where I built an end-to-end pipeline analyzing 24 years of World Bank data across 10 Southeast Asian economies — from ETL with Python and SQL Server, to advanced analytics with T-SQL window functions, to a final Power BI dashboa"/>
        <s v="In a Bike Sales analysis project, I was responsible for data cleaning, exploratory analysis, and building a dashboard. I used Excel and Python to preprocess the data, create pivot tables, and visualize key factors affecting purchase decisions such as age,"/>
        <s v="Dự án SaigonHappyTour (Automation &amp; BI): Vai trò chính là xây dựng pipeline tự động (n8n, Selenium) và Dashboard Power BI để theo dõi xu hướng thị trường. Kết quả: Tăng tốc độ thu thập dữ liệu và giúp team ra quyết định dựa trên Insight thực tế thay vì cả"/>
        <s v="Em từng làm game Sudoku, Em là người làm việc chính về các thuật toán giải Sudoku. Ví dụ, Hint khi chơi game sẽ theo hướng đó là có cơ sở để ra được đáp án tại ô đó (có kèm giải thích cho người chơi), chứ không phải chỉ ra đáp án từ trên xuống dưới thì kh"/>
        <s v="Trong dự án, em đảm nhận việc làm sạch và chuẩn hoá dữ liệu, xây dựng dashboard phân tích doanh thu bằng Power BI và sử dụng DAX để tính toán các chỉ số. Em cũng phân tích hành vi khách hàng theo độ tuổi và mức độ trung thành.&#10;Từ đó, em đưa ra một số insi"/>
        <s v="Vai trò của tôi là thu thập, xử lý và phân tích dữ liệu, đồng thời xây dựng các hệ thống quản lý và dashboard hỗ trợ vận hành. Tôi trực tiếp phát triển các công cụ như HR Management System, Leave Management System và Data Scanning Tool bằng Google Apps Sc"/>
        <s v="I briefly tried to build a 2D platformer game using the Pygame library back with my friends. However, I had a lot of issues with finding free assets legally at the time, so the project had been temporarily suspended since."/>
        <s v="Hiện tại chưa có những dự án liên quan đến game nhưng rất mong muốn có cơ hội được thực tập. Tôi có vài project liên quan đến DA và programming tại https://github.com/chaumyphuong?tab=repositories"/>
        <s v="I worked as an AI intern at ACB Securities, contributing to a stock market support chatbot by handling data processing and assisting in model development.&#10;Additionally, I developed projects like a scene classification system and a health consultation chat"/>
        <s v="At Aladin Contract, I work as an AI/Blockchain Off-Chain Engineer, where my main focus has been OriLife — a biological identification pipeline I co-built in Python with PyTorch. The system combines Meta's DINOv3 for feature extraction and SAM3 for segment"/>
        <s v="Viết truyện tranh, thiết kế nhân vật dựa theo cốt truyện, chạy commission"/>
        <s v="_ Sử dụng LLM để trích xuất thông tin từ bài báo, xuất ra JSON để phục vụ cho pipeline xây dựng data flow. Đánh giá kết quả đầu ra của LLM và đảm bảo JSON sinh ra đủ chính xác, nhất quán cho các bước xử lý phía sau."/>
        <s v="Tôi có 1 dự án cá nhân đó là clone lại con game KitchenChaos của youtuber Code monkey nó là thể loại cooking simulation kết hợp multiplayer có thể chơi với bạn bè"/>
        <s v="Em đảm nhiệm vai trò Reskin, build và publish game lên Google Play tại OZINY. Trong dự án PuzzleStepper và Farmy Days, em giữ vai trò Developer, phối hợp cùng team hoàn thiện game và nộp bài cho trường. Với dự án Sort Animal Puzzle, em đóng vai trò Develo"/>
        <s v="Đóng góp vào quy trình phát triển core gameplay, tạo hệ thống cho game (Raycast, Contact, Phase Boss Attack), thiết kế hiệu ứng nhân vật (head bobing và break cho game kinh dị), sử dụng post-processing để tạo hiệu ứng hậu kì cho game. Đã hoàn thành 3 dự á"/>
        <s v="Mình đã từng có kinh nghiệm làm việc phần AI intern về xử lý giọng nói và hình ảnh"/>
        <s v="Dự án này do tôi tự làm nhằm mục đích tự học về pygame. Tôi chưa từng có kinh nghiệm về làm game từ trước. Tôi đã làm một game chiến thuật theo lượt dạng bàn cờ. Tôi đã thực hiện code các logic xử lý, vẽ hình ảnh theo từng frame dựa trên sprite sheets. Vi"/>
        <s v="I have worked on several AI-related personal and academic projects, mainly focused on building practical applications of machine learning and generative AI. One notable project was developing a Vietnamese fake news detection system using LLMs and RAG, whe"/>
        <s v="Chưa làm qua"/>
        <s v="Yes. I have experience through personal data projects. I built a football player market value prediction project where I collected data using Selenium, processed it with Python and pandas, and applied machine learning models like XGBoost. I also used Powe"/>
        <s v="Game racing 3D bằng unity :&#10;Phối hợp làm việc trong nhóm để phát triển các hệ thống gameplay cốt lõi cho game đua xe, bao gồm thiết kế đường đua, cơ chế checkpoint và reset xe, đếm vòng đua, theo dõi tiến trình cuộc đua, triển khai mini-map tương tác, quả"/>
        <s v="Em đã có kinh nghiệm test game và viết review. Cụ thể, em thường xuyên chơi và phân tích gameplay, phát hiện lỗi (bug), đánh giá trải nghiệm người dùng (UX), cũng như đề xuất cải tiến về cơ chế chơi và cân bằng game."/>
        <s v="Customer Segmentation   &#10;Top 1 Final Project DA57 course - MindX &#10;Description: This project aims to analyze customer datasets from Kaggle to help business departments gain deeper insights into their customers, allowing them to tailor products to meet the "/>
        <s v="As a Data Analyst Intern at AA Global Group, I collected and cleaned datasets using Excel and Python. Under the supervision of my team lead, I practiced data querying and visualization to support reporting needs. This experience allowed me to deliver clea"/>
        <s v="I have worked on AI projects like document intelligence and retrieval systems, focusing on reducing manual work and improving efficiency. I also built recommendation and search pipelines, gaining experience in end-to-end AI system development."/>
        <s v="Tôi có hơn 1 năm nghiên cứu về AI trong phòng LAB của trường, và cũng là co-author của một bài báo nghiên cứu khoa học Q1 được chấp nhận tại tạp chí IEEE-Access 2026, đồng thời là fisrt author của một nghiên cứu khoa học sẽ được nộp sắp tới tại hội nghị G"/>
        <s v="Tui chưa từng có kinh nghiệm làm về game trước đây."/>
        <s v="Ở năm nhất, em đã thực hiện lập trình 1 game cho đồ án môn học, đó là game platformer mà em thực hiện lập trình phần logic của các power-up và quản lí, chỉnh sửa sprite cho game. Em cũng đã thực hiện kiểm thử cho trò chơi để đảm bảo không có lỗi đáng kể ả"/>
        <s v="Built a Pacman agent (Double DQN + Prioritized Experience Replay) from scratch in PyTorch without RL libraries. Key decisions: decoupled Q-networks to eliminate overestimation bias; SumTree-based PER to focus learning on high-TD-error transitions; 3-layer"/>
        <s v="I have worked on personal projects related to AI and automation, including building LLM-based tools to support workflows such as task automation and data processing.&#10;&#10;I also have hands-on experience in web application testing, where I performed black-box "/>
        <s v="I built a house price prediction system that improved accuracy by 27%, achieving a MAPE of 14.9% on real-world data.&#10;I also developed a conversational recommendation system that delivers personalized suggestions using NLP and hybrid retrieval techniques.&#10;"/>
        <s v="Dự án Boardgame &quot;Truy Vết&quot; - game về phòng chống bạo lực, vai trò: tham gia xây dựng gameplay, cơ chế và thiết kế, minh họa phe Gây rối; Kết quả: đồ án đạt điểm tốt (8.0 môn Thiết kế game)"/>
        <s v="Một job-related project: Cải thiện độ ổn định và nâng cao độ chính xác của các hệ thống hỏi đáp đa phương thức bằng một quy trình (pipeline) nhiều giai đoạn: (1) Sử dụng các loại prompting để kích hoạt khả năng reasoning của mô hình hỏi-đáp đa phương thức"/>
        <s v="Em từng tham gia cuộc thi SEE tại trung tâm Green Academy về thiết kế game và đạt giải nhất với tựa game Knight And Dragon."/>
        <s v="Trong đồ án, em đảm nhận vai trò kiểm thử, cụ thể là viết test case và thực hiện test để phát hiện lỗi. Em cũng viết bug report để mô tả chi tiết các lỗi cho team phát triển. Kết quả là giúp cải thiện nhiều lỗi chức năng, góp phần nâng cao trải nghiệm của"/>
        <s v="I completed a 3-month internship at VGames Studio, where I worked as a developer in a cross-functional team with Game Designers, UI artists, 3D artists, and other programmers to build a 3D casual smashing game for mobile. My role involved implementing gam"/>
        <s v="Tự thiết kế GGD theo đúng chủ đề của cuộc thi Game Jams trên Itch.io. Sau đó tự build trong khoảng thời gian quy định, thường là 3-5 ngày tùy cuộc thi. Kết thúc thời gian sẽ phải public game để ban giám khảo và người dùng khác chấm điểm, có nhiều hạng mục"/>
        <s v="- Vai trò: Leader team 4 người cho dự án freelance&#10;+ Quản lí nhóm và phân chia công việc&#10;+ Lập trình spawn khách hàng, order của khách hàng, tương tác trên điện thoại, bảng xếp hạng&#10;+ Thiết kế UI - UX: DOTween cho hiệu ứng chuyển cảnh&#10;+ Âm thanh&#10;+ Debug v"/>
        <s v="One of my recent projects is AeroEyes, where I developed an object detection system using YOLO for aerial and satellite imagery. In this project, I was mainly responsible for preparing and cleaning large-scale image data, building training pipelines, and "/>
        <s v="I intergrated Gemini AI to process and read the data that's gotten from the text in the diary, the text was parsed before it's sent to Gemeni AI"/>
        <s v="In my practical projects, I have primarily taken on Data Engineer and Analyst roles. Most notably, I engineered an end-to-end Data Warehouse, building robust ETL pipelines with SSIS and interactive KPI dashboards using Power BI. Additionally, I have succe"/>
        <s v="Em tự thực hiện 100% dự án từ khâu lên ý tưởng đến đóng gói sản phẩm, giúp em nắm vững mọi công đoạn trong Unity và xây dựng được một sản phẩm demo"/>
        <s v="I participated in a Game Developer recruitment process at a game development company and passed the technical test round. This experience helped me strengthen my problem-solving skills and understanding real-world development requirements."/>
        <s v="No, I did not"/>
        <s v="việc làm liên quan đến hỗ trợ người dùng và xử lý dữ liệu nội bộ công ty"/>
        <s v="Vai trò: Illustrator &amp; Developer.&#10;Đạt 7,5 điểm môn đồ án chuyên ngành."/>
        <s v="Hiện tại chưa có dự án nào"/>
        <s v="Hiện tại tôi chưa có dự án thực tế liên quan trực tiếp, tuy nhiên tôi đã chủ động học và luyện tập các kỹ năng như SQL, Excel và phân tích dữ liệu cơ bản thông qua bài tập cá nhân. Tôi cũng thường xuyên tìm hiểu cách áp dụng dữ liệu vào việc phân tích hàn"/>
        <s v="Em chưa có kinh nghiệm liên quan đến lập trình Game nhưng em có hứng thú với các trò chơi điện tử cũng như nghiên cứu về nó. Nếu có cơ hội được đồng hành cùng phát triển thì em rất sẵn lòng."/>
        <s v="Trong môn Python, em đảm nhận vai trò lập trình và thiết kế trò chơi. Em đã xây dựng một game đua xe với đường đua dạng khung hình chữ nhật, người chơi điều khiển xe theo bốn hướng để tránh va chạm. Trò chơi có các tính năng như tăng tốc độ theo thời gian"/>
        <s v="Không"/>
        <s v="No experiences"/>
        <s v="Project Flood-It Game - Phân tích Chiến thuật &amp; Hành vi Người chơi&#10;​Vai trò:&#10;​Trong dự án này, tôi đóng vai trò là người thiết kế và vận hành hệ thống phân tích dữ liệu toàn diện. Cụ thể, tôi đã:&#10;​Xây dựng Data Pipeline: Tự động hóa luồng dữ liệu từ Cloud"/>
        <s v="Hiện tại em chưa có kinh nghiệm trực tiếp trong lĩnh vực game hoặc vị trí AI Engineer. Tuy nhiên, em đã có nền tảng về Python và machine learning thông qua các bài tập và dự án cá nhân.Em tham gia một số dự án cá nhân về AI/ML.  &#10;Trong dự án DistillPhoBER"/>
        <s v="I have worked on simple hyper-casual games such as Flappy Bird-style projects using Unity. My role involved implementing core gameplay mechanics, handling player input, and basic UI. The projects were completed successfully and helped me strengthen my und"/>
        <s v="I developed a farming simulation game using Pygame, where I implemented core gameplay mechanics such as character movement, interaction systems, and basic game logic. I used visual assets from itch.io and focused on integrating them into a consistent game"/>
        <s v="Em có kinh nghiệm qua dự án đồ án chuyên ngành và các dự án cá nhân:&#10;Chaos Dungeon (Roguelike 2D): Dự án đồ án chuyên ngành, em tự làm tất cả các phần từ gameplay mechanics, core loop, procedural generation, adaptive difficulty, skill system đến balancing"/>
        <s v="I worked on a mobile game analytics project where I analyzed player behavior, retention, and monetization.&#10;I identified a Day-1 retention rate of 13.69% and detected early-stage drop-offs through funnel analysis. I also evaluated monetization metrics such"/>
        <s v="Yes. I have been a QA as part of my coursework. In this project, I was responsible for testing key features such as searching, ordering, and user management,...&#10;&#10;I designed test cases, executed manual testing, and reported bugs to improve system functiona"/>
        <s v="- System Testing &amp; Logic Validation: Designed test cases and conducted rigorous functional testing for complex data synchronization between the ATS and HRM systems. I specifically tested edge cases to ensure data integrity, such as verifying that system u"/>
        <s v="Em đã lập nhóm cùng với một thành viên khác trong môn Lập trình di động và đã cùng nhau làm một tựa game Match 3. Em đảm nhận làm phần cốt lõi của trò chơi: Swap Tile, Generate Board, Score, Obstacle,... Còn thành viên sẽ tạo thêm các bomb đặc biệt cho tr"/>
        <s v="Mình đóng vai trò là &quot;đầu têu&quot; trong các dự án. Mình sẽ tham gia vào không đóng góp idea, dựng gameplay cơ bản và xem xét vì sao nó sẽ thu hút người chơi. Sau đó mình sẽ quay về phần code các phần base và phụ trách phát triển tool giúp các thành viên thao"/>
        <s v="I engineered a dual-stream Multimodal Emotion Recognition System using PyTorch, where I integrated a 2D-CNN for facial expression analysis and an LSTM for speech processing. By architecting a fusion model to process these diverse data types, I successfull"/>
        <s v="I am currently working as a Game Developer Intern at Gameloft. My responsibilities include implementing new features based on sprint planning and Game Designer updates, writing technical design documents (TDD), and fixing bugs. I collaborate with the team"/>
        <s v="During my internship as a Data Analyst Intern at Bosch, I worked with real-world datasets, performing data cleaning and analysis to ensure data accuracy. I also supported reporting tasks and collaborated with team members to identify and resolve data-rela"/>
        <s v="Em đã có kinh nghiệm thông qua các dự án học tập tại trường liên quan đến lập trình, phân tích hệ thống và thiết kế sản phẩm số. Em từng tham gia xây dựng ứng dụng theo nhóm, đảm nhận vai trò phân tích yêu cầu, thiết kế luồng chức năng và hỗ trợ phát triể"/>
        <s v="I have worked on several academic projects related to data analysis and machine learning.&#10;&#10;In a household electricity demand forecasting project, I analyzed time-series data, performed preprocessing (feature engineering, seasonality analysis), and built m"/>
        <s v="Em đã tham gia khóa học Manual Test của VTI Academy và có làm một số bài tập về test web"/>
        <s v="- Em đã và đang phát triển một game 2D ARPG có tên Chronicles of Knight and Mage, và phát triển máy chủ Restful API để quản lý dữ liệu người dùng trên server, và .&#10; - Vai trò của em tại các đồ án này là fullstack từ khâu thiết kế, lên kế hoạch làm các chứ"/>
        <s v="I have worked on several small game projects, and this is one of my main ones. I developed a 2D MMORPG in Unity, where my role focused on gameplay design and implementation. I handled map design, character animation, and built core systems such as charact"/>
        <s v="Chưa có kinh nghiệm"/>
        <s v="I have a strong foundation in both data analysis and game systems through major university and independent projects:&#10;Home Credit Default Risk Analysis (Team Leader &amp; EDA Lead): Led a team of five to build a credit risk pipeline for a dataset of 307,511 re"/>
        <s v="I have experience in prompt engineering and RAG infrastructure from my AI Engineer Internship , which resulted in optimized document processing and stable AI Agents. In my projects and the 2025 Datathon (1st Place), I focused on designing end-to-end pipel"/>
        <s v="Mình tự thực hiện dự án HR Data Analysis từ đầu đến cuối xây pipeline xử lý 4.410 bản ghi nhân viên bằng Python và BigQuery, phân tích attrition bằng SQL và phát hiện nhóm rủi ro cao nhất là nhân viên 25–34 tuổi có thâm niên dưới 2 năm. Kết quả được trình"/>
        <s v="từ mô tả GDD thiết kế cơ chế game, căn chỉnh cảm giác chơi."/>
        <s v="Perform EDA on real datasets, use models to analyze &amp; predict, visualize data"/>
        <s v="Đó là một solo project và không nằm trong môn học. Tôi tạo ra một con game nhỏ dùng Unity và tôi chỉ code với thiết kế màn chơi thôi còn assets thì tôi lấy ở unity store. Sau đó tôi build và deploy nó lên itch.io"/>
        <s v="I have worked on AI-related projects involving NLP and system design. For example, I built a transformer-based system for detecting hallucinations in LLM outputs, focusing on evaluation, reliability, and handling long-context inputs. I also worked on a mu"/>
        <s v="I was the Leader for a 2D Top-down game project in my OOP course. I created the game ideas, character concepts, and maps. I used Java to code the game logic with OOP concepts like classes and objects. The project was a success, and it helped me understand"/>
        <s v="I have had numerous game-related experiences before, specifically working with the Unity Engine as well throughout multiple projects and games. In a personal game mod project, I have reverse engineered a rather complex Unity game as well as created and ut"/>
        <s v="Em có kinh nghiệm xử lý và phân tích dữ liệu qua nhiều bối cảnh khác nhau. Tại Miquant, em trực tiếp theo dõi hiệu suất các kênh marketing qua dashboard và rút ra insight để tối ưu chiến dịch. Trong cuộc thi Dazone 2024, em xử lý dataset thực tế với Pytho"/>
        <s v="Mình từng tham gia dự án làm RAG cho công ty DIGINET, mình nhận việc tạo các file pdf và xây dựng RAG pipeline cho mô hình gemma3:12b:qat:it, kết quả là mô hình cơ bản nắm được các nội dung tài liệu kiến thức của công ty và trả lời các câu hỏi đã cung cấp"/>
        <s v="Trong các dự án đã thực hiện, em đảm nhận vai trò lập trình chính, tập trung vào xây dựng gameplay, hệ thống điều khiển nhân vật và logic game. Em sử dụng Unity và C# để phát triển các tính năng như di chuyển, chiến đấu và AI cơ bản.&#10;&#10;Kết quả là em đã hoà"/>
        <s v="Soul in Forge (Game 2D mô phỏng thợ rèn - Đã hoàn thành): Tôi đảm nhận vai trò lập trình viên, chịu trách nhiệm phát triển hệ thống chế tạo bao gồm ba trạm chính: lò nung, đe rèn, và bàn chế tạo. Tôi thiết kế và vẽ các vật phẩm trong game như kiếm, cung v"/>
        <s v="Em đã có kinh nghiệm thông qua các dự án cá nhân trong quá trình học Unity. Cụ thể, em đã phát triển một số game nhỏ như game puzzle và game kinh dị đơn giản.&#10;Trong các dự án này, em đảm nhận vai trò lập trình chính, chịu trách nhiệm xây dựng gameplay (di"/>
        <s v="About my internship, my scope of work is building Power BI dashboards (Sales, Customers, Marketing Strategies), writing and optimizing Oracle SQL queries to extract, transform, and validate enterprise data for business analysis and system reporting. Moreo"/>
        <s v="I have experience with both game development and AI-related projects:&#10;Rush Hour Solver Game (Python, Pygame): Implemented and visualized multiple search algorithms (BFS, DFS, UCS, A*) to solve puzzles. I handled algorithm design, performance evaluation (t"/>
        <s v="Dự án giả lập game &quot;TẾT - TÔI - TA&quot;&#10;Vai trò: Lên ý tưởng và phát triển một mô hình mô phỏng gamification để thể hiện mức độ tương tác của người dùng trong chiến dịch marketing. Thiết kế hành trình người dùng và cơ chế trò chơi nhằm phản ánh cách khách hàn"/>
        <s v="Em có làm hai dự án nhỏ về game: Ứng dụng searching và heuristics để tìm đường ngắn nhất cho game đưa đón hành khách; Tối ưu thuật toán alpha-beta và ứng dụng Reinforcement Learning cho bài toán đánh cờ gánh trong thời gian ngắn (sau khi tối ưu thuật toán"/>
        <s v="tôi chưa có kinh nghiệm nhiều"/>
        <s v="During my internship at Seedcom Food, I worked with HR data using SQL (BigQuery) to support reporting and analysis. I built dashboards to track workforce and operational metrics, and analyzed cost data to support financial monitoring. My work helped impro"/>
        <s v="Dù em chưa có kinh nghiệm trực tiếp về Game QA, em đã có kinh nghiệm liên quan thông qua dự án học tập và thực tập về kiểm thử phần mềm, gồm viết test case, bug reporting và regression testing"/>
        <s v="Yes, I worked on a Caro game project. I focused on testing gameplay, identifying bugs, and ensuring a smooth user experience. The project was completed with stable functionality and minimal issues."/>
        <s v="I have experience through academic projects related to AI and software development. I worked in a team to build a Vietnamese AI Tutor using RAG, where I contributed to document retrieval and model integration. I also developed ML projects such as spam ema"/>
        <s v="As a Data Science Intern at TMA Solutions, I developed a recommendation system for an e-commerce platform using a 2.7M+ interactions dataset. I applied data processing and the LightGCN model to improve personalization, achieving a 2.7× increase in ranking"/>
        <s v="Em từng tham gia Gameverse 2025 và đã đăng ký Gameverse 2026. Ngoài ra tại đại học em cũng là người khởi xướng, kết nối mọi người vào những giờ nghỉ trưa dài bằng việc tạo nhóm chơi game. Em cũng là một người chơi game lâu năm và có hiểu biết cơ bản về ng"/>
        <s v="Tôi đã có thời gian thực tập tại Kim Tín, tôi hỗ trợ đăng tin tuyển dụng trên các nền tảng như Facebook, Threads và trao đổi với ứng viên về mô tả công việc, giải đáp thắc mắc.&#10;&#10;Ngoài ra, tôi hỗ trợ nhập liệu và cập nhật thông tin nhân viên trên Excel, so"/>
        <s v="I developed SteamWeb/Bot, this is my personal project. A game discovery platform that helps players find suitable games faster by combining Steam catalog data, trend signals, and user preferences. I design the backend system, building data ingestion pipel"/>
        <s v="Tôi từng thực hiện dự án phân tích dữ liệu Bitcoin và Ethereum, với vai trò thiết kế và triển khai pipeline bán tự động từ CSV → HDFS → Hive → PostgreSQL → Power BI. Tôi phụ trách xử lý, làm sạch dữ liệu và xây dựng dashboard trực quan để phân tích hiệu s"/>
        <s v="During my internship as a Unity Developer, I worked on a music-themed game. My primary responsibilities included core development and refining the UI/UX.&#10;​Outcomes: I successfully implemented smooth gameplay mechanics and optimized the user interface, res"/>
        <s v="I worked on Folk Games Collection, a Godot coursework project: a browser-playable 2.5D festival hub containing 4 Vietnamese minigames: Nối Từ, Cờ Gánh, Ô Ăn Quan and Trốn Tìm.  I was responsible for the Nối Từ game, API-backend gameplay integration, API d"/>
        <s v="Tôi đã từng tham gia vai trò Tester cho game Net 24h: Vietnamese Internet Cafe Simulator: tôi test đi test lại các chức năng của game, report bug cho Dev và góp ý phát triển game; và tham gia đóng góp ý kiến cho game Đồng cỏ lau của Việt Nam."/>
        <s v="I worked as a Fullstack AI Intern, where I built and deployed a real-time voice AI system with low latency.&#10;&#10;I have also developed several end-to-end AI projects, including LLM-based and recommender systems, covering model training, backend development, a"/>
        <s v="Trong các dự án game trước đây, em đóng vai trò là nhà phát triển chính, chịu trách nhiệm xây dựng logic gameplay. Em là người chịu trách nhiệm đưa ra ý tưởng gameplay, xây dựng giao diện người dùng (UI/Menu), việc kiểm thử chất lượng (QA) và khắc phục cá"/>
        <s v="Developed a simple Minesweeper (dò mìn) game on PC using Java. The project includes basic features such as grid generation, mine placement, cell revealing, and simple win/lose conditions. This project helped me improve my logical thinking and understandin"/>
        <s v="In my university coursework, I developed several game projects, including a Mario-style game. As the main developer, I built the core mechanics using Pygame and Unity. I also successfully implemented AI algorithms like Minimax for the game logic. The outc"/>
        <s v="Developed fully playable 2D games using Pygame (Python). I independently handled all game logic and UI, applying my competitive gaming background to optimize mechanics and ensure smooth gameplay&#10;&#10;GitHub repository: https://github.com/dangkhoi-dev/Game-Pro"/>
        <s v="My professional background is built on a balance of technical recruitment and internal development. During my time at FPT Software, I gained hands-on experience in Talent Acquisition, where I mastered candidate sourcing and end-to-end recruitment workflow"/>
        <s v="Mình từng đảm nhận vai trò Manual QA Tester hỗ trợ nhóm sinh viên FPT University phát triển dự án game trên nền tảng Unity. Vai trò chính là viết kịch bản kiểm thử (test cases) chi tiết và thực hiện test thủ công các cơ chế cốt lõi của game và chịu trách "/>
        <s v="Yes. I worked on academic projects such as a Hotel Management System and a Cinema Management System, where I was involved in both development and manual testing. My role included building core features, designing test cases, and validating business logic "/>
        <s v="One project I worked on was Sac Xe Viet, a student project focused on redesigning street-vendor carts to improve their visual identity and help vendors stand out. As a Co-founder and Digital Communications member, I worked in a team of five, planned and p"/>
        <s v="I have not earned any game-related or job-related experience before, but I'm very eager to embark my journey to the game industry with Sun Studio through SUN.RISER Internship Program 2026."/>
        <s v="I don't have direct game industry experience, but my project and research work closely mirrors what this role demands. I built GymFlow Agent - a multi-tool agentic pipeline with intent routing, RAG, and JSON-structured outputs - and conducted research on "/>
        <s v="Có. Em đã thực hiện một dự án game Wumpus trong quá trình học. Vai trò của em là xây dựng logic game và thiết kế chiến lược ra quyết định cho agent dựa trên suy luận luật. Kết quả, hệ thống có thể hoạt động ổn định và agent có thể hoàn thành mục tiêu tron"/>
        <s v="Trong quá trình thực tập trước đó tại agency, tôi đã tích lũy được kinh nghiệm thực tế với các công việc:&#10;Tối ưu SEO và nghiên cứu từ khóa.&#10;Viết và biên tập content chuẩn SEO.&#10;Hỗ trợ theo dõi và báo cáo hiệu suất quảng cáo."/>
        <s v="I have not worked on a digital game project before. However, I once took part in creating a board game for a contest. I was actively involved in developing the game concept, rules, card design, and player experience. &#10;&#10;Although it was not a digital game, "/>
        <s v="trong dự án dự đoán churn khách hàng, em xử lý dữ liệu (missing, mất cân bằng bằng SMOTE), xây dựng mô hình XGBoost và tối ưu bằng Optuna, đạt ROC-AUC &gt; 0.95, đồng thời xây dựng dashboard bằng Streamlit để trực quan hóa insight.&#10;&#10;Trong dự án dự đoán giá b"/>
        <s v="Yes. In a coursework IMC project on the MoMo x ePass cashless toll product, I led a team to build a full campaign plan from research to execution strategy. I was responsible for market research, social listening, and analyzing user behavior to identify ke"/>
        <s v="I didn't have one"/>
        <s v="Không có ạ"/>
        <s v="Em từng tham gia một bài tập làm Game ở trường qua môi trường Socket và cũng chỉ là nhưng Game đơn giản để hiểu cơ chế hoạt động của server và client nên giao diện có phần hạn chế"/>
        <s v="Tôi đang thực tập ở vị trí Data Processing Intern tại công ty Infocus Mekong Research, vài trò của tôi là viết testcase, testlink, xử lý dữ liệu survey từ SPSS"/>
        <s v="Applying Java to display the interaction between character. Using health, power, point to calculate the attacking power and build matrix for simulating a map. Another likely assignment but developing in C++. All the assignment just only implemented in bac"/>
        <s v="In my coursework and personal projects, I have extensive experience in software development and quality assurance. As the Lead Developer for a real-time Chat Ecosystem and a Trip-Planning app, I managed full-stack development (PERN stack) and ensured syst"/>
        <s v="Phân tích &amp; Tối ưu hóa Dữ liệu tại ScanCom International A/S: Cost Improvement Assistant. Tôi sử dụng SQL và Python để phân tích dữ liệu vận hành, tìm ra các điểm nghẽn gây lãng phí. Giảm hao hụt nguyên liệu lên đến 40%.&#10;Phát triển Hệ thống AI (Computer V"/>
        <s v="I have led a team of 3 members to engineer a data pipeline by Pyspark to transform 0.5 million rows of unstructured data into analytics-ready format. I act as the main Data Analyst, diagnosed early-stage user lifecycles and identified a critical retention"/>
        <s v="In rag chatbot project, I engaged in building vector database and rag retriever pipeline using tech stack like qdrant, langchain or llamaIndex."/>
        <s v="Hiện em đang thực hiện đồ án về nhận diện tiền Việt Nam và trình bày ý nghĩa của từng tờ tiền. Em phụ trách xây dựng và triển khai mô hình CNN cho bài toán nhận diện hình ảnh. Kết quả, nhóm em đã demo thành công hệ thống, thể hiện khả năng áp dụng AI vào "/>
        <s v="Tôi chưa có kinh nghiệm làm trong Data Analysis nhưng có kinh nghiệm sử dụng SQL và Python"/>
        <s v="During my six-month research internship at a lab in Taiwan, I worked on a Rice Yield Prediction project. I focused heavily on Exploratory Data Analysis (EDA) to understand the correlation between climate variables and crop growth. I performed advanced pre"/>
        <s v="In the thesis project, I handle all the job by myself in Unreal Engine 5, including optimize the game."/>
        <s v="Phát triển gameplay, xây dựng hệ thống ( quest, UI, cốt truyện,…) xây map (2D/3D)&#10;Làm animation cho Player/ Enemy&#10;Tạo các VFX hiệu ứng cơ bản như skill ( lửa , sấm chớp, lốc xoáy ,…)"/>
        <s v="Mình chưa có"/>
        <s v="Em chưa làm qua dự án game nhưng em đã có làm qua app đọc tuyện"/>
        <s v="Ngoài những game em đã làm tại trường, em còn có tự làm qua 1 game casual cho bài phỏng vấn của công ty khác. Trong vòng 1 tuần em đã tự vẽ sprite, design level, bố trí UI (PC/Android), tự code từ a tới z, tích hợp vfx, kiểm thử và export lên itch.io cho "/>
        <s v="Trong vai trò Thực tập sinh Quan hệ Doanh nghiệp tại Trường đại học Văn Lang, em đã trực tiếp hỗ trợ kết nối nguồn nhân lực trẻ với các doanh nghiệp thông qua việc sàng lọc, tư vấn chỉnh sửa CV và rà soát chuẩn hóa các bản mô tả công việc (JD). Nhờ sự chủ"/>
        <s v="These are my school projects that for apply the data structure and algorithms"/>
        <s v="Yes. In a midterm Business English project, my team developed and hosted an interactive “bidding &amp; guessing” game for the class. I contributed across the full process - from ideation, to designing the game using software, and directly hosting it. By struc"/>
        <s v="1. Customer Behavior Analysis (Personal project): Project about customer behavior using Python, SQLserver and PowerBI. Created data visualization and conducted customer segmentation to provide actionable insights for personalized customer care and engagem"/>
        <s v="Em đang tham gia nhóm nghiên cứu khoa học DAIS ở trường Đại Học Bách Khoa TP.HCM.Nhóm nghiên cứu về cấu trúc RAG và ASR(audio,near realtime,livemeeting),em thuộc nhóm bên ASR.Hiện tại phần xử lí audio đã khá hoàn chỉnh nhưng phần near realtime và livemeet"/>
        <s v="Dạ em từng có các dự án sử dụng PowerBi, Microsoftsql, và Python để phân tích doanh thu bán hàng ạ."/>
        <s v="Chưa từng ạ"/>
        <s v="Em có tham gia một bài tập lớn là phân tích dữ liệu về GPU với dataset khoảng hơn 3000 mẫu. Trong project này em phụ trách phần tổng quan dữ liệu, gồm việc tìm hiểu cấu trúc dataset, ý nghĩa các biến và phân loại các kiểu dữ liệu khác nhau. Thông qua đó e"/>
        <s v="Chưa có nên em muốn thử sức"/>
        <s v="As a member of the HR Department at Young Economist Club, I supported recruitment activities including CV screening and interviewing over 100 candidates. I also handled logistics and coordinated materials for internal events, ensuring smooth operations. A"/>
        <m/>
        <s v="em từng thiết kế game 2D based turn, game đi cảnh tương tự mario, game đánh bóng 2D, game dạng đập chuột thời xưa."/>
        <s v="Trước đây chủ yếu em chỉ làm về các trang web để nộp bài tập thôi ạ. Chủ yếu dùng C# VÀ C++"/>
        <s v="This project is a personal thesis project. An improved AI made enemies behave in a more realistic and unpredictable manner, thus adding suspense by contrasting NPCs with zombies. The implementation of the Depth of Field technique added to the game's reali"/>
        <s v="Thực tập sinh Game Devoloper cho công ty Ace Galaxy. &#10;Vai trò: Trưởng nhóm&#10;Tham gia hỗ trợ việc giao tiếp giữa nhóm thực tập và công ty, thông qua hình thức nhắn tin trên Telegram. Hỗ trợ kiểm tra lỗi, phân công công việc cho các thành viên trong nhóm.&#10;Đạ"/>
        <s v="Em đã có kinh nghiệm thực hiện các dự án Game Design và cọ xát qua bài test của doanh nghiệp:&#10;&#10;Bài Test Chuyên môn Game Designer (Athena Studio):&#10;&#10;Vai trò: Thực hiện bài test phân tích và thiết kế game theo yêu cầu thực tế của studio.&#10;&#10;Kết quả: Bài làm đư"/>
        <s v="As a Customs Declaration Intern at Long Phu Logistics, my role involved processing complex cargo data and verifying shipping documentation to ensure strict compliance with international trade policies and Incoterms. The primary outcome was facilitating sm"/>
        <s v="In the project part in my CV"/>
        <s v="Data Security Intern (TRG International) - Create Usage Guide Documents; Setup, configure Data Loss Prevention Policies; Create Sensitive Auto-Labeling for 100+ Internal Documents; Collaborate with 5 Cross-function departments to guide them input and clas"/>
        <s v="I was a game designer on the Anime Auto Chess project"/>
        <s v="In my university Game Programming Course, I am the team leader and take the role of designing game project mechanic, team representator"/>
        <s v="UI Design, Concept Design, Game Flow Design"/>
        <s v="Em phát triển game Match-3 theo phong cách Bejeweled bằng C# WinForms. Vai trò chính gồm xây dựng gameplay cơ bản như swap, kiểm tra match, tính điểm và quản lý lưới game. Thông qua dự án, em hiểu thêm về gameplay loop, logic hệ thống và trải nghiệm người"/>
        <s v="Trong dự án DIGI (App E-learning tích hợp Gamification), em đảm nhận vai trò Product Lead tập trung vào System &amp; UX Design. Cụ thể, em chịu trách nhiệm xây dựng lộ trình bài học (tương đương Level Design) và thiết kế các cơ chế giữ chân người dùng (như hệ"/>
        <s v="em đã và đang phát triển một dự án game cá nhân, lấy chủ đề là chuyển đổi giữa 2 thế giới thật và thế giới gương để giải câu đố, người chơi sẽ vào vai một nhân vật tạm thời mất kí ức sau cú rơi vào thế giới gương, trong quá trình tìm kiếm cách để trở về t"/>
        <s v="Em có từng làm đồ án nhỏ về thiết kế game với vai trò thiết kế nhân vật cùng với môi trường trong game."/>
        <s v="Em chưa có kinh nghiệm liên quan đến game, em có nghiên cứu, biết một chút kiến thức về các công việc liên quan đến game."/>
        <s v="I have worked on several game projects involving gameplay design, level design, UI/UX, and player experience. In “REGROVER HILL,” I focused on puzzle progression, level flow, and gameplay systems. In “MIRACLE,” I worked on combat gameplay, UI/UX, feedback"/>
        <s v="No."/>
        <s v="góp phần tạo ra giao diện app game, các tính năng cơ bản và dựng nhân vật. Kết quả của đồ án đó được A"/>
        <s v="I have worked as a QA game for 1 year at Hopper Games Studio. As a QA game, I ensure the quality and performance of mobile games across multiple genres including Idle, Casual, Merge, RPG, and Tower Defense."/>
        <s v="Mình đã có kinh nghiệm làm 2 dự án game bằng Python: Minesweeper sử dụng DFS và Chess AI có GUI, tích hợp Alpha-Beta Pruning và MCTS (làm chung với nhóm). Trong các dự án này, mình tham gia xây dựng logic gameplay, giao diện, xử lý luật chơi và chạy thử n"/>
        <s v="Tôi đã tham gia phát triển một dự án game multiplayer mang tên Number Finding Game (05/2024 – 08/2025) với team 3 người, trong đó tôi đảm nhiệm vai trò Frontend &amp; Client–Server Multiplayer.&#10;Trong dự án này, tôi phụ trách xây dựng giao diện người chơi và t"/>
        <s v="Mặc dù chưa có nhưng em sẽ phát triển hơn  ạ"/>
      </sharedItems>
    </cacheField>
    <cacheField name="Porfolio" numFmtId="0">
      <sharedItems containsBlank="1">
        <s v="không có Lưu Trữ"/>
        <s v="I don't have any link of my previous intern job"/>
        <s v="https://drive.google.com/drive/folders/1r6X72oLorJrUQuwZAW3xTS9FpYD9QSEh?usp=sharing"/>
        <s v="https://github.com/anhsown/"/>
        <s v="https://github.com/LongNguyen1101/spa_bot"/>
        <s v="https://github.com/LePhuocThai2502"/>
        <s v="https://www.notion.so/Y-n-Nhi-Game-Design-Portfolio-3313446cc537804290cef3d4cb65d4f2?source=copy_link"/>
        <s v="https://www.porfolio.id.vn/"/>
        <s v="https://yan25-06.github.io/my-portfolio/"/>
        <s v="No"/>
        <s v="https://eliorvance.itch.io/group-3-foxy-adventure-shard-of-hope"/>
        <s v="Không có"/>
        <s v="lmquang.uwu.ai"/>
        <s v="https://github.com/kolee1902/Crossing-Road-Game"/>
        <s v="https://drive.google.com/drive/folders/1dy1UoqI3MNSap-Od_Ho9mATRLu2SYdD2?usp=drive_link"/>
        <s v="https://www.datascienceportfol.io/lananh310305 (The first project)"/>
        <s v="https://drive.google.com/drive/folders/1-M3xFXu_k2xw-Ne4QYyt4rqBlTKU1cbT?usp=sharing"/>
        <s v="https://drive.google.com/drive/folders/19iUpxRaz_4I63Lm1pa_hOOv0knfDNmUl?usp=sharing"/>
        <s v="https://www.canva.com/design/DAHGYMmxBLU/9d6XP2P3Cyk0U6yXHvtYcw/view"/>
        <s v="Em không có link dự án"/>
        <s v="https://github.com/thangnguyen13112004/Vietnamese-Sentiment-Analysis"/>
        <s v="https://github.com/ngocminh0123"/>
        <s v="https://huyagto.itch.io/racingai"/>
        <s v="Em chưa có"/>
        <s v="https://github.com/tathankochi/Fantasy2D"/>
        <s v="Dự án nội bộ khi Intern nên không đính kèm được."/>
        <s v="Em chưa có dự án làm game trực tiếp, nhưng em xin gửi link dự án Đồ họa 3D do em tự code. Dự án này thể hiện tư duy không gian và nền tảng lập trình 3D của em, rất có ích cho việc dùng Unity sau này ạ: https://github.com/Thien-lee-44/3D-editor"/>
        <s v="https://canva.link/znqiptynu6amqi0"/>
        <s v="https://github.com/HongNhan27"/>
        <s v="https://github.com/TranGiaHy"/>
        <s v="Chưa có kinh nghiệm về game"/>
        <s v="No experience"/>
        <s v="https://github.com/19406"/>
        <s v="."/>
        <s v="Not record yet"/>
        <s v="https://www.linkedin.com/in/hotrongnghia/"/>
        <s v="Due to confidentiality constraints, I’m unable to share certain project details publicly. However, I can discuss my experience and system design approach in detail during the interview."/>
        <s v="https://github.com/Meden-121?tab=repositories"/>
        <s v="https://github.com/kduy138"/>
        <s v="https://drive.google.com/drive/u/0/folders/1Kng1rcX_BXb2LOIeuIr6kxwLGx0hyPv-"/>
        <s v="https://github.com/Trantuananhk4x6, INTERVIEWAI.VN"/>
        <s v="không có"/>
        <s v="https://docs.google.com/document/d/1lUNvJ5kgSAYmrJrSJ9F6KnwofAkloqj7/edit?usp=drivesdk&amp;ouid=110842693275530401308&amp;rtpof=true&amp;sd=true"/>
        <s v="https://github.com/TranDaiHai2107/DRM_key_demand_forecasting"/>
        <s v="https://github.com/xuanday/Sokoban-project"/>
        <s v="https://my-portfolio-seven-blond-96.vercel.app/"/>
        <s v="https://github.com/PhongThanhNguyen099"/>
        <s v="My projects at HCMUT: https://github.com/hachiware-the-dreamer/LapTrinhGame"/>
        <s v="https://github.com/jin0507/OCR-Cosmetic-Ingredients"/>
        <s v="https://docs.google.com/spreadsheets/d/1ECnHCKTiqNeS68UvrZ8GpTwlecUwfbSacd0VvdFHQf4/edit?usp=sharing"/>
        <s v="github.com/viethoang251004"/>
        <s v="https://github.com/AdamNbz/celeste-2d-pc-version"/>
        <s v="https://github.com/locbuidinhan/StayHub"/>
        <s v="https://github.com/LeThanhCong1506"/>
        <s v="https://canva.link/m3s4zf74wz9zlyp"/>
        <s v="https://drive.google.com/file/d/1qqdBeuUmqDAp_XIHDgG_gp09iZABrbUX/view?usp=sharing"/>
        <s v="https://trianthach0311.my.canva.site/nguyenmaiphuong"/>
        <s v="Vì lí do bảng quyền nên mình không thể public được"/>
        <s v="https://www.behance.net/anhcphm2"/>
        <s v="Vì lý do bảo mật và cam kết với công ty trước đây, em không thể public source code hoặc chi tiết các project nội bộ. Tuy nhiên, em sẵn sàng chia sẻ tổng quan về vai trò, công nghệ sử dụng, quy trình triển khai và những kết quả đạt được trong buổi phỏng vấ"/>
        <s v="https://akkii0609.itch.io/washed-up-clown"/>
        <s v="https://github.com/hieu180230/Game-Test-w-SDL.git"/>
        <s v="https://github.com/TuongCuThanh/AI_Agent"/>
        <s v="https://github.com/nwyn-07, https://bit.ly/4dvlHo5, https://bit.ly/4meA9D6"/>
        <s v="https://ngkhai.itch.io/demo-owlet-adventure"/>
        <s v="https://github.com/rosenberg-2002; https://github.com/SirGreen/Advanced-Money-Management-App; https://github.com/YokkaLuv/ConveyorSystemApplication-FE; https://github.com/HieNguyen08/Introduction-AI-Assignment; https://github.com/rosenberg-2002/Foodiness"/>
        <s v="https://github.com/Bichvi/SkinSyntaxVN---Decoding-Your-Skin-Language"/>
        <s v="https://github.com/thanhdatttt/LuaLander.git"/>
        <s v="https://github.com/DeeMupply/Palmon.git"/>
        <s v="https://github.com/Tuprott991/AIthena-Multimodal-Video-Retrieval-System"/>
        <s v="https://github.com/Thanhquan1404/Spectral-Fisher-Framework-for-Anomaly-Detection.git"/>
        <s v="https://cv-tau-navy.vercel.app/"/>
        <s v="Github Portfolio: https://github.com/D157D"/>
        <s v="Source code: https://github.com/mhhung0811/ammoria; Demo: https://www.youtube.com/watch?v=3DLvVD6CTE4; Store:  https://just-a-wind.itch.io/ammoria"/>
        <s v="Link dự án liên quan tới Data Analysis:  [1]: https://drive.google.com/drive/folders/1oXj9u8_gBfV8rUF-_NdDk1JQUT1OcHU3 [2]: https://drive.google.com/drive/folders/1KGdbQAfQ4tNrsNRzeG-ptoxpMq7CLv1m Các link dự án khác:  https://drive.google.com/drive/folde"/>
        <s v="dodgero11.itch.io, github.com/dodgero11"/>
        <s v="Not yet"/>
        <s v="GitHub: https://github.com/HNKhanh031/HeroGame"/>
        <s v="Chưa có ạ"/>
        <s v="https://www.tiktok.com/@kitkat_vietnam/video/7558119989279083783 and https://www.facebook.com/reel/2378591482639008"/>
        <s v="https://www.linkedin.com/in/quandat-ai-engineer/"/>
        <s v="https://github.com/nhquana2/ai-project02-23clc01; https://github.com/nhquana2/ai-project01-23clc01; https://github.com/nhquana2/snake-game-ktlt"/>
        <s v="https://drive.google.com/file/d/1ju5FfPTUwoRLZ44EyeLizsuXqop9cx0-/view?usp=sharing"/>
        <s v="https://github.com/0382896246"/>
        <s v="https://phatpham.id.vn/"/>
        <s v="thp1923.github.io/Portfolio/"/>
        <s v="Projects can be found at: https://github.com/dbthyy. Easier access through separate links in CV."/>
        <s v="https://drive.google.com/drive/folders/1tcnPgIF_UMP6dT62XyeWqyd4vnIlij-n?usp=sharing"/>
        <s v="https://github.com/Pdz28/FA25AI64_GFA14_AIP491"/>
        <s v="https://drive.google.com/drive/folders/1jMmU4AVjpXLGmMo9dJLJcPpL1N3uqcj1?usp=drive_link"/>
        <s v="https://drive.google.com/file/d/1y7h18WjMHieEgKvAZ9PTgCiJHyyeoJ2Y/view?usp=sharing"/>
        <s v="https://nvmq1011.github.io/Portforlio/"/>
        <s v="https://github.com/liuliu409/ChatAssistantwithSessionMemory/tree/main"/>
        <s v="https://github.com/NTKhoii"/>
        <s v="https://github.com/MomonTK/KYS-Game"/>
        <s v="https://zussic.itch.io/"/>
        <s v="https://canva.link/diemquynh2026portfolio"/>
        <s v="vietlq0204-gif.github.io/LeQuocViet_Portfolio/"/>
        <s v="https://drive.google.com/file/d/1N9uVh3EYPNYXcBzxOY1sh81tXB9YYtiO/view?usp=sharing"/>
        <s v="https://docs.google.com/spreadsheets/d/1ub-Ek-CcdLdU8WaKBI7gn69qGV2dcNl1pFoLeCVtOj4/edit?usp=sharing"/>
        <s v="https://portfolio-seven-tawny-34.vercel.app/"/>
        <s v="https://bit.ly/ltphat-portfolio"/>
        <s v="https://github.com/Chien-VuMinh"/>
        <s v="2D Shooter (Unity): https://utan0710.itch.io/2d-shooter 2D Space Adventure (Unity): https://utan0710.itch.io/2d-space-adventure 3D Solar System (Unity): https://utan0710.itch.io/solar-system GitHub: https://github.com/Otcuan"/>
        <s v="Không"/>
        <s v="https://www.linkedin.com/in/chien-le-minh-3a6263196/"/>
        <s v="https://github.com/Thanhdatlevi"/>
        <s v="https://github.com/PhiLong1st/space-defend-game, https://github.com/fpt-devteam/climb-to-the-star,  https://github.com/PhiLong1st/dice-puzzle-game"/>
        <s v="Unity Play: https://play.unity.com/en/user/17261eda-8dd0-4172-a177-d3139d57e1a1"/>
        <s v="https://www.linkedin.com/in/toan-phuc-nguyen-24044a244?utm_source=share&amp;utm_campaign=share_via&amp;utm_content=profile&amp;utm_medium=ios_app"/>
        <s v="ThinkFirst: https://github.com/nhunguyen133/kms-hackathon-noleHCMUT.git; EcoStamp: https://github.com/phuoc147/EcoStamp-FE.git;"/>
        <s v="https://github.com/thzii"/>
        <s v="https://github.com/Bobonbush/Minecraft"/>
        <s v="https://vantrannnn.itch.io/parking-car"/>
        <s v="https://github.com/thanhbinh21"/>
        <s v="https://subdued-country-04d.notion.site/Portfolio-Game-Designer-3478bf3b3ac58041a6f4cff10d4059c8"/>
        <s v="https://github.com/CuongThinh-Le"/>
        <s v="https://thanhvi.framer.website/"/>
        <s v="https://github.com/yangg205/DATN (Dự án tốt nghiệp), https://github.com/XTH-CNTT-FPOLY-HCM/SU25-LTGA-PressStartxFPoly-Team11 (Dự án thực tập)"/>
        <s v="none"/>
        <s v="https://github.com/yangg205/DATN"/>
        <s v="https://github.com/dat-phamtan"/>
        <s v="GitHub: https://github.com/vandat2614"/>
        <s v="https://github.com/NguyenTram05"/>
        <s v="https://github.com/QuocHuy1202/VN_handwritting_ocr"/>
        <s v="https://github.com/danhkuqn09/ecommerce-backend-laravel"/>
        <s v="https://github.com/TrinhDang1811"/>
        <s v="https://github.com/Cow040606/EcoWorld.git"/>
        <s v="https://maithuong-portfolio.notion.site/Portfolio-c69142bc270a824d80388152f13e9017?pvs=143"/>
        <s v="https://drive.google.com/drive/folders/1PB32umB5PelthyP4r6gd4RRqmPQU_hn9?usp=sharing"/>
        <s v="https://github.com/notDuyLam/DO-AN-CO-CARO"/>
        <s v="https://github.com/Cow040606/EcoWorld   ||   https://drive.google.com/file/d/1h6oEsNJsrg9O8H85lxNttwiLZ-9dotrZ/view?usp=sharing"/>
        <s v="https://drive.google.com/drive/folders/1hDl49IFep6qwD60zlChXMOQNfrddOytQ?usp=sharing"/>
        <s v="My Saigon Times internship projects are private and not publicly shareable. However, you can view my Predictive Modeling for Employee Recruitment Outcomes project here: https://github.com/BigDataTechnology-Project/Predictive-Maintenance-System-using-Apach"/>
        <s v="https://drive.google.com/drive/folders/1pzhcZjMrn7OvshenE3pnISkrt3ND6FVK?usp=drive_link"/>
        <s v="https://github.com/LAMXO"/>
        <s v="https://github.com/NgPhTung?tab=repositories"/>
        <s v="N/A"/>
        <s v="https://www.canva.com/design/DAGg92Kqsc4/nojKXr66BQZ0MDLA3_11vA/view"/>
        <s v="https://github.com/cownon/Sudoku-Game"/>
        <s v="https://github.com/quyen6/powerbi-sales-dashboard"/>
        <s v="Do vấn đề bảo mật thông tin từ công ty trước, hiện tại tôi chưa thể đính kèm Portfolio hoặc chia sẻ trực tiếp các dự án đã thực hiện."/>
        <s v="https://github.com/DarynBang"/>
        <s v="https://github.com/chaumyphuong?tab=repositories"/>
        <s v="Currently updating my portfolio. Available upon request."/>
        <s v="https://github.com/winnguyen1905-aladin"/>
        <s v="https://www.deviantart.com/yunnir"/>
        <s v="Dự án của công ty. Not available."/>
        <s v="Không có dự án thực tế"/>
        <s v="https://github.com/phtan2005/Anime-recommendation-system-project"/>
        <s v="quanghia.dev"/>
        <s v="1. Dự án nhóm: PuzzleStepper (3D Logic Puzzle)  Github: https://github.com/letai1854/PuzzleStepper  Demo: https://youtu.be/_TSHY_yE0CU  2. Dự án cá nhân: Sort Animal Puzzle (Casual)  Github: https://github.com/letai1854/Sort-Animal  Demo: https://youtube."/>
        <s v="Link Portfolio (có thể xem trong CV): https://www.figma.com/proto/sPCodpBG9D529Asx6XtLFD/Portfolio-ThanhTungNguyen?node-id=228-65&amp;t=wqNJFzucyY3p8XM7-1&amp;scaling=scale-down-width&amp;content-scaling=fixed&amp;hide-ui=1"/>
        <s v="https://drive.google.com/drive/folders/1AqYgrCIBqCMUOdmwBu4rbAfgWU6MBjm7?usp=sharing"/>
        <s v="Đó là dự án private không có link"/>
        <s v="https://github.com/rivaille1704/The-Knight-Has-Arrived"/>
        <s v="https://github.com/kNhung/ClaimCheck"/>
        <s v="Chưa làm"/>
        <s v="https://github.com/Arashikage-XuanHoang/PREDICTION-OF-FOOTBALL-TRANSFER-VALUES-FOR-THE-2025-26-SEASON"/>
        <s v="https://www.youtube.com/watch?v=FQ_yJkyQVKg&amp;t=39s"/>
        <s v="https://github.com/haothach"/>
        <s v="https://drive.google.com/drive/folders/1W00HOMmKv1bQj0oxEQ-ipY6mZS-ovhje"/>
        <s v="Regarding my internship at AA Global Group, I am unable to provide a project link due to data confidentiality policies. My primary responsibilities involved collecting and cleaning internal datasets, and the results were used strictly for internal team re"/>
        <s v="GitHub: https://github.com/nhatminh280  Related Projects:  Heartify — Document Intelligence &amp; Retrieval System E-commerce Hybrid Retrieval &amp; Recommendation System Video Object Retrieval System — Champion AI Contest PTIT"/>
        <s v="https://ieeexplore.ieee.org/document/11474809"/>
        <s v="https://github.com/nhanhoanghenrykaka/frontend_DATH_HK251"/>
        <s v="https://github.com/Ganth1811/NMLT_Project_game"/>
        <s v="https://github.com/Reinforcement-Learning-Pacman/Double-DeepQ-Learning"/>
        <s v="https://github.com/paultheal1en/VulCan"/>
        <s v="https://github.com/doviethung11192023/predicting_house_price_in_HCM_city"/>
        <s v="https://www.behance.net/gallery/248092077/Portfolio"/>
        <s v="https://github.com/vulong2832k/Design-game-Platform-2D.git"/>
        <s v="https://docs.google.com/spreadsheets/d/1hRiW8673ikAm-seB4fOK8F9siTnhFjFD/edit?gid=384532806#gid=384532806"/>
        <s v="https://nmhung-gamedev.vercel.app/"/>
        <s v="www.linkedin.com/in/phuocloc742"/>
        <s v="https://drive.google.com/drive/folders/19DmeeSJ_VbAhcyB4A00Y-HrEydPKiSNy?hl=vi"/>
        <s v="https://github.com/KenyaWashed/FinalProject_GGWP.git"/>
        <s v="Please read my CV"/>
        <s v="https://github.com/22520896/LawChatBot"/>
        <s v="The most related project: https://drive.google.com/drive/folders/1bEJHEcM2mKFsrfdipmnUJch6HaWV9FJu?usp=sharing (More related projects in my CV)."/>
        <s v="https://drive.google.com/drive/folders/1cu7wbRoPH1rhlVy4wfP7a3bCS4e_Y4vW?usp=drive_link"/>
        <s v="https://github.com/thinhnt-uit"/>
        <s v="https://www.linkedin.com/in/vanphamanh/"/>
        <s v="https://github.com/QNhu21DTH/endlessrun"/>
        <s v="https://github.com/KivicDu/child-safety-simulator"/>
        <s v="Tôi chưa có dự án thực tế nào."/>
        <s v="https://github.com/quangtangcf12"/>
        <s v="Github: https://github.com/AnhThai19"/>
        <s v="https://github.com/quangctk24419-dev"/>
        <s v="https://github.com/Audrey175"/>
        <s v="https://github.com/HuyChill2406"/>
        <s v="https://github.com/nguyenthanh222/Flood-It-Game-Analytics"/>
        <s v="https://rag-diabetes.onrender.com/"/>
        <s v="https://github.com/TranQuocDat0405/Unity_Flappy_Bird"/>
        <s v="https://github.com/DOANHONGBAO/NongTraiVuiVe"/>
        <s v="Portfolio: https://senseiikuiku.github.io/, Itch.io: https://senseiikuiku.itch.io/"/>
        <s v="https://bit.ly/4mdXIfn"/>
        <s v="https://github.com/tientaiuu/Readify-BookWeb"/>
        <s v="https://github.com/xuannhi2908/LapTrinhCSharp/tree/main"/>
        <s v="https://github.com/StevensJamara/Match3_CandyGame"/>
        <s v="https://znews.vn/tua-game-mang-y-nghia-tich-cuc-cua-nam-sinh-lop-12-post1262084.html"/>
        <s v="kaitodeus.vercel.app"/>
        <s v="https://github.com/Koikoffee"/>
        <s v="https://github.com/trunnguyen/Personal-Project/tree/main/Multimodal_emotion_recognition"/>
        <s v="https://www.linkedin.com/in/nguyen-hung-7258b3334/"/>
        <s v="I look forward to the opportunity to discuss my application further in the next round."/>
        <s v="https://github.com/nguyen2966/HCMUT-ROOMS-BOOKING-APP"/>
        <s v="https://github.com/KhanhBaoBuiHa/Classification-of-environmental-noise . https://github.com/KhanhBaoBuiHa/RecommendationSystem-"/>
        <s v="https://1drv.ms/x/c/185b75a9cc69d9ad/IQDBthYNweFZRrpk0BGymkOnAdAxuo5kN-n_CzyPbBNzthE?e=uWnge4"/>
        <s v="https://github.com/SuKem0703/BNG_Group.git"/>
        <s v="Crimson Knight: https://github.com/HongLam-dev/Crimson-Knight-Blockchain, Hollow Knight: https://github.com/HongLam-dev/HollowKnight_Code, Battleground: https://github.com/Vminhkiet/BattleGround"/>
        <s v="Chưa có"/>
        <s v="Home Credit Default Risk: https://github.com/toann1405/home-credit-default-risk.git, Customer Churn Prediction: https://github.com/toann1405/customer-churn-ml-system.git, 2D Unity Chess Game: https://github.com/toann1405/Chess.git"/>
        <s v="https://github.com/DucPhuc1"/>
        <s v="https://github.com/hyeiu142"/>
        <s v="https://app.powerbi.com/view?r=eyJrIjoiZmQ1NDMzODYtODFhZi00Zjg2LWE3YjctMDRjM2NlYjJmNjQyIiwidCI6IjVlOGIzMjY5LTc2Y2EtNDU3Yy04NDdmLTQ0NGUzZGI5ODZhNyIsImMiOjl9"/>
        <s v="Hiện tại tôi chưa có portfolio để chia sẻ."/>
        <s v="https://github.com/NguyenPhucLoan"/>
        <s v="https://huggingface.co/spaces/wuann/TrOCR_VN_Handwritting https://wuannlab.id.vn/ https://wuann15325.itch.io/journeytospace"/>
        <s v="https://github.com/phatpinkkk?tab=repositories"/>
        <s v="https://github.com/Khoataphat"/>
        <s v="github.com/Ultimanemone/MTMT-VFX-Core"/>
        <s v="https://drive.google.com/drive/folders/1SCLsGdteeS5lAf8QArtyULOZQUsYfJ_Q?usp=sharing"/>
        <s v="https://github.com/nqduy276/diginet-ai"/>
        <s v="https://drive.google.com/drive/folders/1m50e3m8Ui29Y63GmU0elPWuKE8w57OFH?usp=sharing"/>
        <s v="https://drive.google.com/drive/u/0/folders/11mT4--_bI_iW3vqqDm44LXM3eQYAiPbB"/>
        <s v="https://github.com/kunai2312/BraindotClone-Demo-"/>
        <s v="https://github.com/MinhPhu2705-uel"/>
        <s v="Wumpus World Agent: https://github.com/namviet157/Wumpus-World-Agent.git"/>
        <s v="https://dangduongtamnhu.my.canva.site/vudobinhanportfolio"/>
        <s v="https://github.com/tatkien/intro_to_AI_project; https://github.com/tatkien/BTL2_AI_2526"/>
        <s v="tôi chưa có"/>
        <s v="https://chivtn.github.io/chi-portfolio/"/>
        <s v="Các dự án và kinh nghiệm liên quan đã được đính kèm trong CV. Em sẵn sàng cung cấp thêm portfolio hoặc tài liệu dự án khi được yêu cầu"/>
        <s v="https://github.com/trantruonglananh931"/>
        <s v="https://drive.google.com/file/d/1hgX1mMZqW__3oxsYK5XkaU4KQHCizqUp/view"/>
        <s v="https://github.com/Thinh59"/>
        <s v="https://canva.link/pojghvb0lev36jz"/>
        <s v="https://github.com/Nhi005/music-web"/>
        <s v="Dạ em không có ạ"/>
        <s v="www.linkedin.com/in/hồ ngọc-nhung-134191259"/>
        <s v="https://github.com/blacki0214"/>
        <s v="https://github.com/bhuukhang/BTC_ETH"/>
        <s v="https://github.com/Plitzee"/>
        <s v="https://drive.google.com/drive/folders/17Qhha8fPtMw5hK34qnOXQhIsu8JOmnhy"/>
        <s v="https://github.com/itshoang2024"/>
        <s v="https://store.steampowered.com/app/2253980/Net_24h_Vietnamese_Internet_Cafe_Simulator/"/>
        <s v="www.linkedin.com/in/minh-phạm-1b8b28287 | https://github.com/johnpham4?tab=repositories"/>
        <s v="https://github.com/SonTrinh235/GameDev_3"/>
        <s v="https://drive.google.com/file/d/1cLVDCQqCiNt66VJBAzBx8r9fFlZyLqC_/view?usp=sharing"/>
        <s v="https://github.com/dangkhoi-dev/Game-Programming"/>
        <s v="Link DA (finding key insight in dataset): https://dangkhoi-dev.github.io/P4AI-DS/ ; Link AI (credit Fraud detection): https://dangkhoi-dev.github.io/Demo-Website/ ; Link AI (YoloFarm - AI applied in Farm): https://dangkhoi-dev.github.io/DADN/"/>
        <s v="https://drive.google.com/file/d/1vKd8mx4OaFhtJwQXrQuTi4d5J8k1b3_2/view?usp=drivesdk"/>
        <s v="https://lebaott.vercel.app/"/>
        <s v="Hotel Management System (C#, WinForms, SQL Server) Role: Development &amp; Manual Testing (test case design, business logic validation) GitHub: https://github.com/vkkhanh/QLyKhachSanRomanceHotel;  Cinema Management System (C#, WinForms, SQL Server) Role: Deve"/>
        <s v="https://www.facebook.com/profile.php?id=61575026425470"/>
        <s v="https://realusioncore.my.canva.site/hnhuong-portfolio"/>
        <s v="https://github.com/DazKha/"/>
        <s v="https://github.com/hungle123-dev/lumina-rag"/>
        <s v="https://hellocuccung.my.canva.site/tran-duy-phat-portfolio"/>
        <s v="My portfolio: https://cattuongtran9-create.github.io/ My boardgame project: https://sites.google.com/view/duanboardgaemnguvan/"/>
        <s v="https://github.com/hematology-analyzer-system"/>
        <s v="https://drive.google.com/drive/folders/1hzbf4vI9mRg9FNdrf-POgsqO1kNciqmU?usp=drive_link"/>
        <s v="https://www.behance.net/gallery/234786921/Event-App-Cinema-System"/>
        <s v="https://vyquachforwork.wixsite.com/vyport"/>
        <s v="https://www.canva.com/design/DAHET3kGnug/GEhjO7Hf6N_OJ-UVrcEolQ/view?utm_content=DAHET3kGnug&amp;utm_campaign=designshare&amp;utm_medium=link2&amp;utm_source=uniquelinks&amp;utlId=h2cc3f717cb"/>
        <s v="https://github.com/OhJiKang"/>
        <s v="Hiện tại chưa có"/>
        <s v="https://chgiabaoportfolio.netlify.app/"/>
        <s v="https://github.com/TVTruong777/PF242-Assignment2.git"/>
        <s v="https://tung-quan.github.io/"/>
        <s v="github.com/quanxuli"/>
        <s v="https://github.com/CeciliaDinh"/>
        <s v="https://github.com/anhduong77/rag_agent"/>
        <s v="https://github.com/DoanThu-collab/CS231-vietnamese-currency-recognition"/>
        <s v="www.github.com/luctr1509"/>
        <s v="https://trananhhuy-portfolio.vercel.app/"/>
        <s v="https://github.com/Alterix53"/>
        <s v="https://drive.google.com/drive/folders/1A3gxxSaSYOyGPykkOeokEl1Qxo_WUDdx?usp=sharing"/>
        <s v="Youtube portfolio thesis demo link: https://www.youtube.com/watch?v=RD684U095lE&amp;t=116s"/>
        <s v="https://nthongnhung1996.wixsite.com/hongnhungnguyenportf"/>
        <s v="https://github.com/Rudeus1706"/>
        <s v="Mình chưa có"/>
        <s v="https://github.com/thutrang3772/CNPM_Ca1_N1"/>
        <s v="https://azuretrieu.carrd.co/"/>
        <s v="Em chỉ có kinh nghiệm qua các dự án như Kiểm thử cho web bán vé máy bay và máy POS, với Game thì đây là bước đi đầu tiên của em"/>
        <s v="https://github.com/QuocBinh2708/DSA-Proj"/>
        <s v="https://canva.link/azl5mu6c1sf3kkq"/>
        <s v="1. https://github.com/Back-number212/customer_behavior_analysis"/>
        <s v="https://locphanportfolio.framer.website/ (một số dự án không công khai mã nguồn vì lí do đang nghiên cứu)"/>
        <s v="https://drive.google.com/drive/folders/1llbA16htVLjGDQ5HMBUJwuK6XbGAamoD"/>
        <s v="tbaro19.github.io"/>
        <s v="https://drive.google.com/file/d/1FERVRKxr1cMJ TXSEs7t1Njdx8xnqy3ha/view?usp=drivesdk"/>
        <s v="https://github.com/CrossManger"/>
        <s v="https://www.linkedin.com/in/nguy%E1%BB%85n-minh-14577330a?utm_source=share_via&amp;utm_content=profile&amp;utm_medium=member_ios"/>
        <s v="https://www.facebook.com/share/p/18ZovS3qfW/"/>
        <m/>
        <s v="https://github.com/RuMeoDiNhau/Game-2D-Turn-Based-strategy"/>
        <s v="dạ em không còn ạ."/>
        <s v="youtube link: https://www.youtube.com/watch?v=RD684U095lE"/>
        <s v="https://shinzole.itch.io/bay-ao"/>
        <s v="Dự án Bus Jam Concept (GDD &amp; Wireframes): https://docs.google.com/document/d/1Ied1DCXFsyG7hTeddeszGpOQfFSjTCZ89IJr5r_e99M/edit?tab=t.0. Dự án web (có áp dụng AI): https://workflowz-ruddy.vercel.app/dashboard."/>
        <s v="https://monluette.framer.website/"/>
        <s v="https://www.rmitvn-showcase.com/scd-games-y2/mama-please-wait"/>
        <s v="Since all of my tasks in my old company is confidential, so I can't put any relevant links in here"/>
        <s v="https://www.roblox.com/games/16695366828/Anime-Auto-Chess"/>
        <s v="The repo link is currently my teammate's ownership and I cannot contact him about this problem"/>
        <s v="https://drive.google.com/drive/folders/1tJ2VNo_JTXLWkrJ9dOEaD4GlUca05h6c?usp=sharing"/>
        <s v="https://github.com/nguyenminhthuvcst-eng/Bejeweled"/>
        <s v="https://canva.link/tuy8d46mr7j8zwr"/>
        <s v="cuongtruong.me"/>
        <s v="https://drive.google.com/file/d/1oM2r48ztyGvZLNfQT8h_lz7x05ga74fO/view?usp=sharing"/>
        <s v="https://www.behance.net/gallery/245733143/PORTFOLIO-2026-Yoi"/>
        <s v="https://drive.google.com/drive/folders/1O5bIMCC0c7aHigyYKqG1XBsu0-Xcvuz4?usp=sharing"/>
        <s v="I don't have any project yet."/>
        <s v="https://drive.google.com/drive/folders/1z8glwC-7YtlpXnK_lqftltLfqdUmlJt5"/>
        <s v="https://www.linkedin.com/in/an-phan-vu-truong-586b25280/"/>
        <s v="https://github.com/thongken/Minesweeper-HW1"/>
        <s v="github.com/tanthinh030203/number-finding-game"/>
        <s v="dạ hiện tại em chưa có ạ"/>
        <s v="https://kimberlynhon.framer.website/?fbclid=IwdGRleARpp99jbGNrBAtZQ2V4dG4DYWVtAjExAHNydGMGYXBwX2lkEDIyMjAzOTE3ODgyMDA4OTIAAR58a50QfNv2z5FglEOiepl7s0UFTalwD5rLl4JCvnKM0YLtPs5PpVz5YHDX2A_aem_IKT4azipqaxWMCT6TzMAqA&amp;utm_source=ig&amp;utm_medium=social&amp;utm_content"/>
      </sharedItems>
    </cacheField>
    <cacheField name="Are you willing to work full-time at least 3,5 days/week and commit to at least 3 months, starting from June 2026?" numFmtId="0">
      <sharedItems containsBlank="1">
        <s v="Yes / Có"/>
        <s v="Tôi đồng ý và tôi sẵn sàng có thể thực tập nhiều hơn, vì tôi ưu tiên phát triển kỹ năng và kinh nghiệm hơn là những yếu tố khác."/>
        <s v="Em hiện đang trực dân quân với lại sắp tới em có khả năng đi huấn luyện 15 ngày hiện em ko rõ thời gian như thế nào"/>
        <s v="Hiện tại em bị dính môn thực tập ( qua tuần sau chốt danh sách rồi nên tối thiểu  em có thể tham gia tầm 1-2 ngày còn lại thì em có thể sắp xếp meeting online cũng được"/>
        <s v="Có thể làm full-time từ tháng 6 đến giữa tháng 8. Sau đó do lịch học (thứ 2–thứ 6), thời gian sẽ cần trao đổi linh hoạt."/>
        <s v="3 days/week"/>
        <s v="Em hi vọng sẽ có khả năng làm việc cùng với công ty ngay từ hôm nay"/>
        <s v="I can commit fulltime."/>
        <m/>
      </sharedItems>
    </cacheField>
    <cacheField name="Sau thời gian thực tập, bạn sẽ có cơ hội được review để thăng tiến vị trí chính thức. Bạn có thể đi làm full-time tối thiểu 3,5 ngày/tuần không?" numFmtId="0">
      <sharedItems containsBlank="1">
        <s v="Yes / Có"/>
        <s v="Maybe yes because it depend on the schedule in my university"/>
        <s v="Tôi sẵn sàng đồng ý."/>
        <s v="Will be considered till that time"/>
        <s v="Mong muốn tiếp tục làm việc, nhưng ưu tiên full-time sau khi tốt nghiệp. Trước đó có thể trao đổi các hình thức phù hợp."/>
        <m/>
      </sharedItems>
    </cacheField>
    <cacheField name="*Bạn biết đến chương trình thực tập SUN.riser của SUN.STUDIO qua kênh nào?*" numFmtId="0">
      <sharedItems containsBlank="1">
        <s v="Facebook"/>
        <s v="Mạng xã hội"/>
        <s v="SUN.STUDIO LinkedIn"/>
        <s v="Trường đại học, Mạng xã hội"/>
        <s v="Trường đại học"/>
        <s v="SUN.STUDIO LinkedIn, Mạng xã hội"/>
        <s v="SUN.STUDIO LinkedIn, Ybox, TopCV"/>
        <s v="Trường đại học, Ứng tuyển qua Chương trình Thực tập hè của Nhà trường (như HCMUS, HCMUT)"/>
        <s v="Bạn bè giới thiệu"/>
        <s v="Ybox"/>
        <s v="Mạng xã hội, Trường đại học"/>
        <s v="Mạng xã hội, SUN.STUDIO LinkedIn"/>
        <s v="Trường đại học, Forum UIT"/>
        <s v="Ứng tuyển qua Chương trình Thực tập hè của Nhà trường (như HCMUS, HCMUT)"/>
        <s v="SUN.STUDIO LinkedIn, Mạng xã hội, TopCV"/>
        <s v="Nhân viên công ty giới thiệu"/>
        <s v="SUN.STUDIO LinkedIn, Mạng xã hội, bạn giới thiệu"/>
        <s v="TopCV"/>
        <s v="SUN.STUDIO LinkedIn, Trường đại học"/>
        <s v="Ybox, Trường đại học, SUN.STUDIO LinkedIn"/>
        <s v="SUN.STUDIO LinkedIn, Nhân viên công ty giới thiệu, Mạng xã hội"/>
        <s v="Trường đại học, Mạng xã hội, Ứng tuyển qua Chương trình Thực tập hè của Nhà trường (như HCMUS, HCMUT), Một người bạn"/>
        <s v="Ybox, Mạng xã hội, SUN.STUDIO LinkedIn, Nhân viên công ty giới thiệu"/>
        <s v="Mạng xã hội, Ứng tuyển qua Chương trình Thực tập hè của Nhà trường (như HCMUS, HCMUT)"/>
        <s v="SUN.STUDIO LinkedIn, Ứng tuyển qua Chương trình Thực tập hè của Nhà trường (như HCMUS, HCMUT), Mạng xã hội"/>
        <s v="SUN.STUDIO LinkedIn, Trường đại học, TopCV, Mạng xã hội"/>
        <s v="Mạng xã hội, SUN.STUDIO LinkedIn, TopCV"/>
        <s v="Nhân viên công ty giới thiệu, Mạng xã hội"/>
        <s v="SUN.STUDIO LinkedIn, Ybox"/>
        <s v="SUN.STUDIO LinkedIn, Ứng tuyển qua Chương trình Thực tập hè của Nhà trường (như HCMUS, HCMUT)"/>
        <s v="Một người bạn"/>
        <s v="Nhân viên công ty giới thiệu, SUN.STUDIO LinkedIn"/>
        <s v="SUN.STUDIO LinkedIn, Mạng xã hội, TopCV, Ứng tuyển qua Chương trình Thực tập hè của Nhà trường (như HCMUS, HCMUT)"/>
        <s v="SUN.STUDIO LinkedIn, TopCV, Mạng xã hội"/>
        <s v="Ứng tuyển qua Chương trình Thực tập hè của Nhà trường (như HCMUS, HCMUT), SUN.STUDIO LinkedIn"/>
        <s v="SUN.STUDIO LinkedIn, Mạng xã hội, I have seen games from Playstore that are from SUN.STUDIO"/>
        <s v="Ứng tuyển qua Chương trình Thực tập hè của Nhà trường (như HCMUS, HCMUT), Trường đại học, Mạng xã hội, SUN.STUDIO LinkedIn"/>
        <s v="Mạng xã hội, Trường đại học, Giáo viên chủ nhiệm"/>
        <s v="Trường đại học, TopCV, SUN.STUDIO LinkedIn, Mạng xã hội"/>
        <s v="Ybox, Mạng xã hội"/>
        <s v="Mạng xã hội, Được bạn trong ngành IT giới thiệu"/>
        <s v="linkedIn"/>
        <s v="SUN.STUDIO LinkedIn, joboko"/>
        <s v="Ứng tuyển qua Chương trình Thực tập hè của Nhà trường (như HCMUS, HCMUT), Trường đại học, Mạng xã hội"/>
        <s v="Trường đại học, My friends"/>
        <s v="SUN.STUDIO LinkedIn, Ứng tuyển qua Chương trình Thực tập hè của Nhà trường (như HCMUS, HCMUT), Trường đại học, Mạng xã hội"/>
        <s v="Friend"/>
        <s v="Ybox, Mạng xã hội, SUN.STUDIO LinkedIn"/>
        <s v="SUN.STUDIO LinkedIn, Ứng tuyển qua Chương trình Thực tập hè của Nhà trường (như HCMUS, HCMUT), Trường đại học, Mạng xã hội, UIT Forum"/>
        <m/>
        <s v="SUN.STUDIO LinkedIn, TopCV"/>
        <s v="SUN.STUDIO LinkedIn, Ứng tuyển qua Chương trình Thực tập hè của Nhà trường (như HCMUS, HCMUT), From friends"/>
        <s v="Mạng xã hội, Ybox"/>
        <s v="Trường đại học, Ứng tuyển qua Chương trình Thực tập hè của Nhà trường (như HCMUS, HCMUT), Thầy cô ở trường giới thiệu."/>
        <s v="Mạng xã hội, TopCV"/>
        <s v="Mạng xã hội, Trường đại học, Ứng tuyển qua Chương trình Thực tập hè của Nhà trường (như HCMUS, HCMUT)"/>
      </sharedItems>
    </cacheField>
    <cacheField name="*Tên nhân viên giới thiệu nội bộ*" numFmtId="0">
      <sharedItems containsBlank="1">
        <m/>
        <s v="Mai Gia Minh"/>
        <s v="Võ Gia Linh"/>
        <s v="Hà Thị Lan Anh"/>
        <s v="Lâm Chu Diệu Nhiên"/>
        <s v="Phạm Hùng Thiên"/>
      </sharedItems>
    </cacheField>
    <cacheField name="*Is there anything you would like to share with SUN.STUDIO?*&#10;_Bạn có điều gì muốn gửi gắm đến SUN.STUDIO?  _" numFmtId="0">
      <sharedItems containsBlank="1">
        <s v="Chuyển dịch từ QA sang QE (Quality&#10;Engineering)AI-Augmented Testing&#10;-Tôi Muốn trở thành một QA Tester có tư duy Game Design, không chỉ tìm lỗi (Bugs) mà còn đưa ra các giải pháp tối ưu hóa Gameplay và đóng góp ý tưởng để cải thiện giữ chân người dùng (Ret"/>
        <m/>
        <s v="I'm genuinely excited about the opportunity to be part of SUN.RISER 2026. What draws me most to Sun Studio is the chance to work with real, live products—where data has direct impact on player experience and business decisions. I'm a fast learner, highly "/>
        <s v="Em iu công ty"/>
        <s v="Em rất trân trọng cơ hội được ứng tuyển vào vị trí Unity Intern tại SUN.STUDIO. Nếu có cơ hội đồng hành, tôi cam kết sẽ nỗ lực hết mình để học hỏi và hoàn thành tốt các nhiệm vụ được giao, đóng góp vào sự phát triển chung của team. Rất mong nhận được phản"/>
        <s v="Em rất ấn tượng với môi trường sáng tạo tại Sun Studio. Dù đến từ nền tảng chuyên ngành Luật, em tự tin sẽ mang đến sự chỉn chu, tư duy logic và kỹ năng viết lách để đóng góp giá trị thực cho team HR."/>
        <s v="I’m eager to learn, but I also value being involved and contributing as much as I can from the start. I enjoy the process of refining ideas through iteration and feedback, and I’m looking for a team where I can grow through that process. I’d really apprec"/>
        <s v="I’m eager to learn and contribute in a practical environment like SUN.STUDIO. I may not have extensive experience yet, but I’m highly motivated, quick to learn, and enjoy solving real problems with AI. I hope to grow here and contribute to building impact"/>
        <s v="Em thấy công ty mình đang tập trung vào các game Casual/Puzzle truyền thống như Bubble Shooter và Match-3. Em muốn hỏi là công ty có định hướng kết hợp thêm yếu tố cốt truyện hoặc các hoạt động tương tác bên ngoài màn chơi không ạ? Em nghĩ làm như vậy sẽ "/>
        <s v="I have actually played some of SUN.STUDIO’s games like Wood Block Puzzle and Block Puzzle Ocean, which makes this opportunity even more meaningful to me. Being able to work with data behind games I grew up enjoying is something I’m really excited about. I"/>
        <s v="Em hi vọng là chương trình sẽ process theo như đúng timeline cũng như là có thank you letter nếu như em không thể pass được chương trình ạ"/>
        <s v="I kindly want to know about the development roadmap in SUN.STUDIO related to my position in the future"/>
        <s v="I just wanted to share a small note regarding my transcript. Some of my earlier semesters and math-related courses have lower grades, so I hope the evaluation can be considered as a whole progression rather than focusing too much on the early results."/>
        <s v="Em tin rằng sự kết hợp giữa tư duy nghiên cứu và kỹ năng lập trình của mình sẽ đóng góp tích cực cho đội ngũ AI Engineer tại Sun*. Cảm ơn SUN.STUDIO đã trao cơ hội để em được thử sức và phát triển trong một môi trường chuyên nghiệp như SUN.RISER 2026."/>
        <s v="Em rất mong có cơ hội được thực tập tại SUN.STUDIO để tìm hiểu và học hỏi thêm về cách làm việc với dữ liệu trong lĩnh vực game. Đồng thời, em hy vọng có thể đóng góp một phần khả năng của mình để hỗ trợ team và tích lũy thêm kinh nghiệm trong quá trình l"/>
        <s v="Em rất mong có cơ hội được học hỏi và phát triển tại SUN.STUDIO. Em sẵn sàng tiếp thu kiến thức mới, làm việc nghiêm túc và đóng góp hết khả năng của mình vào các dự án của công ty."/>
        <s v="Như nhiều người trẻ khác, game luôn là một sở thích lớn của em, và bây giờ được làm công việc chuyên môn mà còn có liên quan đến sở thích của mình thì thật sự tuyệt vời. Hi vọng em sẽ có cơ hội được trải nghiệm môi trường làm việc trẻ trung năng động chuy"/>
        <s v="Em rất mong là SUN.STUDIO sẽ cho em 1 cơ hội để có thể được làm việc trong lĩnh vực game"/>
        <s v="Thông qua việc ứng tuyển vào SUN.STUDIO, mong muốn lớn nhất của em là được đặt những viên gạch đầu tiên cho sự nghiệp chuyên nghiệp trong một môi trường năng động và sáng tạo. Là một sinh viên vừa tốt nghiệp, em không chỉ mang theo kiến thức chuyên môn về"/>
        <s v="Em cảm ơn các anh chị đã xem xét hồ sơ của em. Rất mong có thể được trao đổi trực tiếp để em được hiểu hơn và đồng hành cùng công ty!!"/>
        <s v="Em mong muốn nếu có cơ hội đồng hành cùng SUN.STUDIO, em có thể học hỏi nhiều hơn về cách xây dựng và phát triển con người trong tổ chức, đồng thời đóng góp sự chủ động và tinh thần học hỏi của mình vào các hoạt động chung."/>
        <s v="Mình thực sự mong có cơ hội được trở thành một phần của SUN.STUDIO vì mình đang ở giai đoạn rất muốn học nhanh và làm thật. Mình biết bản thân còn nhiều thiếu sót, nhưng sẵn sàng nhận task khó, tự tìm hiểu và cải thiện liên tục để theo kịp team. Hy vọng c"/>
        <s v="Em mong muốn được trở thành một phần của SUN.STUDIO để học hỏi, đóng góp và phát triển lâu dài trong lĩnh vực Nhân sự. Với tinh thần chủ động và cầu tiến, em hy vọng có thể hỗ trợ đội ngũ xây dựng môi trường làm việc gắn kết, đồng thời cùng SUN.STUDIO. Dù"/>
        <s v="I would like to have the opportunity to work at your company."/>
        <s v="Cảm ơn SUN.STUDIO đã dành thời gian xem qua ứng tuyển của em và mong có thể được gặp gỡ và thực tập với SUN.STUDIO trong thời gian tới."/>
        <s v="SUN.STUDIO Sunriser internship program has opened a great opportunity for me to be a part of the game industry and to build a long-term career with the company. I will always try to improve my skill through personal game projects, learn new techniques and"/>
        <s v="Chúc anh / chị có một ngày tốt lành!"/>
        <s v="Mặc dù em chưa có nhiều kinh nghiệm trong lĩnh vực Data Analysts nhưng em xin hứa sẽ cố gắng hết sức để hoàn thành nhiệm vụ của mình và em hy vọng sẽ được đồng hành cùng SUN.STUDIO trong thời gian tới. Em xin chân thành cảm ơn!"/>
        <s v="I would like to express my strong interest in joining SUN.STUDIO. I truly admire the company’s dynamic environment and product-driven mindset. I am eager to learn, take on challenges, and contribute my skills to the team. I hope to grow not only as an int"/>
        <s v="mình mong sẽ nhận được mail phản hồi process sớm nhất từ bên công ty"/>
        <s v="Em mong rằng quý công ty cho em cơ hội để được trở thành thực tập sinh ở công ty."/>
        <s v="Tôi mong muốn được có cơ hội gặp gỡ và phỏng vấn ở công ty. Bản thân tôi muốn được thể hiện năng lực của mình và tinh thần làm việc cho nhà tuyển dụng thấy được. Mong được có cơ hội phỏng vấn ạ"/>
        <s v="Chúc công ty ngày càng thành công"/>
        <s v="Với niềm đam mê lớn dành cho AI và kinh nghiệm thực chiến trong việc triển khai các mô hình Deep Learning lên hạ tầng Cloud, tôi mong muốn mang tư duy sáng tạo và khả năng giải quyết vấn đề để cùng SUN.STUDIO tạo ra những giải pháp đột phá, đóng góp vào s"/>
        <s v="I would like to say that I’m highly motivated to learn and contribute.&#10;I’m eager to work on real-world AI problems, improve my skills, and grow with the team.&#10;If given the opportunity, I will do my best to learn quickly and add value to SUN.STUDIO."/>
        <s v="Beyond my technical skills, I bring an IELTS 8.0 English proficiency, making me fully equipped for collaboration in international team environments. I am a proactive learner who values clean code and constructive feedback. I am eager to align my developme"/>
        <s v="I’m really interested in applying AI to real products and learning how to build practical systems that create impact. I’m eager to learn, adapt quickly, and contribute to improving workflows through AI at SUN.STUDIO."/>
        <s v="Em mong có cơ hội học hỏi từ đội ngũ giàu kinh nghiệm của công ty, và hy vọng rằng có thể mang lại đóng góp bằng sự chăm chỉ và khả năng hỗ trợ tốt trong các công việc liên quan đến thiết kế nội dung game."/>
        <s v="I would like to thank SUN.STUDIO for creating the SUN.RISER program and giving students the opportunity to learn from real game projects. I am excited about the chance to grow in a professional game studio, contribute with my skills, and keep improving to"/>
        <s v="I am very interested in learning how QA is applied in real game products and how teams ensure quality at scale. I’m eager to contribute, learn quickly from feedback, and take responsibility for my work. I also enjoy analyzing systems and identifying edge "/>
        <s v="I would like to express my sincere gratitude to SUN.STUDIO for creating the SUN.RISER program. It is an invaluable opportunity for me to learn from industry experts and contribute my skills to the studio's creative journey. I am truly excited about the po"/>
        <s v="Em rất mong được tham gia vào chương trình thực tập tại SUN.STUDIO. Mong những kiến thức, kinh nghiệm và thái độ ham học hỏi của em sẽ được SUN.STUDIO xem xét cho em có cơ hội tham gia thực tập, để em vừa học hỏi vừa tạo giá trị cho quý công ty ạ!!!"/>
        <s v="Dù đang là sinh viên năm nhất với những bước đi đầu tiên từ các hoạt động cộng tác viên và phong trào, em tự tin vào tư duy sáng tạo và khả năng tự học của mình. Em không ngại lăn xả để mài giũa kỹ năng và tin rằng sự quyết liệt, tận tâm của mình sẽ mang "/>
        <s v="I'm genuinely excited about this opportunity. Though I'm new to the game industry, I bring a strong work ethic, reflected in my scholarship record and highest-scoring thesis. I learn fast, embrace challenges and am committed to growing with SUN.STUDIO lon"/>
        <s v="Rất mong được đồng hành và cống hiến cùng quý công ty."/>
        <s v="Dù kết quả có như thế nào thì tôi chúc cho công ty SUN.STUDIO sẽ luôn luôn thành công như những gì đã làm và sẽ gặt hái những vinh quang nhiều hơn trong tương lai. Những gì công ty đã và đang làm thực sự rất tuyệt vời và truyền cảm hứng cho nhiều thế hệ n"/>
        <s v="Em mong muốn được gia nhập SUN.STUDIO để học hỏi môi trường làm game chuyên nghiệp, rèn luyện tư duy sản phẩm và nâng cao kỹ năng kỹ thuật. Với tinh thần chủ động học nhanh, sẵn sàng tiếp thu feedback và trách nhiệm trong công việc, em hy vọng có thể đóng"/>
        <s v="Em rất mong có cơ hội được học hỏi và phát triển cùng SUN.STUDIO. Em hy vọng sẽ được đóng góp bằng tinh thần chủ động, trách nhiệm và sự nghiêm túc trong công việc, đồng thời tiếp thu thêm kinh nghiệm từ anh/chị và team để ngày càng hoàn thiện bản thân hơ"/>
        <s v="I would like to share that I am genuinely interested in AI and always willing to learn. I hope to gain hands-on experience at SUN.STUDIO while contributing positively to the team and improving my skills through real projects."/>
        <s v="I would like to express my strong interest in joining SUN.STUDIO and contributing to delivering high-quality game experiences to users.&#10;&#10;Although I am still at the early stage of my career, I am highly motivated, detail-oriented, and always eager to learn"/>
        <s v="With 2 years as VTC Online's Ops Manager , I’ve lived the player's reality. Beyond 'paper' design, I bring battle-tested insights to SUN.STUDIO to build games players crave, merging tech logic with community heart."/>
        <s v="I have been following SUN.STUDIO’s innovative projects for some time and am deeply impressed by your creative tech environment. Currently, I am a final-year student specializing in RAG and LangChain architectures. I am eager to challenge myself in a new f"/>
        <s v="Nếu được nhận intern, tôi mong muốn học hỏi từ đội ngũ chuyên gia của studio và đóng góp kiến thức, sự sáng tạo của mình vào những dự án của công ty"/>
        <s v="Tôi mong sớm nhận được phản hồi từ Quý Công Ty. &#10;Chúc Quý Công Ty ngày càng phát triển và đạt nhiều thành công."/>
        <s v="I hope that I have chance to join the interview because I think this position is a great chance for me. The hiring team please contact with me through email: phuongnam23122004@gmail.com to let me updated because my phone number is deactivated now."/>
        <s v="As a sophomore, I may be early in my academic journey, but my technical track record is already battle-tested. Having won the Bright Data Track at HackHarvard 2024 and Second Prize at UIT Bootcamp Entrepreneurship 2024, I have proven my ability to learn r"/>
        <s v="Em mong muốn có một cơ hội để được làm việc trong môi trường chuyên nghiệp, được hướng dẫn công việc thông qua các dự án game. Em sẵn sàng tiếp thu và cải thiện kỹ năng, không ngừng học hỏi để mang lại giá trị thật cho team. Em cảm ơn ạ."/>
        <s v="Tôi chân thành cảm ơn quý công ty đã dành thời gian xem xét hồ sơ của mình. Tôi rất ấn tượng với môi trường chuyên nghiệp của SUN.STUDIO và đã chuẩn bị sẵn sàng để bắt đầu hành trình thực tập. Tôi rất mong đợi có cơ hội được phỏng vấn để chia sẻ chi tiết "/>
        <s v="Sun.Studio may consider me overage or not meeting the required educational qualifications. However, I am confident that my passion for games, my knowledge, and my perseverance will enable me to create value for Sun.Studio in the future."/>
        <s v="Tôi rất mong có cơ hội được đồng hành cùng SUN.STUDIO để học hỏi, phát triển bản thân và đóng góp giá trị thông qua khả năng của mình. Tôi tin rằng với tinh thần cầu tiến, trách nhiệm và niềm đam mê với lĩnh vực game, tôi sẽ luôn nỗ lực hết mình để hoàn t"/>
        <s v="Mong công ty sẽ cho em cơ hội tham gia vào kì thực tập này, em sẽ cố gắng hết sức học hỏi để nâng cao kĩ năng và kinh nghiệm."/>
        <s v="Although I am at the beginning of my professional career, I am confident that my strong academic foundation and passion for game design will allow me to contribute effectively to SUN.STUDIO. I am a proactive learner, eager to refine my skills and grow wit"/>
        <s v="Em rất mong muốn được tham gia Sun và đóng góp công sức của mình trong việc biến những ý tưởng game đầy tiềm năng thành các sản phẩm thành công và có khả năng giữ chân người chơi lâu dài.&#10;&#10;Trân trọng"/>
        <s v="Nếu có sai sót mong anh chị có thể đóng góp thêm cho e với ạ"/>
        <s v="Mình mong chúng ta sẽ hợp tác lâu dài và bềnh vững&#10;Cùng nhau xây dựng nhiều dự án chất lượng"/>
        <s v="I’m genuinely excited about the opportunity to apply data analytics in the gaming industry, especially in a product-driven environment like SUN.STUDIO. I’m eager to learn quickly, contribute with a strong sense of ownership, and turn data into meaningful "/>
        <s v="Mình xin cảm ơn đến SUN.STUDIO"/>
        <s v="Em hy vọng nếu có cơ hội vào SUN.STUDIO, em có thể học được cách team thiết kế và vận hành game thực tế và từ đó cải thiện những gì em đang tự làm ở hiện tại."/>
        <s v="Thank you for taking the time to review my application. I truly appreciate the opportunity to apply for the SUN.RISER program."/>
        <s v="Em hi vọng là có cơ hội thử sức và được phỏng vấn tại sun.studio."/>
        <s v="I have deep respect and admiration for the high-quality products and positive values the studio has brought to the community. My biggest passion is bringing unique game ideas to life and making them profitable through highly professional work."/>
        <s v="As an avid player of SUN.STUDIO’s casual titles during my free time, I have always been impressed by how you balance simplicity with deep engagement. This passion drives my desire to join the team, where I can apply my technical experience in System Archi"/>
        <s v="Em mong muốn có cơ hội được học hỏi và đóng góp tại SUN.STUDIO. Em sẵn sàng học nhanh, chịu khó tiếp thu feedback và nghiêm túc phát triển lâu dài theo hướng Unity Game Developer."/>
        <s v="Em xem đây là cơ hội quý giá để hiểu cách chất lượng định hình trải nghiệm người chơi. Em mong muốn học hỏi từ môi trường thực tế, sẵn sàng nỗ lực nâng cao kỹ năng và đóng góp sự tỉ mỉ của mình để cùng SUN.STUDIO tạo ra những tựa game ổn định, mượt mà nhấ"/>
        <s v="Với chuyên ngành công nghệ phần mềm, điều tự tin nhất em có là khả năng xử lý các bài toán logic, do đó còn rất nhiều thiếu sót trong lĩnh vực phát triển game. Đó cũng chính là lý do em muốn được đến với Sun. Hy vọng Sun sẽ cho em cơ hội tích lũy thêm nhi"/>
        <s v="I'm open to starting from an internship position if needed, as I value the opportunity to learn, gain more hands-on experience, and grow within the company. I'm genuinely interested in developing my technical skills and contributing to SUN.STUDIO's projec"/>
        <s v="Em ứng tuyển vào chương trình này với tâm thế là một người bắt đầu và coi đây như là một cơ hội để đồng hành trên chặng đường phát triển cùng SUN.STUDIO. &#10;Với kiến thức đã học và kinh nghiệm đã có nhờ vào việc đi làm sớm từ lúc còn sinh viên, em tin rằng "/>
        <s v="I'm really looking forward to having a chance for further conversation."/>
        <s v="có bị lỗi chọn No ở mục kinh nghiệm dự án thì vẫn phải bắt điền tên dự án vào, kèm bắt buộc phải gửi Portfolio của dự án đó khi mà không có kinh nghiệm gì?"/>
        <s v="Em rất mong muốn có cơ hội thực tập và phát triển sự nghiệp của mình tại Studio ạ. Hi vọng Studio sẽ cho em cơ hội phỏng vấn để thể hiện khả năng của mình"/>
        <s v="Hi vọng Studio sẽ giúp em phát triển được bản thân theo đam mê của mình."/>
        <s v="I’m not looking for a summer internship — I’m looking for where I start my career in game design. SUN.STUDIO is where I want to build that foundation.​​​​​​​​​​​​​​​​"/>
        <s v="I’m eager to learn, improve, and contribute as much as I can. Even though I’m still early in my journey with new technologies, I’m committed to putting in the effort to grow and add value to the team."/>
        <s v="I’m really excited about the opportunity to join SUN.STUDIO and grow in the game industry. I’m eager to learn, take on challenges, and contribute my best to the team while continuously improving myself."/>
        <s v="If any how i will be accepted, I will spend most of my time do the best of my work for the company and cherish any chances of leveling up my game design skills."/>
        <s v="I understand that there are very few game development internship opportunities in HCM city, so I truly value this chance and want to make the most of it.&#10;I’m eager to learn, contribute, and grow as a developer, and I hope to have the opportunity to be par"/>
        <s v="Hãy cho tôi cơ hội , tôi đảm bảo sẽ mang lại giá trị nào đó cho SUN.STUDIO."/>
        <s v="Với niềm đam mê và sự phù hợp với vị trí này, em hi vọng sẽ có cơ hội được Intern tại SUN.STUDIO, và nếu phù hợp, em rất mong chờ mình sẽ được phát triển sự nghiệp lâu dài ở SUN.STUDIO ạ."/>
        <s v="Em mong muốn được bước ra khỏi phạm vi các dự án cá nhân để tham gia vào môi trường sản phẩm thực tế, nơi AI có thể tạo ra giá trị rõ ràng cho người dùng. Em tin SUN.STUDIO sẽ là nơi phù hợp để em học hỏi từ đội ngũ giàu kinh nghiệm và phát triển bản thân"/>
        <s v="Em thật sự rất mong có cơ hội được học hỏi và phát triển tại SUN.STUDIO.&#10;&#10;Dù em biết mình vẫn còn ít kinh nghiệm thực tế trong Game Design, nhưng em sẵn sàng học nhanh, không ngại thử thách và luôn chủ động cải thiện bản thân. Em thật sự muốn được tham gi"/>
        <s v="Mình cảm ơn SUN.STUDIO đã tạo điều kiện cho mình có có hội được làm việc tại công ty. Hi vọng khi được tham gia cùng SUN.STUDIO mình sẽ cố gắng giúp công ty thành công ạ. Chúc công ty mình nhiều sức khoẻ^^"/>
        <s v="I am really excited about the opportunity to join SUN.STUDIO and learn from experienced developers. I appreciate your focus on creating simple and enjoyable games, and I would love to contribute while improving my skills. Thank you for considering my appl"/>
        <s v="Em mong muốn được học hỏi và tích lũy kinh nghiệm thực tế trong môi trường chuyên nghiệp. Hiện tại em đang phát triển các dự án về backend, app và game, nên mình rất mong có cơ hội được áp dụng kiến thức, đóng góp cho team và nâng cao kỹ năng tại SUN.STUD"/>
        <s v="Với những thành tựu mà công ty đã đạt được , SUN.STUDIO là một bến đỗ lý tưởng cho bước đầu sự nghiệp. Em rất mong muốn có cơ hội tham gia đội ngũ SUN.STUDIO và đóng góp sức mình vào các dự án sắp tới của quý công ty. Cảm ơn anh/chị đã dành thời gian đọc "/>
        <s v="I’m eager to learn, contribute, and grow in this role, and I would really appreciate the opportunity to be part of your team."/>
        <s v="Currently, there are few internship programs like this one on the job market. So, i hope SUN.STUDIO can develop more programs like this so that students have opportunities to experience real-world project and gain a more comprehensive understanding instea"/>
        <s v="I am ready to bring my proactive mindset and strong Deep Learning foundation to SUN.STUDIO. I look forward to the opportunity to learn, build scalable solutions, and grow with your engineering team this summer!"/>
        <s v="Em mong muốn có cơ hội được học hỏi trong môi trường thực tế tại SUN.STUDIO, nơi em có thể phát triển tư duy kỹ thuật và hiểu rõ hơn cách sản phẩm được xây dựng và tối ưu dựa trên dữ liệu.&#10;&#10;Dù chưa có nhiều kinh nghiệm với AI, em sẵn sàng học hỏi nhanh và"/>
        <s v="I has acknowledged and been loving SUN STUDIO for a while now, it is my dream job, and I would do what it takes to achieve a position here at SUN"/>
        <s v="Mình rất mong có cơ hội được học hỏi và phát triển tại công ty. Dù còn là sinh viên, mình luôn nghiêm túc với công việc, sẵn sàng tiếp thu góp ý và cải thiện bản thân mỗi ngày.&#10;Mình hy vọng có thể đóng góp giá trị nhỏ bé của mình vào dự án chung và cùng t"/>
        <s v="I’d like to share that I’m not just looking for an internship - I’m looking for a place where I can seriously level up as a Unity Developer.&#10;&#10;What I’m really looking for at SUN.STUDIO is a challenging environment with high standards, where I can learn fro"/>
        <s v="I would love to share that I’m genuinely eager to learn and grow in a professional data environment. I value feedback, take initiative, and adapt quickly to new challenges. I hope to contribute with my analytical mindset while continuously improving my te"/>
        <s v="Em là sinh viên mong muốn có cơ hội được học hỏi và làm việc tại studio ạ,Mong quý công ty cho em có cơ hội được học và làm việc tại studio xin chân thành cảm ơn quý công ty."/>
        <s v="Em rất mong có cơ hội được học hỏi và đóng góp tại SUN.STUDIO. Hy vọng đây sẽ là nơi em có thể phát triển bản thân trong một môi trường sáng tạo và đầy cảm hứng."/>
        <s v="I'm genuinely excited about the opportunity to contribute to SUN.STUDIO as a Data Analyst Intern. I bring not just technical skills in Python, SQL, and machine learning, but also a mindset of turning data into real business value. I hope to have the chanc"/>
        <s v="I am very excited about the opportunity to join SUN.STUDIO. As a final-year student, I am ready to bring my technical foundation in Data Analytics and my proactive mindset to contribute to the team. I look forward to learning from professional mentors and"/>
        <s v="Em hy vọng mình sẽ có cơ hội được tham gia và làm việc cùng mọi người tại công ty, học hỏi trải nghiệm và mong đây sẽ là nền móng tuyệt vời khi bước vào thị trường lao động."/>
        <s v="Hiên tại, mình chưa xây dựng Porfolio riêng, các dự án về phân tích dữ liệu và tự động hóa đều được trình bày trong CV. Mình rất sẵn sàng thể hiện năng lực ở vòng Test và Phỏng vấn."/>
        <s v="No"/>
        <s v="Em thực sự mong muốn được làm việc với SUN.STUDIO. Qua cách công ty đăng job cũng như qua các câu hỏi phía trên em cảm thấy đây là một môi trường thân thiện, chân thật và có sự chặt chẽ trong cách làm việc. Em không chỉ muốn đến công ty với một vai trò th"/>
        <s v="Tôi mong muốn có cơ hội được đồng hành cùng SUN.STUDIO để học hỏi, phát triển bản thân và đóng góp giá trị bằng những kiến thức, kỹ năng của mình.&#10;&#10;Tôi tin rằng môi trường chuyên nghiệp và sáng tạo tại đây sẽ giúp tôi hoàn thiện hơn trên con đường trở thà"/>
        <s v="Thank you for reading all my responses thus far."/>
        <s v="Tôi rất đam mê với game và mong muốn có thể làm việc theo lĩnh vực này"/>
        <s v="I’m very interested in the opportunity to grow as an AI Engineer at SUN.STUDIO. I’m eager to learn, take on challenges, and contribute to real-world AI products. I would greatly appreciate the chance to be part of your team and develop my skills further."/>
        <s v="Thank you for taking the time to review my application. What excites me most about SUN.STUDIO is the chance to apply what I've built in AI and blockchain to a team that ships real products with real users. I'm someone who learns fast, takes ownership, and"/>
        <s v="Mong cùng được hợp tác với công ty"/>
        <s v="Mình rất hào hứng với cơ hội được tham gia SUN.STUDIO. Là một người đam mê AI và muốn xây dựng các hệ thống ứng dụng, đồng thời là một người hay chơi game, mình rất muốn được trải nghiệm việc ứng dụng AI vào game."/>
        <s v="Em cám ơn vì đã đọc phần đơn ứng tuyển này của em, em rất mong có cơ hội được hợp tác và làm việc lâu dài cùng với công ty"/>
        <s v="Tôi mong bản thân sẽ có 1 cơ hội và tôi hứa bản thân sẽ làm tốt nhất khi có được cơ hội này ,đồng thời nếu bản thân tôi có thiếu sót tôi sẽ sửa chữa và cải thiện"/>
        <s v="I hope I can bring my experience to work with the team."/>
        <s v="Em xin chân thành cảm ơn SUN.STUDIO vì đã tạo ra chương trình SUN.RISER – một cơ hội thực chiến tuyệt vời dành cho các bạn sinh viên như em. Em rất mong được ‘rise’ cùng team và học hỏi nhiều hơn từ anh chị!"/>
        <s v="Em mong được nhận phản hồi sớm từ anh chị"/>
        <s v="Nếu tôi được đồng hành cùng SUN.STUDIO thì tôi sẽ rất vui vì được góp phần vào sự phát triển của ngành game Việt Nam"/>
        <s v="I am excited about the opportunity to contribute, learn, and grow within SUN.STUDIO. I believe this internship is more than just a role—it is a chance to build meaningful skills in a real production environment. If given the opportunity, I will bring curi"/>
        <s v="I would like to express my strong interest in joining SUN.STUDIO and contributing to your team. As someone who is passionate about data and eager to learn, I am excited about the opportunity to work in a dynamic environment like yours.&#10;&#10;I am always willin"/>
        <s v="Em là người tuân thủ kỷ luật, có tinh thần trách nhiệm và luôn nỗ lực trong công việc. Em mong muốn có cơ hội được đồng hành cùng SUN.STUDIO để học hỏi, phát triển và đóng góp giá trị lâu dài cho công ty."/>
        <s v="I am excited about the professional environment at SUN.STUDIO. Although I do not have professional experience in the gaming industry, I am eager to learn. I am ready to study and improve my knowledge to contribute effectively to SUN.STUDIO. I am committed"/>
        <s v="I’m really interested in applying AI to real business workflows and creating practical impact.&#10;I may not have direct experience in game development yet, but I’m eager to learn quickly and contribute by building AI solutions that improve efficiency across "/>
        <s v="Nếu được trao cơ hội tôi tự tin có thể làm hoàn thành và làm tốt các nhiệm vụ được giao"/>
        <s v="Tui thực sự rất mong muốn có cơ  hội làm thực tập ở SUN.STUDIO. Nếu SUN.STUDIO cho tui cơ  hội làm  việc và học tập ở đây, tui hứa sẽ cống hiến hết mình 1000% nỗ lực của  bản thân vì SUN.STUDIO. Tui sẽ không làm SUN.STUDIO thất vọng."/>
        <s v="I genuinely love what SUN.STUDIO builds, and I'd be excited to contribute. Maybe I'm not the perfect candidate for this position, but I'm someone who learns fast, pushes through hard problems, and always looks for what's next to explore. I commit to getti"/>
        <s v="I am eager to learn, improve, and contribute through real projects. &#10;&#10;I may not have extensive experience yet, but I am highly motivated, proactive, and willing to put in the effort to grow quickly and deliver real value to the team."/>
        <s v="I believe I have a strong foundation in AI, especially in Python and NLP, and I’m confident in my ability to learn and adapt quickly.&#10;I’m ready to give my full effort and use all my abilities to prove my value through real results.&#10;I hope to contribute me"/>
        <s v="Mình rất thích game, cũng rất ngưỡng mộ và yêu thích SUN.STUDIO, chúc SUN.STUDIO ngày càng phát triển và tạo ra những trò chơi thật hay, thú vị được mọi người biết đến rộng rãi."/>
        <s v="Bản thân em chưa có nhiều kinh nghiệm triển khai AI cho các dự án thực tế. Phần lớn kiến thức và kinh nghiệm của em đến từ việc nghiên cứu hoặc tham gia các cuộc thi. Em vẫn đang cố gắng học tập và trau dồi thêm những kiến thức mà bản thân còn thiếu. Tuy "/>
        <s v="Em mong muốn có cơ hội được học hỏi và phát triển trong môi trường chuyên nghiệp tại SUN.STUDIO, đồng thời cống hiến sức trẻ của bản thân cho công ty.&#10;&#10;Em hiểu rằng bản thân vẫn còn nhiều điều cần cải thiện, nhưng em sẵn sàng học hỏi, tiếp nhận feedback v"/>
        <s v="Tôi mong rằng chúng ta sẽ có cơ hội làm việc với nhau."/>
        <s v="Em mong muốn có cơ hội được học hỏi và đóng góp tại SUN.STUDIO, không chỉ với vai trò một intern mà còn là người luôn chủ động, trách nhiệm trong công việc. Em hy vọng có thể cùng team tạo ra những sản phẩm chất lượng và mang lại trải nghiệm tốt cho người"/>
        <s v="You may see me as a strong candidate for 3D games and may wonder about my ability to make mobile games. I want to assure you that I have been focusing on mobile game development since my internship. I’m confident that my combination of solid 3D experience"/>
        <s v="Em rất mong được góp phần vào đội ngũ Unity của công ty bằng sự nhiệt tình và khả năng học hỏi nhanh. Em cam kết sẽ cố gắng hết mình, chủ động và nhận feedback để phát triển. Em cũng hy vọng công ty sẽ tạo điều kiện để em học hỏi từ anh chị đi trước nhiều"/>
        <s v="Mong công ty cho em cơ hội để được làm việc cùng công ty và chúc công ty sẽ đạt được nhiều dự án thành công trên thị trường"/>
        <s v="Thank you so much for your time and consideration. I truly hope to be given the opportunity to prove my abilities and contribute to SUN.STUDIO."/>
        <s v="I’m eager to learn, take ownership, and contribute to building practical AI systems that create real impact. I would really value the opportunity to work with the team and grow through hands-on experience."/>
        <s v="Em hy vọng được bắt đầu hành trình chuyên nghiệp tại SUN.STUDIO, nơi em có thể chuyển hóa kiến thức Unity của mình thành những giá trị thực tế và cùng studio chinh phục những thử thách công nghệ mới"/>
        <s v="I don’t have direct experience in the game industry yet, but I’m genuinely interested in how data and AI are applied in real products. I’m eager to learn, gain hands-on experience, and understand how my skills can create real impact."/>
        <s v="Em mong muốn được cọ sát hơn với công việc thực tế ở môi trường làm việc chuyên nghiệp nên em sẽ cố gắng hết sức để ứng tuyển vào vị trí này, nếu có cơ hội em muốn được gắn bó với công việc này 200% sức mình."/>
        <s v="Tôi mong muốn có cơ hội đồng hành cùng SUN.STUDIO để phát triển sự nghiệp trong ngành game. Tôi nghiêm túc với định hướng Data Analyst và sẵn sàng học hỏi, thích nghi nhanh để từng bước đóng góp giá trị thực tế cho sản phẩm và đội ngũ."/>
        <s v="Em mong muốn được ứng tuyển vào vị trí thực tập để có cơ hội học hỏi, tích lũy thêm kinh nghiệm và đóng góp vào các dự án của công ty."/>
        <s v="Em rất mong có cơ hội được học hỏi và trải nghiệm thực tế tại SUN.STUDIO. Em tin rằng môi trường năng động và sáng tạo của công ty sẽ giúp em phát triển kỹ năng chuyên môn cũng như tư duy sáng tạo. Đồng thời, em cũng hy vọng có thể đóng góp một phần nhỏ v"/>
        <s v="Mình thấy được SUN.STUDIO là một môi trường phù hợp để mình có thể phát  triển trong lĩnh vực phân tích và mình muốn áp dụng những kiến thức mình đã học và làm dự án sẽ giúp Studio đưa ra các quyết định nhanh chóng và tự tin hơn trong thị trường game đầy "/>
        <s v="Em rất mong có cơ hội được học hỏi và đóng góp tại SUN.STUDIO. Dù kinh nghiệm thực tế còn hạn chế, em sẵn sàng học nhanh, chủ động trong công việc và nghiêm túc phát triển lâu dài."/>
        <s v="I would like to share that I recently transitioned from an AI Engineering path to game development. While I may not have many game projects yet, I have gained practical experience working in real-world environments. I am confident in my ability to learn q"/>
        <s v="I’m eager to learn, contribute, and grow while helping build meaningful and engaging products at SUN.STUDIO."/>
        <s v="Em rất mong muốn được tham gia vào SUN.RISER để phát triển kỹ năng Unity Developer.&#10;Với 4 dự án game cá nhân hoàn chỉnh bằng Unity (trong đó Chaos Dungeon là đồ án chuyên ngành), em đã tích lũy kinh nghiệm thực tế về lập trình gameplay, hệ thống và balanc"/>
        <s v="Although I am transitioning into data analytics at a later stage, I believe my previous work experience has helped me develop strong discipline, responsibility, and a structured way of working.&#10;I am fully committed to this path and willing to invest the t"/>
        <s v="I am highly motivated to learn and grow in the game industry, and I am eager to contribute my attention to detail and passion for quality. I would greatly appreciate the opportunity to gain hands-on experience at SUN.STUDIO and develop my skills further w"/>
        <s v="Em mong có cơ hội được tỏa sáng nghề nghiệp tại đây."/>
        <s v="Em mong HR và công ty có thể cho em một cơ hội để thử sức với vị trí Unity Development Intern.&#10;Với mọi khả năng có thể, em sẽ cống hiến hết mình với công ty và đem lại kết quả tốt"/>
        <s v="Hy vọng studio có thể xem xét profile một cách trực quan và rõ ràng nhất. Vì mình không thể chia sẻ hết trên đây do yếu tố kĩ thuật. &#10;Mình chúc studio may mắn tìm được ứng viên phù hợp ạ.&#10;Mình cảm ơn."/>
        <s v="I would like to thank SUN.STUDIO for this opportunity. I am eager to learn, improve my skills, and contribute to real game projects. I hope to have a chance to grow with the team and become a valuable member of SUN.RISER."/>
        <s v="I am genuinely excited about the possibility of joining SUN.STUDIO and am highly motivated to secure this opportunity. As a final-year student, I am at a stage where I am fully prepared to dedicate my focus and energy to a professional role. I am looking "/>
        <s v="Is the internship allowance based on performance?&#10;What criteria are used to evaluate interns during the internship?"/>
        <s v="I look forward to the opportunity to discuss my application further in the next round."/>
        <s v="Em mong có cơ hội được đồng hành cùng SUN.STUDIO để học hỏi quy trình phát triển game chuyên nghiệp và đóng góp sức trẻ, tinh thần cầu tiến của mình cho đội ngũ. Em tin môi trường sáng tạo và năng động của công ty sẽ giúp em phát triển tốt hơn về chuyên m"/>
        <s v="I am really interested in the opportunity to work at SUN.STUDIO, especially in a data-driven game environment. I am eager to learn how data is used to understand player behavior and improve game performance. I am a fast learner, highly motivated, and will"/>
        <s v="Dạ em rất mong được tham gia vào chương trình đào tạo bên mình. Em cảm ơn anh/chị đã dành thời gian xem xét."/>
        <s v="Em hy vọng được đồng hành cùng Studio trong quá trình thực tập và sau thực tập."/>
        <s v="Thank you for considering my application. I look forward to the opportunity to contribute to SUN.RISER."/>
        <s v="Em muốn hỏi về những chính sách đãi ngộ cho các thực tập sinh ạ. Hy vọng sẽ có cơ hội được làm việc với công ty."/>
        <s v="What I would like to share most is my excitement about a role that allows me to combine data analysis with a deep understanding of game logic and systems. I believe that my firsthand experience in game structures will enable me to deliver more practical a"/>
        <s v="I hope that I will the opportunity to learn valuable experience through the internship"/>
        <s v="I love  SUN.STUDIO"/>
        <s v="Mình biết mình chưa có kinh nghiệm ngành Game. Nhưng mình tin rằng môi trường thực chiến sẽ giúp mình phát triển nhanh hơn bất kỳ khóa học nào. Mình không đến để học cho có, mình đến để đóng góp thật sự và mình sẵn sàng chứng minh điều đó."/>
        <s v="Tôi mong có cơ hội được đồng hành cùng SUN.STUDIO để học hỏi, phát triển"/>
        <s v="I'm Nguyễn Phúc Loan, a fresh graduate in Data Science, and I'm genuinely excited about the opportunity to join SUN.RISER. I thrive in a dynamic, energetic environment where people ask questions, move fast, and learn together — and I'm ready to contribute"/>
        <s v="I am very excited to apply for this position at SUN.STUDIO. I want to learn from a professional team and grow my skills. I am ready to work hard and contribute to the company’s development."/>
        <s v="It would be amazing for me to be able to dedicate my skills and expertise to the desired positions, and to have an important learning experience alongside your company in return.&#10;I would welcome the opportunity to speak to you in more details. Thank you f"/>
        <s v="Dạ không ạ"/>
        <s v="Mình rất mong được trở thành một thành viên trong mái nhà chung SUN.STUDIO"/>
        <s v="Em mong muốn có cơ hội được học hỏi thêm về cách game vận hành, đặc biệt là cơ chế AI như quái vật hồi sinh và tấn công người chơi. Hiện tại em đang bị vướng môn thực tập, tuy nhiên em có thể sắp xếp thời gian để tham gia trong 6 tháng. Trong trường hợp c"/>
        <s v="Tôi rất mong muốn có được cơ hội học hỏi tại SUN.STUDIO. Với tinh thần nhiệt huyết và sẵn sàng học hỏi, tôi tin rằng mình sẽ đóng góp tích cực cho team và phát triển bản thân trong thời gian thực tập. Cảm ơn SUN.STUDIO đã xem xét hồ sơ của tôi!"/>
        <s v="Em rất mong có cơ hội được học hỏi và phát triển tại SUN.STUDIO. Em sẵn sàng lắng nghe, tiếp thu góp ý và nỗ lực hoàn thành tốt các nhiệm vụ được giao.&#10;Nếu được trao cơ hội, em hy vọng có thể đóng góp vào các sản phẩm của công ty, đồng thời không ngừng cả"/>
        <s v="I’m very excited about the opportunity to join SUN.STUDIO and learn in a real game development environment. I’m eager to apply my AI and problem-solving skills to contribute to meaningful projects, while also learning from experienced team members."/>
        <s v="Cảm ơn SUN.STUDIO vì cơ hội tuyệt vời này. Mình hy vọng sẽ có cơ hội được học hỏi và phát triển cùng team trong thời gian tới."/>
        <s v="Em mong sẽ có cơ hội phỏng vấn với các anh/chị bên công ty."/>
        <s v="Rất mong được tham gia cùng SUN.STUDIO, cảm ơn vì đã cho cơ hội"/>
        <s v="I am eager to learn and grow in a data-driven environment like SUN.STUDIO. I hope to gain hands-on experience with real game data, contribute to meaningful insights, and continuously improve my analytical skills while supporting the team."/>
        <s v="Em mong có cơ hội được học hỏi, đóng góp và phát triển tại SUN.STUDIO. Em rất hứng thú với môi trường làm game năng động và tin đây sẽ là nơi tốt để em rèn luyện tư duy QA, nâng cao kỹ năng và tạo ra giá trị cho sản phẩm"/>
        <s v="Thank you for considering my application. I am eager to learn, contribute, and grow through SUN.RISER. I hope to have the opportunity to join SUN.STUDIO and create meaningful products with the team."/>
        <s v="I am eager to learn, grow, and contribute in a dynamic environment like SUN.STUDIO"/>
        <s v="I love data, and I love games. Combining these two passions to solve real problems at SUN.STUDIO is my absolute ideal opportunity."/>
        <s v="1. Em hy vọng thông qua quá trình thể hiện của bản thân cùng quá trình tuyển mộ và tuyển chọn của công ty, công ty sẽ có được những nhân tài phù hợp mà công ty đang tìm kiếm, hy vọng trong đó có em.&#10;2. Cùng với hồ sơ này, em xin gửi gắm sự nghiêm túc dành"/>
        <s v="Tôi rất mong có cơ hội được trở thành một phần của SUN.STUDIO để học hỏi và phát triển trong môi trường năng động, sáng tạo. Tôi tin rằng SUN.STUDIO không chỉ tạo ra những sản phẩm thú vị mà còn xây dựng một môi trường làm việc tích cực cho nhân viên.&#10;&#10;Nế"/>
        <s v="Tôi rất mong muốn có cơ hội được học hỏi và phát triển trong môi trường năng động tại SUN.STUDIO. Tôi hy vọng có thể đóng góp tinh thần chủ động, trách nhiệm và khả năng làm việc với dữ liệu của mình vào các dự án thực tế của công ty. Đồng thời, tôi cũng "/>
        <s v="None"/>
        <s v="I am truly impressed by SUN.STUDIO's creative portfolio. With my solid Unity background and hands-on experience in UI/UX and game logic, I am ready to bring my dedication and fresh perspective to the team. I look forward to the possibility of contributing"/>
        <s v="I am really excited about the opportunity to learn how AI is applied inside a real game studio, beyond academic projects. I have experience with applied AI systems, backend deployment, and a Godot game project, but I know there is still a lot to learn fro"/>
        <s v="Cảm ơn quý công ty"/>
        <s v="Em muốn chia sẻ rằng mình rất coi trọng cơ hội thực tập tại SUN.STUDIO. Em cam kết sẽ nỗ lực hết mình để học hỏi, thể hiện tinh thần trách nhiệm cao và sẵn sàng tham gia thực tập toàn thời gian từ tháng 06/2026 để có thể đóng góp tốt nhất cho đội ngũ phát"/>
        <s v="Em biết mình chưa có nhiều kinh nghiệm thực tế và kỹ năng còn ở mức cơ bản, điểm số lại không cao. Tuy nhiên, em thật sự yêu thích dòng game Puzzle/Casual và có mong muốn được học hỏi, phát triển trong môi trường làm game chuyên nghiệp.&#10;&#10;Em đã tự tìm hiểu"/>
        <s v="Em rất hy vọng có cơ hội được làm việc tại SUN.STUDIO để thử sức mình trong một môi trường chuyên nghiệp. Em luôn sẵn sàng lăn xả, làm hết sức và học hỏi hết mình để đóng góp cho team."/>
        <s v="As a passionate player of competitive games, I deeply understand what keeps users engaged. I am eager to combine this gamer's intuition with my technical skills in Data and AI to help build and optimize great products at SUN.STUDIO. I am ready to bring my"/>
        <s v="Mình thích uốn cà phê, nếu công ty có chỗ pha cà phê thì mình rất willing OT ạ"/>
        <s v="I am eager to learn and grow in a professional QA environment, and I am willing to take on feedback to improve quickly. I hope to have the opportunity to contribute to SUN.STUDIO’s game products and gain hands-on experience working with a real team."/>
        <s v="Yes. I would like to share that I am very excited about the opportunity to learn and grow at SUN.STUDIO. Although I am still early in my career, I am responsible, willing to learn and ready to contribute with my communication, teamwork and coordination sk"/>
        <s v="To whoever is reading this, what is your favorite game?"/>
        <s v="Thank you for building a program that treats interns as real contributors"/>
        <s v="Mặc dù em chưa có cơ hội được tiếp cận và vận hành quảng cáo kỹ thuật số một cách thực tế và chuyên nghiệp, nhưng em nghĩ khả năng tự học và chủ động của bản thân sẽ giúp em ngày càng hoàn thiện để phù hợp với vị trí này nếu được trao cơ hội"/>
        <s v="I am looking forward to your response."/>
        <s v="Em rất mong có cơ hội được thử sức cũng như phỏng vấn tại sun.studio, được học hỏi cũng như trải nghiệm những quy trình ở 1 công ty game."/>
        <s v="Em rất trân trọng cơ hội ứng tuyển tại SUN.RISER. Dù kỹ năng kỹ thuật còn mới, nhưng với thái độ cầu tiến và nền tảng, kinh nghiệm hiện có, em chắc chắn sẽ nỗ lực học hỏi và trau dồi để sớm đóng góp giá trị cho những sản phẩm game chất lượng của công ty, "/>
        <s v="A funny thing about me is that I can’t really “just play” games normally. When I play casual or puzzle games, I start noticing things like level difficulty, ad timing, or what makes me want to keep playing, or quit. Sometimes I even predict when an ad wil"/>
        <s v="Không ạ"/>
        <s v="Dạ em mong đây sẽ có cơ hội được đến học hỏi và phát triển cùng SUN.STUDIO"/>
        <s v="tôi yêu SUN RISER"/>
        <s v="Appreciate for having time to review my application, hope we have a chance to work together. Wish you all the best ! Cheer !"/>
        <s v="Cảm ơn SUN.STUDIO đã mang đến một cơ hội tuyệt vời để những người trẻ được dấn thân. Gửi gắm lớn nhất của mình là: Dù xuất phát điểm là một Kỹ sư Hệ thống, nhưng năng lực cốt lõi của mình là 'Tối ưu hóa' bằng Dữ liệu và AI. Mình đã sẵn sàng để học hỏi nha"/>
        <s v="I just want to express my genuine enthusiasm for the SUN.RISER program and SUN.STUDIO's vision of creating accessible games for everyone. Your emphasis on the 'Fast' and 'Quality' core values perfectly matches the working style I built during my previous "/>
        <s v="I am highly motivated to learn and grow quickly in a professional environment like SUN.STUDIO.&#10;I am proactive, responsible, and enjoy tackling challenging problems through hands-on work.&#10;I would love the opportunity to contribute, learn from the team, and"/>
        <s v="Em mong có cơ hội gia nhập SUN.STUDIO để không chỉ phát triển bản thân mà còn đóng góp vào việc xây dựng các sản phẩm chất lượng, ứng dụng AI hiệu quả trong game."/>
        <s v="Nothing"/>
        <s v="Thank you very much for the opportunity to join your company. I truly appreciate the chance and am excited about the possibility of contributing to your team."/>
        <s v="As a recent graduate, I am eager to contribute my technical knowledge to SUN.STUDIO while gaining hands-on experience in a professional environment. My 6-month internship in Taiwan has trained me to adapt quickly and learn efficiently, so I’m confident th"/>
        <s v="I will try my best if I am in the position."/>
        <s v="Cảm ơn công ty đã dành thời gian để xem hồ sơ của em ạ"/>
        <s v="Mình rất mong có cơ hội trở thành một phần của SUN.STUDIO để vừa học hỏi, vừa đóng góp vào việc xây dựng đội ngũ nhân sự phù hợp với môi trường sáng tạo của công ty. Dù là một Intern, mình luôn sẵn sàng chủ động nhận việc, làm chỉn chu từng phần nhỏ và kh"/>
        <s v="Xin chân thành cảm ơn."/>
        <s v="Nếu có cơ hội được trở thành một phần của công ty, em mong muốn không chỉ học hỏi về quy trình làm game thực tế mà còn có thể đóng góp giá trị của mình, dù là từ những task nhỏ nhất.&#10;Em hiểu rằng ở vị trí intern thì mình còn nhiều điều cần cải thiện, nên "/>
        <s v="Em rất trân trọng cơ hội được ứng tuyển vào chương trình SUN.RISER. Dù là một người ngoại đạo với game, em lại có niềm đam mê lớn trong việc thấu hiểu và kết nối con người. Em hy vọng sẽ được mang tư duy của một sinh viên Tâm lý học để góp phần xây dựng m"/>
        <s v="Cảm ơn SUN.STUDIO vì đã tạo ra chương trình SUN.RISER, đây là cơ hội tuyệt vời cho những sinh viên sắp tốt nghiệp như em có thể học hỏi, mở mang kiến thức khi bước chân vào ngành Game."/>
        <s v="I’m genuinely interested in growing within the game industry, especially in user acquisition where performance and creativity go hand in hand. I approach this opportunity with a serious mindset and a willingness to learn fast, take ownership, and continuo"/>
        <s v="Thank you for your chances. I hope we can have opportunity to work in the future."/>
        <s v="Em mong muốn được học hỏi và phát triển trong môi trường chuyên nghiệp như SUN.STUDIO, đồng thời áp dụng kiến thức AI vào thực tế. Em sẵn sàng cố gắng hết sức để đóng góp vào các dự án của công ty."/>
        <s v="Em còn ít kinh nghiệm, em hy vọng sẽ có thể học hỏi và đóng góp cho công ty ạ."/>
        <s v="Em rất ấn tượng với những gì SUN.STUDIO đang xây dựng và hy vọng có cơ hội được trở thành một mảnh ghép của team. Chúc studio ngày càng phát triển và có thêm nhiều dự án bùng nổ trong tương lai. Em rất mong nhận được phản hồi sớm từ phía SUN.STUDIO."/>
        <s v="Không ạ."/>
        <s v="Những yêu cầu và đòi hỏi của công ty dành cho vị trí thực tập sinh là gì?"/>
        <s v="không ạ"/>
        <s v="N/A"/>
        <s v="I don’t have any further questions at the moment. Thank you for considering my application, and I’m looking forward to the opportunity to learn and contribute at SUN.STUDIO."/>
        <s v="Rất cảm ơn SUN.STUDIO đã quan tâm.Em mong muốn có cơ hội được đóng góp kỹ năng và cùng đội ngũ tạo ra những sản phẩm chất lượng, mang lại giá trị thực tế cho người dùng ạ."/>
        <s v="Dạ em cảm ơn SUN.STUDIO đã tạo cơ hội cho các bạn trẻ như em có công việc thực tập và phát huy nhiều hơn trong đời sống của mình . Em cảm ơn ạ"/>
        <s v="Cho dù có đạt hay rớt thì tôi cũng cảm ơn SUN.STUDIO đã tạo điều kiện cho các sinh viên vừa ra trường, để họ có thể kiếm được một môi trường tốt học tập lấy kinh nghiệm, trong bối cảnh thời nay việc một công ty sẵn sàng bỏ thời gian để có thể mở ra một sâ"/>
        <s v="Là một người thích tự mày mò 'vibe code' và liên tục thử nghiệm các công cụ AI mới để tối ưu quy trình làm việc, em tin rằng SUN.STUDIO chính là môi trường lý tưởng nhất để em phát huy tinh thần chủ động này. Cảm ơn anh/chị ạ!"/>
        <s v="As expressed earlier, I absolutely love this position and would love to give it a go if there is a chance. If there are more skills needed to become an expert at this, I will definitely use my time to acquire those and try my best at this position:)"/>
        <s v="Thank you for taking the time to review my application. I look forward to having the opportunity to directly discuss how my skills can bring practical value to company."/>
        <s v="Mình rất mong có cơ hội được học hỏi và đóng góp tại SUN.STUDIO. Dù là intern, mình luôn giữ tinh thần chủ động, sẵn sàng nhận trách nhiệm và liên tục cải thiện bản thân. Mình cũng luôn cởi mở với feedback và thử thách, và hy vọng có thể cùng team tạo ra "/>
        <s v="Tôi rất mong có được cơ hội cống hiến cho quý công ty"/>
        <s v="I love your location in the AP Tower"/>
        <s v="I am committed to contributing long-term and growing within your company, with the goal of becoming a reliable and valuable team member."/>
        <s v="Em mong muốn được học hỏi và phát triển trong môi trường làm game thực tế tại SUN.STUDIO, đồng thời đóng góp vào việc tạo ra những trải nghiệm Casual/Puzzle hấp dẫn cho người chơi."/>
        <s v="Em rất ấn tượng với sứ mệnh tạo ra các trò chơi dễ tiếp cận của SUN.STUDIO. Với tâm hồn của một người thích biên tập trải nghiệm em thực sự mong muốn được đóng góp sự tỉ mỉ, logic của mình vào các sản phẩm triệu view của công ty. Cảm ơn anh/chị và chúc te"/>
        <s v="Em rất mong mình sẽ có cơ hội để được học hỏi, tích lũy kinh nghiệm trong môi trường ổn định và chuyên nghiệp. Đồng thời, em hy vọng kỹ năng của bản thân sẽ đóng góp được giá trị cho SUN.STUDIO."/>
        <s v="Em muốn cảm ơn SUN.STUDIO đã cho em cơ hội apply vào vị trí này. Em mong công ty mình sẽ ngày càng phát triển và có những game top đầu bảng xếp hạng ạ."/>
        <s v="I really hope to have the opportunity to work and grow with SUN.STUDIO through the SUN.RISER program. I’m still improving as a Game Designer, but I genuinely enjoy gameplay and player experience, and I would love the chance to learn more through a real ga"/>
        <s v="Em mong muốn được trở thành một phần của SUN.STUDIO để học hỏi quy trình phát triển game thực tế . Em sẵn sàng học hỏi, thích nghi và không ngại thử thách để hoàn thành tốt công việc. Hy vọng có thể đóng góp giá trị và đồng hành cùng team trong các dự án "/>
        <s v="Thank you for your time to review my application.&#10;I hope that I have the opportunity to contribute my skills and passion for Sun Studio."/>
        <s v="Em mong có cơ hội được học hỏi, phát triển kỹ năng Game Design và đóng góp vào những sản phẩm game sáng tạo của SUN.STUDIO. Em sẽ luôn cố gắng, chủ động và nghiêm túc trong quá trình thực tập."/>
        <s v="Em mong muốn được phát triển theo hướng lập trình game, đặc biệt là các hệ thống multiplayer và real-time.&#10;SUN.STUDIO là môi trường phù hợp để em rèn luyện kỹ năng này ở mức chuyên sâu hơn, từ việc tối ưu hiệu năng, xử lý concurrency đến cải thiện trải ng"/>
        <s v="Em mong muốn có cơ hội được học hỏi và phát triển bản thân tại SUN.STUDIO. Dù chưa có nhiều kinh nghiệm thực tế, em luôn sẵn sàng tiếp thu, cố gắng hoàn thiện kỹ năng và đóng góp tích cực trong quá trình làm việc. Em hy vọng sẽ được đồng hành và phát triể"/>
        <s v="Cảm ơn vì đã xem qua những thông tin mình đã gửi. Dù kết quả như thế nào mình cũng rất trân trọng các giá trị mà SUN.STUDIO đã dành tâm huyết cho cộng đồng game Việt cũng như những ai đam mê game."/>
      </sharedItems>
    </cacheField>
    <cacheField name="CV" numFmtId="0">
      <sharedItems containsBlank="1">
        <s v="https://api.typeform.com/responses/files/9a0bfc22be986e7fdb98c945486b99c8a94178aecae3e5098bf247c960601368/Tester_Tran_Dat.pdf"/>
        <s v="https://api.typeform.com/responses/files/b5bbd37b3a8f9de90b21199cedc9f35c1fc9d382261e152268075da3a0462f61/_ENGLISH_RESUME__Nguyễn_Thị_Minh_Thư___1_.pdf"/>
        <s v="https://api.typeform.com/responses/files/2676b600bee3f083f734be9ca742dfc88c3a11454b0ec748ba16704cb131ce67/CV___Data_Analysis_Intern___Nguyễn_Thị_Khánh_Đoan.pdf"/>
        <s v="https://api.typeform.com/responses/files/2fd4c7d57f5b248de6db2c980c3dd8b42483170b29f1af8145c7f7ab4d859cca/CV___AI_Engineer_Intern___Mai_Anh_Sơn.pdf"/>
        <s v="https://api.typeform.com/responses/files/e412f5025cda95d7b3991201ba795a5f7fda8605fb2cbf6bacfb69cf608540b5/CV___AI_Engineer_Intern___Nguyen_Hoang_Long.pdf"/>
        <s v="https://api.typeform.com/responses/files/cd53fa376dcecae2274a86a9bbea77cfbd36d5d11776080c6dfaa03ca7037e9a/CV___AI_Engineering_Intern___Lê_Phước_Thái.pdf"/>
        <s v="https://api.typeform.com/responses/files/4e92cb6d605636c752ae7b692a37749452435c0e3aad2afd9c794780965766d9/CV___Game_Designer_Intern___Trần_Thị_Yến_Nhi.pdf"/>
        <s v="https://api.typeform.com/responses/files/8d6a07f9f61d13feafb40be948be93b8b3d4dd1b6c4aebe974bd3ac21c857675/CV___Game_Unity_Intern___Nguyễn_Tấn_Thắng.pdf"/>
        <s v="https://api.typeform.com/responses/files/55bc18b3f1040dd3fbeb97fa738464898f83a0786e1f9dc99e5787074a2e3c62/CV___Unity_Development_Intern___Lê_Huy_Toàn.pdf"/>
        <s v="https://api.typeform.com/responses/files/ade457ce64618d580aea00c2bcbc72d1adb861c56dc3f0044eb2c7b2391188e9/CV_Tieu_Thi_Kim_Cuong.pdf"/>
        <s v="https://api.typeform.com/responses/files/ed05f9a3db23af97e080e52354b66adb5591dce86e349593c3daf0de8f093218/CV___GameDesigner____TranThiThuHoai.pdf"/>
        <s v="https://api.typeform.com/responses/files/7665bf1841e317ce192121e52a5ac9e48932801058b623dc344d6f7b06e31d0a/CV___Human_Resources_intern___Phạm_Nguyễn_Tài_Tuệ.pdf"/>
        <s v="https://api.typeform.com/responses/files/1729e3ff9155ca27d81777ca57f7a0a74e225c72be0201e5681c4f0be9e12a94/CV___Game_Designer___LeMinhQuang.docx"/>
        <s v="https://api.typeform.com/responses/files/f208e786487c8286d8e2352c666f467a934758082c47529b5c9d9fc6a3de7962/CV___AI_Engineering_Intern___Lê_Nguyễn_Kiều_Oanh.pdf"/>
        <s v="https://api.typeform.com/responses/files/ea1c418fe43be38fbf6fc0f12f4d1bf80a5808ee5e6e527f5def228a75fa8923/CV___Game_Design_Intern___Nguyễn_Trọng_Nhân.pdf"/>
        <s v="https://api.typeform.com/responses/files/3dc1e5ef408ff62767bec385b52fc2071c1cf55c97a7502da06ad90becc0c3af/CV_Data_Analysis_Intern_Dụng_Lan_Anh.pdf"/>
        <s v="https://api.typeform.com/responses/files/5047292b162aa55a487e727ddba9cf14629bd292d60ffe987c7673fb9f3ac88e/CV___Data_Analysis_Intern___Nguyễn_Trương_Hoàng.pdf"/>
        <s v="https://api.typeform.com/responses/files/c98def87ea6ea03b08a6f1d6f61b79afa2580ca40264ea4ae474ffecef7414f0/CV___Game_User_Acquisition_Intern___Nguyễn_Minh_Quang.pdf"/>
        <s v="https://api.typeform.com/responses/files/c33a105c480592c0acfeed82a8ee5ecd3662459c91475cd4d727e3a088d6585d/CV___Game_Quality_Assurance_Intern___Đinh_Hoàng_Nam.pdf"/>
        <s v="https://api.typeform.com/responses/files/3a79d17052c343fb7bf3cb50140f3347cca8ff494030897c24fc76eb3e4d3a04/Human_Resources_Intern___Trần_Ngọc_Yến_Vy.pdf"/>
        <s v="https://api.typeform.com/responses/files/8b01658af8a1256653185dd3e453f03153632696b2f75b14c02ae932cee6725a/Nguyen_Mac_Gia_Huy_CV.pdf"/>
        <s v="https://api.typeform.com/responses/files/ee012536d6fb4cc8c4de4d4d01eb196f8bcfebf90e85b442ca63cc151c3b821d/CV_AiEngineerIntern_NguyenNgocThang.docx"/>
        <s v="https://api.typeform.com/responses/files/21eab4ca6e6f047df38c831e8e8b2a517192f1c93a36847d3ca69549c5faacb1/CV___Data_Analysis_Intern___Nguyễn_Thị_Ngọc_Minh.pdf"/>
        <s v="https://api.typeform.com/responses/files/18f1a5b8965e8431845ae05ef68b8e8e8bdf9f72c9b3c1124666baeae56e8182/CV___Unity_Developmet_Intern___Nguyễn_Gia_Huy.pdf"/>
        <s v="https://api.typeform.com/responses/files/25ab38e23037137bc16de3dd62334bf293e04a363954386779d6d0c26fdeddd8/CV___AI_Engineer_Intern___Nguyễn_Đồng_Thanh.pdf"/>
        <s v="https://api.typeform.com/responses/files/cb63645e800d86e6294ee66d856b27e6071d32ed4ec002ba4be943bb46c8ea4f/CV___Game_QA_Intern___Trần_Xuân_Lộc.pdf"/>
        <s v="https://api.typeform.com/responses/files/2393332c90925568a8fcd106144d3847442b182e9d912b46525fb045ec343e8b/CV___AI_Engineering_Intern___Nguyễn_Văn_Trí.pdf"/>
        <s v="https://api.typeform.com/responses/files/6bbcf7fa805bde1e13fac793f8f3d11287b529e5ac038ece7c108d7ae5f9be49/CV___Unity_Development_Intern___Lê_Trọng_Thiện.pdf"/>
        <s v="https://api.typeform.com/responses/files/64a2560b044836b404a193ed5e753735fc8cb52361273c613a5bde0f457587ae/Transcript___UA_Marketing___Nguyễn_Hoàng_Minh.pdf"/>
        <s v="https://api.typeform.com/responses/files/d817dd14c9201142cf9bd328a3e0f1b7ef9ffc9f4ebb9e0adac406a9b4135390/CV___AI_Engineering_Intern___Phạm_Hồng_Nhân.pdf"/>
        <s v="https://api.typeform.com/responses/files/3c7c11e92b5df2357cdae867f6469a6e2aabaa06c8c59f714c0210e5d9511ad2/CV_AI_Engineer_Intern_TranGiaHy.pdf"/>
        <s v="https://api.typeform.com/responses/files/6bd3714e7b6965587c535bc2fe4ab68546cec9a70f734546cbf3099daab383e0/CV_LUONG_NGUYET_THUY.pdf"/>
        <s v="https://api.typeform.com/responses/files/cf66b5a0dbef6b5eb79dd81e5a045092e7837d78de1a0decffd781439879b434/CV___Human_Resources_Intern___Hoàng_Kim_Tùng.pdf"/>
        <s v="https://api.typeform.com/responses/files/ec94a34a2f04f95f732ad8afc50ad38b411eee39895c56fee6321900f22599af/CV_AI_Engineering_Intern_Tôn_Võ_Hoài_Khiêm.pdf"/>
        <s v="https://api.typeform.com/responses/files/f3b6b33923de782a59f02ff23413ef9752f08150250d5d417e46544b5568e948/CV___HR_INTERN___TRAN_THI_THU_LUONG.pdf"/>
        <s v="https://api.typeform.com/responses/files/4e49a5e0859e72688b6b88789db0b045157c5af7aeb8bd2200a3f2d2d95c7d6e/Nguyen_Tran_Nhut_Nam_CV__2___1_.pdf"/>
        <s v="https://api.typeform.com/responses/files/6ad56dfb03cbc18270ad30d8f5d21b92d1a114ca2116a84405f5ac980dba0cd9/CV___NQN.pdf"/>
        <s v="https://api.typeform.com/responses/files/d714c4a52e4bf8dbfae5bc9421a3ce56ebbcb3365dc17a415328beac3009ccc5/CV___Unity_Development_Intern___Hồ_Trọng_Nghĩa.pdf"/>
        <s v="https://api.typeform.com/responses/files/03e1463949ac53cc1771740fad979d578511e3510695eddc264b8b344c9eef55/CV___AI_Engineer_Intern___La_Nguyễn_Quốc_Thịnh.pdf"/>
        <s v="https://api.typeform.com/responses/files/ae673a5934b47d0e8d18e2a86e0b8bb21b4a474a1bd723e94c307a7d2914fe69/CV___Data_Analysis_Intern___Lê_Thị_Bích_Trà.pdf"/>
        <s v="https://api.typeform.com/responses/files/a122fcef4700e4c370e1e6e5952de9a136a6de491c1e0b8bdeee746b99e82c88/CV___Unity_Development_Intern___Bui_Khanh_Duy.pdf"/>
        <s v="https://api.typeform.com/responses/files/de281c3a41f7bfef656239176b4b1bab1abdfcb588265f4469634939b246b3fb/CV___Data_Analysis_Intern___Phạm_Cao_Trí.pdf"/>
        <s v="https://api.typeform.com/responses/files/ff120effb801bf1b9b4087ecdd4849e4f25ba4acfaa24f4df8fbda05c13096ac/CV___Data_Analysts_Intern___Nguyen_Ngoc_Phuong.pdf"/>
        <s v="https://api.typeform.com/responses/files/cf48a5443514676098912afc851e26ae5a366cbe4eaa3f72759608730371ca3a/CV_AI_Engineer__TUAN_ANH_TRAN.pdf"/>
        <s v="https://api.typeform.com/responses/files/1d0425a0a1e0cca1fbf7d821afaa8c3ce02049955a21b8ccb2e9cb76af9f8621/CV_UnityDevelopmentIntern_LeNguyenKhang.pdf"/>
        <s v="https://api.typeform.com/responses/files/2f34efcafbb797967b51d58a35cb0609cedb535e3c59599f222374fbbb88e273/DHNT___GD.pdf"/>
        <s v="https://api.typeform.com/responses/files/c0b7cb95bba05f6cd4b33daedf94d486a797fdb8f08a7138b7274b864f0b01ad/CV_Data_Analysis_Intern_TranDaiHai.pdf"/>
        <s v="https://api.typeform.com/responses/files/27aeec639985f7ea3c57b1ad1182995701f0515e4f1d3dbc1874535177cc3248/CV_Unity_Development_Intern_Nguyễn_Vạn_Xuân.pdf"/>
        <s v="https://api.typeform.com/responses/files/d000a9351138af1e1162ba320edfade993daf3434fbd3422112f2c5940ee5a36/CV_AIEngineer_NgoQuangMinh.pdf"/>
        <s v="https://api.typeform.com/responses/files/b19946b6c647d9e736fd39ba852073f4a37d774c472758564410ca7e62b1298f/Nguyen_Thanh_Phong_CV_imaage_.pdf"/>
        <s v="https://api.typeform.com/responses/files/22eef717f49843147f0b83095d5338bf389a06de53e0ed72639f724719b3e23e/CV___Unity_Development_Intern___Nguyễn_Thế_Anh.pdf"/>
        <s v="https://api.typeform.com/responses/files/3644b02b007f257358dcf0b77c47fa4282638f12a0e5ec904fd4f1367660b2a8/HoangThanhLam_AI.pdf"/>
        <s v="https://api.typeform.com/responses/files/9568a81a5135a921775336fedb5a8672c18977908b41bd017bac05916c87c5a6/CV___Game_Design_Intern___Nguyễn_Quốc_Anh_Quân.pdf"/>
        <s v="https://api.typeform.com/responses/files/ab976404941f7e211205d225136058918e6301881e757faea14238fba2a55215/CV_AI_Engineering_Intern_NguyenDinhVietHoang.pdf"/>
        <s v="https://api.typeform.com/responses/files/6fe800b2b1e34aecdbc5fbb93f3931848b3c34993a6f4277afecb8e8ba97b8b3/CV___Unity_Development_Intern___Game_Design_Intern___Nguyễn_Võ_Ngọc_Bảo.pdf"/>
        <s v="https://api.typeform.com/responses/files/cfdb7ea3485d356b18aecf1fadc5ba4825cb0b3c5fbd962d3343ecb697e665b7/CV___Game_Quality_Assurance___Bui_Dinh_An_Loc.pdf"/>
        <s v="https://api.typeform.com/responses/files/3de2ff45629517cb53afa44320f437c3060824726e2dadcb2e55fee329faf8c4/CV___Game_Quality_Assurance_Intern___Lê_Thành_Công.pdf"/>
        <s v="https://api.typeform.com/responses/files/39a3bd88d0298c65b3530c10c7c67391b7895fd8b5571d04496a4921597a346d/CV___Data_Analysis_Intern___Nguyễn_Thị_Hồng_Nhung.pdf"/>
        <s v="https://api.typeform.com/responses/files/ddc50a01be8397f407d65479254922bc5dd1a3e227b35cb52821931304652d58/cv_nguyentanthanh_compressed.pdf"/>
        <s v="https://api.typeform.com/responses/files/77f65b69612debff73a8e4e0c654e22560abba65d81e63b187fdaee8db7a434b/CV___Game_User_Acquisition_Intern___Nguyễn_Mai_Phương.pdf"/>
        <s v="https://api.typeform.com/responses/files/dd5cc6382b90a6982bd9fb894e15d23b5ad18b13fb1a3da89ce4969771857807/CV___Game_QA_Intern___Nguyễn_Hồng_Luân.pdf"/>
        <s v="https://api.typeform.com/responses/files/263f5303c93dfd73af231f4a388b247c2d13728422b584d6f7bee390e020e553/CV___Game_User_Acquisition_and_Game_Design_Intern___Phạm_Anh_Đức_.pdf"/>
        <s v="https://api.typeform.com/responses/files/0ff4e76862ab310c05dd711baea026025a84fb073eee3d42652d6cd4cfa26eb6/CV___AI_Engineer_Intern___Trần_Tấn_Tài.pdf"/>
        <s v="https://api.typeform.com/responses/files/39246f473991932515e06c4f2bedd55cd43f1bcfb2cfa7cb3ed9efdbcb0ac886/CV___Unity_Development_Intern___Nguyễn_Hũu_Tuấn_Tú.pdf"/>
        <s v="https://api.typeform.com/responses/files/fc1876af3166874f97d8dc1046f8f5dc9d2c304af19adfd784a95fd5343196b1/CV___SunRiserIntern___NguyenNhatHieu.pdf"/>
        <s v="https://api.typeform.com/responses/files/fe9151fc1a562e17a5fc228c643d57ec4064fec1c3de823e2395283ce3afc94a/CuThanhTuong_AI_Engineer.pdf"/>
        <s v="https://api.typeform.com/responses/files/248a6c5a13c3812531d5b9b01697e7b35c5d6decbddde34cf4ff993a1a7ed113/CV___Game_Quality_Assurance_Intern___Nguyễn_Thị_Như_Quỳnh.pdf"/>
        <s v="https://api.typeform.com/responses/files/54d6563b0dbb68dd27ae84b6822142f7ce45c85f07e8e544dce9fed7eb496eb6/Nguyen_Khai_Resume_Unity_Developer.pdf"/>
        <s v="https://api.typeform.com/responses/files/e6fa2621a868c4b0c2763181784a0078294ff895cc65ebd74d525b6e865cce7f/CV___Game_Design_Intern___Trần_Ngọc_Khánh_Huy.pdf"/>
        <s v="https://api.typeform.com/responses/files/9a3d87d8710b7d68286ffc5f4902e4305588fc40b43731d0bd40de18b23dd130/Vu_Bich_Vi___CV.pdf"/>
        <s v="https://api.typeform.com/responses/files/710ca171bf1a3e7412a3ea1cb0874bc4ff48828da4c55ebd750b08e1a9e20ecf/Vu_Bich_Vi___CV.pdf"/>
        <s v="https://api.typeform.com/responses/files/ff2f315b86ab6d1e20c3f4de7e77530bf11f5c8a84b22b319ffb4c2ebe8e6c66/CV___Unity_Development_Intern___Phạm_Thành_Đạt.pdf"/>
        <s v="https://api.typeform.com/responses/files/396395c45680a0e8187303509957c4f407520960b832cbef9571305cec30319e/CV___Game_Developer__Game_Designer___Lâm_Thành_Trung.pdf"/>
        <s v="https://api.typeform.com/responses/files/782fd12e657afeaa5f7a63a19d27303c02044c068201e4b67ccd05fbcbef98fc/main_tex__16_.pdf"/>
        <s v="https://api.typeform.com/responses/files/cfb3606fd962c9d53dfa9fa5d84763fceade3a4eeaa23f32a283a3830e861ecf/CV___Data_Analysis_Intern___Nguyễn_Thanh_Quân.pdf"/>
        <s v="https://api.typeform.com/responses/files/5b959ab2875fb31c399829403a835cc7c091bb91a15fd80ddce77999bf7522a3/24522014.pdf"/>
        <s v="https://api.typeform.com/responses/files/0a0827c8537b5c310fee9d8b9e42631767d56b1167d891946bf181b4b09e2e84/CV___Unity_Development_Intern___Trần_Nguyễn_Khắc_Duy.pdf"/>
        <s v="https://api.typeform.com/responses/files/d9217378a5bf01270ada4620453e50e9ba6854ac0e5294571a4ee1c77f393bd6/CV___Game_Developer_Intern___Mai_Hoàng_Hưng.pdf"/>
        <s v="https://api.typeform.com/responses/files/48ab9a266ecc1f882a60e6d794e59f73029f2c78f59f38d3954364f460f2fdd0/CV___Data_Analysis_Intern___Nguyen_Thanh_Danh.pdf"/>
        <s v="https://api.typeform.com/responses/files/37abed34f4972e76fab29030f022a1b594c77f6c2c065e1c640325e6fb93ae76/CV___Unity_Development_Intern___Huỳnh_Nguyễn_Minh_Khang.pdf"/>
        <s v="https://api.typeform.com/responses/files/74929b6f0a1955b0b5de0e73a2a81ca216a9aef0f3221f93788ba649b1303f39/CV___Game_Quality_Assurance_Intern___TON_THAT_MINH_TOAN.pdf"/>
        <s v="https://api.typeform.com/responses/files/b94716b02d3a2cc50efdbcd21c79fc1de9d264a0c8e69cbd3bcdadb29c54aad8/CV___Unity_Developer_Intern___Hoàng_Nhân_Khánh.pdf"/>
        <s v="https://api.typeform.com/responses/files/976f9b2bf8ec0f9090ecee13b0e1995ca593b17f11824b5fca311dc56c2dc603/CV_UnityDevelopment_NguyễnXuânHoài.pdf"/>
        <s v="https://api.typeform.com/responses/files/6a2413899bebd7adfa73a2c1dfd53d5c2d5870f423439e228ea905ec1aadda27/CV___AI_Engineer_Intern___Phạm_Thanh_Tùng.pdf"/>
        <s v="https://api.typeform.com/responses/files/53834e495979bc232776a0ccc0f1e5fa8bfb7e5836c71ec87d7a7020c05d6fa8/CV___AI_Engineer_Intern___Lê_Quân_Đạt.pdf"/>
        <s v="https://api.typeform.com/responses/files/e0724417490800dd8a50523074390fde2f181c09dd3c7e0940c78cb4728b1ed0/CV___AI_Engineer_Intern___Lê_Quân_Đạt.pdf"/>
        <s v="https://api.typeform.com/responses/files/a26369c808a556bd4bf96a84d4eee6becedf6be00b0c210df5984714b2473790/CV___Game_Design_Intern___Trần_Tiến_Cường.pdf"/>
        <s v="https://api.typeform.com/responses/files/c21288ffa1b5326c7540c29ec8f003162bb3490de1a6f5088b73ba6b1dd35e22/CV___Intern_Game_Designer___Vũ_Quốc_Bảo.pdf"/>
        <s v="https://api.typeform.com/responses/files/cd945cff5f19ffb57d7ec45b5e2f970c7f8a3f0f8808473059b739b2f6352f55/CV_TranLeHoangHuy_UnityDevelopmentIntern.pdf"/>
        <s v="https://api.typeform.com/responses/files/c3d9e903be390c9dd713a5cc79ca1252f803c9d47e1b29f89deeee549af5fdf6/CV_GameDesignIntern_PhamMinhPhat.pdf"/>
        <s v="https://api.typeform.com/responses/files/a094a8c5c107ffedd6b6e9c0d2ec30292a0bac28c00afc0c8fa328276a37ce69/Tran_Hoang_Phuc_TopCV.vn_250426.124259.pdf"/>
        <s v="https://api.typeform.com/responses/files/1e9ef815db6ab3c36bffdb0b78fd99ec84e824cd2fc98863b3e34814240412a9/CV___Data_Analysis_Intern___Dinh_Bao_Thy.pdf"/>
        <s v="https://api.typeform.com/responses/files/aae3bef7cf8ea98c93dc38bc596a0020259d59c920bb8dca0ff91c63208d9c32/CV___Data_Analysis_Intern___Nguyễn_Phi_Long.pdf"/>
        <s v="https://api.typeform.com/responses/files/c93877eb33c528f94de13c8a894b58470372878066d63c73f2728d0ad1a2bc9c/CV__AI_engineering___Intern__Nguyễn_Trần_Mạnh_Thắng.pdf"/>
        <s v="https://api.typeform.com/responses/files/35213bd0db7d1617602f14aaf33c219d68780b9277122d2cfaca8562c833dbfd/CV___Game_Design_Intern___Dương_Triệu_Vy..png"/>
        <s v="https://api.typeform.com/responses/files/765576b759e215f4d1ebf68e9d63cb43970f761d69b43cf43f27b006ce507f16/CV_Game_Design_TranKhanhLinh.pdf"/>
        <s v="https://api.typeform.com/responses/files/78205681fad92fbaec452b3297de250c1f2f999c97b997c413eaae5bde54e7d1/CV_NVMQ.pdf"/>
        <s v="https://api.typeform.com/responses/files/da41cdc3a34e7e49d80e3370ff9a5c3a0efd897aaaeda88147ede59802cfd20e/CV___AI_Engineering_Intern___NguyenThiYenLinh.pdf"/>
        <s v="https://api.typeform.com/responses/files/01ff4828982e67dad0c5dfe4cd89b12a9c1e62ca22a62e87ec23bd51047c4c76/CV___Data_Analysis_Intern___Nguyễn_Trọng_Khôi.pdf"/>
        <s v="https://api.typeform.com/responses/files/64dbc8edddb344fdae13a0c72e7de7f201d19bbec65530c1b985817f34064967/CV_Thái_Thanh_Kha.pdf"/>
        <s v="https://api.typeform.com/responses/files/bbcc2641421bbb593a6347a140ed752bd5a0d9791d5f6879d4994d0ec02ff9c3/Unity_Development_Intern___Hoàng_Hải_Yến.pdf"/>
        <s v="https://api.typeform.com/responses/files/690795ef7738e9fd30bd491188faf87ea867618d5abb5e85f708c5c545c85743/CV___Human_Resources_Intern___Nguyễn_Thái_Diễm_Quỳnh.pdf"/>
        <s v="https://api.typeform.com/responses/files/968469b4c7c1d73cc153c9da181ab22a191bf8f468915b1bf624e307e3458cc2/CV__Unity_Development_Intern___Lê_Quốc_Viêt.pdf"/>
        <s v="https://api.typeform.com/responses/files/ba09e09e722c8e5e30caeca9ea3844e7731151ff344fb07bf3f68ea24cd18670/CV___Game_Quality_Assurance_Intern___Mai_Quỳnh_Châu.pdf"/>
        <s v="https://api.typeform.com/responses/files/7441aba87699e7da6010fe421d5ae08703b733f697cc48931033cd9aa4d6bea8/CV___Unity_Development_Intern___Nguyễn_Quốc_Tiến.pdf"/>
        <s v="https://api.typeform.com/responses/files/4303a000e456246244620fa678852d7773327b01676a3af0fe571f3e26bd4897/CV___Unity_Development_Intern___Trần_Như_Phú_Quang.pdf"/>
        <s v="https://api.typeform.com/responses/files/ab651f3ac3e81e9183575f87cc4ba7a85361a66900c5e3c979c3aa18ebfde276/CV___Unity_Development_Intern___Lê_Thanh_Phát.pdf"/>
        <s v="https://api.typeform.com/responses/files/1b4a4ef49b3d10abda786f19e92a976a050a37c5cb140ceb81153621f3f357f7/Vũ_Minh_Chiến_CV.pdf"/>
        <s v="https://api.typeform.com/responses/files/c9a83abbc4e5be1b2d6a1147068d5cad6cfa458f92c37e7c0fe2111751bc3308/CV___Unity_Development_Intern___Lê_Công_Tuấn.pdf"/>
        <s v="https://api.typeform.com/responses/files/22118bf1b12d3163d0c3018c948cbaad9fbb1c697f6739c53102b4c352afdd07/CV___Human_Resources_Intern___Nguyễn_Vy_Thảo.pdf"/>
        <s v="https://api.typeform.com/responses/files/f16c5c6b277399f3d8fc4d9ef4b6b2d4ff2476b98c7201a801d9953cfe01e8a9/CV_IT.pdf"/>
        <s v="https://api.typeform.com/responses/files/fb9eaee8d8f3a7dd135e45ab694d23c4bb2313f2f7d9ca4b8a980d354ad152b8/NguyThanhDat_CV_Tester.pdf"/>
        <s v="https://api.typeform.com/responses/files/2a72add1e00ea0a993249cf6cfb00292d381ad4f7835381fd70f4e105c5c72f8/CV___Unity_Developer_Intern___Nguyen_Phi_Long"/>
        <s v="https://api.typeform.com/responses/files/e3f1a89f4965ca2cae7ed9c88c44df2986febfdf5988acd60244306923b31a4e/CV___Unity_Developer_Intern___Lê_Nguyễn_Nhật_Trường.pdf"/>
        <s v="https://api.typeform.com/responses/files/524fb9bfc5222b8c104b63087f530ad506274b283c8f525d43f6a4e45545949e/ToanPhuc_CV_GameDesign.docx"/>
        <s v="https://api.typeform.com/responses/files/52c68ec8be38cd62f7bcf84bdea68c516ff993f55954b7ad4b74368fc7fca156/CV___Unity_Development_Intern___Trần_Khánh_An.pdf"/>
        <s v="https://api.typeform.com/responses/files/cdb0e3bced5d16ce309e1eb376a13ffc5ad6e980d4e77805bdf095417adf0711/DangThiThuyVi_Resume.pdf"/>
        <s v="https://api.typeform.com/responses/files/dbc604a831234c06158bbfa4afcb85455c2fe2bada2c089f29812b4bfa6a1641/CV_Game_Design_Intern_Trần_Duy_Anh_Dũng.pdf"/>
        <s v="https://api.typeform.com/responses/files/5213fdb460af39f703b9ba43ed43a3691a2c1a37b7cd097ec2dc8f0de8d4b924/CV___Unity_Development_Intern___Trần_Tấn_Vạn.pdf"/>
        <s v="https://api.typeform.com/responses/files/1723de9dcb9b04053dea33bfb8f51ab301c632a91254b7e4b99cdfee32c6d781/CV_AI_Engineering_Intern_Nguyen_Thanh_Binh.pdf"/>
        <s v="https://api.typeform.com/responses/files/4d4a97d2df444a5575d2900d633803c4f0711498a935869a099080786f4ba35c/CV___Game_Design_Intern___Nguyễn_Xuân_Duy.pdf"/>
        <s v="https://api.typeform.com/responses/files/e3872ca6ef993caba288de80450969ca16c2036bda9b1924da3a84b96154c64b/CV___AI_Engineer_Intern___Lê_Cường_Thịnh.pdf"/>
        <s v="https://api.typeform.com/responses/files/bc310a4ade9a8a6e849d0947cdb06243ff3bdaa0d2fa87b4323196f46ccad487/CV___Game_Design_Intern___Trần_Thị_Thanh_Vi.pdf"/>
        <s v="https://api.typeform.com/responses/files/a180a95d9d219b315c044159366e43b0cfd3fd6c2351bcab95201dd91b44e6b3/CV___Game_Designer__TranNhatDuy.pdf"/>
        <s v="https://api.typeform.com/responses/files/17cf28b4d4a1a46fd0bc1a5b590712045838319e8192f1cfcb539e4016a69a56/Unity_Development_Intern___Trương_Gia_Hào.pdf"/>
        <s v="https://api.typeform.com/responses/files/51894bcece1f450ece2454ea0b57e60d1fe2be1a451044eb27fadd96ef6883d3/CV___Unity_Developer_Intern___Võ_Văn_Giang.pdf"/>
        <s v="https://api.typeform.com/responses/files/247682e65c80f841d60386bc3b26f8dc5f179f06caa432a0ff2ab39cc6ba7b7a/CV___Unity_Developer_Intern___Phạm_Tấn_Đạt.pdf"/>
        <s v="https://api.typeform.com/responses/files/082b3dc6e764006e704a720707998ba7fc60690b0e87d0bbdc53ced84dd431ee/Do_Van_Dat_AI_Intern.pdf"/>
        <s v="https://api.typeform.com/responses/files/87c29df6cdae6296199a6d2870f23bd1a2b24c9c6412e5003bb43dc37400bd12/CV___Data_Analysis_Intern___Nguyễn_Vũ_Thuỳ_Trâm.pdf"/>
        <s v="https://api.typeform.com/responses/files/fa4da333baa7a7326548cba5f18314a77aabef364a7a039f9475e0ee9914cf44/CV___AI_Engineering_Intern___Huỳnh_Quốc_Huy.pdf"/>
        <s v="https://api.typeform.com/responses/files/81f9cf58adb7e2fd987f6a96478e28279c5994b700ac30053702497fdec07b47/NguyenThanhDanh_AIIntern_SUN.pdf"/>
        <s v="https://api.typeform.com/responses/files/04be3b5c43c476b956fb8172b0154a0d410b29abffb086509567491a7f5c5104/CV___Unity_Development_Intern___NguyenXuanDangTrinh.pdf"/>
        <s v="https://api.typeform.com/responses/files/0462e6e49f1e3b7e21ab1fd59bcf2d2212481abf2b02b0a2882b8751c2dfc04d/CV__Unity_Developer_Intern_Ngô_Gia_Thịnh.docx"/>
        <s v="https://api.typeform.com/responses/files/c4daa3a4149d81004712def39cd1bcebba5ecc93beba62bcab0b0fa5624b34db/CV___Unity_Development_Intern___Mai_Xuân_Thường.pdf"/>
        <s v="https://api.typeform.com/responses/files/e573ce840a3a20b6ae99c190a42ee6745a7c73e86e9122bfaa00742c92c0315c/CV___Data_Analyst_Intern___Tran_Le_Dong_Anh.pdf"/>
        <s v="https://api.typeform.com/responses/files/0904a9097011fff4b57075fea06f2dc24c599ba15d2000da99a7743040ff3321/CV___AI_Engineering_Intern___Đoàn_Thị_Minh_Anh.pdf"/>
        <s v="https://api.typeform.com/responses/files/438622fce62417b4369660adf0b46a3b018773e3a551877a316e47799644dc00/CV_UnityDevelopment_Intern_TranDoHoangTan.pdf"/>
        <s v="https://api.typeform.com/responses/files/559e2c4af90f2911ffc274ba45e513082e37d9614e0f12416179d4e67cd9d91a/CV_Data_Analysis_Intern_Võ_Thị_Tiên_Phước.pdf"/>
        <s v="https://api.typeform.com/responses/files/6118178195514e7a74d7d8dfbb4a36438c0d215091e6797e2eea75e34f7c2fea/CV___Data_Analysis_Intern___Duong_Khanh_Trang.pdf"/>
        <s v="https://api.typeform.com/responses/files/a49c82c7306d9c565710a38e835c8dda6a7dec7b9993fbe2f383e160d2dbcc05/CV_Trương_Vạn_Niên.pdf"/>
        <s v="https://api.typeform.com/responses/files/dd322ebf5adfe048cb37e06dfb7b4f606b9e0ec9a3546d66552142376e221292/CV___Data_Analysis_Intern___Bùi_Đoàn_Thúy_Vy.pdf"/>
        <s v="https://api.typeform.com/responses/files/07da1f1ed90e1077579ae4087398c9300aeb9652acd52691cfa163941b66a0cc/CV___Data_Analysis_Intern___Nguyễn_Văn_Lam.pdf"/>
        <s v="https://api.typeform.com/responses/files/9c11b8b657fca81213e25c1b6c262dc94535625642aeac645a9506390753a17e/CV___Data_Analyst_Intern___Nguyễn_Phương_Tùng.pdf"/>
        <s v="https://api.typeform.com/responses/files/f2866c6ef1746bdf6ccdde93f7cb527771e6e7a64ee512ae21b2439b163bec8c/CV___Data_Analysis_Intern___Lê_Bảo_Quốc.pdf"/>
        <s v="https://api.typeform.com/responses/files/9d5f406bd2fb60c338fce34cf9a95ab5b6191081609f7b6e4aba2a26cc01f452/CV___Marketing_Intern___To_Vo_Yen_Tho.pdf"/>
        <s v="https://api.typeform.com/responses/files/0ee3ce4f4457dcf2efb8a318dad4b45113c41f8f2cc5d1e332f8eb19ba3ac588/CV___AI_Engineering_Intern___Nguyễn_Khắc_Tùng_Dương.pdf"/>
        <s v="https://api.typeform.com/responses/files/80dd16ca668a0fbbd79fe4292a8f7e4458aa05effc1390c5d84a56408e43bf14/CV___Data_Analysis_Intern___Thái_Thị_Mỹ_Quyên.pdf"/>
        <s v="https://api.typeform.com/responses/files/60f10a610e69684fd79d753a77ee55a500411ac0449d904baf71bf766763233e/CV_Data_Analysis_Intern_Nguyen_Duc_Thang.pdf"/>
        <s v="https://api.typeform.com/responses/files/295c3c2e962e8eb7cc2416f2d89a422600e7583508862f76a99539bfd78600db/CV___AI_Engineer_Intern___Tiêu_Trí_Bằng.pdf"/>
        <s v="https://api.typeform.com/responses/files/39df4a5846dca1c7bb9e2d6af98bcd1dfd4aa8f736cbb7802630ede2b3395ec0/CV__Data_Analysis_Intern___Game_QA_Intern___Chau_My_Phuong.pdf"/>
        <s v="https://api.typeform.com/responses/files/774fecf463440adc873203c9a1ea1d1916717229a3608962c99124089c79ad8a/TrieuTanHuy_CV.pdf"/>
        <s v="https://api.typeform.com/responses/files/d383c8c74a6ed143db5cab7cd368019cd7de55e5d037b7006c61c99f41da9ee5/MYCV__4_.pdf"/>
        <s v="https://api.typeform.com/responses/files/9edf6aac68d3d5b2aefdf97a1a2319d19e168d98a48c27f055b85647611ef95e/CV___Portfolio___Game_Design_Intern___Bui_Tuan_Hung.pdf"/>
        <s v="https://api.typeform.com/responses/files/f15df88fee1de1c86b0b4110bc89a6539851fc94770ab85ca3646600b47f2f3c/CV_AI_Engineer_Intern_Nguyễn_Việt_Hùng.pdf"/>
        <s v="https://api.typeform.com/responses/files/8aaf69b079573412173b571a1b15123bcd982d4feb582d0fd0bda328cee6a168/CV_AI_Engineer_Intern_Trương_Hoài_Phong.pdf"/>
        <s v="https://api.typeform.com/responses/files/ff42b2a5e62fc6977be2750eaf20ac21fc92d4bdd5b62acd742c7a9a983da1b4/CV_English.pdf"/>
        <s v="https://api.typeform.com/responses/files/884f7664314ab1485462fce768c3bf9e45e4b0bddf47fc19e5384a8f3cdd412f/CV___Game_Design_Intern___Trương_Quang_Nghĩa.pdf"/>
        <s v="https://api.typeform.com/responses/files/759dadbbc1943f7a6be6dc4443872a44429792740f05307d9f28a7793791229d/CV___Unity_Development_Intern___Lê_Văn_Tài.pdf"/>
        <s v="https://api.typeform.com/responses/files/99e7104fcfe1c72adc4920b3cfc4c510080eda8abdb1338177420ee1f488b360/CV_Unity_Developer_Nguyễn_Thanh_Tùng.pdf"/>
        <s v="https://api.typeform.com/responses/files/4b3cf3e4628cb3d23cdbcfa003186aebfc4f3688e9f9f1ed9bc2a48e6b8e6d1a/CV___Game_Design_Intern___Nguyễn_Đăng_Khôi.pdf"/>
        <s v="https://api.typeform.com/responses/files/f44d7bbf01dcf39fd3aff62b87099b0c9c89ddec14316e45805cf935348cfe93/TrinhTanHao_internAI.pdf"/>
        <s v="https://api.typeform.com/responses/files/5afba7a43ae5b9360691e3999a54c4342aba5de785553f61e777cc8df37222ba/CV___AI_Engineering_Intern___Lê_Hoàng_Việt.pdf"/>
        <s v="https://api.typeform.com/responses/files/abc92ae32804306d23a9ffcbfd69b9fc12902f1a4dba594467030cf410f81e43/CV___Data_Analysis_Intern___Nguyễn_Minh_Đạt.pdf"/>
        <s v="https://api.typeform.com/responses/files/3311c68a79628b5f562c201625a63c38c9c1d0ba2287a3149a2d85369becf6af/CV___AI_Engineer_Intern___Trương_Vĩnh_An.pdf"/>
        <s v="https://api.typeform.com/responses/files/a668c62eb99d2ac5d74b7dff30d17c49f28d515c1009916b7982c9e33a8d8da3/CV___Game_Developer_Intern___Nguyễn_Đình_Minh_Nhật.pdf"/>
        <s v="https://api.typeform.com/responses/files/94b1876b6b3cbf11eeb597d7cf9cf7afd3013934c733282588779ba762d23995/CV_Data_Engineer_Intern_HaXuanHoang.pdf"/>
        <s v="https://api.typeform.com/responses/files/47c0e2a67826e5403c1856e4816d82f5c0ebaa42fe330d3f11f61570eba0d629/CV_AI_Engineer_Intern_Nguyễn_Hạnh_Bảo_Ân.pdf"/>
        <s v="https://api.typeform.com/responses/files/7b610dcaa4a722a6d97480ccae7a1e8be31f03a21b9f46534a70d8de9b5fd13b/CV___AI_Engineer_Intern___Thạch_Nhựt_Hào.pdf"/>
        <s v="https://api.typeform.com/responses/files/37ccd85556a7f1316ff3e945f4a0fbf44302eb3ac7b9c7ba971e0592720992c8/CV_Data_Analyst_Huynh_Thanh_Tai.pdf"/>
        <s v="https://api.typeform.com/responses/files/8ff1a06e336b94ffbe89712d670eb7a2436ea3ee0d4e763146c2d8ea2a549bb6/CV___Data_Analysis_Intern___Nguyễn_Hoàng_Tùng_Linh.pdf"/>
        <s v="https://api.typeform.com/responses/files/5c5e1215b929a9dac40c66d0d43a04af7013ae352505e610621f3f1fcf78eb8f/LamNhatMinh_AI_Intern_CV.pdf"/>
        <s v="https://api.typeform.com/responses/files/d1ccf45628677460a5f783f88d92993108cabd7fccaccbd2960035bfed607c76/CV___AI_Engineering_Intern___Nguyễn_Văn_Đăng.pdf"/>
        <s v="https://api.typeform.com/responses/files/189fd0bcb6db50cd7511926601665cbe3572b046e4791afe3bbd6a288bd77db6/CV___Game_Design_Intern___Hoàng_Hữu_Nhân.pdf"/>
        <s v="https://api.typeform.com/responses/files/4740b469bf5321b0b45603e1dd6c29cd70e1e05bf6a544f35d8dd534a01da1ac/CV___Quality_Assurance_Intern___Phùng_Ngọc_Tuấn.pdf"/>
        <s v="https://api.typeform.com/responses/files/3be080eab9ffd027e8bab69b25c6581c005889aa72aebe8ef309a5423dd7c652/CV__AI_Engineering_Intern___Vũ_Ngọc_Sơn.pdf"/>
        <s v="https://api.typeform.com/responses/files/1afc47bfebd8ac72a62f3112dec57cbf34658f1dd36411edc8f03497e8159d83/CV___AI_Engineering_Intern___Trần_Văn_Trường.pdf"/>
        <s v="https://api.typeform.com/responses/files/7cec12f3eeb8428454647de3a284e45740d3c7fd876e8cfdc5528178c59a6348/CV___AI_Engineer_Intern___Đỗ_Việt_Hùng.pdf"/>
        <s v="https://api.typeform.com/responses/files/deaf0b89238194c92429ecb70ccd6b8e3958dac7f7a67f424e02b9e5cb661d54/CV___Game_Design_Intern___Nguyễn_Thúy_Thương.pdf"/>
        <s v="https://api.typeform.com/responses/files/f7662cc72f308ba94c48dda81508cdc28f7a30418e90f47ef1a45bce581df201/Resume_for_AI_Engineer_Intern___Le_Binh_Nguyen_.pdf"/>
        <s v="https://api.typeform.com/responses/files/7aa482b5dfd2f4b3d258f9fab9abea37c2b9f71b2798ece22f4813340cf1702c/Vu_Hoang_Long___Game_Developer.pdf"/>
        <s v="https://api.typeform.com/responses/files/115af0d537167c100bd1637b3f0bf415049e3025a5fa5c76a356914d77dd7a9c/CV_AI_DO_TUAN_TRUC.pdf"/>
        <s v="https://api.typeform.com/responses/files/de0c4f2ca04b85e6343598dbd053c24a88735017b84e754267d177169c9e8884/CV___Game_QA_Intern___Lê_Thái_Khánh_Ngân.pdf"/>
        <s v="https://api.typeform.com/responses/files/12b51474639b922550c1b1c3d0e25dca2e1f47f45dc800ec457ab37fbca86695/CV___Unity_Development_Intern___Nguyễn_Mạnh_Hùng.pdf"/>
        <s v="https://api.typeform.com/responses/files/f4e5dfeb5dc6130a920d9e084ca06253a36359d8b0e743fe15d07d92a2e30e2e/CV___Unity_Development_Intern___NguyenTranPhuocLoc.pdf"/>
        <s v="https://api.typeform.com/responses/files/dc27ea6fc253615b5599296a3a708360b90b335ecd3063587ff670fcdf80ebec/CV___Unity_Developer_Intern___Trần_Trung_Tuấn_Hưng.pdf"/>
        <s v="https://api.typeform.com/responses/files/d6ec7fb30a25c3be9f0ffc7b41c32157ce5ae07026eb2e57a019cc82a32cb843/tran_duy_khang_CV.pdf"/>
        <s v="https://api.typeform.com/responses/files/6019859376673d0f8fffe84970bd9f96da63e7a6bed3566f9b0154c678cd1dd0/SoftwareEngineer__NguyenPhuThinh.pdf"/>
        <s v="https://api.typeform.com/responses/files/57a193d4292cbeffd815cdea7810b6833423f3b4c528613ced54b0695bb253d4/CV___AI_Engineering_Intern___Cao_Huyền_My.pdf"/>
        <s v="https://api.typeform.com/responses/files/7d5b05b60821575e970aa078453b4376edbe45a23a9fdbdbd064df12b83a0d8e/CV___Data_Analysis_Intern___Nguyễn_Phú_Toàn.pdf"/>
        <s v="https://api.typeform.com/responses/files/493c34e89b61ad58f6a00d439ba0d99bed21f31c5bbce827ca27c853f53bd08c/CV___Unity_Development_Intern___Tran_Dinh_Phu.pdf"/>
        <s v="https://api.typeform.com/responses/files/c56df336e0a918048c26520948dc97aee04e97be8d48c620d2ac20a54a48e20e/CV_DA_NguyenTienThinh.pdf"/>
        <s v="https://api.typeform.com/responses/files/d9c53c0775a8114c78f7b366c3eb620fae032e08e6bdb4a9f0036fc6f854bba3/CV___AI_Engineer_Intern___Phạm_Anh_Văn.pdf"/>
        <s v="https://api.typeform.com/responses/files/1d15e3b38ee43cd691dc6082f8364ea5f7c728b1e774a0610fdc099bcb639840/CV_DA_NuyenQuocAn.pdf"/>
        <s v="https://api.typeform.com/responses/files/366385b849f43cce8ba17173f185ee0a557a5ccf2717d7e8d1d7b823037067cc/CV_Game_Developer_Intern_Nguyễn_Nhân_Quỳnh_Như.pdf"/>
        <s v="https://api.typeform.com/responses/files/2b9277c5234d83ba09fd1887d85bf0430d24b70449ed4ceae071cf0432b17470/CV___DataAnalyst___Triệu_Đoan_Kỳ.pdf"/>
        <s v="https://api.typeform.com/responses/files/736cfecb7989cc074e9177d88534c229fb24e2346d0e3f7df28d09b6dbc90b06/CV___Data_Analysis_Intern___Phùng_Trung_Bắc.pdf"/>
        <s v="https://api.typeform.com/responses/files/8e854a713d1ac7e6f3b0364385fa75f82f181de03f82c59f11266f43eaea1b86/CV___AI_Engineering_Intern___Trần_Trí_Đức.pdf"/>
        <s v="https://api.typeform.com/responses/files/69d359b729b110003d16496405f843c192e6ec2df6f2b4eaf92641d08dc42c0e/CV___AI_Engineering_Intern___Trần_Anh_Thái.pdf"/>
        <s v="https://api.typeform.com/responses/files/b287ae7638789c4594952ee30cc4295efa793f3d6db1c9611b58848bca8c2097/CV___Data_Analysis___Cao_Thiên_Quang.pdf"/>
        <s v="https://api.typeform.com/responses/files/796270f2a66bf2911a91b4455691b7128b9a8e654e44673b010b6b2547fb1b4c/CV___Data_Analysis_Intern___Bui_Thien_Phuc.pdf"/>
        <s v="https://api.typeform.com/responses/files/61c3c67b255653ca9e9fa6d15d9728fafefd34b80ecd82f274ebe44bbd5409b4/CV_DataAnalysisIntern_VoNguyenBaoNgoc.pdf"/>
        <s v="https://api.typeform.com/responses/files/f7c8aae516d221defc9163c76516dbf9ca731976129f631832c0679f4f6fca82/CV___AI_Engineer_Intern___Nguyễn_Nam_Huy.pdf"/>
        <s v="https://api.typeform.com/responses/files/61ad82d8d88c6bbf079d5576f571578c596af9dea272aea878b1d32f072da126/CV_Data_Analyst_Intern_Nguyen_Thi_Anh_Thanh.pdf"/>
        <s v="https://api.typeform.com/responses/files/99d71161ed4ecbb00915046c3fabfb2f933f6abb5b0540523508eb2bee23f076/Resume___Nguyen_Duy_Huan_.pdf"/>
        <s v="https://api.typeform.com/responses/files/683cf29f3b6e6fa6aab846a91d52326dd3bed6aac5c414e3bafedd019cf98c51/CV___Unity_Developer_Intern___Trần_Quốc_Đạt.pdf"/>
        <s v="https://api.typeform.com/responses/files/7003080f7e09e0c2ed1be45925b4bb60f68aa71a183f5d0f45f127b63d1b1c86/CV.pdf"/>
        <s v="https://api.typeform.com/responses/files/f7f6191c374de9cd988c56ac2e6d127b691e484e8656da608dd91f92ab48df80/CV_Đoàn_Minh_Đức.pdf"/>
        <s v="https://api.typeform.com/responses/files/212dcb1d9d6c4f391488bc746a8696fd43b7ab4ee3569d748fa1f86f8f93c48e/CV___Data_Analysis_Intern___Dang_Quynh_Chau.pdf"/>
        <s v="https://api.typeform.com/responses/files/3bad88bb3211fc7ddb2b2da29e2f80e89ec1f7693db8d5046add7878257a8c7f/CV___TRAN_DOAN_THANH_QUY___TESTER.pdf"/>
        <s v="https://api.typeform.com/responses/files/518b83a9cbd646d5007c832edd4f7a5332c396e1845818892ca58eede5222fd8/CV___Game_Quality_Assurance_Intern___NguyenTranXuanNhi.pdf"/>
        <s v="https://api.typeform.com/responses/files/4af73e7e400b574bc0e088d9bacfa6ed81c2e472d12bf8c5a311e1f4e224d120/PhamDoQuangLong_InternUnityDeveloper_CV.pdf"/>
        <s v="https://api.typeform.com/responses/files/2b7c76213ae07b77dbcc8489af13a92d8975bdf251b94df2ec5ff986d72a85ed/Nguyễn_Duy__CV_updatedMay2026.pdf"/>
        <s v="https://api.typeform.com/responses/files/083140d9954080659f330e9804ec412b89412c2289ae22a67b1a6c3dbe4616b2/CV___Game_Design_Intern___Võ_Anh_Khải.pdf"/>
        <s v="https://api.typeform.com/responses/files/17c42f8208fe596b6ea8a9463a6e563f36467aab6798b087a7c729c1214961fb/CV___Data_Analysis_Intern___Lê_Tuấn_Khôi.pdf"/>
        <s v="https://api.typeform.com/responses/files/a1005cd70a4e4817593810dd0ba50ecb31721b46fe51f56afa75e69f07f769ab/CV___AI_Engineer_Intern___Nguyễn_Minh_Trung.pdf"/>
        <s v="https://api.typeform.com/responses/files/0652128d676fb9d92391121b4e131f8188e2bf772a9e06fcd0ce871073292ee5/CV_Nguyen_Hung___Game_Development.pdf"/>
        <s v="https://api.typeform.com/responses/files/75eca038af4975fca224bbd5129f4c99722e0c7eb446693364107ddff813a768/CV___Data_Analysis_Intern___Nguyen_Thi_Huyen_Trang.pdf"/>
        <s v="https://api.typeform.com/responses/files/e0a3382deedab1557c705fed0f36732e21d02375144091f75575e067d301d69f/CV___Game_Design_Intern___Võ_Đức_Cao_Thượng.pdf"/>
        <s v="https://api.typeform.com/responses/files/79295053935289dd9da03964968497f6a2f474a98fe4aa938beb745bebb63b56/CV___Data_Analysis_Intern___Bui_Ha_Bao_Khanh.pdf"/>
        <s v="https://api.typeform.com/responses/files/f7a5482d3ec3a138553a6787b80b0827b59b389f28ab7b1b76dc48d1f8cc8123/CV_QAIntern_NguyenThanhTruc.pdf"/>
        <s v="https://api.typeform.com/responses/files/4033858a0460b53a496a53b19701205315cb9c5b8b7809272ac8ce75126a3eaf/CV___Game_Development_Intern___Bùi_Bình_Nguyên.pdf"/>
        <s v="https://api.typeform.com/responses/files/7b4fb2aaf30e858ea994711ce5cb758dae1ee36ec8e8db40e1ed06a2b4011f0d/CV___Unity_Development_Intern___Hồng_Chung_Lâm.pdf"/>
        <s v="https://api.typeform.com/responses/files/188c9453c76d9e2d2e36e578bb23715065269138300e90536e37b9ea69ccf521/CV___AI_Engineering_Intern___Phạm_Nguyễn_Quang_Thoạ.pdf"/>
        <s v="https://api.typeform.com/responses/files/d4fa94e9d3a9b2611159b3e38d74ad422ceeeb5750aaa06935ec231c26f8bcdc/CV___Data_Analysis_Intern___Nguyễn_Đức_Toàn.pdf"/>
        <s v="https://api.typeform.com/responses/files/8f8754802964975d835db760d648d2e930c52185783da368697e17fa871e30f5/CV___AI_Engineering_Intern___Nguyễn_Đức_Phúc.pdf"/>
        <s v="https://api.typeform.com/responses/files/91eb0fb0ffca9bddc561b3df876a5a51d49eddf882587f61d0cb2cc221c0b590/CV_VuQuangHuy.pdf"/>
        <s v="https://api.typeform.com/responses/files/00d04e3d3079dc01ccff888a32e579862e1a7841ebff37e3222e8a2b564a72fd/CV___AI_Engineering_Intern___Nguyễn_Hồng_Yến.pdf"/>
        <s v="https://api.typeform.com/responses/files/9d846a63c4acefa4189888978d736315a8acdfc9110e20a358cccff02bfda417/CV_Data_Analysis_Intern_Nguyen_Thao_Ly.pdf"/>
        <s v="https://api.typeform.com/responses/files/a009391b92accbcc8513bff609b0f8fad28c84388d06d2ed975ccbc91761904a/CV___Data_Analysis_Intern___Dang_Quoc_Viet.pdf"/>
        <s v="https://api.typeform.com/responses/files/ffa81d373808ca4ebecb4356fae24cd12818c3a9f11c2170b2cc5fe25a07c4d7/CV___Data_Analysis_Intern___Nguyễn_Phúc_Loan.pdf"/>
        <s v="https://api.typeform.com/responses/files/4ff2620c66418220bd033574eab3d0c68da34d9e6af7be6bbc0ab097f7e8971e/CV_AI_Engineer_Intern_NguyenHoangQuan.pdf"/>
        <s v="https://api.typeform.com/responses/files/fad3858ae008c95d2a1dc719a5a84afc8a78e05b1b1b887a9499ec52afd3ed52/CV_AI_Intern_PhamHongPhat.pdf"/>
        <s v="https://api.typeform.com/responses/files/73a39a20cfdf9c1b8c35a140dacc055fb91d2c05dea4e67834ca426363f8885b/CV_Unity_Development_Intern_Phạm_Tuấn_Đăng_Khoa.pdf"/>
        <s v="https://api.typeform.com/responses/files/c60d8d5f88e4f639f3ef8259a6485ecfe2981b10029c90625f0be3e25f2f1a9f/CV___Unity_Development_Intern___Nguyễn_Trung_Tín.pdf"/>
        <s v="https://api.typeform.com/responses/files/b2a94487ca5d75478286d72f85782efc348e0982cc457f76c8a9287665891c22/CV___Data_Analysis_Intern___Trần_Tiến_Dũng.pdf"/>
        <s v="https://api.typeform.com/responses/files/a98dcd99e6c2945daf633b1ce56cc0bb6817c0ef2d60143de27f82de99852bd4/CV_AI_Engineering_Intern_NguyenQuocDuy.pdf"/>
        <s v="https://api.typeform.com/responses/files/c3f13922188a1795b829cb861449f4fb8b7f24325645ab3e3a52f14645738795/Nguyen_Hoang_Phuc_UNITY_GAME_DEVELOPER_.pdf"/>
        <s v="https://api.typeform.com/responses/files/ff10dabb425ee3c6c4d7bf642d083f8104d2afee023cb9a2488f3da8b8603896/inbound2870604163729616293.pdf"/>
        <s v="https://api.typeform.com/responses/files/3a8ea45b49431587d6d84ee6f39540109e8e77c6a3618bf34f2497864d4db907/CV___Unity_Development_Intern___Dương_Thị_Bảo_Trân.pdf"/>
        <s v="https://api.typeform.com/responses/files/f4ca096090e0deb44d6cd31f865c2865b1dc2710a2b6209c973486f98e952bb0/TrầnTiếnĐạt_CV_GameDeveloper_Intern.pdf"/>
        <s v="https://api.typeform.com/responses/files/72c0f66aacfa33924e1c24756bcd83c1df9f242af3ad9a5fe40c90802f4b1178/CV___Data_Analysis_Intern___Lục_Minh_Phú.pdf"/>
        <s v="https://api.typeform.com/responses/files/605fe83fdfa8901b54f088a98702fcf3dff1a73d24e8da3ee8f85cbfed1f6b62/CV___AI_Engineer_Intern___Bùi_Nam_Việt.pdf"/>
        <s v="https://api.typeform.com/responses/files/1fe8cf128180c1ccea0b85e05f9907d756a0f802916da93b6cc8003df880feac/_VŨ_ĐỖ_BÌNH_AN__CV_APPLY_INTERN_HR.pdf"/>
        <s v="https://api.typeform.com/responses/files/59e5af3c95ff53a3810dfc999443fb41b90fa0e34f48f0d05dbf3765ebdc0f20/CV___AI_Engineer_Intern___Nguyễn_Tất_Kiên.pdf"/>
        <s v="https://api.typeform.com/responses/files/15c14c9f5125d5ef58c52228dda160d740e013a43235b0fc2ffea99075ee7cc1/CV___Unity_Development_Intern___Lê_Tấn_.pdf"/>
        <s v="https://api.typeform.com/responses/files/4235eb66ee30ac658eb78411d60e0ffc74a0a5ca76b0d58e8647da8ae7e094b6/CV___Data_Analysis_Intern___Vo_Thi_Ngoc_Chi.pdf"/>
        <s v="https://api.typeform.com/responses/files/992e4110c5462f01e1f46a83750f5f5481ecf02f5e03535d8c36054b112b898d/CV_GameQAIntern_LamTheRin.pdf"/>
        <s v="https://api.typeform.com/responses/files/e7fd7a5333616e04e776e3111076e9bcc00a7e40e37ec5e9cc020dfe154c4a0e/CV___Game_Quality_Assurance_Intern___Tran_Truong_Lan_Anh.pdf.pdf"/>
        <s v="https://api.typeform.com/responses/files/73dc63d4c8d26934dc624de9481bd65889888d0a873e52ef97f1cc678abe23f1/CV___Data_Analyst_Intern___Lê_Phan_Xuân_Dũng.pdf"/>
        <s v="https://api.typeform.com/responses/files/56b272a3d7c7d9ec19e7efd7803580f4bbe24cc8f9935b65f7e634d26ea8d94c/CV_AI_Engineering_Intern_Phan_Huynh_Chau_Thinh.pdf"/>
        <s v="https://api.typeform.com/responses/files/c6eb1de938c3bcd00c9460c5ab60db6d96b4de6b05110054d261b9b46e86f22a/CV___Data_Analysis_Intern___Phan_Thảo_Vy.pdf"/>
        <s v="https://api.typeform.com/responses/files/662e16d885e161527b5359aec37737fb3a1e8e9d960ed718cdb123fb50941893/CV___Data_Analysis_Intern___Nguyễn_Lê_Yến_Nhi.pdf"/>
        <s v="https://api.typeform.com/responses/files/743556302d7fe191f5ae9124af2d2a767f43c739ec93bd653b1cd503d99ad6f7/CV___HR_Intern___Võ_Phạm_Gia_Long.pdf"/>
        <s v="https://api.typeform.com/responses/files/a8f9730e9aae6bf78af572cea425980cd5f8e270f11e147ef1293750f2f584e2/CV_HR_INTERN_HO_NGOC_NHUNG_SUNSTUDIO..pdf"/>
        <s v="https://api.typeform.com/responses/files/45f12a77ddba46f770b4660ac5d2f878e99ef2e4f19c3fc2e53c3cefbacfe839/CV_Data_Analysis_Intern___Nguyen_Van_Quoc.pdf"/>
        <s v="https://api.typeform.com/responses/files/0b96e23d90d650bc4a29633ac1bd316ff1585684b19e17981280660557a3cc24/CV___Data_Analysis_Intern___Biện_Hữu_Khang.pdf"/>
        <s v="https://api.typeform.com/responses/files/ab0677562a7554faf9cc03fdd1f40749a71fda9c076fede83248b0fba552be69/CV___Data_Analysis_Intern___Nguyễn_Quốc_Huy.pdf"/>
        <s v="https://api.typeform.com/responses/files/e2a2b48b08e0a69da089c5f0c3b8d7cdcf9b2d77ce5339e2f2fae26d87c9a38d/NguyenThanhHien.pdf"/>
        <s v="https://api.typeform.com/responses/files/e13f4d928def6bd9949b0ba6ddc742e17ea8d2a1acd8f651e2e5f3b4843d59b6/CV___AI_Engineering_Intern___Phan_Thế_Hoàng.pdf"/>
        <s v="https://api.typeform.com/responses/files/8fee4c19c250388c165b45f0338c886973e5d3b20d4ce5e20b1fe8d9cbbc1553/CV___Game_Quality_Assurance_Intern___Hồ_Tài_Liên_Vy_Kha.pdf"/>
        <s v="https://api.typeform.com/responses/files/c1dbc4c91813b28b35f87f9f28d2a632a58f75b1e898838bce6891fcdb49c799/CV___AI_Engineer_intern___Pham_Nguyen_Khanh_Minh.pdf"/>
        <s v="https://api.typeform.com/responses/files/3ad58c06726848cbeb2bc57cdec2e2f69b64ca155904b6e2e316f4ccbb5af784/CV___Unity_Development_Intern___Bùi_Tuấn_Cường.pdf"/>
        <s v="https://api.typeform.com/responses/files/a4a5136dc525001089ee88f240459dccbe2d8761dc44f62d211fcb3767385a9c/CV_Game_Desin_Intern_Đoàn_Nguyễn_Đan_Quỳnh.docx"/>
        <s v="https://api.typeform.com/responses/files/e42ad0690863ee0c0807476615fecff714dfb6072bc8d98f5312ebbb85c33e5a/CV___AI_Engineering_Intern___Trần_Phan_Đăng_Khôi.pdf"/>
        <s v="https://api.typeform.com/responses/files/5ef87c18772b3673166d0cf7e19096162ff175728c1d079cf59ee43297cfad84/CV___AI_Engineer_Intern___Trần_Phan_Đăng_Khôi.pdf"/>
        <s v="https://api.typeform.com/responses/files/195ab61c19a0702579601939a805ec60bde7c44b828dbb8287ea057b1ad03e9a/NGUYEN_VO_VAN_ANH_TA_INTERN.pdf"/>
        <s v="https://api.typeform.com/responses/files/952bb526c9fb69bf815d43b27d3bbb058fc6cf61615c3449b04d943caf0c5a25/CV_GameQAIntern_LeTruongThienBao.pdf"/>
        <s v="https://api.typeform.com/responses/files/5ad89e456a97fca45b6a112ec00abd5b9867183ed80e0f48c2a68228f9436680/CV___Game_Quality_Assurance_Intern___Vũ_Kim_Khanh.pdf"/>
        <s v="https://api.typeform.com/responses/files/4a044940dba2e2c2c586612ee189ba486babdf63a6c3862949cd258847eac32e/CV___Human_Resources_Intern___Trần_Hữu_Kim_Quý.pdf"/>
        <s v="https://api.typeform.com/responses/files/5d7cf0c7da55b1887444fa5f7c21aef16c129678f760ccff20ba97ad148ccd55/CV___Game_User_Acquisition_Intern___Hoàng_Nguyên_Hương.pdf"/>
        <s v="https://api.typeform.com/responses/files/6e77427eded286645bccf7423e090e1d1ea41f2a1b769512ddb8e8f4c2b5fe58/CV___AI_Engineer_Intern___Lê_Minh_Kha.pdf"/>
        <s v="https://api.typeform.com/responses/files/0c8b72ee6699e33050c92c01eb879238608e518eb432b8fbd2387256e7b09851/CV___AI_Engineer_Intern___Lê_Võ_Xuân_Hưng.pdf"/>
        <s v="https://api.typeform.com/responses/files/933b8e11c99182ee9e40889eab50ec326b7ec2f84652d685a5879bb9f486c23a/CV_USER_ACQUISITION_INTERN_Trần_Duy_Phát.pdf"/>
        <s v="https://api.typeform.com/responses/files/05718efe011914dba3d14fdf00f7b3091b06ce6a1763bc3a0804b967d4fdb5a5/CV_Game_User_Acquisition_Intern_Trần_Thị_Cát_Tường.pdf"/>
        <s v="https://api.typeform.com/responses/files/8b5d02d7195d649423d78b1474888ac024d9855d05686b457f8f594c1c302eb4/CV___Game_Design_Intern___Nguyen_Tieu_Anh.pdf"/>
        <s v="https://api.typeform.com/responses/files/bcae51823f6c85fc63c8874ce2fe480b8ff83d20709eead2c98a71700760464b/CV___AI_Engineer_intern__Data_Analysis_intern___Đoàn_Mạnh_Tất.pdf"/>
        <s v="https://api.typeform.com/responses/files/48312917141e7603bbafee7596e52af88a59ab17e4a9c68e294db3b593239b83/CV___Unity_Development_Intern___Trương_Dương_Thùy_Trang.pdf"/>
        <s v="https://api.typeform.com/responses/files/0b74d62dac2b2fe86da4e331e8e750669cf1612d7667a34d391d297d7636deee/CV___Game_User_Acquisition_Intern___Quach_Thao_Vy.pdf"/>
        <s v="https://api.typeform.com/responses/files/2f005f9d1ca2c67575c62ce9abd5bcb63ed64811073f814bd68b95017aa69f6b/CV___Game_User_Acquisition_Marketing_Intern___Nhi_Nguyen.pdf"/>
        <s v="https://api.typeform.com/responses/files/bb8b74df3da19cf761779b466b6339e8fe7f74ee7d23194b8159b6c8e504174e/CV_Ngo_Chi_Cuong_AI.pdf"/>
        <s v="https://api.typeform.com/responses/files/67fbee3239225c01681a7876012af0ab9fb8d4a2206abc820c517147b152baf5/Le_Nhat_Hao_Resume.pdf"/>
        <s v="https://api.typeform.com/responses/files/3e002717a6629b6a8b46c28ce24189486792ef38b95b25c89c3d1bd24cc9db51/CV___DataAnalyst___Châu_Gia_Bảo.pdf"/>
        <s v="https://api.typeform.com/responses/files/5fbe794f20915ce09017c139353c5a6da07bb0a2df929121c9aa677a97bf96b2/CV___Data_Analysis__Intern___Trần_Vĩnh_Trường.pdf"/>
        <s v="https://api.typeform.com/responses/files/43f45078031a482fdd2b418a1f2d04625e9097e9cf53a37dfeb489708051d83c/CV_quality_assurance__Lâm_Minh_Tùng_Quân.pdf"/>
        <s v="https://api.typeform.com/responses/files/dfa116cd96aad4b18f7bbfa48a68e002a441e4bc4d83aefa585c100bfea2665b/Luong_Nguyen_Anh_Quan___Intern.pdf"/>
        <s v="https://api.typeform.com/responses/files/6f0448d32fcb6a1b82a42c3675f36ae3a83b2e66a81f9bbdc0ce0669168f501e/Dinh_Thi_Thanh_Hang__Data_Analyst_Intern.pdf"/>
        <s v="https://api.typeform.com/responses/files/54f657c0d1e7f0f8157bc8b6496f68e0428eba0bfea7ece38bc58a79ecfa44df/AI_Engineer_intern_Ngô_Thị_Ánh_Dương.pdf"/>
        <s v="https://api.typeform.com/responses/files/e091337e56583642ecd443a76be55e0f3aed8b0bb47ecf3d06a06d4bd0edad26/CV___AI_Engineering___Đoàn_Nguyễn_Minh_Thư.pdf"/>
        <s v="https://api.typeform.com/responses/files/8785ab50551a31ea4415eab55c6edf1a3183a86565919034bd082dd42fe9f5fc/CV___Data_Analysis_Intern___Trần_Tiến_Lực.pdf"/>
        <s v="https://api.typeform.com/responses/files/6fd11831925e8c077ba0b50b3362fbaf8a77bf834ebc2a75f7a128d5f3444a58/CV___AI_Engineering___Trần_Anh_Huy.pdf"/>
        <s v="https://api.typeform.com/responses/files/2f6bac863db106576f2115281a826d2d666817ba948a470f6e0cbe1b227ec6f7/CV___AI_Engineer___Nguyễn_Đặng_Minh_Duy.pdf"/>
        <s v="https://api.typeform.com/responses/files/122be1a3caa7f4d65332df67af7a0ea786cac3ca995ec64b37e7e5cf10059efe/CV___Data_Analysis___Ngô_Nguyên_Thảo.pdf"/>
        <s v="https://api.typeform.com/responses/files/d45aafb70a9ccf02828744235ab73faf224d8cca5b4aa03a54b9e72351f83563/CV___Game_Design_Intern___Nguyễn_Nguyên_Bảo_Phú.pdf"/>
        <s v="https://api.typeform.com/responses/files/e4b8c2a5cfdb7b9fd66333821f8449cccf9743024e7242704849eb8aecd99de1/Nguyễn_Thị_Hồng_Nhung_Sun_Studio_Marketing_Intern.pdf"/>
        <s v="https://api.typeform.com/responses/files/73501665a3a2471641d60de976287d510b4d7d198704fe193d10aeeb0e025fe2/CV_NguyễnLâmThao.pdf"/>
        <s v="https://api.typeform.com/responses/files/2005593a39fde5383c49986b8d339c55806502c130633971f7d53505170dd212/CV___Human_Resource_Intern___Vòng_Nguyên_Hy.pdf"/>
        <s v="https://api.typeform.com/responses/files/17aa4aa51f228628b94ec03d547e72ca01745a09c94e2ff5d0f5642eaeac8185/inbound5372708082611676721.pdf"/>
        <s v="https://api.typeform.com/responses/files/e6df46de2eeb91739dfe4981c17a5cd05742d2ab0c78bc6990d474e88a6b9287/CV___Game_Design_Intern___Triệu_Hoàng_Duy.pdf"/>
        <s v="https://api.typeform.com/responses/files/bb91d3a9641cea6760498d8035c5f2f44e49fa4ef09c3e5cb18480cad49c1f05/CV_HR_INTERN_VŨ_TRẦN_KHÁNH_NHƯ_.pdf"/>
        <s v="https://api.typeform.com/responses/files/2f14dc09b6169138f9e1c97adf30bca30f43594db3ecf7afeccdec22f032ad3a/CV___Game_Quality_Assurance_Intern___Ngô_Trương_Thiên.pdf"/>
        <s v="https://api.typeform.com/responses/files/9956ea841e02ac21188b70b0a1a6484a7b1f383fd9ffe6c5ed06ff4424d8a5d4/CV___Game_Quality_Assurance_Intern___Lê_Anh_Khôi.pdf"/>
        <s v="https://api.typeform.com/responses/files/22dc0b3949cd812c9f5f03f5eecf101c05d96dfb551f3629c10541a0aa71e804/resume_vinh_bao_phuc.pdf"/>
        <s v="https://api.typeform.com/responses/files/2bdad125b1c4878d67bff6eb6143989cd44e23e796dd2c89489450051e52b92a/CV___Game_User_Acquisition_Intern___Nguyễn_Phạm_Uyên_Uyên.pdf"/>
        <s v="https://api.typeform.com/responses/files/01cf3652a7cf704cf0888ae4c427f3c60b6ef37f0a430be83c5b997feb4bb997/CV___Data_Analysis_Intern___NguyenKhoaQuangDuy.pdf"/>
        <s v="https://api.typeform.com/responses/files/a5fc6b13f3802f22ad2536ae8a874aece613a68978c7aeb5f3ca98064e8cc1ea/CV_AI_Engineering_Intern_Phan_Tấn_Lộc.pdf"/>
        <s v="https://api.typeform.com/responses/files/14ec55491914483bdf153eb4e8f3d623cd19d17300ea97e53fa4bcc64870db72/CV_Data_Analyst_Intern_Huỳnh_Duy_Khanh.pdf"/>
        <s v="https://api.typeform.com/responses/files/e84580cb3c6d7287ef93aad625172796d069469b60847830a487658bb7e614ce/CV___AI_Engineer_Intern___Data_Analysis_Intern___Huỳnh_Thái_Bảo.pdf"/>
        <s v="https://api.typeform.com/responses/files/4e772294089ebf0bd860fb152567bfe87af601ee76c340a3db4a7aa5adc799ce/CV_LeHaBaoKhanh_Fresher.pdf"/>
        <s v="https://api.typeform.com/responses/files/f52659d280663792f038a767be8dac16e5ab7ec082a5b2e3997b5ea6b29ea3bc/inbound317632735936504612.pdf"/>
        <s v="https://api.typeform.com/responses/files/d709563568aa0556d15da0dcb2ef7af1d79b8e500c0603da7332ed4a554fc469/CV___AI_Engineer_Intern___Trần_Tiến_Đạt.pdf"/>
        <s v="https://api.typeform.com/responses/files/85f384f890703ea88d4770880907b86e635157ef3a083ef8988e56f6069d52f4/CV___AI_Engineering_Intern___Vũ_Hoàng_Minh.pdf"/>
        <s v="https://api.typeform.com/responses/files/7c54b072397e6b1f182a3f387ac0efd0223eace7d19762733342deb650e53738/MinhNguyenAnh_5.pdf"/>
        <s v="https://api.typeform.com/responses/files/a9459d714aeb066d326ac8baa7ee454774af92cced47e9c6a82c004f23187e0c/inbound5812462044915528695.pdf"/>
        <s v="https://api.typeform.com/responses/files/efadcdbe381e552780539c0b362373e6060cd5c3798bf73f2104983c763c3cc4/CV_NgoTheKietIS.pdf"/>
        <m/>
        <s v="https://api.typeform.com/responses/files/24e48d3ce9152217b17482f2ef89f6bff67bc73d7c5db4dff55591d050b6b03f/CV_Game_Design_Intern_Nguyễn_Hoàng_Nhật_Thiên.pdf"/>
        <s v="https://api.typeform.com/responses/files/b738473ed7476ca2aacc5f219ff436cf8c3bffb0c34189956e45ff8219667e6a/CV___Game_design_Intern___Nguyễn_Đặng_Thanh_Duy.pdf"/>
        <s v="https://api.typeform.com/responses/files/7499680c17becbbe2411c8f708d257fff8d0b3f7708cfa4650e1594aea832c09/CV___Game_Design_Intern___Nguyễn_Nguyên_Bảo_Phú.pdf"/>
        <s v="https://api.typeform.com/responses/files/3cd572aefcd03dab2cd81ac2233398a8521cb7a5be301e89a8e23eac24189f85/Game_Designer_Inter___Lê_Hoàng_Tâm.pdf"/>
        <s v="https://api.typeform.com/responses/files/d699385b5caad20aac7ad7d857f426d5b98885218d4a133cd13edf4b49d65be3/CV___GameDesignerIntern___DiepThaiPhong.pdf"/>
        <s v="https://api.typeform.com/responses/files/78821d9b2ef58617d37be28df9e771d5fccef1d5157b6c3ef3d5e0b93b9b9332/_CV2025__Phạm_Quang_Duy.pdf"/>
        <s v="https://api.typeform.com/responses/files/15464f63463836aceb229fe5a1f816d4635022c08caaaa2f93ad8e85ae098147/CV___Game_Designer_Intern___Lê_Phạm_Quỳnh_Duyên.pdf"/>
        <s v="https://api.typeform.com/responses/files/375a6c1b1e0de0b89a4732c9f82388bdd38a044a70788cbb12777b25c85be0fa/CV___Game_Designer___Trần_Phước_Đại.pdf"/>
        <s v="https://api.typeform.com/responses/files/48c3894cb10d73c029b140f987ea7563acfb1864f93891eaa31baa20e4f4921a/CV___Game_Design_Intern___Phạm_Tiến_Hùng.pdf"/>
        <s v="https://api.typeform.com/responses/files/f00baf808ca1f91180a4d92a21eb5f0b8c8e5202cc3275574bc4fa2bd35835ba/CV___Game_Design_Intern___Giao_Thái_Bảo.pdf"/>
        <s v="https://api.typeform.com/responses/files/7cc0d4985df7a249abe9f840e8141e98d8e9681e9d624a8780c98f20f7592aff/CV___Game_Design_Intern___Trần_Hùng_Sơn.pdf"/>
        <s v="https://api.typeform.com/responses/files/bb12ef3edcfc1729cdcfb03f7b2cc77960918cdfe47e14fe4e615c99cffc09b5/CV___Game_Design_Intern___Hồ_Kim_Ngọc.jpg"/>
        <s v="https://api.typeform.com/responses/files/a00f4acd912d43af5f15b1108e0d8b7c1a171cf27610d7aef4a44da1d17e22b1/CV___Game_Design_Intern___Nguyễn_Thị_Minh_Thư.pdf"/>
        <s v="https://api.typeform.com/responses/files/bf2f1005183d2128b7ad9e0547918bcaba226ecffd751e7cf9d781e17f2f50fe/CV___Game_Design_Intern___Lâm_Tấn_Vũ_.pdf"/>
        <s v="https://api.typeform.com/responses/files/80b5756537870dac321eacb10855218185aaa36346a3355618b0ac7fe5df30d9/CV_Game_Designer_Trương_Quốc_Cường_.pdf"/>
        <s v="https://api.typeform.com/responses/files/baef268895033ae2db029378e60dd25900094a58e6d7b1b1ecfb4450e0834491/CV___Game_Design__Intern___Lâm_Vũ_Bội_Nhi.pdf"/>
        <s v="https://api.typeform.com/responses/files/5c280975369c8f84dea110facd0dd7f7c0487aa7476b6a65a549d2b0336510ad/CV___Game_Design_Intern____Trương_Lê_Đán_Phúc_Nguyên.pdf"/>
        <s v="https://api.typeform.com/responses/files/19b94fc688886f0acc6ebe358e67e11020db473886d1297151f5b72399a5f621/CV___Game_Design_Intern___Lâm_Mai_Hương_Giang.pdf"/>
        <s v="https://api.typeform.com/responses/files/bb227bca634178f882cc1da776eb9ee879b4788f6b2bc7be01a7384da81bf1f8/CV___Game_Design_Intern___Đoàn_Minh_Trí.pdf"/>
        <s v="https://api.typeform.com/responses/files/e3a575f8bc82df320fec21cf55e30476ae0a72da7ca530d74ba7c50d71624698/CV___Game_Design_Intern___Nguyễn_Thị_Mỹ_Nữ_.pdf"/>
        <s v="https://api.typeform.com/responses/files/093ba1938d29f69e19ec3ef3d3a912e5762dc0b7afb1c3849aae38780441008c/Phan_Vu_Truong_An_Intern_Game_Designer.pdf"/>
        <s v="https://api.typeform.com/responses/files/7f3245b6ee2798b4d8b28ff6907cdad6f814163e6870e2261ceab067aec0d747/CV___Game_Design_Intern___Nguyễn_Hà_Viết_Thống.pdf"/>
        <s v="https://api.typeform.com/responses/files/df7da03ec88e16138e011dc615d35cd1e6aae40025398aab98215183ac310657/CV___GAME_DESIGN_INTERN___Lê_Nguyễn_Tấn_Thịnh.pdf"/>
        <s v="https://api.typeform.com/responses/files/38d0b041f45346de164358178a8dd163d9a5f2880e93cf99b7134baa4ee9bc60/CV_Intern_Game_Design_Tran_Gia_Huy.pdf"/>
        <s v="https://api.typeform.com/responses/files/edea34de3b1a9d6e7c1847a51f7e3deaf3162c824d438bda02e63549af15456a/CV___Game_Design_Intern___Nguyễn_Bùi_Quang.pdf"/>
        <s v="https://api.typeform.com/responses/files/2991017b2221d73d00c02a055ffa037d35ea85af48020129d78ff9e2fa2919dd/CV___Game_Design_Intern___Nhơn_Minh_Kiệt.pdf"/>
      </sharedItems>
    </cacheField>
    <cacheField name="Submitted At" numFmtId="166">
      <sharedItems containsDate="1" containsString="0" containsBlank="1">
        <d v="2026-04-23T12:50:44Z"/>
        <d v="2026-04-23T13:02:45Z"/>
        <d v="2026-04-28T10:40:25Z"/>
        <d v="2026-04-27T02:58:50Z"/>
        <d v="2026-04-27T09:15:33Z"/>
        <d v="2026-04-28T04:39:58Z"/>
        <d v="2026-04-23T14:24:59Z"/>
        <d v="2026-04-23T14:29:34Z"/>
        <d v="2026-04-23T14:39:05Z"/>
        <d v="2026-04-23T14:40:51Z"/>
        <d v="2026-04-23T15:06:26Z"/>
        <d v="2026-04-23T15:25:48Z"/>
        <d v="2026-04-23T15:26:37Z"/>
        <d v="2026-04-28T12:52:14Z"/>
        <d v="2026-04-23T16:13:25Z"/>
        <d v="2026-04-27T15:52:32Z"/>
        <d v="2026-04-24T04:18:23Z"/>
        <d v="2026-04-23T16:17:05Z"/>
        <d v="2026-04-23T16:36:13Z"/>
        <d v="2026-04-23T16:56:37Z"/>
        <d v="2026-04-23T17:24:20Z"/>
        <d v="2026-04-30T00:23:52Z"/>
        <d v="2026-04-27T07:44:26Z"/>
        <d v="2026-04-23T18:11:20Z"/>
        <d v="2026-04-28T02:02:17Z"/>
        <d v="2026-04-23T18:47:18Z"/>
        <d v="2026-04-29T10:38:40Z"/>
        <d v="2026-04-23T20:16:28Z"/>
        <d v="2026-04-24T00:29:03Z"/>
        <d v="2026-04-29T13:02:33Z"/>
        <d v="2026-04-26T07:09:47Z"/>
        <d v="2026-04-24T01:57:23Z"/>
        <d v="2026-04-24T02:11:20Z"/>
        <d v="2026-04-25T04:04:27Z"/>
        <d v="2026-04-24T02:40:42Z"/>
        <d v="2026-04-24T01:07:09Z"/>
        <d v="2026-04-24T03:13:25Z"/>
        <d v="2026-04-24T03:16:52Z"/>
        <d v="2026-04-23T13:51:36Z"/>
        <d v="2026-04-27T06:30:21Z"/>
        <d v="2026-04-24T04:16:53Z"/>
        <d v="2026-04-24T04:46:13Z"/>
        <d v="2026-04-28T08:45:55Z"/>
        <d v="2026-04-24T04:50:39Z"/>
        <d v="2026-04-24T04:53:33Z"/>
        <d v="2026-04-24T05:27:03Z"/>
        <d v="2026-04-28T11:06:24Z"/>
        <d v="2026-04-24T05:31:19Z"/>
        <d v="2026-04-24T09:58:59Z"/>
        <d v="2026-04-28T15:11:35Z"/>
        <d v="2026-04-24T06:11:39Z"/>
        <d v="2026-04-24T08:40:27Z"/>
        <d v="2026-04-24T06:29:01Z"/>
        <d v="2026-04-29T18:09:48Z"/>
        <d v="2026-04-24T07:16:57Z"/>
        <d v="2026-04-24T07:25:00Z"/>
        <d v="2026-04-24T07:27:02Z"/>
        <d v="2026-04-29T17:01:38Z"/>
        <d v="2026-04-24T08:12:34Z"/>
        <d v="2026-04-24T08:20:22Z"/>
        <d v="2026-04-24T08:26:07Z"/>
        <d v="2026-04-24T08:35:20Z"/>
        <d v="2026-04-24T11:41:58Z"/>
        <d v="2026-04-24T08:45:24Z"/>
        <d v="2026-04-25T04:07:17Z"/>
        <d v="2026-04-28T10:24:48Z"/>
        <d v="2026-04-24T10:05:12Z"/>
        <d v="2026-04-24T10:16:29Z"/>
        <d v="2026-04-24T11:11:48Z"/>
        <d v="2026-04-29T08:43:43Z"/>
        <d v="2026-04-29T08:47:39Z"/>
        <d v="2026-04-24T12:38:44Z"/>
        <d v="2026-04-25T07:46:27Z"/>
        <d v="2026-04-27T02:54:15Z"/>
        <d v="2026-04-28T04:03:56Z"/>
        <d v="2026-05-01T05:36:04Z"/>
        <d v="2026-04-24T16:23:53Z"/>
        <d v="2026-04-24T17:24:56Z"/>
        <d v="2026-04-29T03:22:44Z"/>
        <d v="2026-04-24T17:32:17Z"/>
        <d v="2026-04-24T18:50:25Z"/>
        <d v="2026-04-24T20:49:03Z"/>
        <d v="2026-04-25T02:51:00Z"/>
        <d v="2026-04-27T15:15:09Z"/>
        <d v="2026-04-27T10:13:21Z"/>
        <d v="2026-04-28T08:09:21Z"/>
        <d v="2026-04-25T19:04:26Z"/>
        <d v="2026-04-25T04:55:04Z"/>
        <d v="2026-04-25T05:38:58Z"/>
        <d v="2026-04-27T13:40:56Z"/>
        <d v="2026-04-25T05:58:39Z"/>
        <d v="2026-04-28T14:25:47Z"/>
        <d v="2026-04-29T04:47:26Z"/>
        <d v="2026-04-28T03:54:18Z"/>
        <d v="2026-04-25T07:43:08Z"/>
        <d v="2026-04-27T16:25:13Z"/>
        <d v="2026-04-25T08:04:53Z"/>
        <d v="2026-04-30T02:50:22Z"/>
        <d v="2026-04-28T04:10:27Z"/>
        <d v="2026-04-25T08:39:07Z"/>
        <d v="2026-04-25T08:44:26Z"/>
        <d v="2026-04-25T08:53:48Z"/>
        <d v="2026-04-25T09:28:02Z"/>
        <d v="2026-04-25T10:58:11Z"/>
        <d v="2026-04-25T11:16:32Z"/>
        <d v="2026-04-25T11:21:09Z"/>
        <d v="2026-04-25T12:44:50Z"/>
        <d v="2026-04-24T03:56:44Z"/>
        <d v="2026-04-25T15:21:54Z"/>
        <d v="2026-04-25T15:45:06Z"/>
        <d v="2026-04-25T15:50:26Z"/>
        <d v="2026-04-25T16:15:13Z"/>
        <d v="2026-04-25T17:48:12Z"/>
        <d v="2026-04-25T18:05:34Z"/>
        <d v="2026-04-28T08:53:47Z"/>
        <d v="2026-04-25T18:44:00Z"/>
        <d v="2026-04-29T07:24:53Z"/>
        <d v="2026-05-01T04:52:12Z"/>
        <d v="2026-04-26T06:55:06Z"/>
        <d v="2026-04-25T06:37:46Z"/>
        <d v="2026-04-26T09:56:27Z"/>
        <d v="2026-04-27T17:43:48Z"/>
        <d v="2026-04-26T13:44:20Z"/>
        <d v="2026-04-26T15:44:03Z"/>
        <d v="2026-04-26T15:52:57Z"/>
        <d v="2026-04-26T16:54:54Z"/>
        <d v="2026-04-26T18:11:07Z"/>
        <d v="2026-04-27T16:48:34Z"/>
        <d v="2026-04-24T08:00:46Z"/>
        <d v="2026-04-24T13:05:13Z"/>
        <d v="2026-04-27T09:42:46Z"/>
        <d v="2026-04-27T03:37:50Z"/>
        <d v="2026-04-27T04:07:27Z"/>
        <d v="2026-04-27T04:15:19Z"/>
        <d v="2026-04-25T08:28:18Z"/>
        <d v="2026-04-24T02:46:54Z"/>
        <d v="2026-04-27T05:01:36Z"/>
        <d v="2026-04-27T05:34:35Z"/>
        <d v="2026-04-30T11:23:06Z"/>
        <d v="2026-04-28T14:04:47Z"/>
        <d v="2026-04-23T18:09:49Z"/>
        <d v="2026-04-27T15:56:27Z"/>
        <d v="2026-04-29T16:41:06Z"/>
        <d v="2026-04-26T19:15:52Z"/>
        <d v="2026-04-27T08:17:01Z"/>
        <d v="2026-04-24T15:48:24Z"/>
        <d v="2026-04-29T03:33:07Z"/>
        <d v="2026-04-28T04:16:34Z"/>
        <d v="2026-04-28T05:14:51Z"/>
        <d v="2026-04-24T05:29:40Z"/>
        <d v="2026-05-01T09:47:31Z"/>
        <d v="2026-04-25T13:44:13Z"/>
        <d v="2026-04-27T10:03:20Z"/>
        <d v="2026-04-27T16:31:41Z"/>
        <d v="2026-05-01T07:25:57Z"/>
        <d v="2026-04-24T06:00:29Z"/>
        <d v="2026-04-24T09:15:01Z"/>
        <d v="2026-04-27T13:06:42Z"/>
        <d v="2026-04-27T13:37:48Z"/>
        <d v="2026-04-24T12:51:37Z"/>
        <d v="2026-04-27T15:40:40Z"/>
        <d v="2026-04-27T10:19:10Z"/>
        <d v="2026-04-23T13:05:22Z"/>
        <d v="2026-04-24T02:14:55Z"/>
        <d v="2026-04-25T05:56:53Z"/>
        <d v="2026-04-28T06:40:10Z"/>
        <d v="2026-04-28T05:38:32Z"/>
        <d v="2026-04-27T04:44:02Z"/>
        <d v="2026-04-23T16:15:02Z"/>
        <d v="2026-04-29T02:56:56Z"/>
        <d v="2026-04-24T07:07:38Z"/>
        <d v="2026-04-29T11:02:37Z"/>
        <d v="2026-04-25T18:17:38Z"/>
        <d v="2026-04-27T16:30:37Z"/>
        <d v="2026-04-24T01:09:24Z"/>
        <d v="2026-04-23T17:42:46Z"/>
        <d v="2026-04-25T08:15:12Z"/>
        <d v="2026-04-27T18:55:15Z"/>
        <d v="2026-04-30T18:49:00Z"/>
        <d v="2026-04-28T02:44:06Z"/>
        <d v="2026-04-28T14:05:48Z"/>
        <d v="2026-04-28T03:07:22Z"/>
        <d v="2026-04-28T03:13:32Z"/>
        <d v="2026-04-28T03:25:13Z"/>
        <d v="2026-04-28T03:28:54Z"/>
        <d v="2026-04-23T14:16:15Z"/>
        <d v="2026-04-28T03:41:47Z"/>
        <d v="2026-04-27T15:30:20Z"/>
        <d v="2026-04-30T01:42:45Z"/>
        <d v="2026-04-28T04:06:54Z"/>
        <d v="2026-04-25T06:24:08Z"/>
        <d v="2026-04-27T13:55:01Z"/>
        <d v="2026-04-27T08:13:34Z"/>
        <d v="2026-04-28T04:26:45Z"/>
        <d v="2026-04-28T04:28:57Z"/>
        <d v="2026-04-27T06:50:21Z"/>
        <d v="2026-04-23T13:36:33Z"/>
        <d v="2026-04-28T05:28:07Z"/>
        <d v="2026-04-29T16:08:08Z"/>
        <d v="2026-04-27T09:09:05Z"/>
        <d v="2026-04-28T05:16:07Z"/>
        <d v="2026-04-27T08:19:04Z"/>
        <d v="2026-05-01T11:42:13Z"/>
        <d v="2026-04-28T02:50:39Z"/>
        <d v="2026-04-28T05:30:37Z"/>
        <d v="2026-04-24T05:37:00Z"/>
        <d v="2026-04-28T06:30:19Z"/>
        <d v="2026-04-27T09:13:01Z"/>
        <d v="2026-04-28T07:23:50Z"/>
        <d v="2026-04-28T07:27:17Z"/>
        <d v="2026-04-28T07:44:22Z"/>
        <d v="2026-04-28T07:54:14Z"/>
        <d v="2026-04-26T04:02:15Z"/>
        <d v="2026-04-28T16:41:20Z"/>
        <d v="2026-04-28T03:38:21Z"/>
        <d v="2026-04-28T08:32:52Z"/>
        <d v="2026-04-25T06:34:23Z"/>
        <d v="2026-04-27T12:10:29Z"/>
        <d v="2026-04-23T18:18:36Z"/>
        <d v="2026-04-28T09:17:22Z"/>
        <d v="2026-04-28T09:48:55Z"/>
        <d v="2026-04-28T09:57:37Z"/>
        <d v="2026-04-26T10:12:44Z"/>
        <d v="2026-04-30T04:03:32Z"/>
        <d v="2026-04-24T12:31:27Z"/>
        <d v="2026-04-28T10:54:49Z"/>
        <d v="2026-04-28T12:58:00Z"/>
        <d v="2026-04-29T05:03:07Z"/>
        <d v="2026-04-27T15:06:11Z"/>
        <d v="2026-04-29T15:29:57Z"/>
        <d v="2026-04-28T04:38:44Z"/>
        <d v="2026-04-30T03:41:45Z"/>
        <d v="2026-04-28T13:35:00Z"/>
        <d v="2026-04-28T13:39:15Z"/>
        <d v="2026-04-28T12:45:35Z"/>
        <d v="2026-04-29T05:56:00Z"/>
        <d v="2026-04-28T14:20:36Z"/>
        <d v="2026-04-24T15:33:35Z"/>
        <d v="2026-04-28T14:46:34Z"/>
        <d v="2026-04-28T14:56:07Z"/>
        <d v="2026-04-30T08:11:02Z"/>
        <d v="2026-04-27T16:04:02Z"/>
        <d v="2026-04-28T15:35:00Z"/>
        <d v="2026-04-27T15:59:55Z"/>
        <d v="2026-04-28T15:54:56Z"/>
        <d v="2026-04-27T15:26:54Z"/>
        <d v="2026-04-28T17:06:18Z"/>
        <d v="2026-04-28T21:11:40Z"/>
        <d v="2026-04-28T04:41:39Z"/>
        <d v="2026-05-01T03:54:37Z"/>
        <d v="2026-04-27T07:55:21Z"/>
        <d v="2026-04-30T15:38:59Z"/>
        <d v="2026-04-29T03:41:55Z"/>
        <d v="2026-04-29T03:55:40Z"/>
        <d v="2026-04-28T04:37:54Z"/>
        <d v="2026-04-28T04:53:19Z"/>
        <d v="2026-04-28T15:01:07Z"/>
        <d v="2026-04-29T05:04:07Z"/>
        <d v="2026-04-28T10:57:20Z"/>
        <d v="2026-04-29T06:23:59Z"/>
        <d v="2026-04-29T06:49:26Z"/>
        <d v="2026-04-29T06:53:34Z"/>
        <d v="2026-04-27T15:25:18Z"/>
        <d v="2026-04-27T14:40:01Z"/>
        <d v="2026-05-01T04:16:44Z"/>
        <d v="2026-04-29T08:56:12Z"/>
        <d v="2026-04-29T09:34:30Z"/>
        <d v="2026-04-29T10:05:18Z"/>
        <d v="2026-04-29T10:06:01Z"/>
        <d v="2026-04-29T10:21:27Z"/>
        <d v="2026-04-28T10:48:52Z"/>
        <d v="2026-04-27T11:59:12Z"/>
        <d v="2026-04-29T13:58:25Z"/>
        <d v="2026-04-29T11:07:04Z"/>
        <d v="2026-04-29T11:52:29Z"/>
        <d v="2026-04-25T03:18:18Z"/>
        <d v="2026-04-29T13:51:59Z"/>
        <d v="2026-04-29T14:00:33Z"/>
        <d v="2026-04-29T14:01:42Z"/>
        <d v="2026-04-29T14:14:07Z"/>
        <d v="2026-04-29T14:49:43Z"/>
        <d v="2026-04-27T06:47:52Z"/>
        <d v="2026-04-23T16:16:34Z"/>
        <d v="2026-04-29T16:39:11Z"/>
        <d v="2026-05-01T05:22:40Z"/>
        <d v="2026-04-24T04:05:29Z"/>
        <d v="2026-04-25T03:01:17Z"/>
        <d v="2026-04-23T19:00:04Z"/>
        <d v="2026-04-27T04:40:08Z"/>
        <d v="2026-04-28T04:15:20Z"/>
        <d v="2026-04-24T06:21:27Z"/>
        <d v="2026-04-28T05:02:57Z"/>
        <d v="2026-04-30T04:21:54Z"/>
        <d v="2026-04-30T04:36:15Z"/>
        <d v="2026-04-30T06:36:14Z"/>
        <d v="2026-04-30T07:08:47Z"/>
        <d v="2026-04-24T17:30:35Z"/>
        <d v="2026-04-30T08:51:10Z"/>
        <d v="2026-04-30T10:50:07Z"/>
        <d v="2026-04-30T10:53:26Z"/>
        <d v="2026-04-30T11:08:05Z"/>
        <d v="2026-04-29T05:01:53Z"/>
        <d v="2026-04-30T13:44:02Z"/>
        <d v="2026-04-27T09:34:14Z"/>
        <d v="2026-04-28T15:38:25Z"/>
        <d v="2026-04-28T09:11:16Z"/>
        <d v="2026-04-29T03:16:38Z"/>
        <d v="2026-04-28T07:57:54Z"/>
        <d v="2026-04-28T12:18:31Z"/>
        <d v="2026-04-27T09:38:23Z"/>
        <d v="2026-04-23T16:02:01Z"/>
        <d v="2026-04-26T18:15:25Z"/>
        <d v="2026-05-01T10:01:04Z"/>
        <d v="2026-05-01T10:06:10Z"/>
        <m/>
        <d v="2026-05-04T04:05:05Z"/>
        <d v="2026-05-02T23:56:16Z"/>
        <d v="2026-05-03T15:15:26Z"/>
        <d v="2026-05-06T03:59:37Z"/>
        <d v="2026-05-07T15:12:10Z"/>
        <d v="2026-05-03T17:50:02Z"/>
        <d v="2026-05-05T03:22:54Z"/>
        <d v="2026-05-04T03:37:31Z"/>
        <d v="2026-05-05T06:34:32Z"/>
        <d v="2026-05-06T04:24:22Z"/>
        <d v="2026-05-05T16:04:32Z"/>
        <d v="2026-05-05T18:01:21Z"/>
        <d v="2026-05-07T11:32:01Z"/>
        <d v="2026-05-07T15:32:47Z"/>
        <d v="2026-05-07T15:50:49Z"/>
        <d v="2026-05-06T08:11:04Z"/>
        <d v="2026-05-06T09:41:43Z"/>
        <d v="2026-05-07T15:58:48Z"/>
        <d v="2026-05-04T17:39:54Z"/>
        <d v="2026-05-05T18:13:21Z"/>
        <d v="2026-05-06T12:35:12Z"/>
        <d v="2026-05-02T08:52:04Z"/>
        <d v="2026-05-05T10:50:04Z"/>
        <d v="2026-05-07T04:06:58Z"/>
        <d v="2026-05-07T18:25:39Z"/>
        <d v="2026-05-07T17:16:41Z"/>
      </sharedItems>
    </cacheField>
    <cacheField name="Token" numFmtId="0">
      <sharedItems containsBlank="1">
        <s v="ms22hi0wkb5k1zagxms22hi06zahj60f"/>
        <s v="7ueaol6muyxn9yd7mec7ueaolffggn8e"/>
        <s v="dt2209pzjf3nskayhdt2209xmm7e2x00"/>
        <s v="51jlllo45hhxq5pstk51jlllozskcki6"/>
        <s v="ek9wxiv6m9d38j13z0sek9wxiv213abp"/>
        <s v="kkvpksdjyl7fledkkvy75c7ifuc9z0mr"/>
        <s v="p4p18iu1h6vi3ehqkp4p181tao23me8n"/>
        <s v="orkfy3jygcaq6pphhx9cxorkfy3ndj5m"/>
        <s v="gm2oogog5fksxcegm2oomc0g8omuso18"/>
        <s v="ucqyvy01zopqv7v3uyucqyp66r83kpt3"/>
        <s v="ii7s14u5w4zp1l9d6qsxii7s14vcnopp"/>
        <s v="f20gie4iy6zl6ow1wpb1f20gikz7z8j6"/>
        <s v="5efbncfu8yvuiepj7uj5efbncz6aut87"/>
        <s v="0mb8qc30rm6urvwja533x0mb8qc3irsr"/>
        <s v="3hguu7o370k3jioo3hgub1wje6d8jb9e"/>
        <s v="zobp2hic7v1vwn14zobpd46oxqd1tmnr"/>
        <s v="gj4fx0d89zy7gm7a0xhf9gj4fx0dbdga"/>
        <s v="fzw58xpgt646vdj2vfzw58eas8n9auxr"/>
        <s v="64bggw7lcvv578sxe64bgg9ks025hwdl"/>
        <s v="810qpjzq4cjgay810q0jemt1615n1jlr"/>
        <s v="pgg7nj4o6d7en68s4hpgg7njwyu0g6hx"/>
        <s v="s0cvgfif67a5zcqa7is0cvg2o35gs85h"/>
        <s v="fw4bxtb3fbo52ihcpfw4bfain0idmfbo"/>
        <s v="18n1zg6b3b7caa5189s7hcuv1b3i04dc"/>
        <s v="ngwhg1d55g6ingbud8y034n3cew725fb"/>
        <s v="kdp504iisirztemngwm0kdp50i0ymrlh"/>
        <s v="bwhbqk3y1mso605ehkbwhbqkg5uxvw8j"/>
        <s v="mh4mznlr0ecuwivemh4mzi830yjvow9g"/>
        <s v="6df113hc1qewmuc5ljiztmgm6df113h5"/>
        <s v="t0toaz34tyk74g1st0toaz3w54km77hc"/>
        <s v="uyeqzf4k0p15zfi4uyeqzfy8tj7klykn"/>
        <s v="0rg873cync0cxf40rg873blyh3i0d6vj"/>
        <s v="d9kbqqejgaqh82o4zi3zd9kbqxt4pjiy"/>
        <s v="pdl6sxpao1jdiuhbkpdafdnguxxe8bck"/>
        <s v="jxmw1dq0tzlf3tqjxmz088lionty0w8s"/>
        <s v="ttsb6dxfjw8idrs3isttsb68y565a3gm"/>
        <s v="17xastfxcq8cc45kv7ick17xasthyz1y"/>
        <s v="79b2z702ya07z2valrinl79b2wgceepi"/>
        <s v="9tqx2g53f99lfd71obzs89tqx2g53vk7"/>
        <s v="220xb162yzr1ivjt220x6c4qzjqoa9qu"/>
        <s v="dftf78gydbj4gcczgvdftf78un15y7c6"/>
        <s v="iicr7qu4s0lqdf2ouiigqqd7wuqdjbmm"/>
        <s v="p8r50f0i9ktobh66p8r50ao79ojltc92"/>
        <s v="av1vznqvug0n1flav1vbow4z9bug2qmy"/>
        <s v="uztxqvvalzm9k8nbfqwuztxqpi85kcqf"/>
        <s v="km2qq1g6rf0eygimv6ukm2qqk99gj5fs"/>
        <s v="ci8cw88tpa72iarecjci8c1fbmh0q299"/>
        <s v="yw76jal0l3clzxxd0k5myw76jalg6qcp"/>
        <s v="acflzqukf4bbmq1hacfl8bbuzwsp84vt"/>
        <s v="scmokz9b74kjzscmky3125yvcz5vmbqj"/>
        <s v="5qrp61qi9ra8jw5qrp65ua78rv0m5o1u"/>
        <s v="hqj9rasj9946tv20ut5hqj9r4q71p7q4"/>
        <s v="okbbmhp528uvjcbexnokbbmhf61ne8ih"/>
        <s v="gbi1k06rgqmsnusqf5lgbi1kay27sdn2"/>
        <s v="9ckwu217hg65rz5a8dty9ckwu21oq0qd"/>
        <s v="7vw42jyingclrjqaa33ad7vw42jyaj0o"/>
        <s v="lifxhn0611bpy5jyq9rilifxhzw9z4g5"/>
        <s v="ei0zvet1a4tq1bg5ycyei0zfgd4wrxhm"/>
        <s v="4lat8oqeam0f9pd23p2iqmrw4lat8oqe"/>
        <s v="kinz31wj115uw02z4fplkinz348bclle"/>
        <s v="a4tkmj14t8zzmgps9d7a4tkmjn4tdisp"/>
        <s v="kvtq18fp79sacpr348mmkvtqn9jvled1"/>
        <s v="957rdziue710aw6m8957rqi384l0iuz6"/>
        <s v="65mcd53mk810n65mcd5ibeifcdyahfmh"/>
        <s v="b1bv5hlbeb5h0cml7adwbgbb1bv5hlkd"/>
        <s v="ac9gvl57xprzsrcwv0qtac9g8ezt3gvy"/>
        <s v="dxk14zfoszogbdxk14fi02ye3wf8g0ja"/>
        <s v="408qnzsa4jufk64nfpwn408qnz90sr16"/>
        <s v="j1jwbxtyysk9iuc11fj1jwbxtal9ui6c"/>
        <s v="1kp91fyiol8ubi7me1kp91p33aqu749u"/>
        <s v="nbznlzk79e7mrlj6qbje93nbznl0w4vk"/>
        <s v="tdqb3pww20lqqltdqb3p2waghg5qlnl3"/>
        <s v="amaeunkkzyxx89qamaeungdwvu0y4fow"/>
        <s v="d5tpwn2yh8a2ruzo4f4vpod5tpwn2yq7"/>
        <s v="jcq7j62qvvm8ztmqd29jcq7meb5dv3bz"/>
        <s v="fxxn69l10k2omcuk68fxxn6kd4anyw1t"/>
        <s v="uiz8a4xtp5tuefdc5fopq1suiz8awciw"/>
        <s v="vjajsztv586cqewlovjajs60v3eue9mt"/>
        <s v="pcbok5hhwy42apcbokovszvvcqdduk4n"/>
        <s v="3tkkw50w4h5vx43tkkwhlvfr6vhtqf6s"/>
        <s v="byj8awegvxicyhybfmbyj8vr46etmbts"/>
        <s v="7hkx3canp7zg9cn7hkk4m45asnztcux1"/>
        <s v="yefglzrqj1pomyw91oyefgy4gp48dlaw"/>
        <s v="ctshu5rgm12fnqh3o4xctshuaxpgd4c2"/>
        <s v="7dxddroxqcyky1cvma7dxdda4wcnrq1c"/>
        <s v="lhil03u23x9x8b915lhil03rzfvzgz0c"/>
        <s v="8oelrg66cjhev7jw758oelbqyd2ij8wt"/>
        <s v="a6dxvny4efqlxncl2bgwoh4pa6dxvny7"/>
        <s v="pbqbushnog82jjipbqusx2gf4kikusx2"/>
        <s v="0lupr3em8gvqcn0lupf1gui0yrfjp236"/>
        <s v="ll3nmc3a2duh9e92l43kll3nmz3gq58i"/>
        <s v="o0v1z4g3evqmq5lxro0v1zqkva7wxdbt"/>
        <s v="jmjs41aghsa8x1a3nsjjmjs4fx7gtqwp"/>
        <s v="5zgtixhzygfzxr8uz95zgti541gqxso2"/>
        <s v="3a31dve4y42nch2efaua3a31dvei7ig4"/>
        <s v="0l1v7njemxpnn2mjni0l1v7gop403bcd"/>
        <s v="feld3qpsoxevvdr5ausamfeld13q32oc"/>
        <s v="jiyleheuuerwksskowjdgjiyleheuob2"/>
        <s v="27c3l7unmzqlb2uakvd6ze3tm3u3stua"/>
        <s v="8uj48h3hsahtae2f7c28uj48e8nq3qof"/>
        <s v="cvl87rm4fhggpkjzcvl89ztlw3slki44"/>
        <s v="gpexk7idk11nih6sgpexk7komvsntalo"/>
        <s v="x9c3xbxonvy7x9ohgpsx9c3x40nmhat0"/>
        <s v="aal03fb7wboggy2aal0cfrd5a1bnu5ij"/>
        <s v="w7j6rv2rs536uduptqbvr4w7j6rvjctn"/>
        <s v="zkogqyhid4zdwha4yzzkogqyhw1oiws5"/>
        <s v="mb4lpz1uqa2a8hm0fmdi6fws75smdxif"/>
        <s v="3u0uomrp7su1mn3u07p6mhgh9oe7pgjz"/>
        <s v="0248ad8gu14vio0cd0248ace8v486u3w"/>
        <s v="b0p6a2xdwmywyd3b0pn589g4k987apz4"/>
        <s v="nmvnjjbg9e03hza60kdnmvnjjbo3u6zn"/>
        <s v="nbbmh3tt7ncl3mx1nbbmh3v1fa7nx8ce"/>
        <s v="w0jjrxjj3hyhhi4w0jjrtayjj6e74xr2"/>
        <s v="ue89m195h9lwsw1n3y1yhjtcyue89m1k"/>
        <s v="5lvpq01vhy3td6u7x0tqi5lv4wrnjebt"/>
        <s v="9ig6bo8ha81ovvs9ig692r5toue7p005"/>
        <s v="vqg10od46d5sfb0n6w3vqg10wwa8zevw"/>
        <s v="6wv5e0vy9w5n66wv5e12jltvu6k190v6"/>
        <s v="8z9ax491a1yod216ta8z9ax49brcsfz1"/>
        <s v="ibbjcw03dkxpjj36g1v8lqynaibbjcw0"/>
        <s v="n09ofbzkuu63875n09w2b1im2q0vrl2y"/>
        <s v="p8aeus1a1oqju403rp8aeus3xjsp9mep"/>
        <s v="avvxy19zdmwpek91apavvxy19h1hv4e9"/>
        <s v="25g4wj79pamgxcnj725g4wjovmfwugge"/>
        <s v="nki6fdmw03l63nki6hxmryzjmpj2k3cl"/>
        <s v="b6b4giju1wo24ngj7x1b6b4gijr98p1s"/>
        <s v="6sgxenffxn8ou3x6sgxehg1eqg6nji65"/>
        <s v="048j9wlesgv99il9u04bss9scwkjf456"/>
        <s v="gi44ckiups6tu9v41rgi44ckily0n41q"/>
        <s v="n1skuesvhch4mdo2bn1skuesxjytjdjr"/>
        <s v="w1gkq75qjztm152oyts32aw1gkvzyw7k"/>
        <s v="079g78jxtj7j383jzxw0079g7avnnikd"/>
        <s v="u738qh75n8eu32j0tlu738qntnur6ika"/>
        <s v="b4vpcwkdz4eri4oo52sb4vpcwcav3jli"/>
        <s v="ssjz6uqkkopgh947k2kissjzw863jfu1"/>
        <s v="14t9z163p2jf2bs14t9z2qabv95c2ba8"/>
        <s v="srxmrh2flpcbg2bsrxmr6h4fry3sh711"/>
        <s v="hn6wztnf2p432141oxd2hn6wzt4ocx4s"/>
        <s v="9t5j6z5nydgkhhr1amcmr39t5j6z5nrj"/>
        <s v="b4186nadtrkp552ffb4186nx8rh7akiu"/>
        <s v="tokfadlrbz6xrrscrytokfadlwe16wdp"/>
        <s v="g9detnkqzkcuv9tzoay8mjg9detwhzoq"/>
        <s v="a4odfg3402m2tka4odlxor3awjd0nmr1"/>
        <s v="gu5lm64wabzfoy1g71n5lkdgu5lm64lh"/>
        <s v="bhkn6ja0vbkclsok2ahdbbhkn6j73nx0"/>
        <s v="ak7tyt1d9akx43mak6iv8aak7tqs0ar3"/>
        <s v="f2ql2c970nlee311itx0t7v7f2ql2c85"/>
        <s v="9h0956g1jp8p3ddti8d9h09wtfkw8jzm"/>
        <s v="s549l2lxibfu9bhzrs549xb4q4afzmx9"/>
        <s v="qvk19lstv9vc1szg9ljikqvk19l8djz4"/>
        <s v="dzx6zgldgnr6gc7dn6dzx6b58jvy2cak"/>
        <s v="g53pc5mqlb17sk0pzg5f35eqsfsdofb4"/>
        <s v="9rwjhdcyjmbfam0uai9rwjhdtdt2gi37"/>
        <s v="40jehrk41ecrwjrw1fnb40jeq6qgc223"/>
        <s v="iwr2m7ir6lrypho8j0iwr20h0fcuxxqy"/>
        <s v="rqtlcyhb47fab7qrjkzrqtcbeo50q2cz"/>
        <s v="8tljyn31ip411dcy6kx8tljyn31f30cn"/>
        <s v="ypoxd6wqatqloo1x1dnqwlsypoxd6wxn"/>
        <s v="8vpzr83er6atgbjasebsl8vpzr83xler"/>
        <s v="2mr9xrsu838voy8pb09m2mr9xnn7vt7k"/>
        <s v="gbvd8ns0nq0s2ei78t2oegbvd8jq3doq"/>
        <s v="zbj61szfgsefdp2b7zbj61s70al1le6n"/>
        <s v="rbg7u18e8p9zl5n7iwlsrbg7u18tljg4"/>
        <s v="17w3x4fiwapzruquazn17w3x4pel9wje"/>
        <s v="cad13n7m6y75mcmxucad13nbgkaezc0b"/>
        <s v="f6bwtwgy1r6q5pq2f656b0gus8aiiytm"/>
        <s v="9zmig6zdn661abfa4z7s9zmigqngl7vq"/>
        <s v="8ul3kn6j0bsdamxz6mip18ul3knl5dae"/>
        <s v="z7s3ohtmpnfgtz7schhco1c59ut9uzch"/>
        <s v="i3nnggsepe094qoo67li3nnggz7d2ypr"/>
        <s v="3fqur708hnoqedc3fqt4vzqyb857hcho"/>
        <s v="m38mijnsslgabqnn4um38mijnls79atu"/>
        <s v="t5yddget97hbhwn6l6t5yddap8oxe2dd"/>
        <s v="l7sq5fqh3sztz275l7sq7bnsnsz3vjcj"/>
        <s v="tmolrrc56t7en5ktmjaz667haarwknx3"/>
        <s v="f4e99dirgrhjnbpq0kdpf4e99d4d48ep"/>
        <s v="rcmwh0dk0ouwqypzdi5rcmwh0l617hbu"/>
        <s v="hlzqzjdd14jfxs0wshlzqzibx74v4x3g"/>
        <s v="5ew5087s85j0bwpth35ew5087nxtfhfh"/>
        <s v="f4v9kkcoeq35vo2rlh76of4v9kkc170d"/>
        <s v="qz896k7l0dnzovasqz89bz8wl3u8exw3"/>
        <s v="alyrzwbd2x7fmyd680p4alyrzq503h1p"/>
        <s v="zwjwk8j8r05bqjwcxyezwjwarye74v8z"/>
        <s v="fau6y6mn3tbdxaw5wdw8bsfau6y6cfp4"/>
        <s v="sv1jov7vozjw936ap19q4sv1jovafkvx"/>
        <s v="pyqczgj5xji6nyyclvwjpyqcyhkg0js5"/>
        <s v="auou70ggbptanpz6rauou70h241n9rov"/>
        <s v="oftlfitpr6oft9559ipuhs9yuzv9ycqw"/>
        <s v="izjurxhbo2y1jkwqrizjuhopp2avkb1a"/>
        <s v="5popas54z9wbb4c5popi0iz301fqfoo8"/>
        <s v="s5ljxfvbvquwrlas5lxjq63tdh6f5dhm"/>
        <s v="wu2bgj5b8x675u0jke1gwo4mtwu2bgjw"/>
        <s v="55zux0napyug09flm55zux0e4qqp0vha"/>
        <s v="9f2hg0qpwkkkzla849f2hg0q1dghkutu"/>
        <s v="8dktggq2tramzpciqr1iq8dktggriqg2"/>
        <s v="n2b2q5z7n5iqiw299xn2biit519y4xu9"/>
        <s v="mm0np9n5ex6ua2cs3flymm0np9nge5v1"/>
        <s v="j5cwi7wzlo36ebcdq476j5cwi7w5s51v"/>
        <s v="k3743ismg25nbf6fkk3743isnznci6jy"/>
        <s v="x9j5bddaptxrgjyngohxx9j5bhlckers"/>
        <s v="idj13bmzc2lrdwhfswy6eptidj13bmzs"/>
        <s v="i6saa1bbxcsxb0lww7i6scnncivkh06j"/>
        <s v="1l5bq9l92nrs3p8ta1l5bzxqa0u17bpb"/>
        <s v="j8x80er70zs9951ij8x805oxlfy6xw0g"/>
        <s v="folplnt3idv2pabibg5gafolplnt6c3g"/>
        <s v="vcgkhfwfg5vhuuc35lvcgkhrf61hv6kj"/>
        <s v="6rigc2eykm8fdioybg4p6rigcxhn8d39"/>
        <s v="tnpbgplbv1r04rv1ktnpbgd7nrbs3i88"/>
        <s v="atxct2idcxq3dh58jx4atxct2iciibuq"/>
        <s v="dtgovds3gn70iswafdtgozt6xnh1tlfs"/>
        <s v="fz5zjr1lhqlehxhzrfz5zjr4hqiibz04"/>
        <s v="0qljwmjut7mrpd2r0qljwq17y49hwaqv"/>
        <s v="sxfxrivvcm0mct8lpfioklsxfxriv88b"/>
        <s v="ri4i6xy3vy5dr6j1wv7pri4i6svu2p59"/>
        <s v="9dbs9gxrhaq5xmr6fw161o9dbs9gi45y"/>
        <s v="53dnrvvifih5uy1jmq53dn5f1omy4x4g"/>
        <s v="x92xotm320dzfxuoyhkq5x92xotxiokh"/>
        <s v="8a9a4zw3i3pgybo00ld8a9a0620xinwe"/>
        <s v="cy35r0krso8f9xjcy3n3pgohvjygo293"/>
        <s v="29zc80bg2rh7n3uwbsrad29zc8pf31w7"/>
        <s v="o3agdsk4aiesznbfd1zw2o3agdsn8682"/>
        <s v="6ns7ld62zob0z7z6ns7mha4x4s30jcuh"/>
        <s v="lk3lr86ox0d2bnlk3wyj15nc2jj13p9c"/>
        <s v="61lwakni2ij4ln0961lwak150xp6p7hm"/>
        <s v="sf8p1md9eno3ra0nc7po2sf8p1md5zoo"/>
        <s v="7u3rn70i6fw2q7j4o5o7u3rk1tcue5w0"/>
        <s v="fzxrqg2m398eu9ple96tfzxrqg2b4914"/>
        <s v="tto0ojf6rx28h563xvgtto0ok79rrefd"/>
        <s v="trlo3cwjhrnps36dgda7tgtrlo34fl5p"/>
        <s v="sbakwnxhx990461jcjr8q5sbakw7x89s"/>
        <s v="t4ik83u2o35cyy3unmujt4ik8wpc2ukl"/>
        <s v="5uk5pqavmckk6vd1knb5uk5itrjimcfd"/>
        <s v="2az8dz2y5w1owl8yd2az8d3mu1zqekxt"/>
        <s v="o5hfhjw0jxrb6ozk2o5hfhjwccca8p2f"/>
        <s v="78gaxbw7fxkc1wambec6p478gaxbw7as"/>
        <s v="8geio03kqz5h7z8vkhn9v58geio03vei"/>
        <s v="qspdmz3jdb1y6kimfqspqoh6ah0zd02q"/>
        <s v="jpfeuiffqifi9lejpfex97ux90we3r5k"/>
        <s v="cjg8zhoh2otywcjg8u8njsrcbsko24qv"/>
        <s v="tig3u1uexz0aikszitig3bdms10epvwf"/>
        <s v="zusgxqq0ql7mgmi2poutqzusgxqqh59h"/>
        <s v="bu30opsz3iz4hvmox41bu30oq0cvhics"/>
        <s v="tqqp2i1vfkhja3e9utqqp2iz7zs5grhu"/>
        <s v="rrhq8m5y7r6foh3morrhq0n7v7tfn6wk"/>
        <s v="4xxxdsdystmh4blw154xxxdazrtiyr6e"/>
        <s v="b6p4q5ntn2334dso4b6pryuz77mp8efs"/>
        <s v="tasltguk6gplv2d5metasltgoq15zx7h"/>
        <s v="j8u73vo7sdoe5vz4rkj8u734cf2okonb"/>
        <s v="sjp68w2z5pfp4zija16sjp68jr8q07pg"/>
        <s v="zag464kz5k8yionfx18zag464wk67504"/>
        <s v="wt7cxhju1gqeuawt7clwzpww01dmi9vq"/>
        <s v="bb9kowdx1rh7xnp1snn9fsbb9kow9oc9"/>
        <s v="qfz0k01g1xobww1ifck44qfz0kcktnht"/>
        <s v="s0o6604ezwxlqas0o66s16wvkadad6ii"/>
        <s v="sqmxzynckhursqmxr7m8o9wlhcr7mjco"/>
        <s v="hm8qatylh3mon1xqq0hm8qawbulhrfyx"/>
        <s v="z7900ikk3jocvl5xz790klx0vir0zjcj"/>
        <s v="0lsdq47nez4yyl1owwcbeigh0lsdq47n"/>
        <s v="f8f82cupr67kjw83klf8f8irsugfzbiv"/>
        <s v="vcc9xn2bxeedlwvcc90jnbstl1iulgrn"/>
        <s v="noepaw7et8sfacu31noepaxzcq5o0y5b"/>
        <s v="36525tjq5kyb35hqpb7gc36525y1sqsf"/>
        <s v="i5yctgdtor2kdtijd1i5yctgdtuvatgo"/>
        <s v="g0318uyn6du92r6ouvg0318uyu0lg6ob"/>
        <s v="qn016ypz8xmft9qbsqn016rjbq1w2uoo"/>
        <s v="nt67w1ga42w29aeig8lfnt67w12bsrc6"/>
        <s v="foi0vrzdl28gj9ejaozfoi0v5ak4cyml"/>
        <s v="0bg4eodcc8o72bni44t0bg4eog0m3tvi"/>
        <s v="sbxy5cjby2xx8ph23hp3gsbxy5cjub5y"/>
        <s v="3b5phkf85udu6enqjl3b5phkemxdbfi8"/>
        <s v="zio31b30zj0f1enpzio31zto50mqiniw"/>
        <s v="cbmzmevkhhqmmr8740cbmzmzu9wvhhpx"/>
        <s v="r3zrxqazhtax5mp2ozr3zrxfhyqjvt03"/>
        <s v="c49wkvqovo7gur2dc49k60hcx4fvxssp"/>
        <s v="ny79grtsn2kgkkbkwny79g61yt051oks"/>
        <s v="ezj1tiv8xor7bpezj6sip0vdsc5133vt"/>
        <s v="zsxjy6f8sfxcjzsxjqek3ozd0f8eaajf"/>
        <s v="w6js0bnj7kuxvhfrw6js0k81isgh9dgv"/>
        <s v="m91gbb2uzigws03tsqmm91gbr0ukgv72"/>
        <s v="rc3fhnb83azt62opp6brc3fhnb8h8j03"/>
        <s v="jf93lo3cyu8fqq0npq345jm2jf93lo3r"/>
        <s v="2wqtuwm15nfisuusrjy2wqtuuycvbykw"/>
        <s v="b28d1hue1l5kraxb28dx0zyjrxz4u92x"/>
        <s v="jv9qptvvcjhqhwwyikx7m5jv9qp66m5t"/>
        <s v="qer4xhxt6yuy09qer4onaj92k7dwq6o0"/>
        <s v="6g2f8uoi4a9pqsrhw6hioi8k6g2f8uoe"/>
        <s v="ptv7cyxei27bm2jk6wju8v6ptvz52cd9"/>
        <s v="picdx8p2jxotjx9n8l5vmpicdx8mt3ep"/>
        <s v="rnw1wf6ezcsxdjm1rnw1wfz7w4ujrpwb"/>
        <s v="fwtfvhtnir1u19kuleazefwtfvhtdt8y"/>
        <s v="v2htaq1fvhirqs37fagxzv2htucvxitq"/>
        <s v="lgj3fmfd3rl0aidfrmj4nvlgj3fm2zts"/>
        <s v="vojodpu85pgfece5wdvojods0hfom2yz"/>
        <s v="nci0knjzcveqqozib3q0rgi1nci0knl0"/>
        <s v="315dkqbe2uimpjih07ghlt315dkqnur3"/>
        <s v="3v36utkuajr0fb9assdvp3v36evzebdm"/>
        <s v="m3autdv0uavz837sjm3autdvispl7mix"/>
        <s v="3faytr5lp29w0nmbg3ygh3faytr5ldd3"/>
        <s v="qpwqfw3h5o1cvpq2h6uz1sk5qpwqfw8q"/>
        <s v="jlp4ls5zpuhvduo02jlp4ll5mq6790zm"/>
        <s v="eruntu7he60oabkd3eruntv9490vkerb"/>
        <s v="2fslj790s0iig0x2fslj76upda6pzy6t"/>
        <s v="l517aeddtu31dnqwl51dhtbiur2g2d1r"/>
        <s v="4srrh51bby8kbzqdh1d4srrhncgzlzpf"/>
        <s v="0mbjz6f4sv632dkcij00mbjz6biyi6of"/>
        <s v="tw3pj0ik5uz3wtrlmz3tw3pj04rsg2hb"/>
        <s v="vdcp1dioy2lgw4kx1vdcp1lyxrgqgh5q"/>
        <s v="c099031dkjr1ofmix6h9c09903vtnmsu"/>
        <s v="qxwkjlgmsauznww8tcgqxwkjln2zvpq9"/>
        <s v="j6amurhg76s8ykw878v3cj6amurh8cd5"/>
        <s v="7ui5n7caxtdhq1uic97u0c6tsavtzgui"/>
        <s v="7poo3tt77tvb6q3di67poo3t0d7iqhsg"/>
        <s v="mx67tj0u47i24gzggcwmx67tj0yihzos"/>
        <s v="pjouca0oo6gbmteypjoucryzok0hrp5z"/>
        <m/>
        <s v="zm1p97mcjeleahad26zm1p959nscm0qq"/>
        <s v="9klung0lne587yd9kl3vapvp1augp8fc"/>
        <s v="t9wcdfbqden3igtlp88cst9wcdfba296"/>
        <s v="e8tmsbwln6j073i16e8tmsbmxslbzzx4"/>
        <s v="e9ys59shkuhovt3slayze9ys599rq3tn"/>
        <s v="obvo0pumxhxb5jotsobvo0pbhkqv8ecl"/>
        <s v="22mz5btw4ffsdjj22mi8d145xnd9g4h1"/>
        <s v="fokoafi5mb3dsk89afokoafidj4okik5"/>
        <s v="e6gxl7l6j4j1el9e6gxl7qqbllhsxh6j"/>
        <s v="dhhn7upntu8uq59j6xldhhn74gvvk261"/>
        <s v="xbt32p6tc2ox7wmpxbtxx4nfitxmgjc2"/>
        <s v="vbttdyu2gnt3fgbfvbw80bbhv36a1soe"/>
        <s v="v2ysf4s98xksagr25v2ysf5dfprw455l"/>
        <s v="qeqg15j0u833xnmfxhepj9dh8qeqg155"/>
        <s v="0t80hb39vtv7wpnq72d9w0t80hlqgizw"/>
        <s v="smndu7eorl21q3y4ns5smndu78845uan"/>
        <s v="5oyevkftwqyrcytp1rq5oyevkan3ymuk"/>
        <s v="0ul2xxcfuooood8eagwft0ul2xxcfmnx"/>
        <s v="g8qhg4s2gdae4r9zr9yr4g8qhgaeg2cj"/>
        <s v="ynm8a7syx2kvxv6mynmbwir244922br9"/>
        <s v="mirurnrsrnwtbp016miru9cedjyqjcy5"/>
        <s v="pnk4n0nq4lve5cxgpnm9pnk4n0bjzkse"/>
        <s v="u5ql6rghp44nv7leu5ql6ftch7sjg5b2"/>
        <s v="kqr59alq2bedzvwkqr57qjhunuj3zosc"/>
        <s v="uvewskdrrvrgpqzg7fyxauvewskgwh10"/>
        <s v="o5haht1w4z6hp0dp7ao5hahtvr15s2r1"/>
      </sharedItems>
    </cacheField>
    <cacheField name="Batch" numFmtId="0">
      <sharedItems containsString="0" containsBlank="1" containsNumber="1">
        <n v="2.0"/>
        <m/>
        <n v="2.1"/>
      </sharedItems>
    </cacheField>
    <cacheField name="PIC" numFmtId="0">
      <sharedItems containsBlank="1">
        <s v="Quỳnh"/>
        <s v="Yen"/>
        <s v="Nhiên Lâm Chu Diệu"/>
        <m/>
      </sharedItems>
    </cacheField>
    <cacheField name="Round 1 - CV Result" numFmtId="0">
      <sharedItems containsBlank="1">
        <s v="Failed"/>
        <s v="Passed"/>
        <s v="Waiting list"/>
        <m/>
      </sharedItems>
    </cacheField>
    <cacheField name="Round 1 - Nhận xét " numFmtId="0">
      <sharedItems containsBlank="1">
        <m/>
        <s v="nothing special, năm 4-2k1?"/>
        <s v="GPA cao, có thể cân nhắc team DA"/>
        <s v="bạn này học nghiêng về data"/>
        <s v="Có khả năng vẽ"/>
        <s v="Điểm cao, nhưng profile thuần làm backend, mong muốn chưa rõ ràng trong CV"/>
        <s v="Bạn có kinh nghiệm tuyển dụng, L&amp;D, EB"/>
        <s v="First prize IT Consultant Challenge - Netcompany &amp; Code Mely, 2025&#10;• Top 15 best teams in UIT Data Science Challenge hold by VNUHCM - UIT, 2025&#10;• Top 18 best teams in academic competition Thach Thuc - FIT VNUHCM - University of Science, 2025&#10;• Second Priz"/>
        <s v="2002 đã tốt nghiệp. Từng làm 4 tháng CTV Game Tester cho MetaDOS. Điểm cũng bình thường, kỹ thuật lập trình 9, kiểm thử phần mềm 7.1. Consider cho Fresher. Concern động lực chưa rõ ràng"/>
        <s v="Nothing special"/>
        <s v="- Học được: cải thiện giao tiếp + sắp xếp công việc&#10;- Thấy cũng thật thà, chia sẻ thành thật&#10;- Chịu khó tìm hiểu, nhưng còn nhác&#10;- lý do chọn: học môn Quản lý nhân sự trên trường =&gt; tìm hiểu và mong muốn làm HR (TA/LD)&#10;- Làm TA của golden gate, tuyển LĐPT"/>
        <s v="- Top 10 highest GPA students in class (3 consecutive semesters).&#10;- 2 Academic Scholarships."/>
        <s v="Tham gia kì thi ICPC Việt Nam vòng National Top 8 &#10;ICPC PTITHCM 2023 - 2024, 2024 - 2025&#10;Top 3 ICPC PTITHCM 2025 - 2026 &#10;Đạt 2/4 học bổng KKHT - Xuất sắc "/>
        <s v="ICPC 2025: Participated in National Contests"/>
        <s v="Đã cho fail bên Lever"/>
        <s v="Profile vậy sao không apply Unity nhỉ (chắc do điểm các môn OOP, Giải thuật không quá cao, nhưng điểm C# Unity 9.6 cao nha) Bạn có làm 2 project game, có 1 con được vào Top GameVerse. Có rất nhiều certificate của các công ty game, công nghệ về Unity."/>
        <s v="Fresher"/>
        <s v="cân nhắc cho team QA"/>
        <s v="Điểm cao mà chẳng có project game nào đáng kể vậy"/>
        <s v="Consider Fresher"/>
        <s v="1 type gặp khá nhiều ở VNG. Gamer hardcore nhưng không có insight gì về làm game"/>
        <s v="Tom &amp; Jerry: Cheesy Runner is in the Top 10 of SE Apps."/>
        <s v="Consider NV2 của bạn. Thực tập Game Design Gihot Studio (22/12/2025 - 06/02/2026). Giải 2 Tìm kiếm tài năng lập trình viên&#10;triển vọng năm học 2022 - 2023"/>
        <s v="Có kinh nghiệm làm Intern Indiez nhưng mà làm PlayableAds Apdapt thôi"/>
        <s v="Junior"/>
        <s v="Có làm project về testing mà làm web. Điểm GPA cao nhưng mà cao các môn về Toán chứ bình thường ở các môn Lập trình"/>
        <s v="Điểm cao"/>
        <s v="Third Prize – KMS Hackathon, Apr 2026"/>
        <s v="LEVEL CONTRIBUTOR Lihuhu"/>
        <s v="GPA cao"/>
        <s v="Điểm cao, Top 3/117 – MIS Talent Competition – Faculty of Information Systems, NEU (2025), porfolio không có gì"/>
        <s v="2023 Second Prize - National Olympiad in Informatics for Students (Non-IT Major Block)"/>
        <s v="đang intern ở Viettel"/>
        <s v="cân nhắc cho NV2 QA"/>
        <s v="Chuyên Toán Lê Khiết QNgai"/>
        <s v="Fresher. Ton Duc Thang University Academic Excellence Scholarship – Semester 1 &amp; 2 (2024-2025). Có đi Intern Game"/>
        <s v="Đang học ở Đài Loan?"/>
        <s v="Chuyên LQĐ-Khánh hoà, Cân nhắc GD"/>
        <s v="Encourage Academic Scholarship 2023 -2024, 2024-2025. Vietnamese Student of Five Merits 2023-2024. Competions: AngelHack VietNam 2024, UIT Data Science Challenge 2024."/>
        <s v="Bạn này học IoT"/>
        <s v="Bạn này học IOT và thiên hướng research"/>
        <s v="Điểm GPA cao, Kỹ thuật lập trình 9.6"/>
        <s v="AI for IoT"/>
        <s v="Second Prize - BKAI-NAVER Hackathon Challenge - Member ◦ Legal Document Retrieval 2024 Consolation Prize - UIT Data Science Challenge - Member ◦ LLM Hallucination Detection"/>
        <s v="Khả năng chưa tìm hiểu cty"/>
        <s v="Academic Encouragement Scholarship – Awarded by UIT to the top 8% of students in each faculty with the highest GPA and exemplary conduct"/>
        <s v="Đam mê game, làm game từ năm 11"/>
        <s v="Hình như có học lại nhiều môn toán. Mathematical Modeling Challenge - Faculty of Mathematics&#10;2025 Mathematical Science Conference&#10;Final round - 3MT(Three Minute Thesis) competition"/>
        <s v="Vietnam Datathon - DataStorm 2025: 1st Place"/>
        <s v="GameDev Club at HCMUT "/>
        <s v="Luong Van Chanh High School for the Gifted "/>
        <s v="Cân nhắc cho QA"/>
        <s v="trùng"/>
        <s v="Trùng email nên chưa gửi"/>
        <s v="- Có 2 tháng TA Intern tại FPT Software&#10;- Lý do chọn HR: đã làm nhiều thứ trước đó marketing, content, event,... thấy làm Nhân sự phù hợp hơn =&gt; xin intern TA bên Fsoft &#10;- Sourcer bên fsoft, biết dùng linkedIn, call ứng viên"/>
        <s v="Awards: LotusHacks 2026: Achieved Top 30 placement in&#10;the competition; Achieved top 1% in national university entrance exam for Computer Science."/>
        <s v="Có vẻ thành thật"/>
        <s v="Chỉ thích làm automated testing thôi"/>
        <s v="Cân nhắc QA"/>
        <s v="hướng nghiên cứu"/>
        <s v="Winner – Explainable AI for Educational QA (XAI Challenge) IJCNN 2025&#10;Winner – ROOMELSA Challenge VNUHCM-US 2025&#10;3rd Place – CoverGo Hackathon Oct 2025&#10;Bronze Medal – MABe Challenge (Social Action Recognition in Mice) Kaggle, Dec 2025"/>
        <s v="Có thể cân nhắc qua QA"/>
      </sharedItems>
    </cacheField>
    <cacheField name="Round 2 - Test" numFmtId="0">
      <sharedItems containsBlank="1">
        <m/>
        <s v="Chờ test"/>
        <s v="Test"/>
        <s v="Withdraw"/>
        <s v="Passed"/>
        <s v="Failed"/>
      </sharedItems>
    </cacheField>
    <cacheField name="Round 2 - HR Assignee&#10;- Tổng hợp &amp; gửi chấm bài làm&#10;- HR Intern: Email book lịch + Thực hiện Online Interview 30 phút" numFmtId="0">
      <sharedItems containsBlank="1">
        <s v=""/>
        <s v="Chờ assign"/>
        <s v="Quỳnh"/>
        <s v="Nhiên"/>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183" sheet="3.1. Batch 3 - 20260509"/>
  </cacheSource>
  <cacheFields>
    <cacheField name="Họ và tên" numFmtId="0">
      <sharedItems>
        <s v="Nguyễn Thị Tuyết Nữ"/>
        <s v="Lê Đức Long"/>
        <s v="Huỳnh Thị Kim Ngọc"/>
        <s v="HOÀNG HUY TỚI"/>
        <s v="Đỗ Nguyễn Khoa Duy"/>
        <s v="Hồ Nhật Tiến"/>
        <s v="Châu Văn Minh Khoa"/>
        <s v="Trần Đắc Thịnh"/>
        <s v="Nguyễn Trần Thị Phi Yến"/>
        <s v="Nguyễn Thế Luân"/>
        <s v="Lê Ngọc Hiền"/>
        <s v="Trần Đắc Phú"/>
        <s v="Nguyễn Lưu Anh Huy"/>
        <s v="Lê Hà Chức"/>
        <s v="Võ Đức Thiện"/>
        <s v="Trịnh Quang Hiên"/>
        <s v="Lê Thành Đạt"/>
        <s v="Lê Nguyễn Trung Vĩnh"/>
        <s v="Nguyễn Huỳnh Hạnh Nguyên"/>
        <s v="Nguyen Bui Duy Anh"/>
        <s v="Tsằn Cá Thành"/>
        <s v="Lâm Tấn Phát"/>
        <s v="Nguyễn Đăng Khoa"/>
        <s v="Trương Phúc Trường"/>
        <s v="Lê Minh Kiệt"/>
        <s v="Nguyễn Quyết Giang Sơn"/>
        <s v="Dương Quốc Thành"/>
        <s v="Nguyễn Hoàng Trang"/>
        <s v="Phan Nguyễn Trung Hiếu"/>
        <s v="Võ Nhân Hồng Phúc"/>
        <s v="Lê Bá Đoàn"/>
        <s v="Phan Ngưng"/>
        <s v="Nguyễn Trường Thịnh"/>
        <s v="Nguyễn Hoài Như"/>
        <s v="Nguyễn Xuân Lộc"/>
        <s v="Trương Quỳnh Như"/>
        <s v="Lê Quốc Vương"/>
        <s v="BUI TRAN THY THY"/>
        <s v="Nguyễn Hoàn Báu"/>
        <s v="Lương Nguyễn Xuân Minh"/>
        <s v="Bùi Lê Hồng Tâm"/>
        <s v="Lê Hoàng Châu Anh"/>
        <s v="Trương Tấn Phát"/>
        <s v="Nguyễn Lâm Đức Hòa"/>
        <s v="Nguyễn Trần Gia"/>
        <s v="Nguyễn Tú Như"/>
        <s v="Lê Thị Thu Hiệp"/>
        <s v="Nguyễn Thành Vinh"/>
        <s v="Ngô Phương Nam"/>
        <s v="Lâm Minh Khang"/>
        <s v="Trần Thị Kim Anh"/>
        <s v="Võ Hoàng Phúc"/>
        <s v="Vũ Đỗ Trung Quốc"/>
        <s v="Phạm Hồng Phương Anh"/>
        <s v="Lê Nguyễn Minh Thư"/>
        <s v="Ngô Tùng Khải"/>
        <s v="Nguyễn Việt Kỳ Quân"/>
        <s v="Ngô Minh Hải Yến"/>
        <s v="Nguyễn Thiên Ấn"/>
        <s v="Nguyễn Mai Hân"/>
        <s v="Nguyen Thi Thanh Hao"/>
        <s v="Bùi Đặng Quỳnh Như"/>
        <s v="Nguyễn Đắc Thành"/>
        <s v="Đặng Trí Nguyễn"/>
        <s v="Đường Xuân Thành Tài"/>
        <s v="Nguyễn Phú Trọng"/>
        <s v="Nguyễn Kim Hằng"/>
        <s v="Phạm Thị Cẩm Nhung"/>
        <s v="Đào Hương Giang"/>
        <s v="Trần Thị Thanh Nga"/>
        <s v="Đặng Trần Anh Hào"/>
        <s v="Phạm Ngọc Thiện"/>
        <s v="Lê Phạm Hoàng Hà"/>
        <s v="Lê Bảo Ngọc"/>
        <s v="Nguyễn Tấn Dũng"/>
        <s v="Lê Quang Long"/>
        <s v="Nguyễn Phạm Chí Bảo"/>
        <s v="Trần Ngọc Biên"/>
        <s v="Nguyễn Phan Bình Nguyên"/>
        <s v="Lê Tấn Lợi"/>
        <s v="Hồ Nguyễn Thành Trung"/>
        <s v="Đặng Hiểu Hòa"/>
        <s v="Lê Tấn Xuân Khang"/>
        <s v="Trương Quốc Bảo"/>
        <s v="Lai Mộc Huy"/>
        <s v="Nguyễn Duy Tân"/>
        <s v="Kiều Tấn Anh Minh"/>
        <s v="Nguyễn Trần Đức Hoàng"/>
        <s v="Ngo Anh Kiet"/>
        <s v="Nguyễn Mai Xuân Linh"/>
        <s v="Huỳnh Thị Kim  Quỳnh"/>
        <s v="Phạm Trần Dạ Thảo"/>
        <s v="Hoàng Thị Thanh Tâm"/>
        <s v="Ngô Trường Định"/>
        <s v="Nguyễn Thị Viên"/>
        <s v="Nguyễn Duy Nhất"/>
        <s v="Phạm Ngọc Quỳnh Hương"/>
        <s v="Phạm Thị Ái Ngân"/>
        <s v="Huỳnh Tấn Đạt"/>
        <s v="Nguyễn Lê Thiên Kim"/>
        <s v="Lê Minh Hoàng"/>
        <s v="Nguyễn Đỗ Minh Quân"/>
        <s v="Nguyễn Ngọc"/>
        <s v="Bùi Thái Hoàng"/>
        <s v="Vũ Đức Việt Anh"/>
        <s v="Hoàng Đức Hiếu Anh"/>
        <s v="Dương Thị Quỳnh Giang"/>
        <s v="Hà Quang Đại"/>
        <s v="Nguyễn Văn Anh Quân"/>
        <s v="Trần Ngọc Tuyền Vy"/>
        <s v="Phạm Nguyễn Thế Hào"/>
        <s v="Bế Trương Dương"/>
        <s v="Đinh Quốc Tiến"/>
        <s v="Triệu Phước Minh Long"/>
        <s v="Nguyễn Huy Quang"/>
        <s v="Nguyễn Văn Minh Quân"/>
        <s v="Huỳnh Anh Quốc"/>
        <s v="Tran Minh Tai"/>
        <s v="Trương Lâm Gia Vỹ"/>
        <s v="Tô Gia Lợi"/>
        <s v="Lê Thị Hoa"/>
        <s v="Nguyễn Cang Trường"/>
        <s v="Hồ Ngọc Hiếu"/>
        <s v="Trần Cẩm Tú"/>
        <s v="Trần Thị Trúc Linh"/>
        <s v="Trần Nguyễn Hạnh Trang"/>
        <s v="Nguyễn Trần Phương Mai"/>
        <s v="NGUYỄN NGỌC DUY MINH"/>
        <s v="Phạm Quang Vinh"/>
        <s v="Nguyễn Thị Anh Thư"/>
        <s v="Nguyen Quoc Lap"/>
        <s v="Nguyễn Lê Đăng Khoa"/>
        <s v="Dương Thanh Phụng"/>
        <s v="Thi Kiều Thơ"/>
        <s v="Tiền Minh Dương"/>
        <s v="Lữ Nguyễn Duy Đức"/>
        <s v="Nguyễn Đức Hiệp"/>
        <s v="Trần Gia Hân"/>
        <s v="Nguyễn Thế Văn"/>
        <s v="Nguyễn Hữu Thiện"/>
        <s v="Nguyễn Quốc Tiến"/>
        <s v="Võ Duy Anh"/>
        <s v="Nguyen Le Diem Ngoc"/>
        <s v="Lương Linh Khôi"/>
        <s v="Bùi Trọng Tín"/>
        <s v="Nguyễn Nhật Huy"/>
        <s v="Huỳnh Ngọc Anh Thư"/>
        <s v="Hoàng Văn Minh"/>
        <s v="Nguyễn Phước Thành Tâm"/>
        <s v="Phạm Thị Thùy Dương"/>
        <s v="Nguyễn Thanh Hiền"/>
        <s v="Trần Ngọc Nhi"/>
        <s v="Nguyễn Thị Khánh Ly"/>
        <s v="Hà Ngọc Tuyết Như"/>
        <s v="Trần Xuân Mai"/>
        <s v="Võ Thị Đông Nghi"/>
        <s v="Nguyễn Ngọc Phương"/>
        <s v="LÊ HIẾU NGÂN"/>
        <s v="Lê Minh Quang"/>
        <s v="Nguyễn Thị Ngọc Hân"/>
        <s v="Phan Văn Hoàng"/>
        <s v="NGUYỄN ĐÌNH SINH QUẢNG"/>
        <s v="PHAN THỊ THÙY TRANG"/>
        <s v="Phùng Nguyễn Khánh Trâm"/>
        <s v="Nguyễn Lợi Thanh Dũng"/>
        <s v="Nguyễn Gia Bảo Danh"/>
        <s v="Lâm Nhật Minh"/>
        <s v="Lê Đức Mạnh"/>
        <s v="LÊ MINH TRƯỜNG"/>
        <s v="Nguyễn Hữu Sang"/>
        <s v="Nguyễn Công Minh"/>
        <s v="Võ Văn Chí Thuận"/>
        <s v="Tô Trần Nhã Uyên"/>
        <s v="Bùi Bách Nguyên"/>
        <s v="Phạm Ngọc Yến Nhi"/>
        <s v="Lê Hoàng Như"/>
        <s v="Huỳnh Chơn Thành Nhân"/>
        <s v="Võ Công Khanh"/>
        <s v="Nguyễn Thanh Vũ"/>
        <s v="Huỳnh Phước Tài"/>
        <s v="Võ Nguyễn Lan Nhi"/>
      </sharedItems>
    </cacheField>
    <cacheField name="Ngày sinh" numFmtId="165">
      <sharedItems containsSemiMixedTypes="0" containsDate="1" containsString="0">
        <d v="2003-12-25T00:00:00Z"/>
        <d v="2004-08-31T00:00:00Z"/>
        <d v="2004-01-16T00:00:00Z"/>
        <d v="2003-10-23T00:00:00Z"/>
        <d v="2005-06-10T00:00:00Z"/>
        <d v="2004-12-10T00:00:00Z"/>
        <d v="2005-09-05T00:00:00Z"/>
        <d v="2004-09-01T00:00:00Z"/>
        <d v="2005-10-13T00:00:00Z"/>
        <d v="2005-05-27T00:00:00Z"/>
        <d v="2004-02-10T00:00:00Z"/>
        <d v="2004-10-07T00:00:00Z"/>
        <d v="2005-04-22T00:00:00Z"/>
        <d v="2004-01-15T00:00:00Z"/>
        <d v="2004-05-22T00:00:00Z"/>
        <d v="2005-08-17T00:00:00Z"/>
        <d v="2004-11-07T00:00:00Z"/>
        <d v="2003-03-02T00:00:00Z"/>
        <d v="2004-08-20T00:00:00Z"/>
        <d v="2004-04-23T00:00:00Z"/>
        <d v="2000-12-13T00:00:00Z"/>
        <d v="2003-10-08T00:00:00Z"/>
        <d v="2004-02-09T00:00:00Z"/>
        <d v="2004-04-13T00:00:00Z"/>
        <d v="2004-02-11T00:00:00Z"/>
        <d v="2003-04-14T00:00:00Z"/>
        <d v="2004-06-02T00:00:00Z"/>
        <d v="2004-11-27T00:00:00Z"/>
        <d v="2006-12-25T00:00:00Z"/>
        <d v="2006-10-10T00:00:00Z"/>
        <d v="2005-09-09T00:00:00Z"/>
        <d v="2005-09-13T00:00:00Z"/>
        <d v="2004-10-10T00:00:00Z"/>
        <d v="2004-01-04T00:00:00Z"/>
        <d v="2004-04-28T00:00:00Z"/>
        <d v="2004-11-24T00:00:00Z"/>
        <d v="2004-12-15T00:00:00Z"/>
        <d v="2005-03-19T00:00:00Z"/>
        <d v="2004-06-09T00:00:00Z"/>
        <d v="2004-10-28T00:00:00Z"/>
        <d v="2005-06-17T00:00:00Z"/>
        <d v="2005-11-14T00:00:00Z"/>
        <d v="2002-03-06T00:00:00Z"/>
        <d v="2002-03-30T00:00:00Z"/>
        <d v="2004-01-03T00:00:00Z"/>
        <d v="2004-04-15T00:00:00Z"/>
        <d v="2002-03-27T00:00:00Z"/>
        <d v="2005-04-30T00:00:00Z"/>
        <d v="2005-01-16T00:00:00Z"/>
        <d v="2005-12-10T00:00:00Z"/>
        <d v="2003-08-27T00:00:00Z"/>
        <d v="2004-12-14T00:00:00Z"/>
        <d v="2002-08-05T00:00:00Z"/>
        <d v="2005-06-18T00:00:00Z"/>
        <d v="2005-06-03T00:00:00Z"/>
        <d v="2006-03-16T00:00:00Z"/>
        <d v="2005-01-08T00:00:00Z"/>
        <d v="2005-05-19T00:00:00Z"/>
        <d v="2005-02-05T00:00:00Z"/>
        <d v="2004-01-10T00:00:00Z"/>
        <d v="2001-04-04T00:00:00Z"/>
        <d v="2003-05-19T00:00:00Z"/>
        <d v="1999-01-26T00:00:00Z"/>
        <d v="2003-05-16T00:00:00Z"/>
        <d v="2004-05-18T00:00:00Z"/>
        <d v="2003-02-12T00:00:00Z"/>
        <d v="2002-01-25T00:00:00Z"/>
        <d v="2004-07-07T00:00:00Z"/>
        <d v="2005-09-19T00:00:00Z"/>
        <d v="2005-01-31T00:00:00Z"/>
        <d v="2005-10-21T00:00:00Z"/>
        <d v="2005-08-01T00:00:00Z"/>
        <d v="2003-11-15T00:00:00Z"/>
        <d v="2003-05-09T00:00:00Z"/>
        <d v="2003-07-13T00:00:00Z"/>
        <d v="2005-03-04T00:00:00Z"/>
        <d v="2004-10-01T00:00:00Z"/>
        <d v="2005-09-28T00:00:00Z"/>
        <d v="2005-09-01T00:00:00Z"/>
        <d v="2004-12-22T00:00:00Z"/>
        <d v="2003-06-30T00:00:00Z"/>
        <d v="2005-05-13T00:00:00Z"/>
        <d v="2004-03-10T00:00:00Z"/>
        <d v="2005-08-22T00:00:00Z"/>
        <d v="2006-10-09T00:00:00Z"/>
        <d v="2004-08-10T00:00:00Z"/>
        <d v="2005-01-15T00:00:00Z"/>
        <d v="2005-07-24T00:00:00Z"/>
        <d v="2004-09-22T00:00:00Z"/>
        <d v="2003-05-20T00:00:00Z"/>
        <d v="2003-09-29T00:00:00Z"/>
        <d v="2004-11-03T00:00:00Z"/>
        <d v="2004-05-12T00:00:00Z"/>
        <d v="2003-11-30T00:00:00Z"/>
        <d v="2005-05-25T00:00:00Z"/>
        <d v="2003-08-07T00:00:00Z"/>
        <d v="2004-08-19T00:00:00Z"/>
        <d v="2004-07-21T00:00:00Z"/>
        <d v="1994-04-05T00:00:00Z"/>
        <d v="2005-07-20T00:00:00Z"/>
        <d v="2005-02-01T00:00:00Z"/>
        <d v="2004-07-26T00:00:00Z"/>
        <d v="2005-02-18T00:00:00Z"/>
        <d v="2004-01-01T00:00:00Z"/>
        <d v="2005-12-20T00:00:00Z"/>
        <d v="2003-09-12T00:00:00Z"/>
        <d v="2003-09-06T00:00:00Z"/>
        <d v="2004-03-27T00:00:00Z"/>
        <d v="2002-03-01T00:00:00Z"/>
        <d v="2000-02-09T00:00:00Z"/>
        <d v="2002-03-12T00:00:00Z"/>
        <d v="2004-06-03T00:00:00Z"/>
        <d v="2003-06-29T00:00:00Z"/>
        <d v="2003-04-10T00:00:00Z"/>
        <d v="2004-09-14T00:00:00Z"/>
        <d v="2004-08-23T00:00:00Z"/>
        <d v="2005-08-09T00:00:00Z"/>
        <d v="2002-09-29T00:00:00Z"/>
        <d v="2004-03-07T00:00:00Z"/>
        <d v="2005-09-26T00:00:00Z"/>
        <d v="2007-04-19T00:00:00Z"/>
        <d v="2003-11-22T00:00:00Z"/>
        <d v="2005-05-16T00:00:00Z"/>
        <d v="2003-03-18T00:00:00Z"/>
        <d v="2006-04-29T00:00:00Z"/>
        <d v="2006-04-13T00:00:00Z"/>
        <d v="2002-04-03T00:00:00Z"/>
        <d v="2003-09-23T00:00:00Z"/>
        <d v="2002-10-19T00:00:00Z"/>
        <d v="2004-11-08T00:00:00Z"/>
        <d v="2005-04-24T00:00:00Z"/>
        <d v="2005-10-19T00:00:00Z"/>
        <d v="2003-06-06T00:00:00Z"/>
        <d v="2004-10-02T00:00:00Z"/>
        <d v="2004-02-03T00:00:00Z"/>
        <d v="2004-02-18T00:00:00Z"/>
        <d v="2003-01-17T00:00:00Z"/>
        <d v="2003-01-02T00:00:00Z"/>
        <d v="2005-03-21T00:00:00Z"/>
        <d v="2004-04-30T00:00:00Z"/>
        <d v="2005-11-21T00:00:00Z"/>
        <d v="2003-12-20T00:00:00Z"/>
        <d v="2001-06-24T00:00:00Z"/>
        <d v="2004-08-16T00:00:00Z"/>
        <d v="2005-03-01T00:00:00Z"/>
        <d v="2005-08-10T00:00:00Z"/>
        <d v="2004-07-16T00:00:00Z"/>
        <d v="2005-03-09T00:00:00Z"/>
        <d v="2005-06-04T00:00:00Z"/>
        <d v="2005-05-08T00:00:00Z"/>
        <d v="2005-04-19T00:00:00Z"/>
        <d v="1993-05-11T00:00:00Z"/>
        <d v="2004-12-16T00:00:00Z"/>
        <d v="2005-03-05T00:00:00Z"/>
        <d v="2001-10-15T00:00:00Z"/>
        <d v="2006-03-12T00:00:00Z"/>
        <d v="2005-02-07T00:00:00Z"/>
        <d v="2004-08-25T00:00:00Z"/>
        <d v="2002-12-28T00:00:00Z"/>
        <d v="2004-08-06T00:00:00Z"/>
        <d v="2004-07-03T00:00:00Z"/>
        <d v="2004-03-29T00:00:00Z"/>
        <d v="2002-04-25T00:00:00Z"/>
        <d v="2005-08-02T00:00:00Z"/>
        <d v="2005-07-17T00:00:00Z"/>
        <d v="2000-02-23T00:00:00Z"/>
        <d v="2003-03-17T00:00:00Z"/>
        <d v="2005-10-07T00:00:00Z"/>
        <d v="2004-08-28T00:00:00Z"/>
        <d v="2005-01-27T00:00:00Z"/>
        <d v="2003-02-26T00:00:00Z"/>
        <d v="2001-06-11T00:00:00Z"/>
      </sharedItems>
    </cacheField>
    <cacheField name="Email" numFmtId="0">
      <sharedItems>
        <s v="tuyetnu25122003@gmail.com"/>
        <s v="long.leduc.work@gmail.com"/>
        <s v="huynhkimngoc1601@gmail.com"/>
        <s v="hoanghuytoi03@gmail.com"/>
        <s v="khoaduy.work@gmail.com"/>
        <s v="honhattien4@gmail.com"/>
        <s v="23122035@student.hcmus.edu.vn"/>
        <s v="tdthinh0904@gmail.com"/>
        <s v="nguyentranthiphiyen96.1920@gmail.com"/>
        <s v="23520899@gm.uit.edu.vn"/>
        <s v="lehien6601@gmail.com"/>
        <s v="trandacphu321@gmail.com"/>
        <s v="nguyenluuanhhuy@gmail.com"/>
        <s v="lechuc508@gmail.com"/>
        <s v="ducthienvo2205@gmail.com"/>
        <s v="trinhquanghien.iuh@gmail.com"/>
        <s v="ltd.bqlda7112004@gmail.com"/>
        <s v="lntrungvinhds@gmail.com"/>
        <s v="nguyenhuynhhanhnguyen208@gmail.com"/>
        <s v="duyanhnguyenbui2004@gmail.com"/>
        <s v="cathanh1312@gmail.com"/>
        <s v="lamtanphat08@gmail.com"/>
        <s v="ngdangkhoa.2023@gmail.com"/>
        <s v="tpt044@gmail.com"/>
        <s v="leminhkiet1102@gmail.com"/>
        <s v="giangson140403@gmail.com"/>
        <s v="thanh02062004@gmail.com"/>
        <s v="hoanggtrang12345@gmail.com"/>
        <s v="trunghieuy2006@gmail.com"/>
        <s v="phucvnhpk04087@gmail.com"/>
        <s v="23520292@gm.uit.edu.vn"/>
        <s v="phanngung77x17@gmail.com"/>
        <s v="truongthinhbte@gmail.com"/>
        <s v="nhoainhu733@gmail.com"/>
        <s v="nxloc.2004@gmail.com"/>
        <s v="ntruongquynh2411@gmail.com"/>
        <s v="lequocvuong.work@gmail.com"/>
        <s v="thybui1903qn@gmail.com"/>
        <s v="nguyenhoanbau2004@gmail.com"/>
        <s v="luongxuanminh102@gmail.com"/>
        <s v="buitamta176@gmail.com"/>
        <s v="w.chauanh@gmail.com"/>
        <s v="truongtanphat6302@gmail.com"/>
        <s v="duchoa3032002@gmail.com"/>
        <s v="ntgiainfo@gmail.com"/>
        <s v="nguyentunhu0886@gmail.com"/>
        <s v="lethuhiep27032002@gmail.com"/>
        <s v="vinh.thanhnguyen26@gmail.com"/>
        <s v="ngonam1601@gmail.com"/>
        <s v="lmkhang2005@gmail.com"/>
        <s v="ashleytranworkspace@gmail.com"/>
        <s v="hoangphuc141204@gmail.com"/>
        <s v="quocvuuu582@gmail.com"/>
        <s v="23006260@student.westernsydney.edu.vn"/>
        <s v="minhthulnnn@gmail.com"/>
        <s v="khaingotung3@gmail.com"/>
        <s v="nguyenvietkyquan2022@gmail.com"/>
        <s v="ngominhhaiyen1905@gmail.com"/>
        <s v="ngthienaans@gmail.com"/>
        <s v="maihannguyen100124@gmail.com"/>
        <s v="ahaoinp212@gmail.com"/>
        <s v="buidangquynhnhu.work@gmail.com"/>
        <s v="ndthanh.work@gmail.com"/>
        <s v="nguyendang1653@gmail.com"/>
        <s v="xuanthanhtai873@gmail.com"/>
        <s v="phutrong.ltv@gmail.com"/>
        <s v="nguyenkimhang2501@gmail.com"/>
        <s v="ptcnhung99tn@gmail.com"/>
        <s v="huonggiangdao19092k5@gmail.com"/>
        <s v="tranthithanhnga3101@gmail.com"/>
        <s v="noobz2110@gmail.com"/>
        <s v="phamngocthienpy2005@gmail.com"/>
        <s v="lp.hoangha03@gmail.com"/>
        <s v="lebaongoc86cm@gmail.com"/>
        <s v="nguyentandung037@gmail.com"/>
        <s v="long48800@gmail.com"/>
        <s v="nguyenphamchibao757@gmail.com"/>
        <s v="bientran.dev@gmail.com"/>
        <s v="n.p.binhnguyenkrp2025@gmail.com"/>
        <s v="loiletan0412@gmail.com"/>
        <s v="thanhtrung30062003@gmail.com"/>
        <s v="hoaemail1305@gmail.com"/>
        <s v="letanxuankhang1003@gmail.com"/>
        <s v="quocbaoo2005@gmail.com"/>
        <s v="laimochuy@gmail.com"/>
        <s v="tannd1008@gmail.com"/>
        <s v="minh.kieutananh@hcmut.edu.vn"/>
        <s v="hoangdelima0905@gmail.com"/>
        <s v="kietngo.work@gmail.com"/>
        <s v="xuanlinhnguyenmai@gmail.com"/>
        <s v="10421053@student.vgu.edu.vn"/>
        <s v="thaopham3128@gmail.com"/>
        <s v="hoangthithanhtam12052004@gmail.com"/>
        <s v="ngodinh2339@gmail.com"/>
        <s v="vi12091994@gmail.com"/>
        <s v="nguyenduynhat.250505@gmail.com"/>
        <s v="minh.kieutananh@gmail.com"/>
        <s v="huongpham7803@gmail.com"/>
        <s v="phamthiaingan1205@gmail.com"/>
        <s v="huynhdat.contact@gmail.com"/>
        <s v="nguyenlethienkim10a1@gmail.com"/>
        <s v="hoanglm.124010123034@vtc.edu.vn"/>
        <s v="minhquan.nguyendo.0705@gmail.com"/>
        <s v="nguyenanh6290@gmail.com"/>
        <s v="buithaihoang04gl@gmail.com"/>
        <s v="vuducvietanh1802@gmail.com"/>
        <s v="anh.hoangduchieu815@hcmut.edu.vn"/>
        <s v="gamegiang123@gmail.com"/>
        <s v="daiha.work@gmail.com"/>
        <s v="nppanhquan129@gmail.com"/>
        <s v="tranvy060903@gmail.com"/>
        <s v="phamnguyen.thehao2703@gmail.com"/>
        <s v="duongw0103@gmail.com"/>
        <s v="dinhquoctien1980@gmail.com"/>
        <s v="trieuminhlong2000@gmail.com"/>
        <s v="nguyenhuyquangvt@gmail.com"/>
        <s v="quan030604@gmail.com"/>
        <s v="huynhanhquoc.c3@gmail.com"/>
        <s v="taitm410@gmail.com"/>
        <s v="nhathao15101998@gmail.com"/>
        <s v="togialoi000@gmail.com"/>
        <s v="hoalevn6245@gmail.com"/>
        <s v="nctnhue95@gmail.com"/>
        <s v="fantastichaha11@gmail.com"/>
        <s v="trancamtu3518@gmail.com"/>
        <s v="truclinh.lttt@gmail.com"/>
        <s v="tnhtrang.work@gmail.com"/>
        <s v="ntphuongmai111@gmail.com"/>
        <s v="nndminh03@gmail.com"/>
        <s v="phamquangvinh853@gmail.com"/>
        <s v="nguyenthu12042006@gmail.com"/>
        <s v="nguyenquoclap159@gmail.com"/>
        <s v="khoanld2609@gmail.com"/>
        <s v="thphung2@gmail.com"/>
        <s v="kieutho4416@gmail.com"/>
        <s v="tmd31052005@gmail.com"/>
        <s v="duclnd.t1.2023@gmail.com"/>
        <s v="nguyenduchiep13dn@gmail.com"/>
        <s v="trangiahankrb@gmail.com"/>
        <s v="thevan3204@gmail.com"/>
        <s v="huuthien180204@gmail.com"/>
        <s v="nqttqnmk@gmail.com"/>
        <s v="duyanh.vo2103@gmail.com"/>
        <s v="nguyenlediemngoc213xt@gmail.com"/>
        <s v="linhkhoiluong@gmail.com"/>
        <s v="trbuitin0423@gmail.com"/>
        <s v="nguyennhathuy21112005@gmail.com"/>
        <s v="thu.2374802010492@vanlanguni.vn"/>
        <s v="minh.2374802010309@vanlanguni.vn"/>
        <s v="npthanhtam2012@gmail.com"/>
        <s v="duongpham246.work@gmail.com"/>
        <s v="Nguyen1608thien@gmail.com"/>
        <s v="tnnhi01035@gmail.com"/>
        <s v="khanhly2852005@gmail.com"/>
        <s v="yuki16072004@gmail.com"/>
        <s v="txmai.935@gmail.com"/>
        <s v="contact.nghivo@gmail.com"/>
        <s v="nguyenngocphuong0147@gmail.com"/>
        <s v="lehieungan1904@gmail.com"/>
        <s v="quanglm.1993@hotmail.com"/>
        <s v="nguyentngochan1612@gmail.com"/>
        <s v="hoanganh172424@gmail.com"/>
        <s v="pikachuahihi123@gmail.com"/>
        <s v="trangquynhyen@gmail.com"/>
        <s v="khanhtrampn@gmail.com"/>
        <s v="dungnguyenbo@gmail.com"/>
        <s v="ngbdanh239@gmail.com"/>
        <s v="minh2508tv@gmail.com"/>
        <s v="manhducl2812@gmail.com"/>
        <s v="truong32787@gmail.com"/>
        <s v="24huusang6a2@gmail.com"/>
        <s v="minhnguyen29p304@gmail.com"/>
        <s v="vthuanlaman@gmail.com"/>
        <s v="uyenuyen02082005@gmail.com"/>
        <s v="bbn.uit.k18@gmail.com"/>
        <s v="nhipham232.contact@gmail.com"/>
        <s v="leehnhu@gmail.com"/>
        <s v="huynhchonthanhnhan@gmail.com"/>
        <s v="vocongkhanhhg2004@gmail.com"/>
        <s v="thanhvunguyen.work@gmail.com"/>
        <s v="huynhphuoctai2602@gmail.com"/>
        <s v="lannhivon@gmail.com"/>
      </sharedItems>
    </cacheField>
    <cacheField name="SĐT" numFmtId="0">
      <sharedItems>
        <s v="+84364568103"/>
        <s v="+84966343508"/>
        <s v="+84849600023"/>
        <s v="+84985484725"/>
        <s v="+84357457257"/>
        <s v="+84915751200"/>
        <s v="+84916158557"/>
        <s v="+84949422609"/>
        <s v="+84395992792"/>
        <s v="+84334521530"/>
        <s v="+84974796601"/>
        <s v="+84982618700"/>
        <s v="+84793515516"/>
        <s v="+84969796314"/>
        <s v="+84379572270"/>
        <s v="+84375435837"/>
        <s v="+84329951538"/>
        <s v="+84786885375"/>
        <s v="+84983838961"/>
        <s v="+84765635067"/>
        <s v="+84931951036"/>
        <s v="+84774121743"/>
        <s v="+84886782422"/>
        <s v="+84396154134"/>
        <s v="+84398363952"/>
        <s v="+84704140403"/>
        <s v="+84984762140"/>
        <s v="+84989431140"/>
        <s v="+94945661917"/>
        <s v="+84854452626"/>
        <s v="+84819070163"/>
        <s v="+84708099262"/>
        <s v="+84838592692"/>
        <s v="+84367672694"/>
        <s v="+84961786249"/>
        <s v="+84706070821"/>
        <s v="+84767615124"/>
        <s v="+84344731226"/>
        <s v="+84375981616"/>
        <s v="+84366750106"/>
        <s v="+84768965596"/>
        <s v="+84396717580"/>
        <s v="+84933540827"/>
        <s v="+84868433581"/>
        <s v="+84394359278"/>
        <s v="+84924780886"/>
        <s v="+84327528330"/>
        <s v="+84582915056"/>
        <s v="+84867852519"/>
        <s v="+84938368316"/>
        <s v="+84376195921"/>
        <s v="+84868612497"/>
        <s v="+84938320564"/>
        <s v="+84969271271"/>
        <s v="+84343422716"/>
        <s v="+84787499136"/>
        <s v="+84921124475"/>
        <s v="+84906688799"/>
        <s v="+84911105675"/>
        <s v="+84367063277"/>
        <s v="+84854197352"/>
        <s v="+84707628369"/>
        <s v="+84937159395"/>
        <s v="+84942678894"/>
        <s v="+84968186482"/>
        <s v="+84357345434"/>
        <s v="+84933977855"/>
        <s v="+84901906334"/>
        <s v="+84334570359"/>
        <s v="+84838244506"/>
        <s v="+84946074322"/>
        <s v="+84823727385"/>
        <s v="+84773021504"/>
        <s v="+84915702727"/>
        <s v="+84394996425"/>
        <s v="+84768843039"/>
        <s v="+84379439757"/>
        <s v="+84374383707"/>
        <s v="+84347281081"/>
        <s v="+84931479174"/>
        <s v="+84906281336"/>
        <s v="+84843208288"/>
        <s v="+84373708308"/>
        <s v="+84942406392"/>
        <s v="+84375037830"/>
        <s v="+84918790709"/>
        <s v="+84936560552"/>
        <s v="+84817002407"/>
        <s v="+84933484531"/>
        <s v="+84388653120"/>
        <s v="+84944499310"/>
        <s v="+84947346557"/>
        <s v="+84335212458"/>
        <s v="+84356763136"/>
        <s v="+84377976509"/>
        <s v="+84911366562"/>
        <s v="+84896546111"/>
        <s v="+84767026352"/>
        <s v="+84981885030"/>
        <s v="+84935769791"/>
        <s v="+84384956604"/>
        <s v="+84938984732"/>
        <s v="+84398866290"/>
        <s v="+84984251589"/>
        <s v="+84797598184"/>
        <s v="+84931792129"/>
        <s v="+84965351817"/>
        <s v="+84862586678"/>
        <s v="+84905902489"/>
        <s v="+84898162396"/>
        <s v="+84334191487"/>
        <s v="+84989712496"/>
        <s v="+84945766746"/>
        <s v="+84794408658"/>
        <s v="+84854624879"/>
        <s v="+84393995405"/>
        <s v="+84388710603"/>
        <s v="+84777576435"/>
        <s v="+84586500581"/>
        <s v="+84963422608"/>
        <s v="+84358697673"/>
        <s v="+84971605817"/>
        <s v="+84395736440"/>
        <s v="+84799513518"/>
        <s v="+84988402767"/>
        <s v="+84903856791"/>
        <s v="+84367117346"/>
        <s v="+84396982813"/>
        <s v="+84388056429"/>
        <s v="+84376580052"/>
        <s v="+84903094915"/>
        <s v="+84393824024"/>
        <s v="+84368948121"/>
        <s v="+84347776422"/>
        <s v="+84826245431"/>
        <s v="+84332718397"/>
        <s v="+84386962089"/>
        <s v="+84379801319"/>
        <s v="+84797472852"/>
        <s v="+84979531499"/>
        <s v="+84388585995"/>
        <s v="+84705783596"/>
        <s v="+84857726404"/>
        <s v="+84779130905"/>
        <s v="+84934866294"/>
        <s v="+84818953935"/>
        <s v="+84847457689"/>
        <s v="+84898261388"/>
        <s v="+84905272537"/>
        <s v="+84708197069"/>
        <s v="+84364360804"/>
        <s v="+84942981375"/>
        <s v="+84911616518"/>
        <s v="+84867926064"/>
        <s v="+84846112731"/>
        <s v="+84916913866"/>
        <s v="+84819860373"/>
        <s v="+84364817555"/>
        <s v="+84934197743"/>
        <s v="+84915046248"/>
        <s v="+84914891650"/>
        <s v="+84868595305"/>
        <s v="+84399723484"/>
        <s v="+84908947286"/>
        <s v="+84915765079"/>
        <s v="+84837437886"/>
        <s v="+84345383575"/>
        <s v="+84842442368"/>
        <s v="+84399347445"/>
        <s v="+84942594875"/>
        <s v="+84865530244"/>
        <s v="+84793302504"/>
        <s v="+84931472928"/>
        <s v="+84905283353"/>
        <s v="+84934232644"/>
        <s v="+84938848701"/>
        <s v="+84559772760"/>
        <s v="+84706390156"/>
        <s v="+84917033929"/>
        <s v="+84978375609"/>
        <s v="+84938890100"/>
      </sharedItems>
    </cacheField>
    <cacheField name="Nguyện vọng 1" numFmtId="0">
      <sharedItems>
        <s v="Game User Acquisition Intern"/>
        <s v="AI Engineering Intern"/>
        <s v="Unity Development Intern"/>
        <s v="Data Analysis Intern"/>
        <s v="Game Quality Assurance Intern"/>
        <s v="Human Resources Intern"/>
        <s v="Game Design Intern"/>
      </sharedItems>
    </cacheField>
    <cacheField name="Nguyện vọng 2" numFmtId="0">
      <sharedItems containsBlank="1">
        <m/>
        <s v="Data Analysis Intern"/>
        <s v="Unity Development Intern"/>
        <s v="AI Engineering Intern"/>
        <s v="Game Quality Assurance Intern"/>
        <s v="Game Design Intern"/>
        <s v="Human Resources Intern"/>
        <s v="Game User Acquisition Intern"/>
      </sharedItems>
    </cacheField>
    <cacheField name="Lý do ứng tuyển vị trí" numFmtId="0">
      <sharedItems>
        <s v="With a strong interest in User Acquisition, especially in the gaming industry, I have been actively seeking opportunities to grow in this field. I see the SUN.RISER program as an ideal starting point to learn from experienced professionals and contribute "/>
        <s v="Động lực của em khi ứng tuyển vào SUN.RISER là cơ hội được cọ xát với môi trường thực tế để nâng cao kinh nghiệm chuyên môn. Em tin rằng với nền tảng kỹ thuật và khả năng tự học nhanh, em sẽ sớm bắt nhịp với các công nghệ mới tại công ty và hoàn thành tốt"/>
        <s v="Em có hơn 13 năm trải nghiệm game và luôn muốn hiểu cách game được tạo ra, không chỉ chơi chúng. Vị trí Unity Development Intern tại SUN.RISER là cơ hội để em chuyển nền tảng C# và tư duy hệ thống từ các dự án AI/simulation thành kỹ năng game development "/>
        <s v="phù hợp"/>
        <s v="Em thật sự mong muốn tìm được một môi trường năng động, phù hợp, chuyên nghiệp và tạo mọi điều kiện cần thiết để một sinh viên như em có thể phát triển."/>
        <s v="First, there's a personal reason, I'm a game enthusiast and I enjoy making games. As a final-year Software Engineering student, I’m deeply into C# and have already built an Action RPG on Unity, handling everything from combat logic to Boss AI. My backgrou"/>
        <s v="Mình lựa chọn intern AI engineer tại SUN.RISER vì mình là sinh viên ngành AI tại HCMUS và cũng thích chơi game trong thời gian rảnh, mình tò mò cách để 1 hệ thống AI hoạt động thực sự trong quy trình sản xuất game là như thế nào. Bên cạnh đó SUN.RISER có "/>
        <s v="I'm motivated to join SUN.RISER as an AI Engineer Intern because it sits at the perfect intersection of two things I'm passionate about: artificial intelligence and game development."/>
        <s v="Tuy học ngành Điện tử - Viễn thông, kiến thức về vị trí này có thể không sâu như các bạn trong ngành, nhưng em có niềm đam mê và tự tin mình có thể phát triển trong lĩnh vực này. Em chọn SUN.RISER vì đây có thể là môi trường để em học hỏi và áp dụng tư du"/>
        <s v="I choose the AI Engineer Intern position at SUN.RISER to gain hands-on experience in building real AI applications, strengthen my problem-solving skills, and learn from a professional team while contributing to meaningful projects."/>
        <s v="Mong muốn phát triển game global chuyên nghiệp, trau dồi khả năng phát triển game, đóng góp giá trị cho thị trường game."/>
        <s v="Em thích cảm giác trở thành 'chốt chặn' cuối cùng của một dự án. Em chọn làm QA vì muốn đóng vai trò bảo vệ chất lượng, đảm bảo rằng mọi phần mềm trước khi release đều là phiên bản hoàn thiện nhất, đáp ứng đúng nhu cầu nghiệp vụ và mang lại trải nghiệm tr"/>
        <s v="I’m really interested in this AI Engineer Intern position at SUN.RISER because it fits both what I’ve been studying and what I enjoy doing. I’ve been learning machine learning and working on some small projects, so I want to get real experience and see ho"/>
        <s v="Vì SUN.RISER được biết là 1 đơn vị phát triển game nổi tiếng và mang đến lộ trình phát triển rõ ràng cho thực tập sinh từ tư duy locgic cho đến kỹ năng phân tích."/>
        <s v="Em lựa chọn vị trí Game QA Intern tại SUN.STUDIO vì em nhận thấy đây là vai trò phù hợp nhất với định hướng phát triển của bản thân trong ngành game, đặc biệt là ở mảng đảm bảo chất lượng sản phẩm và trải nghiệm người chơi.&#10;&#10;Em có sự hứng thú với việc phâ"/>
        <s v="Điều khiến em lựa chọn vị trí này trong SUN.RISER là vì đây là cơ hội để em được phát triển trong môi trường thực tế, nơi em có thể áp dụng những kiến thức về dữ liệu và công nghệ mà mình đã học.&#10;Em đặc biệt quan tâm đến lĩnh vực AI Engineering và mong mu"/>
        <s v="Đào tạo bài bản: Được hướng dẫn (mentoring) từ những người có kinh nghiệm trong ngành.&#10;Tư duy dữ liệu: Rèn luyện khả năng phân tích chỉ số để tối ưu hóa chiến dịch Marketing.&#10;Soft skills: Cải thiện kỹ năng làm việc nhóm, giải quyết vấn đề và quản lý dự án"/>
        <s v="Đam mê AI và mong muốn làm việc lâu dài trong lĩnh vực AI"/>
        <s v="I really enjoy playing mobile games, and I once watched a video about the Game UA Marketing role, which focuses on helping users discover games through advertising. That’s why I’m very interested in this position and want to have more knowledge from this "/>
        <s v="Vì trong mắt tôi SUN.RISER là một nơi tốt để tôi có thể học hỏi kinh nghiệm từ những người giỏi hơn ở đó. Nơi mà tôi có thể phát triển theo đúng định hướng bản thân và sẵn sàng cống hiến 110% bản thân cho SUN.RISER để học hỏi và tạo nền tảng đứng cho bản "/>
        <s v="Marketing is one of the top three majors that I love during my learning courses (marketing, HR, and education). I also love playing games, not only playing but also having some interest in how to develop and giving some guides to play games more fun and e"/>
        <s v="Em mong muốn học hỏi thêm về mảng AI  và em đã có kinh nghiệm thực tập từ trước đó nên em tin rằng mình có năng lực cũng như kiến thức về : GIT , Jira , Scrum , SOLID, Restful Api , 2FA , Redux , React Native , Firebase"/>
        <s v="Em chọn vị trí Human Resources trong SUN.RISER vì em quan tâm đến việc phát triển con người và xây dựng văn hoá doanh nghiệp. Thông qua trải nghiệm trong Ban Nhân sự của Bach Khoa Ambassador Club, em nhận thấy mình phù hợp với các công việc liên quan đến "/>
        <s v="Em muốn áp dụng kiến thức AI/ML vào bài toán thực tế trong game. Em có kinh nghiệm Python, PyTorch qua dự án ở trường và mong muốn phát triển theo hướng AI Engineer tại Sun Studio."/>
        <s v="Because it perfectly combines my passion for gaming with my interest in software testing. This role offers an excellent opportunity to apply my testing skills, learn from experienced professionals, and contribute to creating high-quality games. I am excit"/>
        <s v="Because I have always felt the need to explore and learn across many different areas, I have not yet had the chance to focus deeply on one specific field. Joining SUN.RISER gives me the opportunity to work in a structured environment, where I can concentr"/>
        <s v="Em chọn vị trí Intern AI Engineer tại SUN.RISER vì em đang định hướng phát triển theo mảng AI và mong muốn được tham gia vào các dự án thực tế."/>
        <s v="I am motivated to choose the Data Analyst position at SUN.RISER because it provides the opportunity to work with real game data and understand how data supports decision-making in game development."/>
        <s v="Tôi chọn vị trí này tại SUN.RISER vì đây là cơ hội phù hợp để tôi phát triển kỹ năng Unity, học hỏi trong môi trường làm game thực tế và đóng góp vào những sản phẩm chất lượng. Tôi tin đây là nơi giúp tôi vừa nâng cao chuyên môn, vừa tích lũy kinh nghiệm "/>
        <s v="Tôi đam mê phát triển game mobile nên muốn ứng tuyển vị trí này. Với kinh nghiệm Unity &amp; C#, tôi mong được đóng góp vào các tựa game vui, mượt mà và học hỏi từ team chuyên nghiệp."/>
        <s v="Em có niềm đam mê với ngành làm game, đặc biệt là đối với những game casual vì đó là một trong những thể loại game mà em yêu thích. Em cũng là một người học hỏi và sẵn sàng ghi nhận những ý kiến và đóng góp từ những thành viên trong dự án để phát triển kỹ"/>
        <s v="I love developing games."/>
        <s v="Vì em thấy làm game là một công việc rất thú vị, mình có thể trải nghiệm những sản phẩm do chính tay mình làm ra."/>
        <s v="- Em muốn học hỏi nhiều hơn về công việc của vị trí đồng thời muốn sử dụng kiến thức mình học được để ứng dụng vào thực tế để hiểu và phân tích được những nhu cầu thực tế của người dùng hoặc sáng tạo những điều phù hợp hữu ích cho họ"/>
        <s v="I am interested in this position due to my endless passion for game development, since I have little bit skills through building a game in Unity, I am not confident for the game dev position. Then, since I still want to contribution into the process of de"/>
        <s v="I’m motivated to join SUN.RISER because I want to grow in a fast-paced game studio that creates enjoyable games at scale. I’m excited to support hiring and improve candidate experience with strong coordination and attention to detail. And I’m eager to lea"/>
        <s v="Em muốn có cơ hội được tham gia vào dự án thật, học hỏi kinh nghiệm từ các dự án thực tế và anh chị đi trước để từ đó phát triển bản thân nhiều hơn"/>
        <s v="I’m motivated to join SUN.RISER because I want to explore a new domain in the game industry. Previously, I worked on data analysis in domains such as banking and marketing, and I’m eager to apply my skills to player data. I hope to leverage data-driven in"/>
        <s v="Tôi yêu thích game và mong muốn hiểu rõ cách một sản phẩm được hoàn thiện trước khi đến tay người dùng, vì vậy tôi chọn vị trí này để phát triển kỹ năng kiểm thử và đóng góp vào việc nâng cao chất lượng game."/>
        <s v="Em lựa chọn vị trí này vì em có hứng thú với việc kiểm thử và cải thiện chất lượng sản phẩm. Với nền tảng lập trình, em thích tìm lỗi, kiểm tra tính đúng đắn của hệ thống và đảm bảo trải nghiệm người dùng. Em tin SUN.RISER là môi trường phù hợp để em học "/>
        <s v="I am motivated to join SUN.RISER because this role fits my skills and provides valuable opportunities for growth and contribution."/>
        <s v="I have been passionate about gaming from a young age, with experience playing various titles such as Garena Liên Quân Mobile, PUBG Mobile, and Audition Online. This passion motivates me to apply for the HR Intern position where I hope to combine my intere"/>
        <s v="Tôi thích khám phá game và những gốc nhìn khác nhau của nhân vật từ đó có thể quan sát chi tiết và logic game chặt chẽ, điều này giúp tôi dễ dàng phát hiện lỗi và xác định nguyên nhân gây ra vấn đề trong game"/>
        <s v="Mong muốn được học hỏi và phát triển nhiều hơn về chuyên ngành của mình.&#10;Tìm một môi trường tốt để làm việc và phát triển lâu dài."/>
        <s v="Mình chọn vị trí AI Engineering Intern (NV2: Data Analysis Intern) vì mong muốn ứng dụng AI vào các sản phẩm thực tế trong lĩnh vực game. Đồng thời, mình còn quan tâm đến Data Analysis vì tin rằng dữ liệu đóng vai trò quan trọng trong việc hiểu và cải thi"/>
        <s v="What motivated me to apply for this position at SUN.RISER is the opportunity to work with real user data in a game environment. I find game data very dynamic, especially in player behavior. I can contribute by ensuring data quality, applying proper data c"/>
        <s v="I choose the Data Analysis Intern position at SUN.RISER because it matches my background in data analysis and my interest in working with real-world data. I want to apply my Excel and SQL skills to generate insights and support decision-making, while gain"/>
        <s v="Em chọn vị trí AI Engineering Intern tại SUN.RISER vì em thường dùng AI để tự động hóa quy trình xây dựng các hệ thống. Em có hứng thú với việc thiết kế prompt, xây dựng AI Pipelines và Agents để giải quyết bài toán thực tế. Đây là cơ hội lý tưởng để em á"/>
        <s v="SUN.RISER offers a strong opportunity to apply AI knowledge to real-world problems. I want to gain hands-on experience, learn from experienced engineers, and further develop my skills in building practical AI solutions. This aligns well with my goal of be"/>
        <s v="I am motivated to apply because it aligns with both my passion for Human Resources and my strong interest for gaming. I enjoy connecting with people, building positive experiences, and contributing to team development. Gaming for me is a space of creativi"/>
        <s v="Vì vị trí này phù hợp với định hướng nghề nghiệp và kiến thức em đang theo đuổi trong ngành ISs. Em có sự hứng thú với việc làm việc cùng dữ liệu, phân tích và tìm ra insight để hỗ trợ việc ra quyết định.&#10;&#10;Bên cạnh đó, em mong muốn được học hỏi trong một "/>
        <s v="I am motivated to join the SUN.RISER program because it perfectly aligns with my passion for building Agentic Workflows and my drive to create tangible business impact. Having hands-on experience with LangChain, LangGraph, and advanced prompt engineering "/>
        <s v="I’m interested in the User Acquisition Intern position at Sun Studio because it combines my passion for gaming with my interest in data-driven marketing. I’m excited about the opportunity to help grow a game’s user base, analyze campaign performance, and "/>
        <s v="I chose the User Acquisition role at SUN.RISER because I want to go behind the scenes and learn to turn those player insights into growth. And as a gamer myself, I'm sincerely eager to master the process of testing creatives and finding the winning formul"/>
        <s v="I am drawn to the Data Analyst position at SUN.RISER because of my passion for the gaming industry and my fascination with data-driven insights. I am eager to apply my technical foundation to real-world gaming data. SUN.STUDIO is the ideal professional en"/>
        <s v="Ngành công nghiệp game đã luôn mà một phần mà em muốn tìm hiểu. Những vị trí tại SUN.STUDIO là một cơ hội tuyệt vời mà em nhận thấy mình có thể tìm hiểu và đào sâu hơn về ngành công nghiệp này."/>
        <s v="chi tiết của công việc khá phù với những kinh nghiệm của mình đã  có, và mình cũng mong muốn được thử sức trong môi trường làm việc chuyên nghiệp"/>
        <s v="Em chọn vị trí này vì niềm đam mê mãnh liệt với việc ứng dụng công nghệ. SUN.RISER là môi trường lý tưởng cho thực tập sinh, giúp em có thể nhanh chóng thích nghi và mang lại giá trị thực tế."/>
        <s v="Em lựa chọn chương trình SUN.RISER vì mong muốn được trải nghiệm môi trường làm việc chuyên nghiệp tại SUN.STUDIO, nơi em có thể chuyển hóa những kiến thức chuyên ngành AI còn mang tính lý thuyết trên giảng đường vào các dự án thực tế."/>
        <s v="I am motivated to apply for the HR Intern position in the Sun.riser program organized by SUN.STUDIO, as I am eager to learn how a company operates, especially in HR processes such as recruitment and training. I also look forward to joining and growing in "/>
        <s v="because I am deeply passionate about emerging technologies, especially Artificial Intelligence and Game Development"/>
        <s v="I chose SUN.RISER because I want to learn through real projects, not just theory. This position fits well with what I’m interested in,working with data and understanding user behavior to support product decisions.&#10;I also like that the role involves workin"/>
        <s v="Em chọn vị trí này vì em muốn áp dụng kiến thức Data Analytics vào thực tế, đặc biệt là phân tích hành vi người chơi để tạo ra insight và cải thiện sản phẩm. Đồng thời, em mong muốn học hỏi và phát triển trong môi trường game năng động như SUN.RISER."/>
        <s v="Đầu tiên là em thích chơi game với thứ hai là em muốn mang lại cho người dùng một trải nghiệm trọn vẹn nhất."/>
        <s v="Vị trí tại SUN.RISER là cơ hội vàng để chuyển hóa những kiến thức lý thuyết về xử lý dữ liệu lớn thành những thông tin chi tiết (insights) có giá trị, giúp doanh nghiệp thấu hiểu hành vi khách hàng một cách sâu sắc hơn."/>
        <s v="Have opportunities for personal and professional growth in a professional and dynamic working environment."/>
        <s v="Qua tìm hiểu, em thấy SUN.RISER có môi trường năng động và chú trọng vào hiệu quả marketing thực tế, điều này giúp em có cơ hội học hỏi và phát triển nhanh hơn. Em đặc biệt hứng thú với việc được tham gia xây dựng các chiến dịch marketing, đóng góp ý tưởn"/>
        <s v="Một ví trí có nhiều thử thách và lòng kiên nhẫn"/>
        <s v="Được tiếp xúc với quy trình làm việc và đào tạo chuyên nghiệp. Làm việc trong một doanh nghiệp chuyên về phát triển game là một ước mơ, khao khát của tôi. Tôi luôn tin mình sẽ đáp ứng được những yêu cầu mà quý doanh nghiệp đề ra."/>
        <s v="Em lựa chọn vị trí UA tại SUN.RISER vì định hướng performance và data-driven rất phù hợp với em. Em đã có cơ hội phân tích các chỉ số như engagement và hành vi người dùng trong các project trước, và đặc biệt hứng thú với việc tối ưu hiệu quả dựa trên dữ l"/>
        <s v="Em đã theo dõi Sun Studio từ lâu và thực sự ấn tượng với chất lượng hình ảnh cũng như tư duy thiết kế trong các sản phẩm của studio. Vì vậy, em chọn vị trí này với mong muốn được tiếp cận với môi trường phát triển game chuyên nghiệp, học hỏi từ đội ngũ củ"/>
        <s v="Em tin rằng những kỹ năng hiện có, được tích lũy qua quá trình học tập, rất phù hợp với vị trí Data Analysis Intern của SUN.RISER. Em mong muốn vừa áp dụng kiến thức để đóng góp, vừa học hỏi quy trình làm việc thực tế tại công ty. Đặc biệt, em có niềm hứn"/>
        <s v="First, I am highly attracted to the key responsibilities outlined in the job description. I see this as a perfect opportunity to learn and gain hands-on experience.&#10;Second, the 1-on-1 Mentorship benefit is a significant factor for me. I believe that havin"/>
        <s v="As someone who loves to play games and has a fundamental background in creative and digital marketing, I see UA as the perfect intersection for my career growth and personal interests.  I am motivated to join your team as an intern to receive structured t"/>
        <s v="I chose this position because I’m passionate about games and technology, and want to go beyond traditional software development by applying AI to real-world problems. Even starting as an intern, I see this as a chance to learn quickly and prove my value."/>
        <s v="I am motivated to apply for this position because it aligns with my career goal of developing expertise in digital transformation. SUN.RISER offers a dynamic environment where I can learn from experienced mentors, contribute to impactful projects, and gro"/>
        <s v="Em chọn vị trí này tại SUN.RISER vì em quan tâm đến phân tích dữ liệu trong lĩnh vực game, đặc biệt là cách dữ liệu giúp hiểu hành vi người chơi và cải thiện trải nghiệm người dùng."/>
        <s v="Quá trình làm backend và trực tiếp tích hợp các dịch vụ AI vào hệ thống thực tế đã khiến em thực sự hứng thú và muốn tiến sâu hơn. Em chọn vị trí này vì muốn chính thức thử sức ở mảng phát triển AI, dùng nền tảng tư duy hệ thống sẵn có của mình để trực ti"/>
        <s v="My motivation for choosing Sun.Studio stems from a deep-rooted curiosity for gaming and creative storytelling, even though I haven't worked in this industry yet. I’ve always been fascinated by how Sun.Studio creates such engaging experiences with simple a"/>
        <s v="Lý do mình chọn vị trí Unity Developer Intern tại SUN.RISER là khao khát được rèn luyện trong một môi trường chuyên nghiệp. Mình mong muốn được vận dụng những nền tảng kiến thức đã học để đóng góp giá trị thực cho Studio. Đồng thời, mình rất cầu thị được "/>
        <s v="An opportunity to merge my technical expertise in data analytics with my passion for the gaming industry, particularly within a fast-moving studio environment."/>
        <s v="Lý do là vì em đã từng có kinh nghiệm làm game bằng Unity, em muốn học thêm nhiều nữa trong chương trình Thực tập của SUN.STUDIO"/>
        <s v="Em chọn Data Analyst vì yêu thích làm việc với dữ liệu, phân tích số liệu và tạo ra insight có giá trị. Với nền tảng backend, SQL và ETL, em muốn phát triển sâu trong lĩnh vực data."/>
        <s v="Dù đã tự build hoàn chỉnh game multiplayer và vững tư duy hệ thống, code của em vẫn ở mức 'đồ án sinh viên'. Em chọn SUN.RISER vì cần một môi trường chuẩn mực để va chạm quy trình thực tế, học Clean Code và tư duy làm sản phẩm thương mại."/>
        <s v="Data has always been what drives my decisions — not assumptions. When I explored SUN.STUDIO's games, I noticed real room to grow in player retention and engagement. That gap excites me: using data to understand player behavior, identify friction points, a"/>
        <s v="I want to grow inside a team that takes game craft seriously. I have Unity experience from projects like Overrun and my thesis RogueLearn, but I know a professional studio is where real development happens."/>
        <s v="I chose to apply for Data Analyst Intern position at SUN.RISER because I see it as an opportunity to bridge what I have learned in school with real-world impact, especially in the gaming industry where data plays a crucial role in shaping user experience."/>
        <s v="Tôi muốn được học hỏi thêm kinh nghiệm làm việc từ môi trường của SUN.RISER đồng thời nếu có cơ hội tôi mong sẽ được gắn bó lâu dài với SUN.RISER"/>
        <s v="I choose this position because I want to understand how a game is developed and scaled in real practice, and this is also an opportunity for me to apply the Marketing foundation I have learned at university. With strong analytical thinking and a continuou"/>
        <s v="I want to develop myself in a professional, dynamic, and creative working environment. I am especially interested in the game industry, where innovation and user experience play a crucial role"/>
        <s v="After reviewing your job posting, I am very impressed and would love to be part of your team. I hope to begin my career in a professional, international environment. I believe my academic background and project experience have prepared me well to quickly "/>
        <s v="I am motivated to apply for the Data Analyst Intern position at SUN.RISER because it aligns with my goal of becoming a data-driven professional. I am particularly attracted to its structured training and real project exposure, which will help me strengthe"/>
        <s v="Em chọn vị trí này vì định hướng lâu dài của em là làm marketing, đặc biệt là với mảng vừa có sáng tạo vừa làm việc với số liệu. Em thích lên ý tưởng nhưng cũng muốn hiểu rõ hiệu quả qua các chỉ số để tối ưu tốt hơn. Ngoài ra, em cũng khá hứng thú với ngà"/>
        <s v="I choose this position because I want to apply AI to real game products and learn from practical projects. I believe SUN.RISER is a good opportunity for me to improve my AI skills and contribute to game development."/>
        <s v="Em tin vị trí này cho em cơ hội áp dụng kiến thức vào các dự án thực tế, học hỏi từ các anh chị có kinh nghiệm và nâng cao kỹ năng chuyên môn trong môi trường chuyên nghiệp."/>
        <s v="Em chọn vị trí này vì phù hợp với định hướng phát triển sự nghiệp của em trong lĩnh vực game"/>
        <s v="What excites me most about this position is how closely it aligns with my skills and interests, particularly in SQL, extracting insights from data and discovering hidden knowledge through the number of game players."/>
        <s v="Tôi chọn vị trí này vì nhận thấy sự tương đồng lớn giữa yêu cầu công việc và năng lực chuyên môn của mình trong việc tối ưu hóa dữ liệu và xây dựng báo cáo. Tôi khao khát được áp dụng những kiến thức này để cùng SUN.RISER tạo ra những kết quả đột phá."/>
        <s v="Em mong muốn bắt đầu sự nghiệp trong ngành game với vị trí QA vì em hiểu rằng chất lượng là yếu tố cốt lõi để giữ chân người chơi và em cũng muốn góp phần tạo ra những tựa game hay."/>
        <s v="Tôi chọn DA Intern ở SUN.RISER vì:&#10;- Yêu thích môi trường trẻ trung, năng động, nơi tinh thần &quot;dám nghĩ dám làm&quot; luôn được ưu tiên để bứt phá giới hạn.&#10;- Muốn biến niềm đam mê dữ liệu thành những giá trị thực sự cho sự phát triển của công ty.  &#10;- Sẵn sàng"/>
        <s v="Em chọn vị trí Data Analyst Intern tại SUN.RISER vì đây là công việc em muốn theo đuổi lâu dài và cũng là lĩnh vực em cảm thấy phù hợp với khả năng phân tích, xử lý số liệu của mình. Ngoài ra, SUN.RISER thuộc công ty game nên em thấy đây là môi trường rất"/>
        <s v="Mình tìm đến Sun Studio với mục đích học hỏi thêm những kiến thức mới và nhanh chóng tiếp cận được với những công nghệ hiện đại hơn."/>
        <s v="Với đam mê về Game và dữ liệu, em luôn muốn khám phá dữ liệu game và đưa ra các insight chất lượng, cùng phối hợp với các team liên quan để nâng cao trải nghiệm người chơi với tựa game yêu thích của họ."/>
        <s v="Em lựa chọn vị trí này tại SUN.RISER vì đây là cơ hội rất phù hợp với định hướng phát triển trong ngành Digital Marketing mà em đang theo học.Những mô tả công việc như nghiên cứu thị trường, cũng như phân tích các chỉ số như CTR, CPM, ROAS đều là những ki"/>
        <s v="Tôi muốn làm ra những con game đỉnh, feeling cao, combat đã tay"/>
        <s v="Là sinh viên năm 3 CNTT, mình đã thực hành các dự án AI trên trường và cá nhân nhưng chưa có cơ hội làm việc trong môi trường thực tế. Mình chọn vị trí này vì muốn hiểu rõ hơn cách AI được ứng dụng trong game development và học cách làm việc trong một tea"/>
        <s v="I am motivated to apply for the AI Engineering Intern position at SUN.RISER because it closely matches my current focus on LLMs, RAG, AI Agents, and AI-powered workflow automation.&#10;I am especially interested in building practical AI pipelines, structured "/>
        <s v="Em là sinh viên năm cuối ngành Hệ thống Thông tin với mong muốn được thực tập ở vị trí Data Analysis. Em lựa chọn SUN.RISER vì cơ hội được tiếp cận dữ liệu từ các sản phẩm game và tham gia vào quá trình truy vấn, xử lý, trực quan hóa dữ liệu để hỗ trợ ra "/>
        <s v="Tôi lựa chọn vị trí Data Analysis Intern tại SUN.RISER vì 3 lý do chính:&#10;- Niềm yêu thích dành cho game, ở nhiều hình thức, thể loại, và chủ đề. Tôi mong muốn sự nghiệp của mình có thể xoay quanh ngành này;&#10;- Cơ hội học hỏi về chuyên môn liên quan tới dữ "/>
        <s v="I am passionate about game development and have built several Unity projects to improve my skills in C# and game logic.&#10;I want to join SUN.RISER to gain real-world experience, learn from experienced developers, and continue growing as a Unity developer."/>
        <s v="Tôi có niềm đam mê với game và muốn lan tỏa niềm đam mê đến nhiều khách hàng hơn"/>
        <s v="Em chọn SUN.RISER vì muốn phát triển trong môi trường làm sản phẩm thực tế, có định hướng rõ ràng và tốc độ cao.&#10;&#10;Em đã có kinh nghiệm làm mobile, fullstack và tìm hiểu AI, nhưng em muốn cải thiện hơn thông qua mentorship và sản phẩm có người dùng thật. E"/>
        <s v="Tôi chọn vị trí này vì muốn có cơ hội học hỏi thêm, trải nghiệm thực tế và phát triển bản thân trong môi trường chuyên nghiệp của SUN.RISER."/>
        <s v="Tôi chọn SUN.RISER vì tôi muốn làm việc trong một môi trường mới là lĩnh vực kiểm thử game thay vì kiểm thử phần mềm đã làm trước đây."/>
        <s v="I am passionate about game development and aspire to create my own game. Therefore, I am seeking an internship to gain hands-on experience, learn from senior developers, and build a strong foundation in game creation."/>
        <s v="Em quan tâm đến phân tích dữ liệu và muốn phát triển trong lĩnh vực này. Vị trí Data Analysis Intern tại SUN.RISER là cơ hội phù hợp để em học hỏi, áp dụng kỹ năng và tạo ra giá trị từ dữ liệu."/>
        <s v="Vì mình muốn phát triển theo hướng performance marketing, đặc biệt là trong ngành game.  Ngoài ra, môi trường như ở SUN.RISER sẽ giúp mình học được nhiều kỹ năng thực chiến và hiểu rõ hơn về cách đưa một sản phẩm đến với số lượng lớn người dùng."/>
        <s v="I chose this position in SUN.RISER because it aligns with my career goals in the technology field. I hope to learn in a professional environment, work on real projects, and develop both my technical skills and problem-solving abilities."/>
        <s v="Em chọn SUN.RISER tại SUN.STUDIO vì đây là cơ hội kết hợp giữa dữ liệu, hành vi người dùng và game. Kinh nghiệm tại VNG Corporation giúp em hiểu rõ các chỉ số như retention, ARPU và funnel. Em muốn phát triển sâu hơn về product analytics, xây dựng hệ thốn"/>
        <s v="I’m interested in the Game Intern Developer position at SUN.RISER because I want to improve my skills through real projects and teamwork in a professional game development environment."/>
        <s v="Mong muốn được học hỏi nhiều điều về môi trường làm việc, tiếp xúc xã hội &amp; nâng cao khả năng và kiến thức về Unity."/>
        <s v="Trong quá trình làm intern, em nhận ra mình hứng thú với digital và tối ưu hiệu quả hơn là chỉ làm content. Em cũng chơi game như Liên Quân Mobile và game casual nên khá quan tâm đến cách thu hút người chơi và khi tìm hiểu thì thấy mảng UA này đang phát t"/>
        <s v="Một môi trường làm việc trẻ, đầy năng lượng tích cực và nhiều điều mới"/>
        <s v="Qua tìm hiểu, em ấn tượng với tinh thần đổi mới tại SUN.RISER. Việc công ty sẵn sàng mở ra vị trí AI Intern cho thấy tầm nhìn đón đầu công nghệ. Em muốn được đóng góp sức trẻ, khả năng học hỏi nhanh và tư duy kỹ thuật của mình vào một đội ngũ không ngại t"/>
        <s v="Em nhận ra mình phù hợp với phân tích dữ liệu phục vụ bài toán kinh doanh hơn là lập trình thuần kỹ thuật. Vì vậy, em ứng tuyển vị trí Data Analysis Intern tại SUN.RISER để phát triển theo hướng này và học cách tạo ra insight từ dữ liệu."/>
        <s v="Dạ động lực để em ứng tuyển vị trí Game UA Intern tại SUN.RISER là vì em đang tìm kiếm cơ hội để được học và nâng cao kỹ năng Performance Marketing trong một môi trường chuyên nghiệp. Bên cạnh đó em mong muốn tìm một công việc để có thêm thu nhập ạ."/>
        <s v="Hiện tại, tuy có nền tảng về luật nhưng em mong muốn định hướng phát triển ở mảng HR. Em tin rằng những nền tảng về luật có thể hỗ trợ tốt cho các công việc HR như quản lý hồ sơ nhân sự, xây dựng và tuân thủ chính sách, cũng như xử lý các vấn đề về quan h"/>
        <s v="I choose this position to apply my knowledge of models and optimization thinking to building real-world AI agents. I am particularly impressed by the Automation Pipeline training program at SUN.RISER and tools like LangChain and n8n, which help improve re"/>
        <s v="Yêu thích game, có định hướng theo QA Game Tester"/>
        <s v="Em muốn có cơ hội áp dụng những kiến thức và tư duy đã được học và mài dũa vào giải quyết các vấn đề thực tế, trực quan hóa chúng thành bức tranh toàn cảnh hỗ trợ cho các quyết định chiến lược của công ty"/>
        <s v="Chuyên ngành em đang theo học là Công nghệ Marketing tại UEH. Em được tiếp xúc không chỉ về marketing mà còn tiếp xúc nhiều với công nghệ và dữ liệu. Qua những môn học tại giảng đường, em nhận thấy bản thân có niềm yêu thích với data và mong muốn hỏi hỏi "/>
        <s v="I’m interested in SUN.RISER because it combines my marketing background with my passion for gaming, and I want to grow in user acquisition and performance marketing at SUN.STUDIO."/>
        <s v="Em ứng tuyển vì định hướng AI - Automation của SUN.RISER rất khớp với chuyên môn hiện tại của em. Với kinh nghiệm thực tập AI Engineer (hỗ trợ xây dựng hệ thống RAG, LLM và data pipelines), em tự tin ứng dụng kỹ năng Prompt Engineering để phát triển trợ l"/>
        <s v="Tôi có gần 1,5 năm kinh nghiệm phát triển game Unity WebGL và hiện muốn tham gia môi trường chuyên nghiệp hơn để phát triển thêm về kỹ năng kỹ thuật cũng như teamwork. Đồng thời, tôi cũng định hướng lâu dài ở mảng game mobile puzzle/casual và nhận thấy SU"/>
        <s v="Em chọn vị trí Tester tại SUN.RISER vì em muốn thử sức trong lĩnh vực kiểm thử game. Em mong muốn được tham gia vào quá trình đảm bảo chất lượng sản phẩm, tìm hiểu quy trình testing thực tế và phát triển thêm kỹ năng QA/QC của bản thân."/>
        <s v="Em rất thích việc được phát triển các game casual giải trí nhẹ nhàng, hấp dẫn. Em cũng muốn được trải nghiệm quy trình làm game sản phẩm thực tế, cũng như được học hỏi kinh nghiệm từ các anh chị đi trước."/>
        <s v="Em có đam mê lập trình game, muốn trải nghiệm công việc thực tế của công việc cũng như gắn bó lâu dài với ngành game trong tương lai. Ngoài ra em muốn học hỏi thêm nhiều kiến thức thực tế từ những người đi trước để phát triển bản thân trong ngành lập trìn"/>
        <s v="Em chọn vị trí này vì em muốn phát triển theo hướng UA Marketing. Em thích công việc liên quan đến phân tích dữ liệu và tối ưu campaign. Sau khi tìm hiểu, em thấy môi trường ở SUN.RISER khá trẻ và có định hướng rõ về performance marketing, nên em nghĩ đây"/>
        <s v="Em chọn vị trí Game QA Intern tại SUN.RISER vì em yêu thích lĩnh vực CNTT (Game) và muốn học hỏi quy trình QA thực tế. Em hứng thú với việc kiểm tra, phát hiện lỗi và góp phần cải thiện trải nghiệm người chơi trong môi trường làm việc chuyên nghiệp."/>
        <s v="I’m motivated to apply for this position at SUN.RISER because of my strong interest in mobile games and my desire to work in data-driven marketing. I’m particularly drawn to how this role balances creativity in developing ad concepts with accuracy in anal"/>
        <s v="Điều khiều em chọn vị trí này chính là việc được tham gia vào quy trình phân tích dữ liệu Game thực tế. Ngoài ra, bản thân em cũng là người rất thích và đam mê game."/>
        <s v="Em có đam mê và mong muốn được tham gia các dự án phát triển Game, hy vọng có thể tạo ra những sản phẩm thú vị."/>
        <s v="Em chọn vị trí AI Engineer Intern tại SUN.RISER vì muốn phát triển AI trong môi trường sản phẩm thực tế, đặc biệt là ngành game. Em hứng thú với cách SUN.STUDIO tập trung vào trải nghiệm người chơi, xây dựng sản phẩm accessible cho người dùng. Em mong muố"/>
        <s v="Em lựa chọn vị trí Data Analysis Intern vì em hứng thú với việc sử dụng dữ liệu để phân tích hành vi người dùng và tìm ra insight hỗ trợ cải thiện sản phẩm cũng như tăng trưởng; cách dữ liệu có thể giúp đưa ra các quyết định chính xác hơn thay vì dựa trên"/>
        <s v="I have loved playing and creating games since I was at the very young age. Being a part of a professional game studio will help me to gain more hands-on experience in developing more games that meet commercial standards. Besides, I want to connect with ex"/>
        <s v="My background in MIS and my internship experience helped me realize that I enjoy identifying inconsistencies, reviewing workflows, and finding ways to improve operational efficiency in daily processes.&#10;I believe my analytical thinking, attention to detail"/>
        <s v="Em mong muốn tham gia học hỏi, trau dồi kĩ năng và kiến thức"/>
        <s v="Điều khiến em chọn SUN.RISER là vì đây là nơi AI phải hoạt động thật trong tổ chức thật, với Product, HR, Marketing không phải chỉ research. &#10;Khi làm DentAI, em nhận ra phần khó nhất không phải train model, mà là làm output đúng format, đủ tin cậy để ngườ"/>
        <s v="Mình chọn SUN.RISER vì muốn được học và tham gia trực tiếp vào quá trình xây dựng AI workflows, automation và các công cụ AI ứng dụng thực tế. Mình hứng thú với Prompt Engineering, AI Pipelines và mong muốn phát triển kỹ năng thông qua môi trường teamwork"/>
        <s v="Tôi chọn vị trí AI Engineer Intern vì muốn có cơ hội tiếp cận thực tế việc ứng dụng AI trong doanh nghiệp, đặc biệt trong môi trường phát triển game. Tôi xem đây là cơ hội để học hỏi, hiểu rõ hơn về quy trình làm việc và định hướng bản thân trong lĩnh vực"/>
        <s v="Vì em đã tìm hiểu về lĩnh vực UA marketing, em mong muốn thực hiện hóa các kiến thức mình học vào công việc thực tế"/>
        <s v="Em đam mê phát triển game và muốn học hỏi thêm về gameplay design cũng như quy trình làm game chuyên nghiệp. Em nghĩ SUN.RISER là môi trường phù hợp để em phát triển kỹ năng và tích lũy kinh nghiệm thực tế."/>
        <s v="Em chọn vị trí này vì đây là công việc phù hợp nhất với điểm mạnh và sở thích của em. Em thích phân tích, quan sát và thường xuyên đặt câu hỏi về lý do đằng sau một vấn đề nào đó và em cũng mong muốn được học hỏi và cải thiện nhiều hơn về tư duy phân tích"/>
        <s v="What motivates me to choose this position is that it matches both my background and my career goals. I am studying in Data Science, and I want to develop my skills in data analysis and problem-solving in a real working environment."/>
        <s v="Em chọn vị trí thực tập tại SUN.RISER vì nhận ra mình có niềm đam mê rất lớn với việc tối ưu hóa giao diện nơi em có thể chuyển hóa những tư duy thiết kế, nền tảng từ quá trình học hỏi thành những sản phẩm công nghệ mang lại giá trị thật ."/>
        <s v="Em lựa chọn vị trí Game User Acquisition Intern tại SUN.RISER đầu tiên là vì em khá hứng thú cũng như muốn thử sức trong lĩnh vực game, đây cũng là cơ hội để em phát triển trong lĩnh vực marketing và user growth mà em quan tâm, đặc biệt là kết hợp giữa ng"/>
        <s v="I learned about SUN.STUDIO through information shared by Assoc. Prof., Ph.D. Chau. After conducting thorought research (LinkedIn, Website, Facebook...) SUN.STUDIO has become my top choice. The SUN.RISER program is a perfect oppoturnity for the DA position"/>
        <s v="Em lựa chọn vị trí Data Analyst Intern tại SUN.RISER vì em mong muốn được phát triển kỹ năng phân tích dữ liệu trong một môi trường chuyên nghiệp, năng động và có cơ hội học hỏi thực tế."/>
        <s v="I chose the Data Analysis Intern position at SUN.RISER because I enjoy working with data to solve problems and generate meaningful insights. I’m interested in how data can improve user experience and support business decisions, especially in the gaming in"/>
        <s v="I’m motivated by the chance to improve game quality and player experience. With my Game Design background, I’m used to testing builds, spotting gameplay issues, and giving structured feedback. I believe SUN.RISER is the right environment for me to learn p"/>
        <s v="Tôi chọn vị trí này tại SUN.RISER vì đây là cơ hội để tôi áp dụng kiến thức kiểm thử phần mềm vào môi trường phát triển game thực tế. Tôi muốn đóng góp vào điều đó. Bên cạnh đó, tôi mong muốn được học hỏi quy trình QA chuyên nghiệp từ đội ngũ có kinh nghi"/>
        <s v="Đầu tiên em ấn tượng với định hướng rõ ràng và quy mô lớn của SUN.RISER, đồng thời em cũng muốn tìm hiểu cách ứng dụng AI để tối ưu hóa trong cách vận hành games như thế nào. Ngoài ra, vị trí này tập trung mạnh vào việc sử dụng Prompt Engineering để thiết"/>
        <s v="I’m motivated to join SUN.RISER because the position aligns well with my interest in data-driven problem solving and business analysis. I’m especially excited about the opportunity to work on real projects, learn from experienced teammates, and further de"/>
        <s v="As an RMIT graduate with experience in bilingual education, I am passionate about storytelling that resonates with young learners and parents. I see this position as a perfect opportunity to use my skills."/>
        <s v="The philosophy: dreaming big, taking challenges, and never giving up, perfectly mirrors my own professional journey.&#10;&#10;Having participate in many roles (PL, organizing member) in many competition, I thrive in environments that reward ownership and bold thi"/>
        <s v="What drew me to Sun.Riser is the chance to work with real product data, building pipelines and dashboards teams rely on. Their mission of making games accessible and enjoyable reflects how I think about data: clear enough for teams to act fast. I also wan"/>
        <s v="Ước mơ của tôi là tự tay tham gia vào quá trình tạo ra những tựa game chất lượng. Với nền tảng Unity sẵn có, tôi tìm đến SUN.RISER là một môi trường sáng tạo, nơi hội tụ những người có cùng đam mê. Tôi tin rằng sự kỷ luật cùng với sức sáng tạo của mình sẽ"/>
        <s v="Tôi chọn vị trí này vì muốn ứng dụng AI vào workflow thực tế, từ phân tích quy trình, tìm điểm nghẽn đến xây dựng AI pipeline/agent workflow để tự động hóa tác vụ thủ công. Tôi có kinh nghiệm với LLM, RAG, OCR, structured output và API service, phù hợp vớ"/>
        <s v="because I want to grow in a professional game development environment and improve my real production skills."/>
        <s v="Là một sinh viên ngành Công nghệ thông tin, tôi đã dành nhiều thời gian nghiên cứu về phát triển ứng dụng di động và hệ thống backend. Việc tự tay xây dựng dự án 'Cẩm nang cho cộng đồng người chơi game Gacha' không chỉ giúp tôi rèn luyện tư duy lập trình "/>
        <s v="Sự tương đồng về định hướng sản phẩm: Tôi có niềm đam mê đặc biệt với dòng game Casual và Puzzle — vốn là thế mạnh cốt lõi của SUN.STUDIO. Những dự án tôi từng thực hiện như WayFinder, Quiz Master đều tập trung vào việc tối ưu hóa trải nghiệm người dùng đ"/>
        <s v="I am excited to apply for the position at SUN.RISER because it offers the opportunity to work in the gaming industry, a dynamic and fast-paced environment where I can apply my analytical skills to real-world challenges. I am also eager to learn from pract"/>
        <s v="I have been following SUN.RISER and the products for a while, and I am interested by what you create. I believe this company is the perfect environment for me to further develop my career. More importantly, it is a place where I want to fully dedicate my "/>
        <s v="Em chọn vị trí này vì em hứng thú với việc phân tích dữ liệu nhằm tìm insight và hỗ trợ đưa ra quyết định. Em cũng thích môi trường game vì dữ liệu phản ánh rõ hành vi người dùng và thay đổi liên tục. Ngoài ra, định hướng xây dựng hệ thống dữ liệu và dash"/>
        <s v="Mong muốn được học hỏi và tích lũy kinh nghiệm trong môi trường phát triển game chuyên nghiệp, đồng thời phát triển thêm kỹ năng thiết kế game của bản thân. Niềm yêu thích với công việc của một Game Designer, phân tích, thiết kế các cơ chế trò chơi, màn c"/>
        <s v="Em chọn vị trí này với mong muốn phát triển lâu dài theo hướng UA/Performance Marketing. Tuy đã có 1 năm kinh nghiệm, nhưng do em là sinh viên trái ngành Marketing nên em vẫn mong muốn có cơ hội được học lại từ đầu một cách bài bản hơn, đặc biệt về User A"/>
        <s v="Mục tiêu nghề nghiệp và định hướng phát triển của bản thân, đồng thời công việc này là niềm yêu thích tôi theo đuổi từ đại học đến nay"/>
        <s v="Trong quá trình học tập tại trường cùng với các hoạt động ngoại khóa như các cuộc thi học thuật và các dự án cá nhân, em đã được học các công cụ như Excel, SQL và PowerBI cùng với các kỹ năng phân tích dữ liệu, và em đang tìm kiếm một vị trí DA Intern để "/>
        <s v="Em chọn vị trí này trong SUN.RISER vì em muốn được làm việc trong môi trường thực tế, học hỏi từ các anh chị có kinh nghiệm và phát triển kỹ năng chuyên môn thông qua các dự án thật. Em tin chương trình sẽ giúp em tích lũy nhiều kinh nghiệm và phù hợp với"/>
        <s v="Tôi luôn có một niềm đam mê với việc lập trình game, đặt biệt là các tựa game mobile casual, puzzle, . . .&#10;Tôi đã tìm hiểu và thấy công ty rất hợp với đam mê của bản thân nên tôi hi vọng khi chọn vị trí này tôi sẽ có cơ hội được hỏi hỏi kinh nghiệm, được "/>
        <s v="I've spent the past year designing and balancing game features at two studios, and Casual/Puzzle is the genre I find most compelling — the challenge of making simple mechanics feel fair, satisfying, and replayable is something I want to go deeper on."/>
        <s v="Mình muốn được tham gia vào quy trình tạo nên các Game thật đang vận hành và học hỏi từ team giỏi, nhiệt huyết với nghề"/>
      </sharedItems>
    </cacheField>
    <cacheField name="Hiểu role ứng tuyển làm gì? Vì sao bạn phù hợp?" numFmtId="0">
      <sharedItems>
        <s v="I see User Acquisition as a perfect combination of creativity, data, and technology, involving everything from targeting the right audiences to optimizing campaign performance. As a quick learner with experience in content creation and currently developin"/>
        <s v="Theo em, vị trí này yêu cầu sự kết hợp giữa kiến thức nền tảng vững chắc và khả năng thích nghi với các công nghệ mới. Em có thế mạnh về nghiên cứu và thực thi các mô hình AI/ML, đồng thời luôn chủ động cập nhật kiến thức qua các cuộc thi như VPBank Hacka"/>
        <s v="Em phù hợp vì đã có nền tảng C# và kinh nghiệm tự xây dựng game (*Eight Days of Fate) cũng như các hệ thống logic từ các dự án simulation và computer vision. Em có khả năng làm việc nhóm, chủ động tiếp cận công nghệ mới, và muốn phát triển kỹ năng game de"/>
        <s v="thiết kế , ứng dụng ai vào công việc"/>
        <s v="Ở vị trí Data Analysis Intern, em nghĩ công việc chính sẽ bao gồm:&#10;- Thu thập dữ liệu từ những nguồn được yêu cầu, thực hiện các bước làm sạch&#10;- Xử lý dữ liệu (đưa vào lưu trữ, lựa chọn dữ liệu, sử dụng dữ liệu cho mục đích cụ thể)&#10;- Rút ra insight, chia "/>
        <s v="This role is about turning gameplay ideas into reality with C#. I'm a good fit because I've already handled Unity projects and built Boss AI logic from scratch. With a logical mindset from my Physics background and a smooth Git workflow, I'm ready to go a"/>
        <s v="Mình nghĩ là có thể ứng dụng AI để xây dựng hành vi cho các nhân vật NPC, để chúng linh hoạt hơn. Hoặc kiểm tra phát hiện các bug trước khi đưa cho tester. Là người đã có kinh nghiệm huấn luyện, tinh chỉnh các mô hình DL, mặc dù chưa có kinh nghiệm làm ga"/>
        <s v="Built LLM‑driven data generation workflows (Gemini Flash 2.5, GPT‑4) using few‑shot and CoT prompting, with quality evaluation.&#10;&#10;Implemented full RAG pipeline: FAISS in‑memory indexing → Qdrant hybrid search → reranking → generation.&#10;&#10;Built RESTful APIs w"/>
        <s v="Vị trí này sẽ khai thác dữ liệu từ BigQuery, xây dựng pipeline chuẩn hóa chỉ số và trực quan hóa để hỗ trợ các team ra quyết định chính xác. Với tư duy hệ thống mạnh trong việc xử lý dữ liệu chuỗi thời gian (RSSI) và làm sạch tín hiệu từ cảm biến. Cùng vi"/>
        <s v="I believe this role involves supporting the development and optimization of AI models, working with data, and contributing to real-world AI applications. I am a good fit because I have a strong foundation in AI, enjoy solving problems, and am eager to lea"/>
        <s v="Vị trí này sẽ cần phát triển gameplay cốt lõi, tích hợp các hiệu ứng, đồ họa, tài nguyên từ các vị trí khác, tạo các công cụ làm việc với các vị trí khác (game design), xây dựng giao diện của game, tích hợp các tính năng ngoài lề khác (quảng cáo, monetisa"/>
        <s v="Vị trí QA đóng vai trò như người bảo vệ chất lượng của sản phẩm. Công việc chính là phân tích yêu cầu dự án, viết các kịch bản kiểm thử và trực tiếp thao tác để tìm ra lỗi (bug). Sau đó, ghi nhận lại và phối hợp với đội ngũ phát triển để khắc phục.Em tự t"/>
        <s v="I think this role involves building and testing AI models, or improving model performance that supports real projects. &#10;&#10;I’m really interested in AI applications, especially in areas like gaming, so I’m motivated to learn and contribute as much as I can."/>
        <s v="Sẽ đảm nhận việc khai thác dữ liệu từ các dự án thực tế, xây dựng dashboard theo dõi chỉ số và tìm kiếm insight để hỗ trợ đội ngũ đưa ra quyết định kinh doanh chính xác. Em tự tin phù hợp vì sở hữu tư duy logic nhạy bén cùng khả năng làm chủ các công cụ S"/>
        <s v="Theo em, vị trí Game QA Intern tại SUN.STUDIO sẽ tập trung vào việc đảm bảo chất lượng game thông qua các hoạt động kiểm thử có hệ thống. Cụ thể, QA sẽ tham gia test gameplay, phát hiện và ghi nhận lỗi, theo dõi quá trình fix bug, đồng thời đánh giá trải "/>
        <s v="Theo em, vị trí AI Engineer sẽ tập trung vào việc xử lý dữ liệu, xây dựng mô hình và ứng dụng AI để giải quyết các bài toán thực tế.&#10;&#10;Em phù hợp vì em có nền tảng về Python, machine learning và đã làm các project liên quan đến dữ liệu. Em cũng rất hứng th"/>
        <s v="Tôi không chỉ muốn nghiên cứu về AI trong phòng lab, mà tôi còn muốn đưa AI được ứng dụng vào đời sống thât tế."/>
        <s v="AI Engineer là người phát triển và triển khai các hệ thống trí tuệ nhân tạo (AI), như chatbot, nhận diện hình ảnh, xử lý ngôn ngữ tự nhiên hoặc mô hình dự đoán. Em có kiến thức chuyên môn về AI và khả năng tìm hiểu/sử dụng các công nghệ mới"/>
        <s v="I think at this position I will research about audience trend, competitors, target segment,... Besides that, I also planning and set up the ads to reach to audience, and analysis the performance of ads."/>
        <s v="Vì tôi đã có kinh nghiệm thực tế trong việc làm sạch dữ liệu và xây dựng mô hình dự báo rủi ro tín dụng (Luận văn đạt 9.5/10). Có kinh nghiệm với Python, R, SQL và Power BI. Nên tôi có thể tự tin là bản thân không kéo chân người khác mà có thể hỗ trợ họ v"/>
        <s v="This role will require working as a marketing full stack based on tasks requested by the head of marketing and will focus on finding, introducing, and nurturing users during and after their gaming experience.&#10;&#10;1. I love the gaming market and marketing.&#10;2."/>
        <s v="Em nghĩ vị trí AI Engineer sẽ tập trung vào việc xây dựng và tích hợp các giải pháp AI vào sản phẩm thực tế, thay vì chỉ làm mô hình thuần túy. Công việc bao gồm xử lý dữ liệu, xây dựng pipeline, triển khai các mô hình như NLP hoặc automation, và tối ưu đ"/>
        <s v="Em thấy mình phù hợp với vị trí này vì em có nền tảng về tổ chức và làm việc với con người thông qua trải nghiệm ở Ban Nhân sự của Bach Khoa Ambassador Club, cùng với các công việc trước đây yêu cầu giao tiếp, phối hợp và xử lý tình huống. Ngoài ra, em là"/>
        <s v="Em nghĩ vị trí này sẽ tập trung vào việc nghiên cứu, xây dựng và thử nghiệm các ứng dụng AI (đặc biệt là GenAI) trong quy trình phát triển game.&#10;Em phù hợp vì có nền tảng về Machine Learning/Deep Learning, kinh nghiệm với Python, PyTorch. Em có khả năng t"/>
        <s v="I believe this role involves testing game features, identifying bugs, and ensuring a smooth player experience. With my manual testing experience, bug reporting skills, and strong passion for gaming, I am confident I can quickly identify issues and contrib"/>
        <s v="I think this role involves researching, building, and implementing AI solutions such as data processing, model training, and optimization.&#10;&#10;I am a good fit because I have strong research skills, can leverage AI tools to solve complex problems, and consult"/>
        <s v="Theo em, vị trí này sẽ làm việc với dữ liệu, xây dựng và tích hợp các mô hình AI vào sản phẩm. Em thấy bản thân mình phù hợp vì em có nền tảng lập trình, tư duy hệ thống và kinh nghiệm làm dự án thực tế. Bên cạnh đó em có tinh thần chủ động học hỏi và có "/>
        <s v="I think this role is about using game data to understand player behavior and turn it into insights for better decisions.&#10;I’m a good fit because I have a strong Excel foundation and a logical mindset from Accounting. I’m still learning SQL and Python, but "/>
        <s v="Theo tôi, vị trí này sẽ tập trung vào phát triển và tối ưu các tính năng trong game bằng Unity, hỗ trợ xây dựng gameplay, sửa lỗi, phối hợp với team để hoàn thiện sản phẩm và đảm bảo trải nghiệm người chơi tốt hơn. Tôi cảm thấy phù hợp vì tôi có nền tảng "/>
        <s v="Tôi nghĩ vị trí này tập trung vào xây dựng gameplay, tối ưu hiệu năng và làm mượt trên mobile.  Tôi phù hợp vì đã có kinh nghiệm Unity &amp; C#, từng làm cơ chế gameplay (di chuyển, combat, bắn súng) và multiplayer với Photon PUN2 trong các dự án thực tế."/>
        <s v="Theo em, vị trí này sẽ bao gồm phát triển và sáng tạo tính năng gameplay, tối ưu hóa game, sửa lỗi và thiết lập UI.&#10;Bản thân em phù hợp với vị trí này vì những sản phẩm tạo ra ở trường và những dự án cá nhân khác đều bao gồm tất cả những công việc trên, v"/>
        <s v="I am passionate about game development."/>
        <s v="Theo em, vị trí này sẽ tham gia phát triển các tính năng trong game, phối hợp với các thành viên khác như designer, artist hay backend để hoàn thiện sản phẩm.&#10;Em nghĩ mình phù hợp với vị trí này vì em đã có kinh nghiệm làm các dự án game bằng Unity, có nề"/>
        <s v="- Theo như nghiên cứu của em thì DA sẽ tập trung vào phân tích insight của người dùng từ dữ liệu thu thập được trong quá trình sử dụng từ đó đưa ra giải pháp phù hợp với nhu cầu thực tế của người dùng&#10;- GD sẽ phân tích những gameplay hiện có sau đó đưa ra"/>
        <s v="In my opinion, I think this position will require me to design an AI workflow and specialised for prompting and designing AI agent through tools such as n8n or&quot;hardcore tools&quot; such as React Agent, Langchain. Since I have experiences on using LangChain and"/>
        <s v="I think this role involves supporting recruitment operations—screening candidates, coordinating interviews, updating trackers, and ensuring a smooth candidate experience. I’m a good fit because I’m organized, detail-oriented, and comfortable communicating"/>
        <s v="Em nghĩ vị trí AI Engineer Intern sẽ tham gia vào việc huấn luyện và tinh chỉnh mô hình, triển khai mô hình, giải quyết các bài toán Computer Vision và NLP. &#10;Em nghĩ em phù hợp với vị trí này vì em được đào tạo lĩnh vực này ở trường đại học và em có sự yê"/>
        <s v="I understand this role focuses on analyzing player data to generate insights for improving game experience and supporting product decisions.&#10;&#10;With my background in Data Science and experience working with real-world datasets, I’m confident in my ability t"/>
        <s v="Đối với tôi, vị trí này đóng vai trò quan trọng trong việc đảm bảo chất lượng game thông qua việc kiểm thử, phát hiện lỗi và cải thiện trải nghiệm người chơi. Tôi phù hợp vì tôi vừa yêu thích game, vừa có tư duy phân tích tốt, cẩn thận trong việc kiểm tra"/>
        <s v="Em nghĩ vị trí này sẽ bao gồm việc kiểm thử tính năng, phát hiện và báo lỗi, xác nhận hệ thống hoạt động đúng và đảm bảo chất lượng sản phẩm trước khi phát hành. Với nền tảng lập trình và kinh nghiệm làm việc với API, debugging và testing, em có thể hiểu "/>
        <s v="I believe this role involves understanding workflows across teams, identifying manual or inefficient steps, and applying AI solutions such as prompt engineering, AI pipelines, and agent-based automation to improve productivity. It also includes building i"/>
        <s v="I believe this role involves supporting recruitment activities, coordinating internal HR processes, and helping in building a positive working environment within a game focused company. I am a good fit because I am highly organized, responsible, and able "/>
        <s v="Tôi có khả năng làm việc với các quy trình kiểm thử, từ thiết kế test case, thực thi kiểm thử, đến báo cáo lỗi một cách rõ ràng và hiệu quả. Công việc QA không chỉ đơn thuần là tìm lỗi, mà còn giúp đảm bảo trải nghiệm người chơi tốt hơn, góp phần tạo ra 1"/>
        <s v="Mình nghĩ vị trí này sẽ là kiểm thử phần mềm, hỗ trợ cùng kĩ thuật để phát triển phần mềm.&#10;Vì đây là thứ mình đã học trong chuyên ngành và mình cũng có đam mê với game và những thứ liên quan tới logic."/>
        <s v="Theo mình, vị trí này sẽ tập trung vào việc ứng dụng AI trong quy trình phát triển game, như xây dựng các công cụ hỗ trợ sản xuất, xử lý dữ liệu và cải thiện trải nghiệm người chơi. Mình phù hợp vì đã có kinh nghiệm với RAG, chatbot, backend và xử lý dữ l"/>
        <s v="I think this role involves analyzing player behavior, retention, and monetization by working with gameplay data, cleaning and preparing datasets, and generating insights to support game improvements. I’m a good fit because I’m comfortable handling messy d"/>
        <s v="This role involves querying, cleaning, and analyzing data, building dashboards, and tracking key metrics to support decision-making.&#10;&#10;I am a good fit because I have experience with Excel and SQL for data analysis, along with strong analytical thinking and"/>
        <s v="Công việc này xoay quanh việc thiết kế prompt, xây dựng pipelines để tự động hóa các quy trình vận hành nội bộ. Em tin mình phù hợp vì đã có kinh nghiệm qua việc tự phát triển app quản lý công việc tích hợp trợ lý tự động, em đã quen với việc xử lý luồng,"/>
        <s v="I believe this role involves building and improving AI models, working with data, and applying them to real-world problems, and I am a good fit because I have a strong foundation in machine learning, experience with Python and ML frameworks, and I am eage"/>
        <s v="I believe this role involves supporting recruitment activities, managing candidate data, and contributing to employer branding and onboarding. With my experience in recruitment projects and candidate pipeline management, along with my proactive mindset an"/>
        <s v="Em nghĩ vị trí này bao gồm thu thập, xử lý và phân tích dữ liệu để tạo insight hỗ trợ ra quyết định, đồng thời xây dựng báo cáo hoặc dashboard.&#10;&#10;Em phù hợp vì có nền tảng về phân tích dữ liệu, tư duy logic tốt và khả năng học hỏi nhanh. Em cũng đã có kinh"/>
        <s v="Having hands-on experience with LangChain, LangGraph, and advanced prompt engineering (Few-shot, CoT) to enforce structured JSON outputs, I am eager to apply these skills to automate complex cross-functional pipelines at SUN.STUDIO."/>
        <s v="I believe this role focuses on running and optimizing user acquisition campaigns, analyzing performance data, and scaling growth across channels. &#10;I’m a good fit because I have a solid marketing foundation, enjoy working with data, and am highly motivated"/>
        <s v="I’m a great fit because I’m a data-driven storyteller. I’ve proven I can hook an audience with viral content and possess the analytical discipline of a MOS Excel Specialist to measure what actually works. As a casual gamer, I genuinely understand the audi"/>
        <s v="This role involves analyzing player behavior and performance metrics to drive strategic decisions. I am a great fit due to my technical foundation, ability to extract insights from complex data, and proactive mindset. My passion for gaming combined with t"/>
        <s v="Quality Assurance sẽ là người kiểm soát chất lượng đầu ra của sản phẩm, là người chịu trách nhiệm trước khi sản phẩm đến được tay khách hàng, hỗ trợ đội ngũ phát triển trong quá trình kiểm tra vận hành của sản phẩm. Bản thân em đã từng tham gia quá trình "/>
        <s v="Mình sẽ thiết kế những AI agentic pipeline để hỗ trợ việc vận hành của công ty một cách trơn tru"/>
        <s v="Em hiểu vị trí này đòi hỏi sự kết hợp giữa việc kiểm soát chất lượng kỹ thuật (QA) và phân tích dữ liệu để tối ưu hóa trải nghiệm người dùng. Với kinh nghiệm làm Quality Control (QC) tỉ mỉ, em có khả năng phát hiện lỗi và đưa ra các nhận định chính xác từ"/>
        <s v="Em hiểu vị trí này không chỉ dừng lại ở việc lập trình, mà còn bao gồm việc thiết kế các giải pháp AI để giải quyết những bài toán cụ thể của SUN.STUDIO."/>
        <s v="I believe this role involves supporting HR operations such as recruitment, managing records, and organizing internal activities. I am a good fit because I have experience in administrative support, document management, and coordination, along with strong "/>
        <s v="I previously studied Graphic Design and am currently studying Embedded System Engineering. I am particularly passionate about merging technology and visual creativity to develop high-quality, valuable products."/>
        <s v="I think this role involves analyzing player behavior to understand how users interact with the game, like retention, engagement, or where they drop off, and then turning those insights into suggestions to improve the game and its growth."/>
        <s v="Em nghĩ vị trí này tập trung vào phân tích dữ liệu người chơi, tìm insight và hỗ trợ team đưa ra quyết định để cải thiện sản phẩm và tăng trưởng. Em phù hợp vì có nền tảng về Data Analytics, Python, SQL, đã từng làm các project liên quan đến giải quyết vấ"/>
        <s v="Theo em nghĩ vị trí này sẽ tham gia vào quy trình tìm lỗi, kiểm tra các tính năng và báo cáo bug. Em thấy mình phù hợp vì có tư duy lập trình giúp nắm bắt nhanh hệ thống kèm sự tỉ mỉ khi phân tích các cơ chế game."/>
        <s v="Vị trí này tập trung phân tích hành vi khách hàng và xây dựng dashboard để tối ưu hóa hiệu suất sản phẩm tài chính sau khi go-live. Sự phù hợp đến từ nền tảng Big Data và AI xuất sắc (điểm A), kinh nghiệm xử lý dữ liệu thực tế (Kafka, Spark) cùng kỹ năng "/>
        <s v="This position involves collecting, processing, and analyzing data to generate valuable insights and support business decision-making. I believe I am a good fit for this role because I enjoy working with data analysis, and I have gained relevant experience"/>
        <s v="Em lựa chọn vị trí Marketing tại SUN.RISER vì em định hướng phát triển lâu dài trong lĩnh vực này và cảm thấy công việc này rất phù hợp với thế mạnh của mình như sáng tạo nội dung và phân tích insight khách hàng."/>
        <s v="Vị trí này ứng dụng AI trong công việc, giúp tăng nhanh hiệu suất làm game"/>
        <s v="Vị trí nhân sự: hỗ trợ tìm kiếm ứng viên, sàng lọc và quản lý hồ sơ, chuẩn bị hậu cần cho các buổi phỏng vấn. Tôi thấy mình phù hợp với vị trí này vì: là một sinh viên Bách Khoa, tôi được rèn luyện khả năng lắng nghe và sự cẩn trọng thông qua quá trình là"/>
        <s v="Theo em, vị trí UA sẽ tập trung vào việc chạy và tối ưu các chiến dịch quảng cáo để thu hút người dùng, bao gồm nghiên cứu thị trường, A/B testing creatives và phân tích các chỉ số như CTR, CPM, ROAS để cải thiện hiệu quả. Em nghĩ mình phù hợp vì đã có tr"/>
        <s v="Em nghĩ em sẽ đảm nhận việc lập trình, thiết kế các hệ thống gameplay, xử lý tương tác và phối hợp chặt chẽ với Game Designer, Lead để hiện thực hóa các ý tưởng. &#10;Trong quá trình phát triển các dự án game trước đây, em đã tích lũy được kinh nghiệm làm việ"/>
        <s v="Dựa trên JD của công ty, vị trí DA intern yêu cầu truy vấn SQL để khám phá data, theo dõi pattern, trends; xây dựng pipeline dữ liệu, tạo dashboard để trực quan hoá data, viết tài liệu chỉ số và phối hợp liên phòng ban. Với khả năng học hỏi, thích nghi nh"/>
        <s v="I view this role as a strategic blend of&#10;- Market research&#10;- Creative A/B testing&#10;- Data-driven optimization to drive quality user growth for games. &#10;I am a strong fit because my experience in content creation allows me to identify trends and develop enga"/>
        <s v="I think this role involves executing creative campaigns and analyzing metrics like CPI and ROAS to optimize the game's growth and drive installations.&#10;I believe I'm a good fit because with my Multimedia background, I can contribute fresh ideas for ad crea"/>
        <s v="I believe this role focuses on analyzing workflows, identifying inefficiencies, and applying AI to automate processes through prompt engineering, AI pipelines, and agent design.&#10;I’m a good fit because I have a software background, and I have built AI pipe"/>
        <s v="I believe the AI Engineer role involves building and deploying machine learning models, handling data pipelines, and integrating AI solutions into real-world applications. I am a good fit because my background in Computer Science and hands-on experience w"/>
        <s v="Em nghĩ vị trí này sẽ làm về phân tích dữ liệu người chơi, xây dựng báo cáo và hỗ trợ ra quyết định.&#10;Em phù hợp vì có nền tảng Data Science, đã làm project với Python, SQL, Power BI và có khả năng xử lý dữ liệu, tìm insight. Đồng thời em cũng chủ động học"/>
        <s v="Vị trí này sẽ ứng dụng AI vào quy trình làm việc nhằm tăng tốc độ sản xuất và cải thiện chất lượng game. Em phù hợp vì có cả kinh nghiệm nghiên cứu lẫn thực chiến tích hợp dịch vụ AI vào môi trường production. Nền tảng tư duy sẵn có giúp em không chỉ làm "/>
        <s v="While I am a newbie in technical data analysis, I am a fast learner and deeply eager to grow in this field. I believe I am a good fit because I can bring a creative mindset that is always rooted in strategic objectives, as demonstrated by the 2.67% engage"/>
        <s v="Tham gia vào quy trình phát triển sản phẩm thực tế, hiện thực hóa các tính năng gameplay, logic nhân vật và giao diện (UI) bằng Unity. Học hỏi và áp dụng các quy chuẩn mã nguồn chuyên nghiệp, thực hiện tối ưu hóa hiệu năng&#10;Mình phù hợp Nền tảng kỹ thuật v"/>
        <s v="A game studio needs someone who understands the product, not just the numbers. That's where my ability to turn multi-platform data into growth strategies comes."/>
        <s v="Em nghĩ vị trí này sẽ chịu trách nhiệm lập trình logic game bằng C#, triển khai giao diện (Unity UI), xử lý lỗi (debug), tối ưu hóa hiệu suất và phối hợp với team để chuyển hóa các ý tưởng thành tính năng game hoàn chỉnh. Vì đã có kinh nghiệm làm game bằn"/>
        <s v="Theo em, vị trí Data Analyst sẽ tập trung vào thu thập, xử lý, phân tích dữ liệu và trực quan hóa kết quả để hỗ trợ doanh nghiệp ra quyết định. Em phù hợp với vị trí này nhờ nền tảng về backend, SQL, database, ETL và tư duy logic trong xử lý dữ liệu, cùng"/>
        <s v="Em nghĩ vị trí này đòi hỏi khả năng hiện thực hóa game logic, tối ưu code và xử lý giao tiếp mạng. Em phù hợp vì đã từng tự phát triển hoàn chỉnh một game Multiplayer. Trải nghiệm xử lý đồng bộ trạng thái qua Socket.IO, có sẵn tư duy hệ thống và sẵn sàng "/>
        <s v="This role involves querying player data, identifying patterns, and translating numbers into actionable insights for product decisions. I'm a good fit due to my SQL, database design, and systems thinking background — practiced through data research and aca"/>
        <s v="I expect this role involves implementing features and iterating based on team feedback. I've tackled similar work in personal projects, so I'm not starting from zero but I know there's a gap between solo work and production, and I'm here to close it."/>
        <s v="I think that this role involves collecting, cleaning and analyzing data to generate insights that support decision-making. In a company like SUN.STUDIO, this could include analyzing player behavior, retention and engagement metrics to improve game perform"/>
        <s v="Tôi nghĩ vị trí này sẽ ứng dụng các kỹ thuật học máy, học sâu vào để có thể huấn luyện các nhân vật game có thể tự động di chuyển và hoạt động theo kế hoạch. Tôi nghĩ tôi phù hợp với vị trí này bởi vì tôi có tinh thần ham học hỏi, có thể làm việc theo nhó"/>
        <s v="I fit this role because I have a Marketing background that helps me understand users, plus strong analytical thinking and a fast learning mindset. I adapt well in fast-paced, experimental environments like the game industry.&#10;I also enjoy playing games, wh"/>
        <s v="I think this role involves analyzing game data such as player behavior and performance metrics to support decisions, as well as testing features to ensure a smooth user experience&#10;I’m a good fit because I have a foundation in Excel,SQL,PBI for data analys"/>
        <s v="This role involves extracting and exploring data from BigQuery to understand game performance and operational metrics, building and optimizing transformation pipelines. I’m a good fit because I have hands-on experience with SQL, used to work with Power BI"/>
        <s v="I believe this role involves analyzing data to generate insights and support business decisions.&#10;I am a good fit because I have hands-on experience with Excel, SQL, and Python, along with strong analytical thinking and a willingness to learn."/>
        <s v="Em nghĩ vị trí này sẽ tập trung vào việc thu hút các user mới cho game thông qua các kênh marketing, đặc biệt là chạy ads và tối ưu dựa trên các chỉ số như CPI, ROAS, LTV, ASO.&#10;Em thấy mình hợp vì em thích vừa nghĩ idea cho ads vừa làm việc với số liệu để"/>
        <s v="I think this role involves supporting AI-related tasks such as data processing, model training, testing, and applying AI to improve game development workflows. I believe I am a good fit because I have basic knowledge of machine learning, Python, and data "/>
        <s v="AI Engineer sẽ làm các việc như phát triển mô hình, tiền xử lý dữ liệu, huấn luyện và đánh giá mô hình, cũng như áp dụng các giải pháp AI vào dự án thực tế. Em tin em phù hợp với vị trí này vì em có nền tảng về Khoa học dữ liệu, kiến thức về machine learn"/>
        <s v="Theo em, vị trí Unity Development Intern sẽ làm việc với Game Designer và Artist để lập trình gameplay, xử lý logic và hỗ trợ GD triển khai ý tưởng game bằng cách tạo ra các tool.&#10;Em phù hợp vì đã có kinh nghiệm với Unity và C#, từng làm các project game "/>
        <s v="From my perspective, this role involves working with game data to analyze player behavior, build dashboards and generate insights that support data-drivven decisions. A strong fit comes from a solid background in SQL, data analysis and visualization, whic"/>
        <s v="Tôi tin rằng vai trò này đòi hỏi việc quản lý và tối ưu hóa hệ thống dữ liệu trên nền tảng đám mây. Với kinh nghiệm vận hành AWS Redshift và triển khai các giải pháp tự động hóa, tôi có thể đảm bảo các luồng dữ liệu luôn vận hành ổn định, đạt tốc độ cao v"/>
        <s v="QA đối với em là đảm bảo chất lượng thông qua việc lên kế hoạch và kiểm soát quy trình chặt chẽ. Em chọn vị trí này vì muốn phát triển sâu hơn về Game Feel để em hiểu được tâm lý người dùng và nắm bắt được trải nghiệm cốt lõi của một tựa game, từ đó tích "/>
        <s v="Tôi hiểu đây là cầu nối biến số liệu thành giải pháp thực tế. Với sự chủ động và năng lượng trẻ của một sinh viên năm cuối, tôi tin mình sẽ cùng team chinh phục mọi mục tiêu tương lai."/>
        <s v="Em nghĩ vị trí này sẽ tập trung vào việc thu thập, xử lý và phân tích dữ liệu để hỗ trợ theo dõi hành vi người dùng, hiệu quả sản phẩm và các chỉ số vận hành, từ đó đưa ra insight cho team. Em phù hợp với vị trí này vì em có nền tảng tốt về phân tích số l"/>
        <s v="Công việc của Developer là phối hợp với team Game Designer để thiết lập các tính năng, cơ chế của gameplay. Để có thể phù hợp với vị trí này, ngoài hoàn thành chương trình học tại trường, mình có tìm hiểu và học hỏi thêm những tính năng mới của Unity nên "/>
        <s v="Data Analyst sẽ trực tiếp làm việc với dữ liệu game thực tế, xử lý, phân tích và trực quan hóa, đưa ra các insight chất lượng, chính xác, hỗ trợ quyết định.&#10;Em tin rằng với kinh nghiệm xây dựng data pipeline và EDA từ các dự án trong quá trình học tập, em"/>
        <s v="Theo em, vị trí này sẽ chạy quảng cáo để thu hút user cho game: nghiên cứu thị trường, set up &amp; tối ưu ads và đọc số liệu (CTR, CPM, ROAS) để cải thiện hiệu quả.&#10;Vì em có nền tảng Digital Marketing đã học tại trường, hiểu các chỉ số cơ bản, có tư duy phân"/>
        <s v="Tôi đã từng phát triển một số project nhỏ, một số con game nhỏ và tôi rất yêu thích công việc này, vì vậy tôi rất muốn mình có thể được phát triển một con game tầm cỡ AAA"/>
        <s v="Theo mình, vị trí này tập trung vào phân tích quy trình, thiết kế prompt và xây dựng AI pipelines để tự động hóa công việc thủ công. Mình có nền tảng về LLM và đã thử nghiệm prompt engineering qua các dự án cá nhân, nên nghĩ đây là môi trường phù hợp để m"/>
        <s v="I think this role involves understanding team workflows and building AI workflows to reduce manual tasks through prompt engineering, structured outputs, AI pipelines, and tool/function calling. I believe I am a good fit because I built a travel chatbot wo"/>
        <s v="Vị trí Data Analysis Intern sẽ bao gồm việc truy vấn, xử lý và phân tích dữ liệu từ sản phẩm, xây dựng dashboard và hỗ trợ các team ra quyết định dựa trên dữ liệu, đặc biệt thông qua các chỉ số như DAU, retention. Em tin mình phù hợp vì có nền tảng về SQL"/>
        <s v="Tôi hình dung vị trí này sẽ tham gia vào toàn bộ quá trình phân tích dữ liệu, từ khai thác raw data, xử lý, tìm insight và report lại.&#10;Tôi cho rằng tôi sẽ phù hợp vì tôi có kiến thức về thống kê, kinh nghiệm xử lý dữ liệu, tư duy phân tích, và tư duy trìn"/>
        <s v="I believe this role involves supporting the development of game features using Unity, such as implementing gameplay logic, working with UI, and fixing bugs under the guidance of senior developers.&#10;I am a good fit because I have built Unity projects. I am "/>
        <s v="Phân tích thị trường, hành vi tiêu dùng khách hàng và đưa ra chiến lược phù hợp để thu hút khách hàng mục tiêu. Tôi tin rằng tôi phù hợp với vị trí này là vì tôi đã có nền tảng kiến thức vững thông qua các môn học tại trường. Hơn nữa tôi là người có khả n"/>
        <s v="Em nghĩ vị trí này sẽ làm việc với dữ liệu và các mô hình AI để phân tích dữ liệu, rút ra insight và xây dựng các tính năng thông minh phục vụ sản phẩm thực tế.&#10;Em phù hợp vì đã có kinh nghiệm làm fullstack và từng làm việc với dữ liệu (phân tích, trực qu"/>
        <s v="Tôi nghĩ vị trí này là nơi đảm bảo chất lượng sản phẩm trước khi đến tay người dùng, để họ nhận được trải nghiệm tốt nhất. Tôi phù hợp với vị trí này vì tôi có sự cẩn thận, trách nhiệm và mong muốn học hỏi để nâng cao kỹ năng kiểm tra, góp phần giữ uy tín"/>
        <s v="Tôi nghĩ vị trí này sẽ làm các công việc như sau:&#10;- Kiểm thử kịch bản, logic của game so với yêu cầu ban đầu&#10;- Test hiệu năng, tương thích của game với từng thiết bị&#10;Lý do phù hợp: Đã thực tập tại FPT Software, nắm vững quy trình kiểm thử và quản lý bug"/>
        <s v="I think this role involves learning and working on the knowledge needed to become a Unity developer who can contribute to the company in the future. With my background and my passion for game development, I believe this combination enables me to contribut"/>
        <s v="Em nghĩ vị trí Data Analysis Intern sẽ bao gồm việc thu thập, làm sạch và phân tích dữ liệu, xây dựng báo cáo/dashboards và hỗ trợ đưa ra insight phục vụ cho việc ra quyết định.&#10;&#10;Em tin mình phù hợp vì em có nền tảng tư duy logic, khả năng làm việc với dữ"/>
        <s v="Theo tôi vị trí này thường sẽ tập trung vào việc thu hút người chơi mới cho game thông qua các kênh quảng cáo trả phí như Meta. Cụ thể là set up chiến dịch, theo dõi các chỉ số như CTR, CPI, ROAS. Tôi nghĩ mình phù hợp với vị trí này vì tôi có nền tảng cơ"/>
        <s v="I believe I’m a good fit because I have a strong willingness to learn, a solid foundation, and a proactive attitude toward challenges"/>
        <s v="Em nghĩ vị trí này tại SUN.STUDIO tập trung phân tích dữ liệu game, theo dõi các chỉ số như retention, ARPU, xây dashboard và hỗ trợ team ra quyết định. Em phù hợp vì đã có kinh nghiệm phân tích game tại VNG Corporation, hiểu funnel, monetization và có kỹ"/>
        <s v="I think this role involves developing gameplay features, supporting game systems, and learning through real production workflows. Since 2023, I’ve been building Unity game projects personally, mainly focusing on gameplay systems, problem-solving, and impr"/>
        <s v="Em nghĩ vị trí này sẽ làm việc với Unity qua code và các system đồng nhất. Em cảm thấy mình rất phù hợp vì có niềm yêu thích game &amp; làm game, còn nắm khá chắc các kiến thức cơ bản về Unity, bản thân em rất ham học hỏi về nó."/>
        <s v="Em nghĩ vị trí này sẽ tập trung vào việc chạy và tối ưu quảng cáo để thu hút người dùng mới, thông qua việc test creative và theo dõi các chỉ số như CTR, CPM. Em phù hợp vì có nền tảng digital, từng làm nội dung quảng cáo và hứng thú với việc phân tích, t"/>
        <s v="Mình nghĩ với vị trí AI Engineering thì chủ yếu mình sẽ làm việc với các model và công nghệ mới nhất liên quan tới AI và các Agent thông minh; và mình tin với kiến thức toán và tin học vững chắc cùng sự đam mê của mình thì mình phù hợp với vị trí này"/>
        <s v="Em nghĩ vị trí này sẽ tích hợp Generative AI (Stable Diffusion, LLMs) vào quy trình tạo Art và Content hoặc viết script tối ưu hóa các tác vụ lặp lại và hỗ trợ kiểm thử game. Em có nền tảng về AI/Python và khả năng chuyển hóa mô hình lý thuyết thành công "/>
        <s v="Vị trí này sẽ xử lý và phân tích dữ liệu, tạo báo cáo để hỗ trợ ra quyết định. Em phù hợp vì có nền tảng phân tích dữ liệu, tư duy logic và khả năng học nhanh để đáp ứng công việc."/>
        <s v="Dạ em có các kỹ năng và định hướng rõ ràng về lĩnh vực Digital/Performance Marketing cho nên em nghĩ đây là một ví trí rất phù hợp để em nỗ lực học hỏi."/>
        <s v="Vị trí này không chỉ tuyển dụng mà còn là cầu nối giữa ứng viên và đội ngũ nội bộ để xây dựng một team phù hợp phát triển sản phẩm. Cụ thể sẽ tìm kiếm, sàng lọc ứng viên, phối hợp với các bộ phận để hiểu nhu cầu tuyển dụng.  Kinh nghiệm ngành luật giúp em"/>
        <s v="I believe this position focuses on building AI agents and automating workflows through LLM-integrated pipelines. With a background in RAG, experience working with LangChain, and a strong ability to learn quickly, I can rapidly adapt and contribute effecti"/>
        <s v="Test game, lên plan, tìm bug, log bug và đề xuất các ý tưởng phục vụ người chơi tốt nhất"/>
        <s v="Theo em, vị trí này sẽ 'giải mã' những bài toán, những yêu cầu từ stakeholders thành những hành động cụ thể. Em tự tin mình phù hợp với vị trí này vì em có khả năng nắm bắt mong muốn của stakeholders và dùng dữ liệu để biến nó một câu chuyện thay vì chỉ l"/>
        <s v="Vị trí này sẽ làm việc nhiều với dữ liệu cụ thể: thu thập, xử lý làm sạch, analyze, visualize dữ liệu, đọc insights từ những bảng biểu hay con số. Bản thân em  tuy còn nhiều hạn chế nhưng với những gì em đã biết kèm với mong muốn được giỏi hơn, biết nhiều"/>
        <s v="This role focuses on running and optimizing user acquisition campaigns through testing and data analysis. I’m a good fit because I have experience with Meta Ads, performance tracking, and I’m eager to grow in UA."/>
        <s v="Theo em nghĩ, vị trí sẽ này tập trung thiết kế AI Pipelines, hệ thống RAG và Agent Skills để tự động hóa vận hành. Em phù hợp nhờ kinh nghiệm thực tập AI Engineer, trực tiếp xây dựng data pipelines và chatbot RAG. Kỹ năng Prompt Engineering và trích xuất "/>
        <s v="Theo tôi, vị trí này sẽ hỗ trợ phát triển gameplay 2D, tích hợp UI, fix bug và phối hợp cùng các team khác trong quá trình phát triển game. Tôi phù hợp với vị trí này vì đã có gần 1,5 năm kinh nghiệm làm game Unity WebGL với C#, từng tham gia làm gameplay"/>
        <s v="Em nghĩ vị trí Tester sẽ tập trung vào việc kiểm tra và đảm bảo chất lượng phần mềm trước khi đến tay người dùng, bao gồm tìm lỗi, kiểm tra chức năng và trải nghiệm sử dụng.&#10;Em phù hợp với vị trí này vì em là người cẩn thận, có tư duy logic, thích tìm hiể"/>
        <s v="Theo tìm hiểu của em, ở vị trí này, em sẽ làm quen và tìm hiểu dự án hiện tại của team Game Development, lập trình các tính năng gameplay và UI cơ bản, sửa lỗi và tối ưu trong quá trình phát triển game, cũng như phối hợp làm việc nhóm và với các phòng ban"/>
        <s v="Em nghĩ vị trí này sẽ phối hợp cùng những bên như Game Designer, Artist... để trao đổi và làm ra một sản phẩm phù hợp với mục tiêu đề ra. Ngoài ra Game developer sẽ chịu trách nhiệm viết code, xử lý logic, fix bug, tối ưu hóa để đảm bảo đúng GDD và trải n"/>
        <s v="Theo em thì công việc chính thường đi kèm với A/B testing, tối ưu target audience, theo dõi chỉ số và chạy ads trên các nền tảng Facebook Ads, TikTok Ads, Google Ads, Unity… Em nghĩ điểm mạnh của em là khả năng phân tích và học nhanh. Bên cạnh đó là khả n"/>
        <s v="Em hiểu vị trí Sun.Riser sẽ trực tiếp thực thi các loại kiểm thử (Functional, UI, Smoke, Regression), phát hiện và phối hợp báo cáo lỗi cũng như viết tài liệu test case cho các sản phẩm mobile. Với nền tảng kiến thức về Quản lý chất lượng và chứng chỉ &quot;Bả"/>
        <s v="I understand this role involves running and optimizing user acquisition campaigns through market research, creative testing, and data analysis. I’m a good fit because I have a strong interest in mobile games, and I’m motivated to continuously test, analyz"/>
        <s v="Em nghĩ Data Analysis Intern thường sẽ làm các việc liên quan đến xử lý dữ liệu, phân tích và sau đó đưa ra các insights có ích cho doanh nghiệp. Em tự tin với khả năng tư duy logic và phân tích dữ liệu mà mình đã tích lũy được thông qua các project sẽ gi"/>
        <s v="Dùng Unity Engine là nền tản chính tạo dựng thế giới trong game theo thiết kế của Game designer, quan trọng, tư duy logic, sự tỉ mĩ, kiên trì trước màn hình máy tính."/>
        <s v="Em nghĩ vị trí AI Engineer Intern sẽ tham gia xây dựng và ứng dụng AI vào sản phẩm game, hỗ trợ xử lý dữ liệu, tối ưu trải nghiệm người chơi và cải thiện hiệu quả phát triển sản phẩm. Em phù hợp với vị trí này vì có nền tảng lập trình, tư duy logic, khả n"/>
        <s v="Vị trí này sẽ hỗ trợ phân tích dữ liệu người dùng để tìm insight phục vụ cải thiện sản phẩm và tăng trưởng. Em phù hợp với vị trí này vì em có nền tảng về Excel, SQL, Power BI và từng thực hiện các dự án liên quan đến KPI, forecasting và trực quan hóa dữ "/>
        <s v="This role involves developing game features in Unity Engine based on game design documents and collaborating with the team to deliver quality gameplay. I believe I am a good fit because I have been self-learning Unity, building practical skills, and have "/>
        <s v="I believe this role focuses on testing features, identifying bugs, validating workflows, and helping maintain product quality.&#10;I think I fit this position because I am detail-oriented, process-driven, and comfortable working with structured checklists and"/>
        <s v="Vị trí này sẽ tham gia vào phát triển các dự án game trong thực tế, em có tinh thần ham học hỏi, có niềm đam mê với thể loại game mobile"/>
        <s v="Vị trí này yêu cầu phân tích quy trình của các team, thiết kế prompt và AI pipeline tự động hóa các bước thủ công, rồi viết SOP để người không kỹ thuật vận hành được. Em đã làm đúng vòng lặp này với DentAI từ pipeline design, structured output, đến Stream"/>
        <s v="Mình nghĩ vị trí này sẽ tập trung vào xây dựng AI workflows, automation, prompt engineering và hỗ trợ tích hợp AI vào quy trình thực tế. Mình phù hợp vì đã có trải nghiệm làm project dùng LLM, RAG, structured JSON output và phối hợp nhóm trong các sản phẩ"/>
        <s v="Theo tôi, vị trí này sẽ hỗ trợ áp dụng AI vào các công việc như xử lý dữ liệu, tối ưu quy trình hoặc cải thiện chất lượng sản phẩm. Dù nền tảng của tôi còn đang trong quá trình hoàn thiện, tôi có tư duy logic, tinh thần học hỏi và sẵn sàng tiếp thu nhanh "/>
        <s v="Theo em, vị trí Game UA Intern là cầu nối giữa các ứng dụng và đối tượng khách hàng mục tiêu, với các nhiệm vụ chủ yếu là tập trung vào tối ưu hóa phễu người dùng qua A/B Testing và ASO, và em tự tin phù hợp nhờ tư duy Data-driven cùng khả năng nghiên cứu"/>
        <s v="Em nghĩ vị trí này sẽ tham gia thiết kế gameplay và phát triển game bằng Unity. Em phù hợp vì em đã có kinh nghiệm làm game với Unity và xây dựng gameplay systems qua các dự án cá nhân và học tập."/>
        <s v="Em nghĩ vị trí này sẽ tập trung vào việc phân tích dữ liệu người chơi để tìm ra insight, hỗ trợ cải thiện trải nghiệm game và giúp team đưa ra quyết định tốt hơn. Công việc này cần tư duy phân tích, và liên tục đặt câu hỏi từ dữ liệu nên em nghĩ mình phù "/>
        <s v="From my perspective, this role involves analyzing data, supporting business decisions, and working with different tools to generate useful insights. &#10;I believe I am a good fit because of my acedemic background and my strong analytical and technical skills"/>
        <s v="Theo góc nhìn của em, vị trí Thực tập sinh Design mảng Game sẽ tập trung rất nhiều vào việc tối ưu hóa trải nghiệm người chơi.Em tin mình là một ứng viên sáng giá cho vị trí này nhờ sự kết hợp giữa tư duy thiết kế hệ thống và sự thấu hiểu tâm lý người chơ"/>
        <s v="Theo em, vị trí này sẽ tập trung vào việc nghiên cứu thị trường, phân tích hành vi người chơi và triển khai các chiến dịch nhằm thu hút người dùng mới cho game. Em nghĩ em phù hợp với vị trí này vì đã có kinh nghiệm về market research, user-centric design"/>
        <s v="This role requires querying data from BigQuery, building pipelines, and developing Tableau dashboards to track DAU, retention rate, and ARPU.&#10;I am suitable candidate. I've completed projects involving data visualization, learned SQL and related knowledge "/>
        <s v="Theo em, vị trí Data Analyst Intern sẽ bao gồm việc thu thập, làm sạch, phân tích dữ liệu và hỗ trợ tạo báo cáo để giúp doanh nghiệp đưa ra quyết định hiệu quả hơn. Ngoài ra, vị trí này cũng cần khả năng tư duy logic, sử dụng các công cụ như SQL, Excel ho"/>
        <s v="I think this role focuses on analyzing data to generate insights that support product and business decisions.&#10;I’m a good fit because I have an analytical mindset, experience with data analysis and dashboards, and I learn quickly in fast-paced environments"/>
        <s v="I understand this role involves testing builds, finding, reproducing bugs, writing reports, and working with the team to improve game quality and player experience. I believe I’m a good fit because my Game Design background trained me to analyze gameplay,"/>
        <s v="Tôi hiểu rằng vị trí này bao gồm việc kiểm thử các tính năng game, phát hiện và báo cáo lỗi, viết test case, và phối hợp với nhóm Dev để nâng cao chất lượng sản phẩm. Công việc này đòi hỏi sự tỉ mỉ và khả năng nhìn nhận sản phẩm từ góc độ người chơi.Tôi c"/>
        <s v="Vị trí này tập trung triển khai giải pháp AI-Automation trong việc phối hợp các phòng ban, thiết kế prompt xây dựng AI Agent tự động hóa tác vụ trên Notion, Figma... Em tin mình phù hợp vì đã có kinh nghiệm thực tế về Prompt Engineering và AI Pipelines và"/>
        <s v="I believe this role involves analyzing player behavior, game performance, and in-game data to help improve user experience and business outcomes. I think I’m a good fit because I’m genuinely interested in the gaming industry, enjoy working with data to un"/>
        <s v="I believe this role involves more than just logistics; it is about designing and delivering meaningful experiences. This includes conceptualizing creative themes, crafting persuasive proposals, and managing end-to-end operations to ensure brand consistenc"/>
        <s v="I view the HR Intern role as being a &quot;Culture Catalyst&quot;. It include&#10;Talent Acquisition &amp; Branding, helping build a strong Employer Brand, Employee Experience: Coordinating internal engagement activities and communication&#10;I bring strong leadership and conf"/>
        <s v="This role connects data engineering and analytics by querying game data, building pipelines, and surfacing insights teams act on daily. I've experience building SQL pipelines, dashboards for non-technical stakeholders, and documenting metrics as deliverab"/>
        <s v="Vị trí này tập trung vào xây dựng logic gameplay, xử lý và tối ưu hoá trải nghiệm người chơi. Tôi phù hợp nhờ kinh nghiệm phát triển Unity 2D thực tế và có tư duy lập trình hệ thống, tư duy giải quyết vấn đề và đã quen thuộc với quy trình làm việc qua nhó"/>
        <s v="Role này tập trung vào hiểu workflow của các team, tìm bước thủ công/tốn thời gian và thiết kế prompt, AI pipeline hoặc agent workflow để tự động hóa quy trình.&#10;Tôi phù hợp vì có kinh nghiệm với LLM, RAG, OCR và structured data extraction. Trong project H"/>
        <s v="I believe I’m a good fit because I already have hands-on experience creating Unity projects by myself. I’ve worked with systems like object pooling, event-driven architecture, dependency injection using Zenject, and basic game optimization techniques such"/>
        <s v="Theo tôi, vị trí Unity Development Intern không chỉ đơn thuần là viết code, mà là quá trình hiện thực hóa các ý tưởng sáng tạo thành trải nghiệm tương tác cho người dùng, từ việc xây dựng logic game đến tối ưu hóa hiệu suất trên thiết bị di động.&#10;Tôi tin "/>
        <s v="Vị trí này sẽ làm gì: Tham gia vận hành và sản xuất game Casual/Puzzle thực tế, phối hợp đa phòng ban để xử lý logic gameplay, tối ưu hiệu suất và tích hợp giao diện dưới sự dẫn dắt của chuyên gia.&#10;Tại sao tôi phù hợp: Là sinh viên năm cuối, làm chủ Unity"/>
        <s v="I think this role involves analyzing and transforming data, building dashboards, and generating insights to support data-driven decisions for different teams. I believe I am a good fit because I have a strong foundation in statistics, SQL, and data visual"/>
        <s v="I think this role is the central bridge of the development process. A game designer job involves not only creating the rules and content of the game but also ensuring that everyone from artists to developers can shares the exact same vision."/>
        <s v="Theo em, vị trí này sẽ phân tích dữ liệu game để tìm insight, theo dõi các chỉ số và hỗ trợ team đưa ra quyết định qua dashboard hoặc báo cáo. Em thấy bản thân phù hợp vì em thích làm việc với dữ liệu, thích tìm hiểu insight từ số liệu và đang phát triển "/>
        <s v="GDer tại Sun sẽ tập trung nghiên cứu thị trường game Casual/Puzzle, thiết kế gameplay systems, level balancing, UI/UX flow và tối ưu sản phẩm dựa trên phản hồi người dùng. &#10;Em nghĩ bản thân phù hợp là vì em có nền tảng Dev+Design từ các môn học/CLB, Nắm đ"/>
        <s v="Vị trí này sẽ hỗ trợ vận hành và tối ưu campaign quảng cáo, theo dõi performance và phối hợp với team creative để cải thiện kết quả. Em nghĩ mình phù hợp vì đã có kinh nghiệm chạy ads trong ngành game, quen cách làm việc với data, creative cũng như các nề"/>
        <s v="Vị trí Data Analysis là vị trí quan trọng, nắm giữ các thông tin hầu như là cốt lõi (tùy thuộc vào vị trí phòng ban). Công việc này đòi hỏi sự chăm chỉ, tỉ mỉ, luôn biết cách chủ động đặt câu hỏi và giải quyết vấn đề. Là người nắm bắt xu hướng phát triển "/>
        <s v="A Data Analyst Intern bridges technical execution and business communication, and I believe I'm a strong fit thanks to complex data experience and stakeholder communication capabilities."/>
        <s v="Theo em, AI Engineer sẽ phát triển và tối ưu các hệ thống AI để hỗ trợ sản phẩm và xử lý dữ liệu. Em phù hợp với vị trí này vì em yêu thích AI, có nền tảng công nghệ và thường chủ động thực hành qua các project cá nhân có áp dụng AI để nâng cao kỹ năng."/>
        <s v="Vị trí này sẽ cùng team tham gia vào dự án thực tế của công ty, lập trình, phát triển tính năng, sửa lỗi . . . và phối hợp với các team khác (artist, designer, . . .)&#10;Tôi phù hợp với vị trí này vì tôi đã có kĩ năng, kiến thức nền tảng phát triển game với "/>
        <s v="This role is about understanding what makes Casual/Puzzle games work — researching the market, analysing existing products, designing and balancing systems, and documenting everything clearly enough for a team to build from."/>
        <s v="With years of independent research in the digital creator economy and hands-on experience in organic content growth, I believe I can contribute positively to the team"/>
      </sharedItems>
    </cacheField>
    <cacheField name="Đại học" numFmtId="0">
      <sharedItems>
        <s v="HUB – Trường Đại học Ngân hàng TP.HCM"/>
        <s v="Others - Khác"/>
        <s v="IUH – Trường Đại học Công nghiệp TP.HCM"/>
        <s v="UEH – Đại học Kinh tế TP.HCM"/>
        <s v="HCMUS – Trường Đại học Khoa học Tự nhiên – ĐHQG TP.HCM"/>
        <s v="HCMUT – Trường Đại học Bách Khoa – ĐHQG TP.HCM"/>
        <s v="UIT – Trường Đại học Công nghệ Thông tin – ĐHQG TP.HCM"/>
        <s v="VLU – Trường Đại học Văn Lang"/>
        <s v="OU – Trường Đại học Mở TP.HCM"/>
        <s v="HCMUTC – Trường Đại học Giao thông Vận tải TP.HCM"/>
        <s v="FPT Poly – Trường Cao đẳng FPT Polytechnic TP.HCM"/>
        <s v="UFM – Trường Đại học Tài chính – Marketing TP.HCM"/>
        <s v="SGU – Trường Đại học Công nghệ Sài Gòn"/>
        <s v="SIU – Trường Đại học Quốc tế Sài Gòn"/>
        <s v="FTU – Trường Đại học Ngoại thương"/>
        <s v="UEF – Trường Đại học Kinh tế – Tài chính TP.HCM"/>
        <s v="HCMUTE – Trường Đại học Sư phạm Kỹ thuật TP.HCM"/>
        <s v="HCMUSSH – Trường Đại học Khoa học Xã hội và Nhân văn – ĐHQG TP.HCM"/>
        <s v="TDT – Trường Đại học Tôn Đức Thắng"/>
        <s v="UEL – Trường Đại học Kinh tế – Luật – ĐHQG TP.HCM"/>
        <s v="HUTECH – Trường Đại học Công nghệ TP.HCM"/>
        <s v="HUFI – Trường Đại học Công nghiệp Thực phẩm TP.HCM"/>
        <s v="IU – Trường Đại học Quốc tế – ĐHQG TP.HCM"/>
        <s v="HITC – Trường Cao đẳng Công thương TP.HCM"/>
        <s v="VGU – Trường Đại học Việt Đức"/>
        <s v="RMIT – Trường Đại học RMIT Việt Nam"/>
        <s v="PTIT – Học viện Công nghệ Bưu chính Viễn thông"/>
        <s v="HCMULAW – Trường Đại học Luật TP.HCM"/>
        <s v="NLU – Trường Đại học Nông Lâm TP.HCM"/>
        <s v="BUV – Trường Đại học Anh Quốc Việt Nam"/>
      </sharedItems>
    </cacheField>
    <cacheField name="Đại học - Khác" numFmtId="0">
      <sharedItems containsBlank="1">
        <m/>
        <s v="UMT - Trường ĐH Quản lý và Công nghệ TPHCM"/>
        <s v="CTUT -Kỹ Thuật Công Nghệ Cần Thơ"/>
        <s v="FPT University"/>
        <s v="HCMUTH - Trường Đại học Giao thông Vận tải TP.HCM"/>
        <s v="Northeastern University"/>
        <s v="HUFLIT - Trường Đại học Ngoại ngữ - Tin học Thành phố Hồ Chí Minh"/>
        <s v="Đại Học Văn Hiến"/>
        <s v="Trường Cao đẳng FPT Polytechnic Tây Nguyên"/>
        <s v="FPT Poly - Trường Cao đẳng FPT Polytechnic Tây Nguyên"/>
        <s v="SGU - Trường Đại học Sài Gòn"/>
        <s v="Trường Đại Học FPT"/>
        <s v="Trường Đại học Ngoại ngữ - Tin học Thành phố Hồ Chí Minh( HUFLIT)"/>
        <s v="UEH-ISB Western Sydney"/>
        <s v="IMIC Technology"/>
        <s v="UEH.ISB"/>
        <s v="Green Academy"/>
        <s v="FPTU - Đại học FPT"/>
        <s v="UTH - Trường Đại học Giao Thông Vận Tải thành phố Hồ Chí Minh"/>
        <s v="VTC Academy - Học viện công nghệ thông tin và thiết kế VTC"/>
        <s v="PTITHCM - Học viện công nghệ bưu chính viễn thông (cơ cở HCM)"/>
        <s v="Đại học FPT"/>
        <s v="HUFLIT - Đại học Ngoại ngữ - Tin học TP. Hồ Chí Minh"/>
        <s v="HUIT - Trường Đại học Công Thương TP. Hồ Chí Minh"/>
        <s v="TDMU- Đại Học Thủ Dầu Một"/>
        <s v="TDMU- Trường đại học Thủ Dầu Một"/>
        <s v="Chongqing University"/>
        <s v="TDMU-Trường Đại Học Thủ Dầu Một"/>
        <s v="DUT - Đại học Bách Khoa - Đại học Đà Nẵng"/>
        <s v="Đại học Cần Thơ"/>
      </sharedItems>
    </cacheField>
    <cacheField name="SV năm mấy?" numFmtId="0">
      <sharedItems>
        <s v="Year 4 / Năm 4"/>
        <s v="Fresh graduate / Mới tốt nghiệp"/>
        <s v="Year 3 / Năm 3"/>
        <s v="Vừa tốt nghiệp 1 năm"/>
        <s v="Chưa tốt nghiệp"/>
        <s v="Year 2 / Năm 2"/>
        <s v="Năm 4 và sắp tốt nghiệp"/>
        <s v="Learning &amp; working"/>
        <s v="Tháng 6 này sẽ hoàn thành"/>
        <s v="Đã hoàn thành đồ án tốt nghiệp và chờ tốt nghiệp"/>
        <s v="Bachelor Degree"/>
        <s v="Currently waiting for graduation"/>
        <s v="Đã ra trường hơn 1 năm"/>
        <s v="Tốt nghiệp 1 năm"/>
        <s v="Year 5"/>
        <s v="Graduated"/>
        <s v="Prepare to graduate / Chuẩn bị tốt nghiệp"/>
        <s v="Đã tốt nghiệp"/>
      </sharedItems>
    </cacheField>
    <cacheField name="Chuyên ngành" numFmtId="0">
      <sharedItems>
        <s v="Business Administration"/>
        <s v="Công nghệ thông tin"/>
        <s v="Khoa Học Dữ Liệu"/>
        <s v="Kỹ thuật phần mềm"/>
        <s v="Công nghệ tài chính (FinTech)"/>
        <s v="Software Enginerring"/>
        <s v="Trí Tuệ Nhân Tạo"/>
        <s v="Data Science / Khoa Học Dữ Liệu"/>
        <s v="Điện tử - Viễn thông"/>
        <s v="Computer Science"/>
        <s v="Khoa học máy tính - Trí tuệ nhân tạo ứng dụng"/>
        <s v="Data Science"/>
        <s v="Actuarial Science (Phân tích rủi ro và định phí bảo hiểm)."/>
        <s v="Quản trị kinh doanh - Marketing"/>
        <s v="Khoa Học Máy Tính"/>
        <s v="Quản lý Công nghiệp"/>
        <s v="Information Technology"/>
        <s v="Software Development"/>
        <s v="Corporate Accounting"/>
        <s v="Lập trình Game"/>
        <s v="CNTT (Honor Program)"/>
        <s v="Business Administration/Quản trị Kinh Doanh"/>
        <s v="Công Nghệ Thông Tin (clc)"/>
        <s v="Kĩ thuật phần mềm"/>
        <s v="AI"/>
        <s v="International Business Administration"/>
        <s v="Management Information Systems"/>
        <s v="International Economics"/>
        <s v="Hệ thống thông tin"/>
        <s v="Marketing"/>
        <s v="Information System"/>
        <s v="Mạng máy tính và truyền thông dữ liệu"/>
        <s v="Quản lý chuỗi cung ứng và Vận hành"/>
        <s v="Information - Library Science"/>
        <s v="Graphic Designer, Embedded System Engineer"/>
        <s v="Financial Technology"/>
        <s v="Thương mại điện tử"/>
        <s v="an toàn thông tin"/>
        <s v="Multimedia Communications"/>
        <s v="Kinh Doanh Quốc Tế"/>
        <s v="Information Systems - Hệ thống Thông tin"/>
        <s v="Lập Trình Game Unity"/>
        <s v="International Business"/>
        <s v="Infomation Security"/>
        <s v="Software Engineer"/>
        <s v="Trí tuệ nhân tạo và ứng dụng"/>
        <s v="Digital Marketing"/>
        <s v="Information Management"/>
        <s v="Computer Science Engineering"/>
        <s v="Information Systems"/>
        <s v="Kỹ thuật máy tính"/>
        <s v="Automation and Control Engineering"/>
        <s v="Toán thống kê"/>
        <s v="Game Development"/>
        <s v="Truyền thông chuyên nghiệp"/>
        <s v="Software Engineering"/>
        <s v="Xác suất thống kê"/>
        <s v="Lập trình game."/>
        <s v="Quản trị Marketing"/>
        <s v="Digital Business"/>
        <s v="Luật"/>
        <s v="Công nghệ phần mềm"/>
        <s v="Hệ thống thông tin quản lý"/>
        <s v="Công nghệ Marketing"/>
        <s v="Business Administration - Marketing"/>
        <s v="Software Engineer (Kỹ thuật phần mềm)"/>
        <s v="Marketing Managment"/>
        <s v="Tin học quản lý"/>
        <s v="Management Information System"/>
        <s v="IoT và trí tuệ nhân tạo ứng dụng"/>
        <s v="CNTT( Game Developer )"/>
        <s v="Technology and Innovation"/>
        <s v="Game Designer"/>
        <s v="Kinh tế đối ngoại"/>
        <s v="Thị Giác Máy Tính"/>
        <s v="Công nghệ thông tin ( chuyên ngành: Kỹ thuật phần mềm )"/>
        <s v="Marketing Technology"/>
        <s v="Kỹ thuật phần mềm - Software Engineering"/>
        <s v="International Finance"/>
        <s v="Toán Ứng Dụng"/>
        <s v="Multimedia Communication"/>
      </sharedItems>
    </cacheField>
    <cacheField name="Thời gian tốt nghiệp (dự kiến nếu chưa tốt nghiệp)" numFmtId="14">
      <sharedItems containsSemiMixedTypes="0" containsDate="1" containsString="0">
        <d v="2026-11-15T00:00:00Z"/>
        <d v="2026-08-01T00:00:00Z"/>
        <d v="2027-02-03T00:00:00Z"/>
        <d v="2026-04-05T00:00:00Z"/>
        <d v="2027-03-01T00:00:00Z"/>
        <d v="2026-03-05T00:00:00Z"/>
        <d v="2027-07-01T00:00:00Z"/>
        <d v="2026-05-15T00:00:00Z"/>
        <d v="2027-04-01T00:00:00Z"/>
        <d v="2027-01-01T00:00:00Z"/>
        <d v="2026-07-01T00:00:00Z"/>
        <d v="2026-08-15T00:00:00Z"/>
        <d v="2027-10-30T00:00:00Z"/>
        <d v="2026-06-15T00:00:00Z"/>
        <d v="2026-09-30T00:00:00Z"/>
        <d v="2028-01-01T00:00:00Z"/>
        <d v="2026-12-20T00:00:00Z"/>
        <d v="2026-11-30T00:00:00Z"/>
        <d v="2026-09-10T00:00:00Z"/>
        <d v="2025-02-01T00:00:00Z"/>
        <d v="2026-12-02T00:00:00Z"/>
        <d v="2027-11-01T00:00:00Z"/>
        <d v="2026-06-10T00:00:00Z"/>
        <d v="2026-08-25T00:00:00Z"/>
        <d v="2026-09-01T00:00:00Z"/>
        <d v="2025-05-19T00:00:00Z"/>
        <d v="2026-12-01T00:00:00Z"/>
        <d v="2026-08-24T00:00:00Z"/>
        <d v="2026-08-23T00:00:00Z"/>
        <d v="2027-05-22T00:00:00Z"/>
        <d v="2026-10-31T00:00:00Z"/>
        <d v="2026-03-30T00:00:00Z"/>
        <d v="2027-04-20T00:00:00Z"/>
        <d v="2026-06-21T00:00:00Z"/>
        <d v="2027-06-15T00:00:00Z"/>
        <d v="2027-03-15T00:00:00Z"/>
        <d v="2026-11-20T00:00:00Z"/>
        <d v="2027-03-31T00:00:00Z"/>
        <d v="2026-03-14T00:00:00Z"/>
        <d v="2026-12-31T00:00:00Z"/>
        <d v="2004-04-15T00:00:00Z"/>
        <d v="2027-12-20T00:00:00Z"/>
        <d v="2027-01-07T00:00:00Z"/>
        <d v="2025-11-24T00:00:00Z"/>
        <d v="2004-07-01T00:00:00Z"/>
        <d v="2024-04-30T00:00:00Z"/>
        <d v="2026-12-15T00:00:00Z"/>
        <d v="2027-06-30T00:00:00Z"/>
        <d v="2027-05-09T00:00:00Z"/>
        <d v="2026-10-01T00:00:00Z"/>
        <d v="2026-11-01T00:00:00Z"/>
        <d v="2026-05-12T00:00:00Z"/>
        <d v="2026-05-30T00:00:00Z"/>
        <d v="2025-12-20T00:00:00Z"/>
        <d v="2027-10-01T00:00:00Z"/>
        <d v="2027-05-30T00:00:00Z"/>
        <d v="2027-03-22T00:00:00Z"/>
        <d v="2027-06-01T00:00:00Z"/>
        <d v="2026-04-24T00:00:00Z"/>
        <d v="2025-11-11T00:00:00Z"/>
        <d v="2025-11-01T00:00:00Z"/>
        <d v="2027-08-01T00:00:00Z"/>
        <d v="2026-06-12T00:00:00Z"/>
        <d v="2026-09-14T00:00:00Z"/>
        <d v="2025-12-24T00:00:00Z"/>
        <d v="2028-06-01T00:00:00Z"/>
        <d v="2027-10-31T00:00:00Z"/>
        <d v="2027-11-10T00:00:00Z"/>
        <d v="2026-08-31T00:00:00Z"/>
        <d v="2026-03-21T00:00:00Z"/>
        <d v="2027-02-02T00:00:00Z"/>
        <d v="2025-07-14T00:00:00Z"/>
        <d v="2026-04-22T00:00:00Z"/>
        <d v="2026-06-01T00:00:00Z"/>
        <d v="2027-10-24T00:00:00Z"/>
        <d v="2005-02-01T00:00:00Z"/>
        <d v="2026-06-09T00:00:00Z"/>
        <d v="2026-12-18T00:00:00Z"/>
        <d v="2027-04-06T00:00:00Z"/>
        <d v="2004-03-27T00:00:00Z"/>
        <d v="2025-10-05T00:00:00Z"/>
        <d v="2022-07-01T00:00:00Z"/>
        <d v="2023-12-01T00:00:00Z"/>
        <d v="2025-05-31T00:00:00Z"/>
        <d v="2026-10-15T00:00:00Z"/>
        <d v="2026-11-28T00:00:00Z"/>
        <d v="2025-05-25T00:00:00Z"/>
        <d v="2026-08-30T00:00:00Z"/>
        <d v="2027-09-23T00:00:00Z"/>
        <d v="2007-04-19T00:00:00Z"/>
        <d v="2025-08-31T00:00:00Z"/>
        <d v="2026-01-09T00:00:00Z"/>
        <d v="2028-08-30T00:00:00Z"/>
        <d v="2006-04-13T00:00:00Z"/>
        <d v="2025-08-07T00:00:00Z"/>
        <d v="2026-07-30T00:00:00Z"/>
        <d v="2025-04-24T00:00:00Z"/>
        <d v="2026-09-07T00:00:00Z"/>
        <d v="2025-10-27T00:00:00Z"/>
        <d v="2027-04-25T00:00:00Z"/>
        <d v="2027-12-01T00:00:00Z"/>
        <d v="2027-08-09T00:00:00Z"/>
        <d v="2026-11-25T00:00:00Z"/>
        <d v="2023-01-01T00:00:00Z"/>
        <d v="2025-10-20T00:00:00Z"/>
        <d v="2027-12-10T00:00:00Z"/>
        <d v="2027-11-30T00:00:00Z"/>
        <d v="2028-08-01T00:00:00Z"/>
        <d v="2027-04-15T00:00:00Z"/>
        <d v="2026-04-13T00:00:00Z"/>
        <d v="2025-04-12T00:00:00Z"/>
        <d v="2028-04-15T00:00:00Z"/>
        <d v="2026-06-30T00:00:00Z"/>
        <d v="2027-10-10T00:00:00Z"/>
        <d v="2025-11-15T00:00:00Z"/>
        <d v="2027-03-20T00:00:00Z"/>
        <d v="2026-04-25T00:00:00Z"/>
        <d v="2024-01-31T00:00:00Z"/>
        <d v="2024-12-31T00:00:00Z"/>
        <d v="2027-04-18T00:00:00Z"/>
        <d v="2026-06-23T00:00:00Z"/>
        <d v="2027-06-09T00:00:00Z"/>
        <d v="2026-06-08T00:00:00Z"/>
        <d v="2023-06-30T00:00:00Z"/>
      </sharedItems>
    </cacheField>
    <cacheField name="GPA" numFmtId="0">
      <sharedItems>
        <s v="9.2"/>
        <s v="8.225"/>
        <s v="7.4"/>
        <s v="8.1"/>
        <s v="8.02"/>
        <s v="8.05"/>
        <s v="8.66"/>
        <s v="8.4"/>
        <s v="6.71"/>
        <s v="9.1"/>
        <s v="8.47"/>
        <s v="7.08"/>
        <s v="8.05/10"/>
        <s v="6.98"/>
        <s v="9.0"/>
        <s v="9.625"/>
        <s v="8"/>
        <s v="8.12"/>
        <s v="7.75"/>
        <s v="7.5"/>
        <s v="8.55"/>
        <s v="7.44"/>
        <s v="8.09"/>
        <s v="8.82"/>
        <s v="8.8"/>
        <s v="7"/>
        <s v="8.5"/>
        <s v="7.7"/>
        <s v="8.23"/>
        <s v="9.07"/>
        <s v="8.03"/>
        <s v="6.68/10"/>
        <s v="8.3"/>
        <s v="9.13"/>
        <s v="8.69"/>
        <s v="7.24"/>
        <s v="7.2"/>
        <s v="9"/>
        <s v="8.58"/>
        <s v="7.72"/>
        <s v="8.32"/>
        <s v="8.18"/>
        <s v="8.0"/>
        <s v="8.86"/>
        <s v="8.61"/>
        <s v="8.63"/>
        <s v="8.52"/>
        <s v="8.07"/>
        <s v="My GPA is 6.6/10"/>
        <s v="6.87"/>
        <s v="9.02"/>
        <s v="None"/>
        <s v="6.46"/>
        <s v="7.97"/>
        <s v="3.04/4.0 GPA"/>
        <s v="8.1/10"/>
        <s v="7.3/10"/>
        <s v="7.93"/>
        <s v="8.9"/>
        <s v="8.25"/>
        <s v="7.46"/>
        <s v="8.2"/>
        <s v="8.21"/>
        <s v="8.40"/>
        <s v="8.55/10"/>
        <s v="7.61"/>
        <s v="7.0"/>
        <s v="8.15"/>
        <s v="8.72"/>
        <s v="6,7"/>
        <s v="7.58"/>
        <s v="8.64"/>
        <s v="8/10"/>
        <s v="8.10"/>
        <s v="7.34"/>
        <s v="7.94"/>
        <s v="7.3"/>
        <s v="7.8"/>
        <s v="8.49"/>
        <s v="6.62"/>
        <s v="7.78"/>
        <s v="8.6"/>
        <s v="6.91"/>
        <s v="2.0/4.0"/>
        <s v="6.4"/>
        <s v="6.67"/>
        <s v="7.4/10"/>
        <s v="8.04"/>
        <s v="3.2"/>
        <s v="7.06"/>
        <s v="8.16"/>
        <s v="7.25/10"/>
        <s v="8.5/10"/>
        <s v="7.6"/>
        <s v="8.57"/>
        <s v="8.42"/>
        <s v="8.0/10.0"/>
        <s v="7.10"/>
        <s v="8.28"/>
        <s v="7.52"/>
        <s v="7.74"/>
        <s v="9.24"/>
        <s v="9.09"/>
        <s v="Classification: Second Class: 1st Division (2:1) 7.9/10"/>
        <s v="8.11"/>
        <s v="8.19"/>
        <s v="3.1"/>
        <s v="8.01"/>
        <s v="8.375"/>
        <s v="7.225"/>
        <s v="6.8"/>
        <s v="8.76"/>
        <s v="8.96"/>
        <s v="7.1"/>
        <s v="8.41"/>
        <s v="7,54"/>
        <s v="8.81"/>
        <s v="8.65"/>
        <s v="7.25"/>
        <s v="7.37"/>
        <s v="8.71"/>
        <s v="6.92"/>
        <s v="7.84"/>
        <s v="7.03"/>
        <s v="8.89"/>
        <s v="3.0"/>
        <s v="7.92"/>
        <s v="6.3"/>
        <s v="7.76"/>
        <s v="9.3"/>
      </sharedItems>
    </cacheField>
    <cacheField name="Bảng điểm" numFmtId="0">
      <sharedItems>
        <s v="https://api.typeform.com/responses/files/071f03bed2692d94bc4feba9742bfa849803525871850928619ff80b90b44448/Transcript___Game_User_Acquisition_Intern___Nguyễn_Thị_Tuyết_Nữ.pdf"/>
        <s v="https://api.typeform.com/responses/files/6b6e0fc8783520ea4d22a0096f9c81bba61338472b147f0f58574118c1d88b86/Transcript___AI_Engineering_Intern___Le_Duc_Long.pdf"/>
        <s v="https://api.typeform.com/responses/files/b76bbc604592c37edc225107e70ee5d206ca569e37a1d8432fb9bc2537513069/Transcript___Unity_Development_Intern___Huỳnh_Thị_Kim_Ngọc.docx"/>
        <s v="https://api.typeform.com/responses/files/028601f8448ef4f630cbd02ca787bc68e7c0c0b67d1db87674628bcf27fe90dd/bangdiem.pdf"/>
        <s v="https://api.typeform.com/responses/files/93b878e83a3d33af0689914fc7678ee190675ecd526f89669378a9ab09358807/Transcript___Data_Analysis_Intern___Đỗ_Nguyễn_Khoa_Duy.pdf"/>
        <s v="https://api.typeform.com/responses/files/f721d468bfc862d0092fd219b7fd0c70682d4423a105e6bfbac23bf877ece142/Transcript___Unity_Development_Intern___Hồ_Nhật_Tiến.pdf"/>
        <s v="https://api.typeform.com/responses/files/9a4db6219821113a693bfef6df7574f1585272f6765fc2a82a71fa9fe72145ce/Transcript___AI_Engineer_Intern___Châu_Văn_Minh_Khoa.pdf"/>
        <s v="https://api.typeform.com/responses/files/43893d85106c80e9519ef9020246bf47aaae8a17eb83ca599881bfd69db9fd1c/Transcript___AI_Engineer_Intern___Trần_Đắc_Thịnh.csv"/>
        <s v="https://api.typeform.com/responses/files/d4743bf1a7f55cb96b27ca04dca21383c53b7e37814e667fbb94d00cb37f337f/Transcript___Data_Analysis_Intern___Nguyễn_Trần_Thị_Phi_Yến.pdf"/>
        <s v="https://api.typeform.com/responses/files/53bd736f24133ecbfe55bcef55721b350e95872cb2fdbf83a5fb8c74f9896fd7/inbound3265838176833139098.pdf"/>
        <s v="https://api.typeform.com/responses/files/d16c9b37fda3e2e915afbd1f013f07ab831be8b30cfc7f39fd8b0651be895fd9/Transcript___Unity_Developer_Intern___Lê_Ngọc_Hiền.pdf"/>
        <s v="https://api.typeform.com/responses/files/62829f228de3a21ecc9b22eec1f45cf483cd6b652eb73832509a7ed517f75011/Transcript___QA_Intern___Trần_Đắc_Phú.pdf"/>
        <s v="https://api.typeform.com/responses/files/4d8c500e8689b4ed5792c4c28e7095c05abcf3c2a89b8d8feabe97cbba999c36/Transcript___AI_Engineer_Intern___Nguyễn_Lưu_Anh_Huy.pdf"/>
        <s v="https://api.typeform.com/responses/files/5340795c077b015a0fd499bdec5e67e2b71d397df44e476a5bbf18982a2187b3/Transcript__Data_Analysis_Intern___Lê_Hà_Chức.pdf"/>
        <s v="https://api.typeform.com/responses/files/1596ccb3042e229395fd56e66ea5ed5952b63cb397a6e67c3bdd3f7cc6cbedd2/Transcript___Game_QA_intern___Võ_Đức_Thiện.jpg"/>
        <s v="https://api.typeform.com/responses/files/1c2e34aa6219bffa2a388b09f76827f82979414eaffd05a05c002c4ac772d9a0/Transcript_AI_Engineer_TrinhQuangHien.pdf"/>
        <s v="https://api.typeform.com/responses/files/7749f84a525a8fd90dd0f5d5e7fb87ce29c521003dd7c40b37acae2b02eff955/transcript_AI_engineer_intern___Lê_Thành_Đạt.pdf"/>
        <s v="https://api.typeform.com/responses/files/a21bfa0911264874bcc95e8673eb35e45c014943bcdfd07f08e2cb8250cb976d/Bảng_Điểm___Lê_Nguyễn_Trung_Vĩnh.pdf"/>
        <s v="https://api.typeform.com/responses/files/d9b12fd863cc5fe6ff34a93d7088c893f2fbaa67d0ca2c5d30d9ee89725cf5c0/Transcript___Game_UA_Marketing_Intern___Nguyễn_Huỳnh_Hạnh_Nguyên.png"/>
        <s v="https://api.typeform.com/responses/files/774926f6fabc26ff8ad4125fa46d6cc1f0477b2fd7e124bccb2acb47372bcdff/Transcript___Data_Analysis_Intern___Nguyễn_Bùi_Duy_Anh.pdf"/>
        <s v="https://api.typeform.com/responses/files/e6943449492dc8829cb6a03786a834a81fbc2d666cfd36e6d20ec510290b634b/Transcript___Game_User_Acquisition_Intern___Tsằn_Cá_Thành.jpg"/>
        <s v="https://api.typeform.com/responses/files/2256e2708716e336a1f97890491f40a286a5fac83624743f30406f4bfbf861e8/Transcript_AI_Engineer_LamTanPhat.pdf"/>
        <s v="https://api.typeform.com/responses/files/09feca279a19b10d7942f6b7692a72b1848532903a4a725ef544ad7ca248ca14/Transcript___Human_Resources_Intern___Nguyễn_Đăng_Khoa.pdf"/>
        <s v="https://api.typeform.com/responses/files/c149e8d416ccda3927f2850ee781a1296329f647374f48a2ed29568294c4828a/Transcript___AI_Engineering_Intern___Trương_Phúc_Trường.pdf"/>
        <s v="https://api.typeform.com/responses/files/6c8ef2f9e223df6cafeb5ad47c117b3cf554b89a6ddd289e733d20291bc5fecb/Transcript____Game_Quality_Assurance_Intern___Lê_Minh_Kiệt.pdf"/>
        <s v="https://api.typeform.com/responses/files/912d7957abdd03dbcb35596a2ca29d1d826e3c8be5f89d070d7da644009a5898/Transcript___AI_Engineer_Intern___Nguyễn_Quyết_Giang_Sơn.pdf"/>
        <s v="https://api.typeform.com/responses/files/df8e31909d72e0171c01784533d78451e85058e5f2b4d3a819c3d05af73eae50/Transcript___Intern_AI_Engineer___Dương_Quốc_Thành.pdf"/>
        <s v="https://api.typeform.com/responses/files/4364f1dda4072cfc3f49ba9686af362e58efe89c526a9678e5975bed2289fcca/Transcript___Data_Analysis_Intern___Nguyễn_Hoàng_Trang.pdf"/>
        <s v="https://api.typeform.com/responses/files/758c1a490cc226b12017262bca96effcff1e938bf83f0cb670bad69e961e10fa/Transcript___Unity_Development_Intern___Phan_Nguyễn_Trung_Hiếu.pdf"/>
        <s v="https://api.typeform.com/responses/files/39213c9b95324f5766f8bf3990b8d3bf9b34d5ef35f3eb7ba37a1ffb99962905/Transcript___Unity_Development_Intern___Võ_Nhân_Hồng_Phúc.pdf"/>
        <s v="https://api.typeform.com/responses/files/4f9bff26974978f4da865f488b2d20de222b061d1dc1923f81727a60a648921d/Transcript___Unity_Development_Intern___Lê_Bá_Đoàn.png"/>
        <s v="https://api.typeform.com/responses/files/1c0f3d35a3b7fead480b8865579f16844380a75e729069c4ce9062c76ede13c2/BangDiem_PhanNgung.pdf"/>
        <s v="https://api.typeform.com/responses/files/22c4a2ea78abb0508d6342d9a929d8c82dfa180bc16006a89ce1ae9ed168338a/Transcript___Unity_Development_Intern___Nguyễn_Trường_Thịnh.pdf"/>
        <s v="https://api.typeform.com/responses/files/b07db60d9bb807e53d820f8eb78537a0dcb25718486629bcee7299fe98d16048/Transcript___Data_Analysis_Intern___Nguyễn_Hoài_Như.jpg"/>
        <s v="https://api.typeform.com/responses/files/358b36f9b007c77ffa1a78785c19ed036a89ab75d7406bf4dac83d80d58a6e4a/Transcript___AI_Engineer_Intern__Nguyễn_Xuân_Lộc.pdf"/>
        <s v="https://api.typeform.com/responses/files/44820028c9f6bdf417245027bcb6476bf529a29f4e3e6b007a75cfb2883ba47f/KetQuaHT_31221025382__2_.pdf"/>
        <s v="https://api.typeform.com/responses/files/98ff7aece6dd374e9744269b5028f93c9ba2b01a80a6ad882ccb8839cb511174/Transcript___AI_Engineer_Intern___Lê_Quốc_Vương.png"/>
        <s v="https://api.typeform.com/responses/files/088cc9336580f806e0eeb40331e930bea5fb0206e2ca5c6296ac6e5b1d4daf88/Transcrip___Data_Analysis___Bui_Tran_Thy_Thy.jpeg"/>
        <s v="https://api.typeform.com/responses/files/541d1584601fced3213298d2ae9f6b4bd28c61286febc42cdc358f782ff62621/Transcript___Game_Quality_Assurance_Intern___Nguyễn_Hoàn_Báu.pdf"/>
        <s v="https://api.typeform.com/responses/files/187c29f5a2c0e49e623e8d9369175a58df9f98585fa5426d5e9e9f613f11cae6/Transcript___Game_Quality_Assurance_Intern____Lương_Nguyễn_Xuân_Minh.xls"/>
        <s v="https://api.typeform.com/responses/files/525ec51b1f10724d272e43de8e82cdaf4d4a85a5efe6acf341e392821e4cf83f/Transcript___AI_Engineering_Intern___Bui_Le_Hong_Tam.pdf"/>
        <s v="https://api.typeform.com/responses/files/588db81f5f70215a45e2d446cbed458407cd0792ee932f78d6fd49866fa2847c/Transcript___Human_Resources_Intern___Lê_Hoàng_Châu_Anh.jpeg"/>
        <s v="https://api.typeform.com/responses/files/e82e64af8d6fc023d4e87d7c48efd40e3a1f670df055d0f19fb0c5387ed6890d/Transcript__GAME_QUALITY_ASSURANCE_INTERN_Truong_Tan_Phat.pdf"/>
        <s v="https://api.typeform.com/responses/files/77ecfada525d5c8262205a1159d680484861e75ce5fbceed8def8d469958965b/Transcript__Game_QA_Intern__Nguyễn_Lâm_Đức_Hòa.zip"/>
        <s v="https://api.typeform.com/responses/files/5deb68dacaa9ef49f4b4a1a840e69e3530756b722aa4717964adce82fb0ef323/Transcript___AI_Engineering_Intern___Nguyễn_Trần_Gia.pdf"/>
        <s v="https://api.typeform.com/responses/files/f1d6e40d0fc9476d27310adb0fd052cbd3cad6b3e318b89bfe52a69cbbcee9ca/Transcript___Data_Analysis_Intern___Nguyen_Tu_Nhu.pdf"/>
        <s v="https://api.typeform.com/responses/files/0214a9462cad895a3c7284483eb85bd0e53cddaa65342bfc7cee204cef1e8bbf/Transcript___Data_Analysis_Intern__Lê_Thị_Thu_Hiệp.pdf"/>
        <s v="https://api.typeform.com/responses/files/e1e10d3c237d8a30d9c694b04db32d5c335bcd50acdec4e480686360078c66d1/Transcript___AI_Engineering_Intern___Nguyen_Thanh_Vinh.png"/>
        <s v="https://api.typeform.com/responses/files/3fd4cf491c4d9b57a0c85babfeaf39ca08b8b47480f5357cd45dc5b83dd55e44/TRANSCRIPT.pdf"/>
        <s v="https://api.typeform.com/responses/files/3286ab89a051861f9b89774bd82859d8162cf453b4de853bf624cba2673d6cce/Transcript___Human_Resources_Intern___Lâm_Minh_Khang.pdf"/>
        <s v="https://api.typeform.com/responses/files/801201fd1faff37442ca1a447173662ee647d2138376ded2fd3e1e5788ea9d46/Kết_quả_học_tập.pdf"/>
        <s v="https://api.typeform.com/responses/files/ef48f2bc97b06ef4f88084898d5c0d58cdf9d4e50b24589d5a2e85e9304c8cbc/Transcript___Võ_Hoàng_Phúc.pdf"/>
        <s v="https://api.typeform.com/responses/files/8053da34a84256b30048f13730bf741a46d852829009e121bfb565c50cdfdee2/Transcript___User_Acquisition_Intern___Vũ_Đỗ_Trung.pdf"/>
        <s v="https://api.typeform.com/responses/files/909e231eca3674fcad9e6baef8adb188894f9e940aa3818884de196195dd95ec/Transcript___Game_User_Acquisition_Intern___Phạm_Hồng_Phương_Anh.pdf"/>
        <s v="https://api.typeform.com/responses/files/2cfd42a7950c84172a6491bfd875b3e51ea5d8666a7b0d6447f5c8f3b8134582/Transcript_Data_Analysis_Intern_Lê_Nguyễn_Minh_Thư.pdf"/>
        <s v="https://api.typeform.com/responses/files/3e38476519cdc565ae89536dbe008d42f3f29ee4cd2824447d7ad7ffef7960b8/Transcript___Game_Quality_Assurance_Intern___Ngô_Tùng_Khải.pdf"/>
        <s v="https://api.typeform.com/responses/files/553f0d7c5206df864427793ae1ce83cc2ae16f387b833a173683116ce7ee61c2/transcript.pdf"/>
        <s v="https://api.typeform.com/responses/files/9f14686f2a07ad5e2626190bc0fd0cd42e2c5c5d5f8bfd34432d4eaa4ae2d6df/Transcript___Data_Analysis_Intern___Ngô_Minh_Hải_Yến.xlsx"/>
        <s v="https://api.typeform.com/responses/files/70a8134a50e6a9cf7eabc3328a638858565f7af453ea2c2d4460dc58029512ae/Transcript___AI_Engineering_Intern___Nguyễn_Thiên_Ấn.pdf"/>
        <s v="https://api.typeform.com/responses/files/487cf55333aa7bfdceb8fa273428af825060fe1a827ae0df17beb2ddcc99e68c/Transcript___HR_Intern___Nguyễn_Mai_Hân.pdf"/>
        <s v="https://api.typeform.com/responses/files/83494503f956819663c34f5489a560250ee42894a7e157fc0a2eae4138a5b005/CV_AI_Intern_Unity_Intern_HaoNg.pdf"/>
        <s v="https://api.typeform.com/responses/files/4c5e476f86c396d9dbc1b7117122a826b90c8d3b434b78197bf5acdc33e32967/Transcript_Data_Analysis_intern_Bùi_Đặng_Quỳnh_Như.pdf"/>
        <s v="https://api.typeform.com/responses/files/43b841da06b905ae918b8d6cbcd821d298d727794225a3e8852575736fcfeea3/Nguyễn_Đắc_Thành_Bảng_Điểm.pdf"/>
        <s v="https://api.typeform.com/responses/files/80deefe1ea67aa0b458bacb5ad0316c21c69f1a0d6691a39ccf536e15c7e16ed/Transcript_GameQualityAssuranceIntern_DangTriNguyen.pdf"/>
        <s v="https://api.typeform.com/responses/files/59da8f9063a5a0cd26f039982e489ac470b1ce45305372dfa6d82ce474cda211/Screenshot_2026_05_04_144948.png"/>
        <s v="https://api.typeform.com/responses/files/c178ea9c782bf3c9d9bdb73d6f275a6f77c43252fa1da54c0679d2411b5be3a5/Transcript___Data_Analysis_Intern___Nguyễn_Phú_Trọng.pdf"/>
        <s v="https://api.typeform.com/responses/files/a948c7d2058f9466b65f2865f43caa37113dcf2b0f94f003ee883da081eabb43/Cổng_thông_tin_đào_tạo.pdf"/>
        <s v="https://api.typeform.com/responses/files/b517753de5eebf68c7eea2152dbd1212364755a76d18a795e0b7b2ac56b32268/Transcript___AI_Engineering_Intern___Phạm_Thị_Cẩm_Nhung.xls"/>
        <s v="https://api.typeform.com/responses/files/dbb3c43b15f6f92f458ca2723d5daafdc5c80a3ba1776b84a9e452aee7321cd1/Transcript___Human_Resources_Intern___Đào_Hương_Giang.docx"/>
        <s v="https://api.typeform.com/responses/files/dd4a72f7d3f5a1cfd3b02d96adc594ea690a4a01da30642b420e62ed7b737094/Transcript___Game_User_Acquisition_Intern__Trần_Thị_Thanh_Nga.png"/>
        <s v="https://api.typeform.com/responses/files/3bd2fb14c2d0df39d65763fc3f2cefc0f13a4f5de553fdb38eb2a8efe2e9a037/Transcript___Unity_Developer_Intern___Dang_Tran_Anh_Hao.pdf"/>
        <s v="https://api.typeform.com/responses/files/428cd4f230694707efd3620ee5a6bdebb6ced4d70200e21c797ae5a4f1f746a9/Transcript___Data_Analysis_Intern___Phạm_Ngọc_Thiện.pdf"/>
        <s v="https://api.typeform.com/responses/files/aa273803d22a48da4ee383b26263419fd511dc08c8deb3a626dac2e7a556afed/Transcript___Game_User_Acquisition_Marketing_Intern___Lê_Phạm_Hoàng_Hà.pdf"/>
        <s v="https://api.typeform.com/responses/files/706aede1180736e948692df286e905762d3d2f17003daed238468bee55dc48f7/Transcript___Game_User_Acquisition_Intern___Le_Bao_Ngoc.pdf"/>
        <s v="https://api.typeform.com/responses/files/a126d72d4fafebdd6899050b2e9914ab55f7160d06dc614b0168a9564dbca1f2/Transcript___AI_Engineering_Intern___Nguyễn_Tấn_Dũng.pdf"/>
        <s v="https://api.typeform.com/responses/files/59393cbf2ee841798cef03929fe08465f3e49f142a48aa32ad4deb8822a3bb66/GIP_2026___Bảng_Điểm___Lê_Quang_Long.png"/>
        <s v="https://api.typeform.com/responses/files/3efa15241b1e42aaec33b2130eaee7e34704418f4be0cc01a2de547901d22e18/Transcript___Data_Analysis_Intern___Nguyễn_Phạm_Chí_Bảo.pdf"/>
        <s v="https://api.typeform.com/responses/files/7f6b4ca5e7ec1a6e664dc1c602ae52ea4b5c90f91edf1d22d18e54daecf79dae/Transcript___AI_Engineering_Intern___Trần_Ngọc_Biên.pdf"/>
        <s v="https://api.typeform.com/responses/files/06477aaba885eb2765ef53346e0650823d361a9d689871f964ffc81c50760037/Transcript___Game_User_Acquisition_Intern___Nguyễn_Phan_Bình_Nguyên.xlsx"/>
        <s v="https://api.typeform.com/responses/files/e6bcf2a4f2a80fa60dca0eb77d67f72766bb6154cdc83ef65af746ccebfe89c5/Transcript___Unity_Developer_Intern___Lê_Tấn_Lợi.pdf"/>
        <s v="https://api.typeform.com/responses/files/75b7c67d2d6df081eeef792a475e73f07de218170ea53b4b34ba3d934793fdde/Transcript___Data_Analysis_Intern___Ho_Nguyen_Thanh_Trung.pdf"/>
        <s v="https://api.typeform.com/responses/files/46569e5b363222ec741401dcd012c730b0d5788add1a6839b7949d2997dc808a/Transcript___Unity_Development_Intern___Đặng_Hiểu_Hòa.pdf"/>
        <s v="https://api.typeform.com/responses/files/c076fc532536caabab09349a1b462df778a01d6e64163d646a1d9e3cfa94259b/BẢNG_GHI_KẾT_QUẢ_HỌC_TẬP.pdf"/>
        <s v="https://api.typeform.com/responses/files/d5a9838637599da9dc2f0e4d6a8bf7630638450d873c140c198148054fe2ff57/Transcript___Unity_Development_Intern___Trương_Quốc_Bảo.pdf"/>
        <s v="https://api.typeform.com/responses/files/ca7bbfbeff0abade7c72ede2fde86f112f2e6abd369443370c4e286ebacaf1c6/Transcript___Data_Analysis_Intern___Lai_Mộc_Huy.pdf"/>
        <s v="https://api.typeform.com/responses/files/616cf8979a8b9a3b71d29169d61e70de244446f68b624c29c7f3dc465061eaee/Transcript___Unity_Developer_Intern___Nguyễn_Duy_Tân.jpg"/>
        <s v="https://api.typeform.com/responses/files/9afb34ae32c6376f25541059ddf7e1e7a7fc4fa2bb2e26bdd3e28fb5352e79fc/Transcript___Data_Analysis_Intern___Kiều_Tấn_Anh_Minh.pdf"/>
        <s v="https://api.typeform.com/responses/files/1bbf76f8c7dc42c330710182cb31236643cdaca709f36b13962e92cb8be6d50a/Transcript___AI_Engineer_Intern____Nguyễn_Trần_Đức_Hoàng.pdf"/>
        <s v="https://api.typeform.com/responses/files/211c8456dc1fe3b2ba28b91efa7d534ff9b37a0b97cd00c07f98ca486b97fd60/Transcript___Game_User_Acquisition_Intern___Ngo_Anh_Kiet.xls"/>
        <s v="https://api.typeform.com/responses/files/7a8c76b7c0ca0db8306180bdb2372528ef57c4e1c28659a10b7efe008b558aa9/Transcript___Data_Analysis_Intern___Nguyễn_Mai_Xuân_Linh.pdf"/>
        <s v="https://api.typeform.com/responses/files/4147b5c80fe85c7ded38ed1effdddbaa1b835a581e1139ba367380de705ad243/Transcript___Data_Analysis_Intern___Huỳnh_Thị_Kim_Quỳnh.pdf"/>
        <s v="https://api.typeform.com/responses/files/cb681879e5dcf59cc31ba3de2e8ada7170d9362f330b929e72d7169322d1f212/Transcript___Data_Analysis_Intern___Phạm_Trần_Dạ_Thảo.pdf"/>
        <s v="https://api.typeform.com/responses/files/8fabb3b898d3bf6ea6362df1b045d16c7e1a124db81ad85860e5d648dbdaf2af/Academic_Transcript___Game_User_Acquisition_Intern__Hoàng_Thị_Thanh_Tâm.pdf"/>
        <s v="https://api.typeform.com/responses/files/dc769002a9ebba631b9cb3537c94afffac83a4ada43a5fab32fb58b80945ba45/Transcript___AI_Enginneer_Intern___NgoTruongDinh.pdf"/>
        <s v="https://api.typeform.com/responses/files/9ca8ec91e8da44c99d7d30d0fa0b27120c49b3a95b24f2662d1da8c673088f07/Kết_quả_học_tập.pdf"/>
        <s v="https://api.typeform.com/responses/files/a6824022f886125990700fa993e38ff0dadb5245f98610ebb0c6857e9067e374/Transcript___Unity_Development_Intern___Nguyễn_Duy_Nhất.pdf"/>
        <s v="https://api.typeform.com/responses/files/9adf050bbf1573ecfe2eefdb2d2ffd6b20fcea396e258f11776e9ecc45f6a3ed/Transcript___Data_Analysis_Intern___Kiều_Tấn_Anh_Minh.pdf"/>
        <s v="https://api.typeform.com/responses/files/1c8b50340ea1f0d03e6d0c42665192ef274e503f757b0d9eeed0e5b67791eaed/Transcript___Data_Analysis_Intern___Phạm_Ngọc_Quỳnh_Hương.pdf"/>
        <s v="https://api.typeform.com/responses/files/07ee858c9b26755f474d5e234c9949a3d419aebab32911030190cba6d3faccb2/Transcript___Quality_Assurance_Intern___PhamThiAiNgan.pdf"/>
        <s v="https://api.typeform.com/responses/files/b9b5176ee4e3babc1cdd7b7309d23d07568cd7e43ae96fe5f3ab15c60cd0d2ce/Transcipt___Data_Analysis_Intern___Huỳnh_Tấn_Đạt.pdf"/>
        <s v="https://api.typeform.com/responses/files/5d0953b25799a332004d98c9e602f37df7996e0a485aa7009711aa3cb2cd3d6f/Transcript_Data_Analysis_Intern_Nguyễn_Lê_Thiên_Kim.pdf"/>
        <s v="https://api.typeform.com/responses/files/ddd94b121d95703e65ec3185ca14de86faf448829997af1b525907da81ecb0a2/Transcript___Unity_Development_Intern___Lê_Minh_Hoàng.rar"/>
        <s v="https://api.typeform.com/responses/files/6e83430126f5c47d89c179626a6d6e0656ad4cb418e514e9aa19588c6176d21e/Transcript___Data_Analysis_Intern___Nguyễn_Đỗ_Minh_Quân.pdf"/>
        <s v="https://api.typeform.com/responses/files/acd0885f62bf30f8bc56e6014c806f7e832e7a194029ac48b7c70a26f9410d8a/Transcript_Game_User_Acquisition_Marketing_Intern_Nguyễn_Ngọc_Ánh.xlsx"/>
        <s v="https://api.typeform.com/responses/files/09e313108a7006723f8d3cafc09851f64381bb2331aa864a5a8203992291821f/Kết_quả_học_tập.html"/>
        <s v="https://api.typeform.com/responses/files/39d1b08e15f6d51210c56252e51a9b870f04dcd9c057dd7c3c07517588b28383/Transcript___AI_Enginering_Intern___Vũ_Đức_Việt_Anh.pdf"/>
        <s v="https://api.typeform.com/responses/files/d27bb5ed46e74d0a8300af68abe8b4feb6219c1b9a1a6ada0c26168311082908/Transcript___AI_Engineering_Intern___Hoàng_Đức_Hiếu_Anh.pdf"/>
        <s v="https://api.typeform.com/responses/files/7479b0a432a8032393f22585ea197efcab128f73c1486f05ae75e02ac9a8265a/Transcript___Data_Analysis_Intern___Dương_Thị_Quỳnh_Giang.pdf"/>
        <s v="https://api.typeform.com/responses/files/4de4e2544337a5427db847ac704664215eae10ff24512bd22d81ef83feabd324/Transcript___Data_Analysis___Hà_Quang_Đại.pdf"/>
        <s v="https://api.typeform.com/responses/files/1e720ffb17c140dcd4c9932b10302a11a6bff7f6f97d67f7075cf3475a59ddf2/Transcript___Unity_Development_Intern___Nguyễn_Văn_Anh_Quân.png"/>
        <s v="https://api.typeform.com/responses/files/ae017aa0d7d113d62627f4cc45439f18379142799305c0633c655db11e4a418b/Transcript_Game_User_Acquisition_Intern_Trần_Ngọc_Tuyền_Vy.pdf"/>
        <s v="https://api.typeform.com/responses/files/319a1023240fc7026bc9d85ee1b7be7828af3a6879e572b847868eb8a16d84d8/Transcript___Data_Analysis_Intern___Phạm_Nguyễn_Thế_Hào.pdf"/>
        <s v="https://api.typeform.com/responses/files/f5abe6301963e78e5a76a1f782e65ce38712f9f6ff6e9db8f5a4bf4a0ad23626/Transcript___Game_Quality_Assurance_Intern___Bế_Trương_Dương.xlsx"/>
        <s v="https://api.typeform.com/responses/files/d7d211530515ad6db112ed1bca58cf2a6d287795d060785973820a94656b0649/Transcript___Game_QA_Intern___Dinh_Quoc_Tien.jpg"/>
        <s v="https://api.typeform.com/responses/files/ea4a02844ff77af8937368b644aff639f847a1b1c5dd6ec9656a7a6ed6776b58/20260506_112840.jpg"/>
        <s v="https://api.typeform.com/responses/files/94698ddcb2b7aee40c4e884a98c16fd1f737ebd7d4b6ce02e7b06ffe9c435621/Transcript___Data_Analysis_Intern___Nguyễn_Huy_Quang.pdf"/>
        <s v="https://api.typeform.com/responses/files/179d97a6ce8854ae78de6bc21149aba1276e80ee3b3eed04c98a58367ea7d6f3/Transcript_Game_User_Acquisition_Intern_Nguyễn_Văn_Minh_Quân.pdf"/>
        <s v="https://api.typeform.com/responses/files/311f7a062b5d768ae8342bd24785e3e43256a039cd1e290a52c91ff5c408b36b/Transcript_AIEnginnerIntern_HuynhAnhQuoc.pdf"/>
        <s v="https://api.typeform.com/responses/files/db9d702e1539e0438a562540dd7fcab37373ab61a04c6ec70684a63b6157d738/Transcript___Game_Data_Analysis_Intern___Trần_Minh_Tài.pdf"/>
        <s v="https://api.typeform.com/responses/files/0cd3c374730e09fcf8c5a80b24ff5f1f3ded607b1415be125701e8e964693df4/Transcript___Unity_Development_Intern___Trương_Lâm_Gia_Vỹ.xlsx"/>
        <s v="https://api.typeform.com/responses/files/0377bea85423f7523c23eb4d8932831a0d6abfb263bc40a4c6c04e72fabaaa5c/Transcript___GameDeveloper___Tô_Gia_Lợi.pdf"/>
        <s v="https://api.typeform.com/responses/files/d677f7c6eb58b6fd4e9add5ea7a1956740accfdf64d40d74bb277f513703d558/BangDiem.pdf"/>
        <s v="https://api.typeform.com/responses/files/cddb7ed7c3445a09ade9574a925e71c5f94e3f6d5d8f49f1dbc613bf12a10063/Transcript___AI_Engineering_Intern___Nguyễn_Cang_Trường.pdf"/>
        <s v="https://api.typeform.com/responses/files/7982f6b3511b5c284a9e5507d3be1166962217211ee98f9fee7ccb8b646a86c5/Transcript___AI_Engineer_Intern___Hồ_Ngọc_Hiếu.pdf"/>
        <s v="https://api.typeform.com/responses/files/a1d504bc322f40d121277e142d00898fa604aa597f203eff2c7f6709d6716d84/Transcript___Data_Analysis_Intern___TranCamTu.pdf"/>
        <s v="https://api.typeform.com/responses/files/5fc8e05305eec332884489c409024320a2b3866ac17d5a30bbb9b41e6dd90f44/CV___Game_User_Acquisition___Trần_Thị_Trúc_Linh.pdf"/>
        <s v="https://api.typeform.com/responses/files/d07cbc82284fcbb36f7b77e77c9f04852c3fc283ff90bc55efc60106a480e051/Transcript_Human_Resources_Intern_Tran_Nguyen_Hanh_Trang.pdf"/>
        <s v="https://api.typeform.com/responses/files/232d72402a3fa22cfbc3e556e4adb04f3139e3864891977fe2207c494ce8acbf/Transcript___AI_Engineering_Intern___Nguyễn_Trần_Phương_Mai.pdf"/>
        <s v="https://api.typeform.com/responses/files/36050fdee38f55174ad95ed500e1bc75fae6f68d2b7c5059fc507b7e69231cf2/inbound6583833467137997340.pdf"/>
        <s v="https://api.typeform.com/responses/files/0d95d878c6edd6639a54c30e87b8c3a045ffb9685dd3c8ca1a65624ccd7871f4/Transcript___Data_Analysis_Intern___Phạm_Quang_Vinh.pdf"/>
        <s v="https://api.typeform.com/responses/files/3bcc4f2be4fdbee9e51a4a7152d0d40da0fc5f221475349032b6c0d891ef3579/Transcript___Data_Analysis_Intern___Nguyễn_Thị_Anh_Thư.pdf"/>
        <s v="https://api.typeform.com/responses/files/d54e1d944bcde48fc25331cdd8eb8cc11062edbf97b483ded8cd79d04b20a1da/Transcript___Game_User_Acquisiotion_Intern___Nguyen_Quoc_Lap.pdf"/>
        <s v="https://api.typeform.com/responses/files/24fdf0ff46c36df91905a6cba9e04af97370fb41d377fe559c592fc031a419e5/Transcript___AI_Engineering_Intern___Nguyen_Le_Dang_Khoa.pdf"/>
        <s v="https://api.typeform.com/responses/files/b7a12e50255b8d81a73fb7c141d05b466fb3d5887788a000314b63b244977e6c/Transcript___Unity_Development_Intern___Dương_Thanh_Phụng.pdf"/>
        <s v="https://api.typeform.com/responses/files/0c05e5586b6debd915d0962122ac1880ba564275f74d4e91323e354f652f6c83/Transcript__Game_Quality_Assurance_Intern___Thi_Kiều_Thơ.png"/>
        <s v="https://api.typeform.com/responses/files/b668a99bb43dc243dee046326b9600cef3bfdb2767762c955e2768c8945b776d/Transcript___Game_Development_Intern___Tiền_Minh_Dương.pdf"/>
        <s v="https://api.typeform.com/responses/files/7405caefa2fa21cb9b02b8c0ecd41b6d8c3905485d750c34fd425ac3b01b8298/Transcript___Unity_Development__Intern___Lữ_Nguyễn_Duy_Đức.pdf"/>
        <s v="https://api.typeform.com/responses/files/ca701e00c43212fe12505da698bae11ab895a75b4fe143f894fc4f9c429b68f8/Transcript___UA_Marketing_Intern___Nguyễn_Đức_Hiệp.jpg"/>
        <s v="https://api.typeform.com/responses/files/016d0f7aaa7c7e22f5ed8e1bd8add0e473670f0c556ef4f3f4ff9cd9084deaef/bảng_điểm.png"/>
        <s v="https://api.typeform.com/responses/files/f087067ced0588938b366c628e111ef5ca2e8bdead36a5a8dff846d006a9a197/Transcript_Game_User_Acquisition_Intern_Nguyễn_Thế_Văn.pdf"/>
        <s v="https://api.typeform.com/responses/files/acd3bb35847a7e3548d40ec6d36df3be6ab77ac65c3f78847debcb0f0727d0fe/Transcript_DataAnalysisIntern_NguyenHuuThien.pdf"/>
        <s v="https://api.typeform.com/responses/files/15559a95ec64c4704d7902bb414540693b196cd9f976eda5db81782eaaa4a07f/Transcript___Unity_Development_Intern___Nguyễn_Quốc_Tiến.pdf"/>
        <s v="https://api.typeform.com/responses/files/ff6f45564d6f72075dbf46622c7eb778a9ef82bad3848d0557c4fc0ee4580f13/Transcript___AI_Engineering_Intern___Võ_Duy_Anh.pdf"/>
        <s v="https://api.typeform.com/responses/files/42cfaf56032d8d52e6d062c5b924fdfd85024797f0030ad0ca71f5af112ce71a/Transcript___Data_Analysis_Intern___Nguyễn_Lê_Diễm_Ngọc.pdf"/>
        <s v="https://api.typeform.com/responses/files/dbbb3f489a3f4cceb51187c6a5eddd3a313ccfd81a37fe13b939b593c3bfb969/Transcript___Unity_Developement_Intern__Luong_Linh_Khoi.pdf"/>
        <s v="https://api.typeform.com/responses/files/acbc3d88f7a4a5435caf63a947cad6f7d4624b0374ec4f73e2287465f7f33d88/Transcript___Game_Quality_Assurance_Intern___Bui_Trong_Tin.pdf"/>
        <s v="https://api.typeform.com/responses/files/dc496fe622ecf3f955f0b44d49909e1a756c8f38f085f978f2ecc9b3e631b560/Transcript___Unity_Development_Intern___Nguyễn_Nhật_Huy.docx"/>
        <s v="https://api.typeform.com/responses/files/d3c072df59ee74531eb275bf2e3d16484811493959e6331cdb869b1b30e048c7/Transcript___AI_Engineering_Intern___Huỳnh_Ngọc_Anh_Thư.pdf"/>
        <s v="https://api.typeform.com/responses/files/0059ed1d7f89fad4c9a372da3192ffa47fc1495827e5993b8744f8a4aa16c739/Transcript___AI_Engineering_Intern___Hoàng_Văn_Minh.pdf"/>
        <s v="https://api.typeform.com/responses/files/bf4f05ef5f202edd1da8b5a37e6bb70577b2e23e24e701010d3c2793e8d49005/Transcript___AI_Engineering_Intern___Nguyễn_Phước_Thành_Tâm.pdf"/>
        <s v="https://api.typeform.com/responses/files/3e7265a94e7cf4ba9d74f037fce3c927011671afb8846882ccddf72a4dd938f1/Phạm_Thị_Thùy_Dương__Game_User_Acquisition_Intern.pdf"/>
        <s v="https://api.typeform.com/responses/files/4a82d09f8c0a18165abcfa7308e0932725388a2650c83357e7c00e2937c1c0f6/Bảng_điểm__FPT_Polytechnic__2_.pdf"/>
        <s v="https://api.typeform.com/responses/files/836f9557edbe9427b53e87d21978f0ff6e5632c8c03cdd2a76ffb90a6b2666fc/Transcript_Data_Analysis_Intern_Trần_Ngọc_Nhi.xls"/>
        <s v="https://api.typeform.com/responses/files/db9582f71ef33dd1a5a9c263809716366ffba542ceff68e28fab85f80eedee3a/Transcript___Data_Analysis_Intern___Nguyen_Thi_Khanh_Ly.pdf"/>
        <s v="https://api.typeform.com/responses/files/d9e6ae581f9317c4b7e1bb407498c0e999607e01357df1b06a0da757a375f1d1/Transcript_GAME_DESIG_INTERN__HÀ_NGỌC_TUYẾT_NHƯ.pdf"/>
        <s v="https://api.typeform.com/responses/files/c55a84cb11e29d2961bdd1d1547985b528dc62d9b3510d8292438e643822d16e/Transcript___Game_User_Acquisition_Intern___Trần_Xuân_Mai.pdf"/>
        <s v="https://api.typeform.com/responses/files/7ce6ca216df89d9165328b81e086dad7b7159d755772a34bb5501439df90d556/Transcript___Data_Analysis_Intern___Võ_Thị_Đông_Nghi.pdf"/>
        <s v="https://api.typeform.com/responses/files/7f7563944540a870649de08553849a508ff6d6f2d53e78725463d163d7ebed4d/Transcript___Data_Analysis_Intern___Nguyễn_Ngọc_Phương.pdf"/>
        <s v="https://api.typeform.com/responses/files/3fdc113d17502784c46eb54f1abceb1957a6f917e3e933759db1227c6a225fb1/Transcript___Data_Analysis_Intern___Lê_Hiếu_Ngân.pdf"/>
        <s v="https://api.typeform.com/responses/files/9d09ef9827c92bf59b640fd89373e0789316ae3ccde732642d4d89af3e4a2aab/Transcript___Game_Designer___Le_Minh_Quang.pdf"/>
        <s v="https://api.typeform.com/responses/files/39b19fad813b9848576a900c98e80327dc811674b87a613f4dea3ff509f4206b/Transcript_Game_Quality_Assurance_Intern_Nguyễn_Thị_Ngọc_Hân.pdf"/>
        <s v="https://api.typeform.com/responses/files/bd7f753c0903feb807d40472f9639b528f75a3c204e464f5f96b0c13f0c615aa/Transcript_AI_Engineer_Intern_Phan_Văn_Hoàng.pdf"/>
        <s v="https://api.typeform.com/responses/files/a873d402ddea8b5f7473b25a989f77a9baec13a731848d73d02b336f37ee3f3c/Transcript.pdf"/>
        <s v="https://api.typeform.com/responses/files/16c24a2f1ab7a0c7980cae48717e30249cd39e70868a79a757685f815d29f4a0/Statement_of_Completion___BP318.pdf"/>
        <s v="https://api.typeform.com/responses/files/e51cc7832950fad1ff8f2b88d3167430957cc91a396cda9bbaece399ee5e2f5a/Transcript___HR_Intern___Phùng_Nguyễn_Khánh_Trâm.pdf"/>
        <s v="https://api.typeform.com/responses/files/942ee7c9875d38368a3d715ec9f166b32ce68c913189492c351fc9333f7a89d3/Transcript___Data_Analysis_Intern___Nguyễn_Lợi_Thanh_Dũng.pdf"/>
        <s v="https://api.typeform.com/responses/files/fb883a43dde023cb6ded7edf512b7988e541ec51dd84409473cd042ef44c4049/Transcript___Unity_Development_Intern___Game_Design_Intern___Nguyễn_Gia_Bảo_Danh.pdf"/>
        <s v="https://api.typeform.com/responses/files/ef9c8f57e43175d8b83ad14a40ee78362bf7de842452fb6893de05fc7f2fd402/Transcript___AI_Engineer_Intern___Lâm_Nhật_Minh.pdf"/>
        <s v="https://api.typeform.com/responses/files/7eae848533cba60faf8ff67340a73b1aaffec81f85620edcccc1c73b992d594c/StudentTranscript_DE170764__LeDucManh.xls"/>
        <s v="https://api.typeform.com/responses/files/09e76fc81ef2cd4dc1ce640382279e074be26f605bee3361a5d5ce26270f7500/bangdiem.pdf"/>
        <s v="https://api.typeform.com/responses/files/d99bba9225861d4965f8fb47f9c2d54cd580bac203e95d6a71227fdd1495572b/Transcript___Unity_Development_Intern___Nguyễn_Hữu_Sang.pdf"/>
        <s v="https://api.typeform.com/responses/files/a3800d928aaf803124ce4e3acececcc1e54cab75cc5244e92aadc071f1fd36ac/Transcript___Data_Analysis_Intern___Nguyễn_Công_Minh.pdf"/>
        <s v="https://api.typeform.com/responses/files/868d275b38ae89ec57bc47ae4fb8706274b4b1af271723aeb3ebe105b8ad150b/Transcript___Game_Designer_Intern___Vo_Van_Chi_Thuan.xlsx"/>
        <s v="https://api.typeform.com/responses/files/bdbbf104ebaca25c2791166d6236a01028247767cdf5ed5062037708282bdaa6/Transcript___Data_Analysis_Intern___Tô_Trần_Nhã_Uyên.pdf"/>
        <s v="https://api.typeform.com/responses/files/4d4341fe7fa6204df48f084229b4c92bce0df6caf43538f51eb31d27206c9e11/Transcript___Game_Designer_Intern___Bùi_Bách_Nguyên.pdf"/>
        <s v="https://api.typeform.com/responses/files/b682d2a15c5a2d88dcaaf4a2c906e8f469f1deb506d61d929897b52e024973a4/Transcript___Game_User_Acquisition_Intern___Pham_Ngoc_Yen_Nhi.pdf"/>
        <s v="https://api.typeform.com/responses/files/768a6b07b6d7567d80f726bf0f0670ae6adad21213eb8425c33ebea770d23ce2/Transcript___Data_Analysis_Intern___LÊ_HOÀNG_NHƯ.pdf"/>
        <s v="https://api.typeform.com/responses/files/fc3c566d694710b0bfab752d773dcb4324551ea0435c8eaa097095d89feb9274/Transcript___Data_Analysis_Intern___Huỳnh_Chơn_Thành_Nhân.pdf"/>
        <s v="https://api.typeform.com/responses/files/4727cf3b0fd098f098cc5c8a7d20b2a2980032bb1c79ecd0a740be0b709e3bfd/Transcript___AI_Engineering_Intern___Võ_Công_Khanh.pdf"/>
        <s v="https://api.typeform.com/responses/files/63424e1100dfe3186d771326b22fdf827b3a110be0f146389697680a804635b6/Transcript___Unity_Development_Intern___Nguyễn_Thanh_Vũ.pdf"/>
        <s v="https://api.typeform.com/responses/files/3c3c098192749fe9b8699c609bafbcbf255809e71b5391f0ae8eb1244a923f63/Transcript___Game_Design_Intern___Huỳnh_Phước_Tài.pdf"/>
        <s v="https://api.typeform.com/responses/files/7b60266f23cd581a3ca8bd5d06b5f3ef2a135796f74fdbc5d5f87d7f18959caa/Transcript_Game_User_Acquisition_Marketing_Intern___Data_Analysis_Intern__Võ_Nguyễn_Lan_Nhi.pdf"/>
      </sharedItems>
    </cacheField>
    <cacheField name="Have you had any game-related or job-related experience before (personal project/coursework/competition…)?" numFmtId="0">
      <sharedItems>
        <b v="0"/>
        <b v="1"/>
      </sharedItems>
    </cacheField>
    <cacheField name="If yes, please briefly describe your roles and the project outcomes" numFmtId="0">
      <sharedItems>
        <s v="I do not have direct experience in the gaming industry yet. However, I have experience in content creation with strong SEO performance and have been actively learning about user acquisition, including basic campaign metrics. I’m eager to apply and develop"/>
        <s v="Em có kinh nghiệm chuyên sâu về AI/ML qua đồ án tốt nghiệp ứng dụng XGBoost và Transformer để phát hiện tấn công mạng từ dữ liệu PCAP. Trong kỳ thực tập tại Motorola Solutions, em đã trực tiếp xây dựng pipeline xử lý dữ liệu quy mô lớn và huấn luyện các m"/>
        <s v="Đó là dự án cá nhân, trong đó em lên ideas cho game, viết cốt truyện, tạo các ending, tạo lựa chọn phù hợp, lên ideas cho tuyến phát triển cho các npc, viết code, và test thử. Dự án đó vẫn chưa hoàn thành và cũng không public, chỉ có trên git. Còn một bài"/>
        <s v="backend developer"/>
        <s v="em không có"/>
        <s v="Adventure RPG Project (Unity): Served as the Lead Developer for Map 2. Programmed the entire combat system and AI behaviors for mobs and the final Boss using C#.  Outcome: Delivered a fully functional 6-level action game while mastering the Unity workflow"/>
        <s v="Là 1 bài tập xây dựng trò chơi tìm đường đi trong mê cung, có sử dụng các thuật toán tìm đường. Mình xây dựng thuật toán DFS và giao diện. Nhóm được điểm tốt trong bài tập đó."/>
        <s v="."/>
        <s v="Chưa có."/>
        <s v="In the ArtemisSearch project at AIC 2024, I worked on developing an AI-based search system, focusing on data processing, embeddings, and improving retrieval performance. The project resulted in a functional prototype for intelligent multimedia search. Our"/>
        <s v="Đã từng tham gia thực tập trong vòng 4 tháng với vai trò là unity developer intern. &#10;Tham gia phát triển dự án game mobile với team gồm 2 unity developer intern và các bộ phận khác trong công ty. Công việc chính: xây dựng hệ thống UI, phát triển hệ thống "/>
        <s v="No"/>
        <s v="I haven’t had formal experience in game-related or professional projects yet. However, I have worked on academic projects in machine learning, and I’m currently building my skills. I’m highly motivated to learn and gain practical experience through this o"/>
        <s v="Vai trò: Independent Data Analyst&#10;&#10;Chịu trách nhiệm toàn bộ vòng đời phân tích dữ liệu: từ khâu làm sạch, xử lý dữ liệu lớn (SQL/BigQuery &amp; Python) đến việc xây dựng mô hình dữ liệu (Data Modeling) và thiết kế Dashboard tương tác (Power BI).&#10;&#10;Kết quả đạt "/>
        <s v="Em đã có kinh nghiệm kiểm thử phần mềm thông qua dự án Event Management System (JavaFX) với vai trò Tester. Em đã thiết kế và thực thi hơn 120 test case, phát hiện và báo cáo hơn 28 lỗi với mô tả chi tiết và các bước tái hiện lỗi. Ngoài ra, em thực hiện k"/>
        <s v="Dạ, em đã có kinh nghiệm thông qua kỳ thực tập tại Novaha và các dự án cá nhân.&#10;&#10;Trong quá trình thực tập, em đã xây dựng pipeline xử lý dữ liệu, giúp giảm 40% thời gian xử lý thủ công và làm việc với hơn 1,000+ dữ liệu hình ảnh. Bên cạnh đó, em thực hiện"/>
        <s v="As an AI Research Mentee at AIMA (mentored by a CMU PhD candidate), I built a robustness evaluation pipeline benchmarking Ferret-7B and NVIDIA DAM 3B under image corruption. I engineered a UniversalDataset abstraction unifying 5 benchmark formats and impl"/>
        <s v="Mình chưa có kinh nghiệm về game"/>
        <s v="Mặc dù tôi không có kinh nghiệm liên quan đến Game, nhưng tôi có kinh nghiệm làm việc phù hợp thông qua các dự án và cuộc thi học thuật. Ví dụ, tôi đã làm việc trên một hệ thống thử nghiệm cảnh báo rủi ro sớm dành riêng cho Sale tín dụng tại VPBank trong "/>
        <s v="N/A"/>
        <s v="Trong dự án nền tảng học trực tuyến, em đảm nhận vai trò fullstack developer, phụ trách cả frontend (React) và backend (NestJS). Em thiết kế API, xây dựng hệ thống quản lý khóa học, video và người dùng. Ngoài ra, em triển khai tính năng xử lý video và bướ"/>
        <s v="Em từng tham gia Ban Nhân sự của Bach Khoa Ambassador Club, nơi em hỗ trợ đăng tin tuyển dụng, sàng lọc hồ sơ và điều phối phỏng vấn cho các vị trí trong câu lạc bộ. Em cũng tham gia trao đổi với ứng viên và hỗ trợ quá trình onboarding thành viên mới. Kết"/>
        <s v="Em đã thực hiện nhiều dự án trong trường liên quan đến AI/ML, chủ yếu trong lĩnh vực Computer Vision và Deep Learning. Các dự án bao gồm phân loại ảnh, phát hiện đối tượng và nội suy khung hình video sử dụng Python và PyTorch. Trong các dự án này, em tham"/>
        <s v="Yes, I have hands-on testing experience as a freelance tester on Test IO. I performed exploratory testing for web and mobile applications, identified functional and visual issues, and reported over 30 valid bugs in English. This experience strengthened my"/>
        <s v="Yes. I worked as an AI Engineer Intern, where I contributed to a project developing a CV evaluation system to support HR in filtering applications. My role was to research and extract features for scoring CVs, and I also used n8n to automate retrieving CV"/>
        <s v="Hiện tại em có nền tảng về phát triển mobile app và website. Tuy chưa có nhiều kinh nghiệm trực tiếp trong lĩnh vực game, nhưng em tin rằng các kỹ năng lập trình, tư duy logic và kinh nghiệm xây dựng sản phẩm của mình có thể áp dụng tốt vào quá trình phát"/>
        <s v="I don’t have direct experience in the gaming industry yet, but I have worked with data through coursework, mainly using Excel for organizing and analyzing data.&#10;In addition, I’m very interested in games and often try to understand how player behavior and "/>
        <s v="Có, tôi đã tham gia các dự án game, ví dụ như game Tower Defense với vai trò Gameplay Developer, chủ yếu phát triển gameplay bằng Unity, xây dựng cơ chế chơi. Qua đó, tôi hoàn thành sản phẩm đúng mục tiêu và tích lũy thêm kinh nghiệm thực tế về Unity, C# "/>
        <s v="Trong dự án FPS Multiplayer, tôi làm Game Play Developer. Tôi triển khai cơ chế di chuyển và bắn súng, đồng bộ người chơi, tạo phòng chơi bằng Photon PUN2, cùng xây dựng hệ thống điểm và bảng xếp hạng.  Dự án hoàn thành với gameplay ổn định ở 60 FPS và kh"/>
        <s v="Em quản lý hệ thống game trong dự án nhóm Debt or Dead trong khóa học Unity tại trường, được đánh giá 9/10 điểm."/>
        <s v="MMORPG C++, Unity Puzzle C#"/>
        <s v="Trong dự án gần nhất, em đóng vai trò từ thiết kế đến lập trình và kiểm thử. Đây là dự án game cá nhân đầu tiên của em."/>
        <s v="- Em có thu thập dữ liệu các loại bánh yêu thích theo mùa trên internet, sau đó làm sạch dữ liệu, phân tích các loại bánh nào sẽ được yêu thích vào mùa nào, ví dụ: Mùa valentine thì ưa chuộng bánh socola, &#10;- Đồng thời em cũng xây dựng dashboard cho websit"/>
        <s v="I have developed a game pokemon using Unity, and I have contributed into design and develop the skills, movement, strength balancing, and design the mana, blood bar for the character and pokemon"/>
        <s v="Trong môn Tư Duy Thiết kế trong Kinh doanh, vào phần bài tập nhóm lấy điểm cuối kỳ: nhóm em xây dựng ý tưởng cho một game mobile (thể loại: casual/puzzle) từ giai đoạn lên ý tưởng đến đề xuất mô hình kinh doanh. &#10;Sau thời gian cùng bàn luận với các thành "/>
        <s v="Dạ chưa có"/>
        <s v="1. ABSA on Tiki Reviews project&#10;I worked on a semi-automatic dataset construction project using LLM-assisted labeling. My role involved preprocessing crawled raw data and designing annotation guidelines to create a gold dataset (~30% of processed data). I"/>
        <s v="Tôi đã từng làm đồ án môn Game Aventure 2D, vai trò chính của tôi trong nhóm là viết kịch bản game, thiết kế map, lên ý tưởng nhân vật, thiết kế nhân vật, kiểm tra và báo lỗi khi trải nghiệm game"/>
        <s v="Trong quá trình thực tập và các dự án cá nhân, em đã tham gia kiểm thử hệ thống web với nhiều module như product, order, dashboard và quản lý người dùng. Em thực hiện API testing bằng Postman, kiểm tra luồng chức năng, xác nhận dữ liệu và phát hiện lỗi. N"/>
        <s v="During my previous AI internship, I worked on a project focused on generating infographics from news articles. My role involved researching LLM-based approaches, designing prompts to extract and structure key information, and supporting the pipeline for t"/>
        <s v="While I have not had direct experience in the gaming industry yet, I have gained relevant experience through a university project where I worked as an Operations Intern for the financial website “5PhutTaiChinh.” In this role, I supported coordination task"/>
        <s v="Tôi đã thực tập vị trí Tester Intern ở công ty Testing VN, sau 3 tháng thực tập tôi đã làm những công việc như viết Testcase, Test API, SQL,.... Sau khi thực thi các testcase em tìm ra những con bug và em đã post lên Jira để DEV có thể fix lại sau khi fix"/>
        <s v="Chưa có kinh nghiệm liên quan tới game"/>
        <s v="Vietnamese Historical Weather Dashboard: Mình tham gia với vai trò Data Analyst và Designer, sử dụng Python (NumPy, Pandas, Matplotlib, Dash, Plotly) để phân tích và trực quan hóa dữ liệu thời tiết. Đồng thời, mình xây dựng chatbot hỗ trợ truy vấn và phát"/>
        <s v="DAZONE 2025 – National Data Analytics Competition (Top 10)&#10;- Cleaned and standardized a large-scale e-commerce dataset with missing, duplicate, and unstructured records to ensure data quality and consistency;&#10;- Performed EDA to identify user behavior patt"/>
        <s v="I have experience working with data through academic projects and part-time roles.&#10;In my graduation thesis, I performed data preprocessing and analysis on user behavior data, applied NLP techniques (TF-IDF, Word2Vec, BERT), and supported building a recomm"/>
        <s v="Em đã có kinh nghiệm làm dự án liên quan đến game mang tên &quot;Mummy Maze Game AI Solver&quot;. Về vai trò, em đảm nhiệm việc thiết kế game engine bằng công cụ Pygame và xây dựng một agent. Em đã trực tiếp cài đặt và đánh giá các thuật toán tìm kiếm (như DFS, BFS"/>
        <s v="I served as Co-Project Leader in a recruitment project in my club, where I led the end-to-end hiring process, including planning, candidate sourcing, screening, and interview coordination. I also managed a pipeline of over 200 candidates and coordinated a"/>
        <s v="Em đã tham gia một số dự án học tập liên quan đến phân tích dữ liệu, trong đó em phụ trách làm sạch dữ liệu, phân tích và trực quan hóa bằng Power BI/Excel.&#10;&#10;Kết quả là xây dựng được dashboard giúp theo dõi và rút ra insight từ dữ liệu. Qua đó, em cải thi"/>
        <s v="No, i haven't"/>
        <s v="Digital Commerce Executive (Client Nutifood):&#10;Media Management (20%): Collaborated with the Performance Marketing team to develop media plans for Shopee, TikTok Shop, Lazada forecast ROI, and plan sales activities.&#10;Promotion Management (30%): Responsible "/>
        <s v="I have experience in both community growth and data analysis. I directed a viral TikTok strategy that achieved 107,000+ likes and 10,000+ followers by analyzing audience trends and testing content hooks. Additionally, at Gateway Learning, I managed Facebo"/>
        <s v="I conducted a Sales Data Analysis project where I built an end-to-end data pipeline using SQL, Python, and Power BI. My role involved data modeling and mining to uncover actionable trends, leading to more data-driven operational insights."/>
        <s v="Trước đây, em đã từng thực tập với vị trí Software QC tại SPERANZA INTERNATIONAL SOFTWARE DEVELOPMENT COMPANY LIMITED trong vòng 3 tháng. Ngoài ra, đối với ngành công nghiệp game thì em đã từng làm việc với vị trí Content Writer, Video Editor cho một số d"/>
        <s v="Overview: Designed and operated a server-authoritative backend supporting real-time multiplayer gameplay and live services.&#10;&#10;Key Contributions:&#10;&#10;&#10;Developed socket-based networking using TCP/IP:&#10;   + TCP for authentication, lobby, chat, and session managem"/>
        <s v="CS Staff: Quản lý lớp học, chăm sóc khách hàng và tổ chức sự kiện tại trung tâm.&#10;QC Staff: Kiểm soát chất lượng hàng hóa, quản lý tồn kho và vận hành đơn hàng thương mại điện tử."/>
        <s v="None"/>
        <s v="I am interested in the gaming industry, but I have not had direct experience in this field. I hope to gain hands-on experience and learn more by applying for this role."/>
        <s v="I have self-developed a 2D game using Godot Engine. I was responsible for the entire development process, including game design, implementing core gameplay mechanics, player controls, UI, and basic animations.&#10;Through this project, I gained practical expe"/>
        <s v="- Data Analysis Intern | IDG Vietnam: Analyzed quantitative and qualitative data across multiple customer segments to evaluate and rank banking products for national awards&#10;- Top 5 | RMIT Business Analytics Champion 2025: Analyzed manufacturing data and p"/>
        <s v="Trong dự án Flight Delay Prediction, em phụ trách data cleaning và xây dựng mô hình ML. Kết quả, mô hình đạt ~80% accuracy, xác định 3 yếu tố chính gây delay (thời tiết, hãng bay, lịch bay) và hỗ trợ dự đoán xu hướng trễ chuyến."/>
        <s v="Có dựa theo video trên Youtube để làm một tựa game trên Unity giống với mario"/>
        <s v="Nhiệm vụ chính: Hiện thực hóa thuật toán tìm đường với tối đa 2 bước ngoặt, cơ chế tự động xáo trộn (Shuffle) và hệ thống gợi ý (Hint) thông minh.  &#10;&#10;Kỹ thuật xử lý: Quản lý dữ liệu mảng đa chiều, đồng bộ hóa trạng thái trò chơi và tối ưu hóa hiệu suất vậ"/>
        <s v="Prioject: User Behavior and Demographic Analysis in Online Advertising&#10;Role: Data Analyst&#10;Description: Conducted a full-cycle data analysis project to understand user behavior in online advertising. Performed data preprocessing, exploratory data analysis "/>
        <s v="Chưa từng có kinh nghiệm liên quan ạ"/>
        <s v="Tôi có làm dự án về LLM và RAG cho tư vấn bệnh tiểu đường"/>
        <s v="Tôi đã có kinh nghiệm quản lý hồ sơ, hõ trợ kết nối giữa giảng viên và phụ huynh qua công việc làm trợ giảng tiếng anh. Bên cạnh có, tôi cũng từng thực hiện dự án môn Hành vi tổ chức yêu cầu nghiên cứu về động lực thúc đẩy khả năng làm việc của nhân viên,"/>
        <s v="Em đã tham gia 1 project nhóm phân tích dữ liệu Airbnb, sử dụng Excel và Power BI để phân tích các yếu tố như giá và tỷ lệ lấp đầy, từ đó rút ra insight và đề xuất hướng tối ưu. Ngoài ra, em có kinh nghiệm cơ bản trong việc theo dõi và tối ưu các chỉ số t"/>
        <s v="Em đã hoàn thành 7 tựa game. Trong đó, em đảm nhận việc lập trình, thiết kế game, đồ họa, âm thanh. Qua các dự án ấy em học được cách thiết kế hệ thống tương tác nhau một cách chỉnh chu cũng như là những thiết kế sai để có thể né tránh những lỗi lầm ấy."/>
        <s v="I have 1 personal project and 1 coursework:&#10;The first coursework is &quot;Customer churn analytics and prediction in telecommunication&quot;, it's a project of &quot;Statistical Analysis&quot; subject. I began by performing Exploratory Data Analysis (EDA) - with using Python"/>
        <s v="I haven't had any game-related or job-related experience before"/>
        <s v="During my &quot;Magazine and Publication Production&quot; course, my team created a game-themed magazine called GAME VERSE.&#10;&#10;Role: I was the Head of Content, where I was responsible for coordinating the editorial team, planning the topic, managing the content strat"/>
        <s v="I worked on RecipeLens, an AI-powered full-stack application.&#10;I integrated AI models into application workflows, built backend APIs, and handled async processing. This project gave me hands-on experience with AI pipelines and deploying an end-to-end syste"/>
        <s v="Real‑Time Sentiment Analysis for E‑Commerce – Role: System Designer and Model Developer. I built a big data pipeline with Kafka/Spark and fine‑tuned PhoBERT for multi‑aspect sentiment classification. Outcome: Delivered sub‑5 second latency and F1‑Score 0."/>
        <s v="Em đã có kinh nghiệm làm các dự án liên quan đến phân tích dữ liệu trong quá trình học. Ở dự án HR Analytics, em thực hiện xử lý dữ liệu, phân tích hiệu suất nhân sự và rút ra insight để hỗ trợ báo cáo.&#10;&#10;Ngoài ra, em có làm dự án Rice Leaf Disease Classif"/>
        <s v="- Dự án &quot;AiAction&quot; tại FPT Telecom: Với vai trò Software Engineer, em chịu trách nhiệm tích hợp các API nhận diện hành vi bằng AI vào kiến trúc backend. Kết quả: Kỹ sư hóa thành công dịch vụ AI lên môi trường production, đáp ứng được các tiêu chuẩn về giá"/>
        <s v="I was responsible for managing the social media for a project in the Digital Marketing course. In particular: &#10;● Concepted and executed the complete brand ecosystem, including naming, logo design, mascot development, and a cohesive color palette.&#10;● Direct"/>
        <s v="GameMeoAn(thả vật phẩm từ trên xuống người chơi sẽ nhặt thức ăn để được cộng điểm , nhặt phải vật dụng thì bị trừ máu)&#10;GameRoBot(Người chơi sẽ vào vai nhân vật robot rắn đi phiêu lưu và tiêu diệt quái vật )&#10;DreamRPG(nhập vai vào hiệp sỹ nguyên tố phiêu lư"/>
        <s v="I managed user acquisition campaigns across TikTok, Facebook, and LinkedIn as a digital marketing analyst (intern) at OTSU LABS, analyzing retention signals and audience behavior to drive a 20% increase in video watch-through rates and over 120K impressio"/>
        <s v="Vai trò của em trong dự án Battleship Game là 1 leader, em chịu trách nhiệm nghĩ ra ý tưởng, phân chia công việc cho các thành viên trong team, quản lý tiến độ công việc, tổng hợp kết quả của team. Về phần coding, em chịu trách nhiệm hiện thực 1 phần UI, "/>
        <s v="Em có kinh nghiệm làm việc với SQL, database và ETL, bao gồm xử lý, làm sạch và chuyển đổi dữ liệu phục vụ lưu trữ và phân tích. Những trải nghiệm này giúp em xây dựng tư duy làm việc dữ liệu một cách logic và có hệ thống."/>
        <s v="Tôi Là một thành viên trong team chịu trách nhiệm thiết kế UI, logic xử lý backend, kết nối database, xử lý hiệu ứng cho các thành phần giao diện. Kết quả hoàn thiện được game multiplayer, đồng thời deploy bằng Railway, đúng deadline và đạt được điểm cùng"/>
        <s v="Data-focused research on medical image datasets (preprocessing, data quality standards) and relational database design for a workspace management project. Won Overall Champion — Business Case at One Day Boschler 2026 (Bosch) as a team, applying analytical"/>
        <s v="Yes. I've worked on a few projects across my studies. My thesis was RogueLearn, a WebGL multiplayer game built with Unity Netcode and hosted on a Docker server, where I handled the full stack solo. I also built Overrun, a 3D roguelite arena shooter where "/>
        <s v="While I do not have direct experience in the gaming industry yet, I have gained hands-on experience through coursework and personal data analysis projects. In these projects, I worked with datasets to perform data cleaning, exploratory analysis, and visua"/>
        <s v="Tôi dùng giải thuật A* để tìm đường đi ngắn nhất để giải bài toán trong bài tập lớn Sokoban, kết quả giải thuật hoàn thành tốt, giải được bài toán đặt ra"/>
        <s v="I have experience in Marketing-related projects and competitions.&#10;I worked as a Marketing Lead in a startup project called Laceup, where I was responsible for defining the communication direction, conducting user insight research, and executing marketing "/>
        <s v="I have experience working with large-scale retail data during my internship, where I cleaned, validated, and built reports to support operations monitoring&#10;I also worked on academic projects related to data analysis and system testing, including test case"/>
        <s v="I only used to implement the game via my course at my university, using javaFX for frontend and Java for backend logic"/>
        <s v="I worked as a Project Manager and Tester in the “FunnyRacing” project, a 3D racing game developed in Java. The project was successfully completed with full features, including user management, multiple race tracks, betting and minigames."/>
        <s v="Em đã có kinh nghiệm từ kỳ thực tập với vị trí Business Development, chủ yếu làm về research thị trường, phân tích dữ liệu bán hàng từ 20+ cửa hàng và theo dõi các chỉ số để đưa ra insight và đề xuất cải thiện. Em cũng có tham gia lên ý tưởng sản phẩm dựa"/>
        <s v="Trong WorldQuant IQC, em đảm nhận vai trò research, thử nghiệm các phương pháp trên toán tử do công ty cung cấp để tạo alpha dự đoán xu hướng thị trường chứng khoán. Kết quả đạt Giải 3 tại IUH và Top 18 Việt Nam.&#10;&#10;Trong UIT Data Science Challenge 2024, em"/>
        <s v="Em đã thực hiện một số project game cá nhân bằng Unity trong quá trình sinh hoạt ở câu lạc bộ GameDev Club HCMUT và các bài tập lớn của môn Lập trình game. Bên cạnh đó, em từng đậu vòng tuyển chọn thực tập tại VGames, giúp em có thêm góc nhìn về quy trình"/>
        <s v="While I have not worked on game-related projects yet, I have experience working with diverse datasets from multiple sources and developing projects that appropriate with the role’s requirements. These experiences have helped me build a strong foundation t"/>
        <s v="Vai trò của em trong dự án là gameplay development. Em đã hoàn thành xây dựng hệ thống kẻ địch, lính đồng mình. Thiết kế và lập trình cơ chế cho 2 boss chính của game. Dự án hoàn thành mức playable với đủ chức năng nhưng vẫn còn một số vấn đề UXUI và bug."/>
        <s v="Dạ không có ạ"/>
        <s v="Capstone Project: Lost Between Realms 3D RPG – Roguelike&#10;- Vị trí đảm nhiệm: Leader&#10;- Quản lý thông tin vận hành trong nhóm, hỗ trợ giải quyết khi thành viên gặp khó khăn trong quá trình làm việc.&#10;- Kiểm tra chất lượng asset/object của các thành viên tron"/>
        <s v="Trong đồ án về đề tài đánh giá hiệu quả vaccine COVID-19, em đảm nhiệm vai trò xử lý, phân tích dữ liệu time-series và đưa ra các insight về tác động của vaccine lên diễn biến dịch. &#10;Kết quả là chứng minh được mối tương quan nghịch giữa mức độ bao phủ vac"/>
        <s v="Ngoài các hoạt động được ghi vào CV, em đã thực hiện nhiều báo cáo cuối kỳ ở các môn như Digital Marketing, Phân tích Digital Marketing, Search Marketing và Quản trị khách hàng số. Vai trò của em chủ yếu là nghiên cứu thị trường, phân tích dữ liệu và đề x"/>
        <s v="Tôi đã từng phát triển 3 con game trong thời gian đi học, trong đó có một con game tôi đã làm trong đề tài khoá luận tốt nghiệp của tôi.&#10;Tôi đã đi thực tập ở một công ty game, ở đó tôi được code về kỹ năng nhân vật(Tôi rất thích làm cái này), logic skill,"/>
        <s v="Mình chưa có kinh nghiệm trực tiếp liên quan đến game hay vị trí AI Engineering. Tuy nhiên, mình đã tự làm một số dự án AI cá nhân liên quan đến LLM và prompt engineering, và đang tích cực học thêm về agentic workflows."/>
        <s v="Yes. I am currently working on a research project about a TravelPlanner chatbot using LLM-based agents. My role involves studying agent workflows, prompt design, constraint handling, and structured response generation for travel-planning tasks. The projec"/>
        <s v="Em chưa có kinh nghiệm thực tập"/>
        <s v="Tuy chưa từng có kinh nghiệm trực tiếp trong lĩnh vực game, tôi đã thực hiện một dự án cá nhân phân tích dữ liệu khách hàng ngân hàng, đảm nhận từ khâu xử lý dữ liệu đến phân tích và trực quan hóa. (Chi tiết tại repo: VP Bank Customer Segmentation &amp; Reven"/>
        <s v="Developed a match-3 game using Unity, implementing gameplay logic, UI, and systems such as special gems, shop, and audio. The project is fully playable and published on GitHub."/>
        <s v="Từng thi cuộc thi giải case e-commerce, cộng tác viên cho sự kiện"/>
        <s v="Em thực hiện các bài tập game nhỏ bằng Unity, trong đó em xây dựng gameplay cơ bản, UI và logic game đơn giản bằng C#. Các bài tập đã hoàn thành theo yêu cầu môn học và giúp em nắm được các khái niệm nền tảng về phát triển game."/>
        <s v="Chưa có"/>
        <s v="Developing a personal Unity (C#) game project, responsible for gameplay programming and system design. Implemented core mechanics (movement, interaction, animation, basic AI) and focused on scalable architecture and clean code. The project is ongoing."/>
        <s v="Project ETL end-to-end cho dữ liệu bán hàng bằng Python và Power BI; thực hiện trích xuất dữ liệu từ Excel, làm sạch và biến đổi bằng Pandas, NumPy nhằm đảm bảo tính chính xác và nhất quán. Tiến hành phân tích khám phá dữ liệu (EDA) với Seaborn và Matplot"/>
        <s v="chưa từng"/>
        <s v="Yes, I have experience developing a Caro (Gomoku) game using sockets. The game supports real-time multiplayer, allowing players to connect and play with each other.Through this project, I worked on client–server communication"/>
        <s v="Trong dự án phân tích dữ liệu game tại VNG Corporation, em đóng vai trò khai thác và phân tích dữ liệu về hành vi users, theo dõi các chỉ số như retention, ARPU và funnel. Kết quả là xác định được điểm rơi churn và đề xuất cải tiến cho sự kiện trong game,"/>
        <s v="Worked as both game designer and developer in personal Unity projects since 2023. Responsible for gameplay systems, UI implementation, feature development, balancing, debugging, and overall game flow. Built playable prototypes and completed small game pro"/>
        <s v="Đã từng giữ vai trò leader trong 3/6 dự án tại trường học."/>
        <s v="Em chưa có kinh nghiệm trực tiếp trong mảng game, nhưng em đã làm Marketing Intern với các công việc liên quan đến nội dung và quảng cáo. Em cũng chơi game như Liên Quân Mobile và game casual nên có hiểu biết về hành vi người chơi và em tin mình có thể họ"/>
        <s v="chưa có kinh nghiệm"/>
        <s v="Dự án nhỏ về pokemon matching game trên console bằng C++."/>
        <s v="Dạ em chưa có"/>
        <s v="Tại FN Trading Lab, em đảm nhận vị trí Content Writer với các kết quả nổi bật:&#10;• Tăng trưởng lượt xem: Tối ưu hóa kịch bản video (TikTok/Reels), đưa lượt xem từ mức 300 - 3.000 lên mức đột phá 20.000 views mỗi clip.&#10;• Chuyên môn hóa nội dung: Sản xuất bản"/>
        <s v="Không có"/>
        <s v="I independently developed an end-to-end RAG system, covering the full pipeline from data ingestion to LLM response optimization. Using LangChain for orchestration, I integrated the Google Gemini API and built an interactive user interface with Streamlit. "/>
        <s v="Xây dựng dự án cá nhân là web game Flappy Bird vào năm 4 đại học"/>
        <s v="Em đã hoàn thành hai dự án phân tích dữ liệu toàn diện. Với Xóm E-Com, em phân tích hành vi và tỷ lệ giữ chân khách hàng cho nền tảng thương mại điện tử quy mô 2,3 triệu USD, áp dụng phân khúc RFM và tư duy Cohort để giải mã lý do người dùng rời bỏ sau lầ"/>
        <s v="Em đã từng tham gia một cuộc thi giải case study do Logitech giao đề bài. Tuy Logitech là thương hiệu về gaming gear nhưng em đã có cơ hội được tìm hiểu và khai thác về đối tượng chơi game và hành vi của họ một cách sâu sắc hơn. Tuy chưa đạt được kết quả "/>
        <s v="-"/>
        <s v="Vai trò của em là hỗ trợ nghiên cứu và thử nghiệm triển khai hệ thống chatbot RAG. Kết quả sau 3 tháng thực tập là một chatbot có thể phản hồi được các vấn đề cơ bản đã được đặt ra ban đầu. Đồng thời đảm bảo chatbot có thể trả lời đúng phạm vi, nhiệm vụ."/>
        <s v="Tôi có gần 1.5 năm kinh nghiệm phát triển game WebGL bằng Unity tại công ty, tập trung vào gameplay systems, multiplayer synchronization và tối ưu hiệu năng. Tôi đã tham gia phát triển các dự án multiplayer farming simulation và idle game, phối hợp cùng b"/>
        <s v="- Tester Intern: Đảm bảo chất lượng sản phẩm trước khi đến tay khách hàng thông qua kiểm thử chức năng, UI và API; quản lý bug và task trên Odoo; hỗ trợ automated testing với Playwright và Git workflow. Đồng thời áp dụng các công cụ AI như ChatGPT và Clau"/>
        <s v="Em từng tham gia ở các vai trò khác nhau trong một nhóm từ thành viên đến leader khi thực hiện bài tập hoặc tham gia cuộc thi. Trong đó kết quả cao nhất là giải Nhì cuộc thi SeApp2024, một cuộc thi do khoa Công nghệ Phần mềm trường UIT tổ chức, với tựa ga"/>
        <s v="- Em đã từng clone lại vài màn chơi của game NamelessCat để làm đồ án môn học Lập trình trực quan, em đã làm phần di chuyển player, âm thanh, UI, xây dựng màn chơi, kết quả là em đã đạt điểm cao ở môn đó.&#10;- Hiện tại em đang cùng các bạn trong câu lạc bộ G"/>
        <s v="Tại Dmobin, em có cơ hội tiếp xúc với các dòng game Hyper-casual/Casual. Điểm em học được nhiều nhất là cách lên ý tưởng sáng tạo cho creative. Bên cạnh đó, em cũng hỗ trợ thiết lập và giám sát các chiến dịch trên Google Ads."/>
        <s v="Em chưa ạ"/>
        <s v="During my Brand Marketing internship at WinEco – Masan Group, I supported various activities related to market research, communication, and marketing plan execution. Specifically, I conducted regular research on pricing, competitor promotions, and consume"/>
        <s v="- Em có một dự án cá nhân về Phân tích chỉ số kinh doanh và Hành vi người dùng của game Autogun Heroes: Run and Gun. &#10;&#10;- Vai trò: Là người thực hiện dự án độc lập, chịu trách nhiệm toàn bộ quá trình từ khâu xử lý, mô hình hóa dữ liệu đến việc thiết kế Das"/>
        <s v="Em từng tham gia thự tập về Game designer tại Gihot Studio.&#10;Trong quá trình tham gia, em được giới thiệu về công việc game designer, các khái niệm lý thuyết. Được tham gia đánh giá sản phẩm đang phát triển của R&amp;D. Quan trọng hơn là các chia sẻ về Văn hóa"/>
        <s v="Trong dự án xây dựng hệ thống dịch video Anh–Việt ứng dụng Machine Learning, em đảm nhiệm vai trò AI Engineer, tập trung vào nghiên cứu, tích hợp và tối ưu các mô hình AI cho toàn bộ pipeline xử lý video tự động. Hệ thống được thiết kế theo hướng end-to-e"/>
        <s v="Tôi đã phát triển game Kéo – Búa – Bao bằng C# WinForms với các chức năng xử lý logic trò chơi, tính điểm và giao diện người dùng cơ bản. Tham gia thiết kế giao diện, xử lý sự kiện và kiểm thử chức năng nhằm đảm bảo game hoạt động ổn định và dễ sử dụng."/>
        <s v="Pathfinding Visualizer: Led a team Unity project by implementing the UI and Tilemap-based maze system, while designing the pathfinding function template for team member implementation. Achieved a project score of 9/10.&#10;&#10;Sky Hopper: Independently developed"/>
        <s v="I do not have professional game industry experience yet, but I have been a long-time gamer and have always been curious about how game systems and user experiences work. I enjoy observing gameplay flows, features, and inconsistencies, which is one of the "/>
        <s v="Đây là dự án cá nhân nên em đóng vai trò chính, một mình hoàn thành tất cả các giai đoạn phát triển của dự án. Sau khi hoàn thành dự án em có thêm được những kiến thức cũng như những kinh nghiệm quý báu được rút ra từ dự án cá nhân đấy"/>
        <s v="Em đã thực hiện nhiều dự án AI cá nhân và tham gia các cuộc thi/hackathon liên quan đến AI Engineering, LLM và workflow automation.&#10;&#10;Dự án nổi bật nhất là DentAI – hệ thống AI hỗ trợ chẩn đoán X-quang răng, trong đó em xây dựng pipeline gồm Computer Visio"/>
        <s v="Em từng tham gia nhiều dự án và cuộc thi liên quan AI/LLM. Trong dự án DentAI v2, em tham gia xây dựng pipeline AI gồm RAG, Prompt Engineering và tích hợp LLM với hệ thống xử lý ảnh X-quang. Ngoài ra em từng hỗ trợ technical workflow và tích hợp AI API ch"/>
        <s v="Em chưa có kinh nghiệm thực tiễn về game, tuy nhiên em đã tự bổ sung kiến thức của mình bằng các khóa học bên ngoài và thử sức cho case study giả định như trong CV"/>
        <s v="Tại Nekotech, em từng làm Game User Tester với công việc kiểm thử gameplay, tìm lỗi và đưa ra feedback để cải thiện trải nghiệm người chơi.&#10;Trong dự án Game Verse 2025 – Xoul’s Era, em đảm nhận vai trò Game Designer và Unity Developer, tham gia thiết kế g"/>
        <s v="Em có làm Snake Game (đính kèm trong CV) cho môn DSA. Đây là dự án cá nhân, em dùng Java để mở rộng trò chơi Snake Game cổ điển, trong đó em xây dựng các gameplay systems chính như di chuyển của rắn, collision detection, obstacle generation, enemy behavio"/>
        <s v="Nthiết kế UI/UX đến phát triển ứng, trực tiếp đảm nhiệm toàn bộ quy trình từ nghiên cứu trải nghiệm, em đã lên ý tưởng wireframe, thiết kế luồng người dùng. Hoàn thiện toàn bộ bản thiết kế UI/UX ."/>
        <s v="Em từng thực hiện một dự án VR game mô phỏng trải nghiệm pha chế cà phê, trong đó em phụ trách research người dùng, testing trải nghiệm và đóng góp ý tưởng cải thiện tính năng, đồng thời quản lý và điều phối công việc của cả nhóm. Dự án đạt điểm 10 và nhậ"/>
        <s v="I have completed several independent projects focused on data analysis and engineering. I built CineB, a cinema analytics dashboard using SQL Server and React, writing advanced T-SQL queries including window functions and CTEs to surface revenue trends, s"/>
        <s v="Hiện tại em đang là giảng viên tại MindX Technology School, em đang phụ trách giảng dạy các môn liên quan đến lập trình game như Scratch, GameMaker cho các bạn học sinh từ 10-16 tuổi. Nhiệm vụ của em là truyền đạt kiến thức và hướng dẫn các bạn thực hiện "/>
        <s v="As a Commercial Data Analyst Intern at Hello Health Group, I was responsible for collecting, validating, and analyzing financial and operational data to ensure accurate reporting.&#10;I also supported building dashboards to track sales performance and assist "/>
        <s v="In university projects, I worked mainly as a Game Designer, focusing on gameplay design, level balancing, playtesting, and documentation. I also collaborated closely with programmers and artists during development. The projects resulted in playable Unity "/>
        <s v="không"/>
        <s v="Trong dự án AI-Generated Text Detector, mục tiêu là phân biệt văn bản tiếng Việt do người và AI viết. Em có vai trò trong việc trực tiếp thiết kế Prompt Engineering để tạo dữ liệu phù hợp văn phong giống con người viết, xây dựng AI Pipeline chuẩn hóa văn "/>
        <s v="I am currently analyzing a game-related personal project, in which I am responsible for data cleaning, exploratory analysis, and building interactive dashboards to analyze player behavior, retention, and in-game purchasing patterns. The project helped ide"/>
        <s v="Project: &quot;Stars Speak&quot; English Speaking Contest &amp; AHB Tết Fair.&#10;&#10;Responsibilities: Conceptualized and designed the &quot;event journey&quot; as a gamified experience for over 250 students. I was responsible for creating interactive activity booths, point-reward sys"/>
        <s v="As Project Leader for the Debate competition FIM, I spearheaded the end-to-end execution, from defining the academic themes to managing a cross-functional team of organizers and judges. I successfully streamlined the competition’s operations and organized"/>
        <s v="I built an e-commerce dashboard analyzing $1.94M revenue, engineered 4 SQL views across 6 tables, built a Power BI dashboard with 11 DAX measures, and uncovered $85K in refund risk. &#10;I also built a banking BI pipeline on 1M+ transactions, applying ML to s"/>
        <s v="Tôi đã thực hiện các dự án cá nhân trên Unity như game 2D.&#10;Tôi chịu trách nhiệm chính lên ý tưởng - sau đó là lập trình hệ thống và xây dựng cấu trúc dữ liệu cho game. Kết quả là hoàn thiện các bản Prototype có cơ chế vận hành mượt mà và đồng thời nắm vữn"/>
        <s v="Có. Tôi từng thực hiện một dự án game Battleship bằng Python với giao diện Tkinter trong môn học/dự án cá nhân. Trong dự án này, tôi xây dựng logic trò chơi và bot AI, bao gồm Random AI và Hunt &amp; Target AI, trong đó bot chuyển sang chế độ nhắm mục tiêu sa"/>
        <s v="Yes. I have experience developing personal Unity game projects, mainly focused on gameplay programming and game systems.&#10;&#10;One of my projects is an online multiplayer game inspired by social deduction gameplay. In this project, I worked on player movement,"/>
        <s v="Vai trò: Full-stack Developer (Người phát triển chính)&#10;Mô tả: Hoàn thành sản phẩm &quot;Cẩm nang cho Cộng đồng người chơi game Gacha&quot;, giúp người dùng tra cứu dữ liệu nhân vật nhanh chóng. Hệ thống vận hành ổn định với khả năng đồng bộ dữ liệu thực tế (real-ti"/>
        <s v="Vai trò: Lập trình viên chính (Solo Developer). Trực tiếp xây dựng Core Gameplay trên Unity 6, thiết kế hệ thống AI (State Machine) cho 5 archetype kẻ thù và ứng dụng workflow UI Toolkit để tối ưu hóa hiệu suất hiển thị.  &#10;Kết quả: Hoàn thiện bản Demo chơ"/>
        <s v="Although I have not had professional working experience yet, I have worked on several academic and personal data analysis projects involving data cleaning, transformation, querying, dashboard visualization using SQL and Power BI, as well as applying basic"/>
        <s v="In one of my previous project (an education game), my job is analysis the requirement of the customer, and then design the function for each of it. My second project is made game from scratch, begin with find new idea, design UI, find music, and testing t"/>
        <s v="Em là Team Leader phụ trách data processing và exploratory analysis trong dự án DATATHON 2026 – The Gridbreakers. Vai trò chính của em gồm data cleaning, EDA, feature engineering và visualization để tìm business insights từ dữ liệu e-commerce thời trang. "/>
        <s v="Từng tham gia các cuộc thi Game Jams (DEV-GD)&#10;Có kết quả tốt trong các môn học về game (&gt;=9.0)&#10;Đạt top 3 game xuất sắc nhất trong Môn học đồng đào tạo với VNGxUIT"/>
        <s v="Em có khoảng 1 năm kinh nghiệm ở vị trí UA Marketing trong ngành game mobile. Công việc chính của em là triển khai và tối ưu campaign trên Facebook, TikTok, Google, Unity cho thị trường global; theo dõi data qua Adjust và Looker để tối ưu ngân sách, creat"/>
        <s v="Tôi từng làm Sales Data Analyst cho công ty mảng tech insurance. Công việc của tôi gồm có: Fix data hệ thống; clean data thô do lỗi nhập liệu còn thô sơ; tinh chỉnh hệ thống nhập liệu; xử lý dữ liệu và push lên report hàng ngày cho các phòng ban/khách hàn"/>
        <s v="/"/>
        <s v="Trong suốt quá trình học tập ở trường tôi đã tham gia phát triển một số dự án game bằng Unity với vai trò là một game developer, hầu hết là các dự án làm với team bên cạnh đó cũng có một số dự án cá nhân.&#10;Các game thành phẩm đều được đánh giá tích cực bởi"/>
        <s v="I worked as a level designer so I joined for around 6 different games and designed more than 300 levels"/>
        <s v="independent research, content optimization"/>
      </sharedItems>
    </cacheField>
    <cacheField name="Porfolio" numFmtId="0">
      <sharedItems>
        <s v="None"/>
        <s v="https://drive.google.com/drive/folders/14n0TnM0HexazxxfEIcJcONASYST5K73p?usp=drive_link"/>
        <s v="Dự án 1: https://github.com/AKN16/eight-days-of-fate . Dự án 2: https://github.com/AKN16/gama-agent-based-simulation ."/>
        <s v="https://hoanghuytoi.github.io/toi-portfolio/"/>
        <s v="em không có"/>
        <s v="https://github.com/tiendatln/PRU_FinalProject"/>
        <s v="https://github.com/quanpro147/Tom-and-Gia-Huy và https://www.youtube.com/watch?v=QvK--n080sU"/>
        <s v="https://www.researchgate.net/publication/401772609_AutoViVQA_A_Large-Scale_Automatically_Constructed_Dataset_for_Vietnamese_Visual_Question_Answering"/>
        <s v="Chưa có."/>
        <s v="https://github.com/LoylP/AIC2024"/>
        <s v="https://lehien6601.github.io/"/>
        <s v="https://github.com/trandacphu321-ai"/>
        <s v="https://github.com/AlphaJCut"/>
        <s v="https://github.com/lehachuc/Hospital-Frenzy-Game-Analytics-Portfolio"/>
        <s v="https://github.com/Duc-Thien-22"/>
        <s v="https://hienpro0123.github.io/Data-Portfolio/"/>
        <s v="https://github.com/lethanhdatphumy"/>
        <s v="https://github.com/TrungVinn"/>
        <s v="https://hanacvl.my.canva.site/hanhnguyenportfolio"/>
        <s v="https://drive.google.com/file/d/12XKVHA7X5eJ83t4UC2VMM-l7gzDp4plp/view?usp=sharing"/>
        <s v="https://www.facebook.com/MFEST2024"/>
        <s v="https://learnnest-production.up.railway.app/login"/>
        <s v="Do em apply vị trí Human Resource nên sẽ không có Portfolio ạ"/>
        <s v="https://github.com/Truong99zvc/BiM-RNet"/>
        <s v="GitHub: https://https://github.com/MinhKiet1102/Software-testing  (Due to Test IO's confidentiality policy, I am unable to share client project details directly. The GitHub project above demonstrates my manual testing, test case design, and bug reporting "/>
        <s v="https://github.com/GiangSon-5"/>
        <s v="https://github.com/Thanhdqk/DuAnTotNghiep"/>
        <s v="https://drive.google.com/drive/folders/1PmfMhu13OyPnBC7D99tfm_DhJr8djOuz?usp=sharing"/>
        <s v="https://github.com/Yutaka-ReiRoku/Kingdom-Defense"/>
        <s v="https://github.com/BuckyPlat/FPS-tutor"/>
        <s v="https://github.com/doanryderrhythm/SE115-Thesis"/>
        <s v="https://github.com/77x17"/>
        <s v="https://bunhiacopxki.itch.io/nummatch"/>
        <s v="https://www.behance.net/gallery/246985267/NguyenHoaiNhu-Portfolio"/>
        <s v="https://github.com/Kandy2705/Pokemon_quiz.git"/>
        <s v="Vì các bạn đã xóa hết dữ liệu cho đỡ nặng máy sau khi kết thúc môn đó nên em cũng không còn giữ nữa."/>
        <s v="Dạ chưa có"/>
        <s v="https://github.com/thybui1903/Bank-Marketing-Customer-Analysis"/>
        <s v="https://github.com/HoanBau/Game2D"/>
        <s v="Rex Centre Management System: https://rexenglish.com (tested UI, API, and data consistency)"/>
        <s v="ecotrack.asia"/>
        <s v="https://docs.google.com/document/d/11e0V9guqGZbNS7fNpOzU0FNs7UJ9L6MjouJblwQmIe8/edit?tab=t.0"/>
        <s v="https://testingvn.atlassian.net/browse/HRM-468?atlOrigin=eyJpIjoiMmFhYjAwOTFiYTM3NGI2NTg1ZmQ5YWQ4MzFhY2Y0MDEiLCJwIjoiaiJ9"/>
        <s v="Chưa có"/>
        <s v="https://github.com/Yogurt01/Vietnamese-Historical-Weather-Dashboard.git ; https://github.com/kNhung/PDS_FinalProject.git"/>
        <s v="https://nguyentunhu.github.io/portfolio/"/>
        <s v="https://drive.google.com/file/d/11lYhxGQ7NHJo0ijVWolsdr08TVhp9qHs/view?usp=sharing"/>
        <s v="https://github.com/vinhVVN/GameAI-Mummy-Maze-VDG.git"/>
        <s v="https://github.com/Oxazolidinone/DetectDisease"/>
        <s v="https://drive.google.com/file/d/1R-F_nQwPn2eBi6LQuQHCt-cySlQCwmkc/view?usp=sharing"/>
        <s v="https://github.com/kimanhwppe?tab=repositories"/>
        <s v="https://my-portfolio-phucvo1412s-projects.vercel.app/"/>
        <s v="https://drive.google.com/drive/folders/1-2WVYKOkPgbb67RvcPDG_GrDrDF5Upcf?usp=sharing"/>
        <s v="While my official portfolio website is currently under development, I have organized my most impactful work in this Drive folder: https://drive.google.com/drive/folders/1DXfQtoAqSyQdsWTP6cfi1g3XYDkHRFBO?usp=drive_link"/>
        <s v="https://drive.google.com/drive/folders/1n433YQm-AP5Ziy-Y4MR2sRmD_BPV3HrG?usp=sharing"/>
        <s v="https://youtu.be/F0TF5F_FhkA?si=fejplqJYUIBxwbo3"/>
        <s v="https://github.com/NVKQ2022/RAG"/>
        <s v="Không"/>
        <s v="https://github.com/p1neapplechoco"/>
        <s v="I haven’t had any project experience yet"/>
        <s v="https://drive.google.com/file/d/1EXQ5k-Q1fEnRZoRIYgN2unfXKavGI34j/view?usp=share_link"/>
        <s v="https://drive.google.com/file/d/1qIjPrLJ_zvlPkIDKMj0uZCbqy8KpGFxv/view"/>
        <s v="https://github.com/thanhndac"/>
        <s v="Không có"/>
        <s v="https://github.com/thanhtai21"/>
        <s v="https://github.com/ngphtrong2003"/>
        <s v="Portfolio - Nguyen Kim Hang.pdf"/>
        <s v="https://github.com/Nhung55555/chatbot-diabetes-prethesis-2025-2026"/>
        <s v="https://www.canva.com/design/DAGXU3zB8u8/zLA1ZzgyCPA1rdfYqOPRiw/edit?utm_content=DAGXU3zB8u8&amp;utm_campaign=designshare&amp;utm_medium=link2&amp;utm_source=sharebutton"/>
        <s v="https://drive.google.com/drive/folders/1pSv0Rlm8V_-XXbIQiHfDtRQVqDPrELRA?usp=sharing"/>
        <s v="https://kohrabi.itch.io/"/>
        <s v="https://github.com/thien1805/teleco-churn-prediction,  https://drive.google.com/file/d/1UvKnRcnEALEC7MKAfsqjH3DRiGZaPRUW/view,  https://github.com/thien1805/Olist-Ecommerce-Data-Warehouse-and-Analytics"/>
        <s v="I haven't had any game-related or job-related experience before"/>
        <s v="https://drive.google.com/file/d/19l_6-ZxC7Bq1nXLsoJvf59Wz5wfFTfLA/view?usp=sharing"/>
        <s v="https://github.com/dungnguyen73/recipelens_recommender"/>
        <s v="https://github.com/Longhehehe"/>
        <s v="https://chibao-v.github.io/chibao-portfolio/"/>
        <s v="https://fpt.vn/tin-tuc/fpt-vmsmart-nen-tang-quan-tri-tap-trung-cho-doanh-nghiep-11576.html"/>
        <s v="https://tinyurl.com/npbinhnguyen"/>
        <s v="Link Github của mình : https://github.com/loigado"/>
        <s v="https://drive.google.com/drive/folders/1hcEGeNvcRhhdhay0gajawGTPCEhgCwRQ?usp=sharing"/>
        <s v="https://github.com/Hoauit1305/BattleShip-Game.git"/>
        <s v="https://github.com/khangle103"/>
        <s v="GitHub: https://github.com/MocHuy LinkedIn: https://linkedin.com/in/laimochuy"/>
        <s v="https://github.com/Ryvvn/Overun https://github.com/Ryvvn/VNR-Mortar-Game  https://github.com/Ryvvn/2D_platformer https://github.com/FA25SE050-RogueLearn/RogueLearn.Unity"/>
        <s v="https://github.com/itzKieuMinh05/CO4033-Weather-forecast"/>
        <s v="https://github.com/hoangdelima09/BTLSokoban/"/>
        <s v="https://ngo-anh-kiet-volcanic-portfolio-535123231210.asia-southeast1.run.app/"/>
        <s v="https://xuanlinhngmportfolio.netlify.app/"/>
        <s v="not"/>
        <s v="https://github.com/nguyen11103/qldacntt_nhom10"/>
        <s v="Hiện tại em chưa có portfolio riêng, tuy nhiên em có thể chia sẻ thêm các project và bài tập liên quan đến marketing, research và phân tích dữ liệu khi cần."/>
        <s v="https://github.com/ngodinhtruong"/>
        <s v="https://drive.google.com/drive/folders/1I_gssGj2J9LXk8rbJhaCvPmxr0Wykk_v?usp=sharing"/>
        <s v="https://github.com/dinhat255/GameDevProject3.git"/>
        <s v="https://intern-portfolio-nu.vercel.app/"/>
        <s v="https://github.com/huongphamngoc/sql-data-warehouse-project"/>
        <s v="Link Github: https://github.com/NganPham-tech/Du_An_Game_Nam_Quoc_Son_Ha ; Link Demo: https://youtu.be/0aRG4Gsuk54"/>
        <s v="https://www.notion.so/Customer-360-Analysis-Understanding-Behavior-Through-Accounts-Credit-Scores-and-Transactions-33461980d77d8071bd83d985d0d15ab8"/>
        <s v="Portfolio: https://drive.google.com/file/d/1jXo8qtySyeSBLHZDBdzgeU4GePvI79PH/view?usp=sharing"/>
        <s v="https://colab.research.google.com/drive/1DjcaIS1eetkqDdQlHsLvXenaU-WWxk0l?usp=sharing"/>
        <s v="https://drive.google.com/file/d/1-P3gl635azgu5eatSr9geZ67qZsJov-u/view?usp=drive_link"/>
        <s v="https://www.youtube.com/watch?v=_o7EdFzF_o0, https://www.youtube.com/watch?v=xKfo8syj80c, https://www.youtube.com/watch?v=3DLvVD6CTE4"/>
        <s v="https://github.com/vietanh1802"/>
        <s v="https://github.com/Kyling815/travel-chatbot-workflow-demo"/>
        <s v="https://github.com/Quang-Dai-Ha"/>
        <s v="https://github.com/AQ129/Gem-hunter-match.git"/>
        <s v="No"/>
        <s v="https://docs.google.com/presentation/d/1KSrT4frNXYEML1U6mH91m33XYujN5461/edit?usp=sharing&amp;ouid=105447179199460469406&amp;rtpof=true&amp;sd=true"/>
        <s v="Hiện tại tôi chưa có portfolio chính thức, nhưng tôi rất mong có cơ hội được học hỏi và xây dựng portfolio thực tế trong quá trình thực tập tại SUN.STUDIO."/>
        <s v="https://www.linkedin.com/in/long-tri%E1%BB%87u-24a248229"/>
        <s v="https://zennnn1203.github.io/Portfolio/"/>
        <s v="https://huynhanhquoc.lovable.app"/>
        <s v="Dạ project này là dữ liệu kinh doanh của công ty khác nên thật khó để chia sẻ ạ."/>
        <s v="https://tnieyu1706.github.io/"/>
        <s v="https://togialoi.carrd.co/"/>
        <s v="https://www.facebook.com/phanphoimanhinhled              https://www.facebook.com/LEDBluevnn"/>
        <s v="chưa có kinh nghiệm liên quan mảng game ạ"/>
        <s v="https://github.com/fantastichaha11"/>
        <s v="https://github.com/trancamtu3518"/>
        <s v="Hiện em chưa bổ sung Portfolio ạ"/>
        <s v="https://www.facebook.com/tuoitreluat/posts/pov-b%E1%BA%A1n-nh%E1%BA%ADn-%C4%91%C6%B0%E1%BB%A3c-th%C3%B4ng-%C4%91i%E1%BB%87p-ti%E1%BA%BFp-s%E1%BB%A9c-m%C3%B9a-thi-t%E1%BA%A1i-ulaw-%E1%BB%9F-%C4%91%C3%A2y-kh%C3%B4ng-c%C3%B3-th%E1%BA%A7n-mu%E1%BB%97ng/115826"/>
        <s v="github.com/mai2005/ChatwMultiPdf"/>
        <s v="https://github.com/nguyenminh183"/>
        <s v="https://vinhpquangporforlio.vercel.app/"/>
        <s v="https://drive.google.com/file/d/1LF3LVT96_gxXc4javFZlO5KQQ3KUFIUv/view?usp=sharing"/>
        <s v="https://lapqnguyen.wixsite.com/portfolio"/>
        <s v="Vì lý do bảo mật dữ liệu doanh nghiệp, đây là dự án nội bộ nên em không thể chia sẻ source code public."/>
        <s v="https://finn191.github.io/thanhphung-portfolio/"/>
        <s v="Hiện tại không có link dự án hoặc Portfolio"/>
        <s v="https://github.com/tienminhduong/CrocodileInvader.git"/>
        <s v="NamelessCat: https://github.com/DucLove1/NamelessCat.git . Tomb of the mask: https://github.com/DucLove1/TombOfTheMask.git . FoxyAdventure: https://github.com/tienminhduong/FoxyAdventure.git"/>
        <s v="Do tính chất bảo mật thông tin dự án tại công ty cũ, em không thể chia sẻ link trực tiếp từ tài khoản. Khoảng thời gian đó, em hỗ trợ lên ý tưởng, viết mô tả, spy ads và thiết lập camp Google Ads thôi ạ. Dự án lúc đó em làm con game people flow."/>
        <s v="Em không có ạ"/>
        <s v="https://drive.google.com/file/d/1OcZIToHrIPmGvYsY6qflegwo0q5PFYI1/view?usp=sharing"/>
        <s v="https://github.com/thiennh1/autogun_heroes_analysis"/>
        <s v="Dự án cá nhân em còn khá sơ xài nên em xin phép không show ạ"/>
        <s v="https://github.com/duyanhvo2103/MLVT"/>
        <s v="."/>
        <s v="- Sky Hopper's GitHub Repository: https://github.com/linhkhoi1309/SkyHopper - Pathfinding Visualizer's GitHub Repository: https://github.com/linhkhoi1309/Pathfinding-Visualizer  - Pathfinding Visualizer's WebGL Build Demo: https://linhkhoi1309.github.io/P"/>
        <s v="https://zinc-duke-f6f.notion.site/Bui-Trong-Tin-Quality-Assurance-Intern-3596216b16a08060b368cb3d4b5ecefc"/>
        <s v="https://www.youtube.com/watch?v=kTPI4lNVEdU"/>
        <s v="https://github.com/hnathuw"/>
        <s v="github.com/VanMinh815"/>
        <s v="https://github.com/ThTam-20/HeartRateApp"/>
        <s v="https://docs.google.com/document/d/1tn2TJgm4K2PuXq9YhMncYHqmNBdw-KRQvZFuMIR3QMw/edit?pli=1&amp;tab=t.1g2miupzpmmp"/>
        <s v="https://drive.google.com/drive/folders/17Qhha8fPtMw5hK34qnOXQhIsu8JOmnhy"/>
        <s v="https://github.com/nhitr135/SnakeGame"/>
        <s v="https://github.com/klee528/Recommendation_System"/>
        <s v="https://github.com/Tuyetnhu1607"/>
        <s v="https://drive.google.com/drive/folders/1r5xZsyh7o89BOx_SQ-O7HJ7wXgt1EIiB?usp=drive_link"/>
        <s v="https://github.com/NghinnDahlias/CineB-"/>
        <s v="https://drive.google.com/drive/u/0/folders/1Y9wZr6rhNTPaUDrkm4xvv4Ipx8Rt0BT7"/>
        <s v="N/A"/>
        <s v="lmquang.uwu.ai - https://shumoyed.itch.io/"/>
        <s v="https://github.com/ngochan1612/cake4u"/>
        <s v="https://github.com/vanhoangpvh/Seminar-Detect-AI"/>
        <s v="https://github.com/xiaoxigua0503/Logistic-Supply-Chain-Personal-Project.git"/>
        <s v="https://trangphan.my.canva.site/thuytrangportfolio"/>
        <s v="https://www.facebook.com/groups/1151574896283891 , https://www.facebook.com/share/1DguoHJwTb/"/>
        <s v="github.com/dg-ng"/>
        <s v="https://github.com/Aqua239/Meow-Munch"/>
        <s v="https://github.com/nhatminh280"/>
        <s v="https://www.youtube.com/@Duc-d3u"/>
        <s v="https://github.com/leminhtruongtruong12445-creator"/>
        <s v="Portfolio (Notion): https://www.notion.so/Nguy-n-H-u-Sang-Unity-Developer-Portfolio-3580d23507f18070b6ced23eec37544e?source=copy_link ; GitHub (Source Code): https://github.com/Sang-GameStudio"/>
        <s v="https://github.com/minhnguyen290304/Video-Games-Market-Analysis-Trends-Insights          https://github.com/minhnguyen290304/Telco-Customer-Churn-Prediction-and-Customer-Segmentation/blob/main/telco_churn_prediction_segmentation.ipynb              https:/"/>
        <s v="https://thuangd.short.gy/kFiK6z"/>
        <s v="Vanguora Vintelligence Datathon 2026 (https://github.com/totrannhauyen/vanguora-vintelligence-datathon-2026.git)"/>
        <s v="https://tranbin848.itch.io/foxy"/>
        <s v="Hiện tại các document liên quan đến dự án không available do em không còn là nhân sự của công ty."/>
        <s v="https://canva.link/9m7jy6z3lvvuuo0"/>
        <s v="https://drive.google.com/drive/folders/1oIpIbSBkI9PujwFj-RsO_-5Nav4Taghu?usp=sharing"/>
        <s v="/"/>
        <s v="Link gihub cá nhân: https://github.com/NguyenThanhVu028"/>
        <s v="I dont have one"/>
        <s v="https://drive.google.com/drive/folders/1Rszuhfr7yToEVqbru9Ny8ZlFbekKrBNB?usp=drive_link"/>
      </sharedItems>
    </cacheField>
    <cacheField name="Are you willing to work full-time at least 3,5 days/week and commit to at least 3 months, starting from June 2026?" numFmtId="0">
      <sharedItems>
        <s v="Yes / Có"/>
        <s v="Vì em còn học một số môn tại trường, em có thể làm full time bắt đầu từ tháng 7. Tháng 6 em có thể làm part time nhưng vẫn sẽ đủ 3.5 ngày/ tuần."/>
        <s v="Đã hoàn thành chương trình học và trong trạng thái chờ bằng - có thể làm việc full-time cả tuần."/>
      </sharedItems>
    </cacheField>
    <cacheField name="Sau thời gian thực tập, bạn sẽ có cơ hội được review để thăng tiến vị trí chính thức. Bạn có thể đi làm full-time tối thiểu 3,5 ngày/tuần không?" numFmtId="0">
      <sharedItems>
        <s v="Yes / Có"/>
        <s v="Sau khi kết thúc kỳ thực tập thì em sẽ phải quay lại trường để tiếp tục chương trình học nên em khó có thể đáp ứng được lịch trình làm việc công ty đề ra."/>
        <s v="Open to it, but will need to align with my university schedule at that time."/>
        <s v="Depends on my personal schedule at university as I'm heading to the final year of the course"/>
      </sharedItems>
    </cacheField>
    <cacheField name="*Bạn biết đến chương trình thực tập SUN.riser của SUN.STUDIO qua kênh nào?*" numFmtId="0">
      <sharedItems>
        <s v="Mạng xã hội"/>
        <s v="SUN.STUDIO LinkedIn"/>
        <s v="Ứng tuyển qua Chương trình Thực tập hè của Nhà trường (như HCMUS, HCMUT), SUN.STUDIO LinkedIn, Mạng xã hội"/>
        <s v="Trường đại học"/>
        <s v="Mạng xã hội, Ứng tuyển qua Chương trình Thực tập hè của Nhà trường (như HCMUS, HCMUT)"/>
        <s v="Ứng tuyển qua Chương trình Thực tập hè của Nhà trường (như HCMUS, HCMUT), Mạng xã hội"/>
        <s v="TopCV, Mạng xã hội, SUN.STUDIO LinkedIn"/>
        <s v="TopCV, Mạng xã hội"/>
        <s v="SUN.STUDIO LinkedIn, Mạng xã hội"/>
        <s v="Ứng tuyển qua Chương trình Thực tập hè của Nhà trường (như HCMUS, HCMUT)"/>
        <s v="Ybox"/>
        <s v="Threads"/>
        <s v="Ứng tuyển qua Chương trình Thực tập hè của Nhà trường (như HCMUS, HCMUT), Trường đại học, Mạng xã hội"/>
        <s v="SUN.STUDIO LinkedIn, Mạng xã hội, Ứng tuyển qua Chương trình Thực tập hè của Nhà trường (như HCMUS, HCMUT)"/>
        <s v="Trường đại học, Mạng xã hội"/>
        <s v="TopCV, Mạng xã hội, Trường đại học"/>
        <s v="Trường đại học, Ứng tuyển qua Chương trình Thực tập hè của Nhà trường (như HCMUS, HCMUT)"/>
        <s v="Nhân viên công ty giới thiệu"/>
        <s v="Mạng xã hội, Trường đại học"/>
        <s v="SUN.STUDIO LinkedIn, Ứng tuyển qua Chương trình Thực tập hè của Nhà trường (như HCMUS, HCMUT)"/>
        <s v="Ybox, Mạng xã hội"/>
        <s v="Trường đại học, SUN.STUDIO LinkedIn, Mạng xã hội"/>
        <s v="Trường đại học, Forum của UIT"/>
        <s v="Mạng xã hội, Google Searching"/>
        <s v="Mạng xã hội, TopCV, SUN.STUDIO LinkedIn"/>
        <s v="Mạng xã hội, Ứng tuyển qua Chương trình Thực tập hè của Nhà trường (như HCMUS, HCMUT), Trường đại học"/>
        <s v="Mạng xã hội, SUN.STUDIO LinkedIn"/>
        <s v="Trường đại học, Ybox, Mạng xã hội"/>
        <s v="Ứng tuyển qua Chương trình Thực tập hè của Nhà trường (như HCMUS, HCMUT), Trường đại học"/>
        <s v="SUN.STUDIO LinkedIn, Trường đại học"/>
        <s v="Ứng tuyển qua Chương trình Thực tập hè của Nhà trường (như HCMUS, HCMUT), SUN.STUDIO LinkedIn"/>
        <s v="Mạng xã hội, TopCV, Ứng tuyển qua Chương trình Thực tập hè của Nhà trường (như HCMUS, HCMUT)"/>
        <s v="TopCV"/>
        <s v="Nhân viên công ty giới thiệu, Mạng xã hội"/>
        <s v="Mạng xã hội, Ybox"/>
        <s v="beBee"/>
        <s v="Trường đại học, TopCV, Mạng xã hội"/>
        <s v="SUN.STUDIO LinkedIn, Ứng tuyển qua Chương trình Thực tập hè của Nhà trường (như HCMUS, HCMUT), Trường đại học, Mạng xã hội"/>
        <s v="Thread"/>
        <s v="SUN.STUDIO LinkedIn, Nhân viên công ty giới thiệu"/>
        <s v="Trường đại học, SUN.STUDIO LinkedIn"/>
        <s v="Trường đại học, Bạn bè và Forum trường"/>
      </sharedItems>
    </cacheField>
    <cacheField name="*Tên nhân viên giới thiệu nội bộ*" numFmtId="0">
      <sharedItems containsBlank="1">
        <m/>
        <s v="Dương Quang Minh"/>
        <s v="Bế Hải Long"/>
        <s v="Nguyễn Hữu Dũng"/>
        <s v="Phạm Hùng Thiên"/>
      </sharedItems>
    </cacheField>
    <cacheField name="*Is there anything you would like to share with SUN.STUDIO?*&#10;_Bạn có điều gì muốn gửi gắm đến SUN.STUDIO?  _" numFmtId="0">
      <sharedItems containsBlank="1">
        <s v="I may not start as the strongest, but I’m a fast learner who adapts quickly and continuously improves. I’m eager to learn, proactive in taking on challenges, and ready to grow in User Acquisition while contributing positively to your team."/>
        <m/>
        <s v="Bản thân em biết yếu điểm lớn nhất của mình hiện tại là không có project nào làm bằng unity. Nhưng hiện tại em đang và đã tự học và tự thực hành bằng unity. Em hy vọng được có một cơ hội để chứng minh bản thân."/>
        <s v="Em rất mong muốn SUN.STUDIO sẽ là điểm khởi đầu cho một hành trình trưởng thành trên công việc của chính bản thân em. Nếu được trao cơ hội, em sẽ đóng góp đúng như những gì em chia sẻ và quý công ty mong muốn"/>
        <s v="Mình cảm ơn công ty đã trao cơ hội được phỏng vấn và hi vọng sẽ được đồng hành ạ."/>
        <s v="Em muốn gửi đến SUN.STUDIO sự cam kết học hỏi và đóng góp nghiêm túc. Em không ngại thử nghiệm, không ngại sai để sửa, nhưng luôn đặt chất lượng sản phẩm và tinh thần đồng đội lên hàng đầu."/>
        <s v="Dạ không ạ."/>
        <s v="I am eager to learn, take on challenges, and contribute as much as I can. I hope to grow with SUN.STUDIO and gain valuable experience through real projects."/>
        <s v="Chương trình thực tập sẽ tập trung về phát triển instant game trên facebook và các nền tảng khác hay sẽ phát triển game mobile phát hành trên các cửa hàng apple store/google play vậy ạ?"/>
        <s v="Em mong công ty có thể xem xét hồ sơ của em và cho em một cơ hội để thực tập , mặc dù chưa có kinh nghiệm chuyên môn nhiều nhưng em có tinh thần cầu tiến và học hỏi để sẵn sàng gắn bó với công ty lâu dài"/>
        <s v="I’m really looking forward to the chance to join SUN.STUDIO. I’m still early in my journey, but I’m very motivated, enjoy learning new things, and I’m especially interested in AI applications like gaming. I hope I can contribute and grow with the team."/>
        <s v="Là một người đam mê các trò chơi nhỏ, thú vị (Casual Games) và yêu thích việc tìm ra những câu chuyện ẩn sau các con số, em tin rằng vị trí DA Intern tại SUN.STUDIO là cơ hội tuyệt vời để em cống hiến sự tỉ mỉ, khả năng phân tích dữ liệu (SQL, Excel) của "/>
        <s v="Em mong muốn được trở thành một phần của SUN.STUDIO để học hỏi và phát triển trong môi trường làm game chuyên nghiệp. Em đặc biệt ấn tượng với định hướng đề cao chất lượng sản phẩm và trải nghiệm người chơi của công ty.&#10;&#10;Nếu có cơ hội tham gia SUN.RISER, "/>
        <s v="Em rất mong muốn có cơ hội được tham gia và học hỏi tại SUN.STUDIO. Đây không chỉ là một vị trí thực tập mà còn là cơ hội để em được phát triển bản thân trong môi trường thực tế.&#10;&#10;Em sẵn sàng dành thời gian, nỗ lực và nghiêm túc trong công việc để học hỏi"/>
        <s v="Mình muốn có cơ hội làm việc và đồng hành cùng SUN.STUDIO"/>
        <s v="I think the company should improve its branding because I haven't been able to research or learn much about it. Therefore, it will be difficult for customers (users or businesses) to reach out and expand the company's business."/>
        <s v="Em rất mong muốn có cơ hội được tham gia phỏng vấn để hiểu rõ hơn về SUN.STUDIO cũng như chia sẻ cụ thể hơn về bản thân. Em tin rằng với tinh thần học hỏi, sự chủ động và khả năng thích nghi, em có thể trở thành một mảnh ghép phù hợp và đóng góp giá trị t"/>
        <s v="Em rất mong có cơ hội được tham gia SUN.RISER để học hỏi từ đội ngũ chuyên môn, đóng góp vào các sản phẩm thực tế và phát triển bản thân theo định hướng AI Engineer. Em sẵn sàng học hỏi, chủ động trong công việc và cam kết nỗ lực hết mình nếu có cơ hội đồ"/>
        <s v="I am excited about the opportunity to join SUN.STUDIO and contribute to creating high-quality gaming experiences. With my passion for games, strong attention to detail, and eagerness to learn, I am ready to grow, take on challenges, and contribute positiv"/>
        <s v="I would like to ask how long it usually takes to receive feedback after applying and whether candidates who are not selected will also receive a response."/>
        <s v="Em mong muốn được học hỏi và phát triển trong môi trường thực tế tại SUN.STUDIO, nơi em có thể tiếp cận các bài toán AI và cách áp dụng vào sản phẩm. Em sẵn sàng chủ động học hỏi, thích nghi nhanh và nỗ lực để không chỉ hoàn thành tốt công việc được giao "/>
        <s v="I know I’m still at the beginning of my journey in Data Analysis, but I’m serious about it. I’m actively improving my skills and looking for a real environment to learn and contribute.&#10;I believe SUN.STUDIO can give me that opportunity, and I’m ready to pu"/>
        <s v="Tôi rất mong có cơ hội được đồng hành cùng SUN.STUDIO để học hỏi, phát triển kỹ năng và đóng góp hết mình vào các dự án game của công ty. Tôi hy vọng có thể mang đến tinh thần chủ động, trách nhiệm và sự nghiêm túc trong công việc, đồng thời không ngừng c"/>
        <s v="Tôi mong rằng có thể có được một buổi phỏng vấn và nếu tốt hơn thì sẽ được trúng tuyển vào trong công ty"/>
        <s v="Sau khi thử qua nhiều lĩnh vực thì em cảm thấy ngành game phù hợp nhất với mình. Trong game, em có thể ứng dụng nhiều kiến thức em đã tích lũy được. Em có khả năng đọc hiểu văn bản, viết document bằng tiếng Anh, sử dụng các thuật ngữ chuyên ngành. Ngoài r"/>
        <s v="- Em hy vọng sẽ có cơ hội làm việc lâu dài với SUN trong tương lai và học hỏi được nhiều thứ bổ ích từ anh chị đi trước"/>
        <s v="Dạ em hi vọng được trở thành một thành viên của SUN.STUDIO"/>
        <s v="Tôi mong muốn được trở thành một phần của SUN.STUDIO để học hỏi quy trình phát triển game thực tế, đóng góp vào việc nâng cao chất lượng sản phẩm và phát triển kỹ năng kiểm thử trong môi trường chuyên nghiệp."/>
        <s v="Em mong muốn được trở thành một phần của SUN.STUDIO để học hỏi, phát triển kỹ năng QA và đóng góp vào việc nâng cao chất lượng sản phẩm. Em luôn sẵn sàng tiếp thu, cải thiện bản thân và làm việc nghiêm túc để mang lại giá trị cho team."/>
        <s v="I am truly excited about the opportunity to join SUN.STUDIO and contribute to building practical AI solutions that create real impact. I hope to grow together with the team and deliver meaningful value through my work."/>
        <s v="I would like to express my sincere interest in becoming a part of SUN.STUDIO and contributing as a dedicated and responsible intern. I strongly hope to gain a meaningful and enriching internship experience where I can both support the team and further dev"/>
        <s v="Em mong là em được gắn bó được với công ty và học hỏi từ đó có thể có nhiều kinh nghiệm để đóng góp cho công ty ra những sản phẩm game chất lượng."/>
        <s v="Hi vọng có thể pass để có thể đi làm ạ T_T"/>
        <s v="Dạ không ạ"/>
        <s v="I am particularly interested in working with user behavior data in a game environment, where data directly informs product and design decisions. I have a strong foundation in data cleaning, preparation, and exploratory analysis, and I am comfortable worki"/>
        <s v="I may not be the most experienced candidate, but I am willing to learn quickly, work seriously, and continuously improve myself. I hope to have the opportunity to work with real data, contribute even in small ways, and grow step by step at SUN.STUDIO."/>
        <s v="Em rất ấn tượng với định hướng tiên phong ứng dụng AI Agent để tái thiết quy trình vận hành của SUN.STUDIO. Điều em muốn gửi gắm là sự cam kết: Em rất mong có cơ hội đồng hành cùng SUN.RISER để biến mục tiêu tiết kiệm hàng nghìn giờ làm việc của công ty t"/>
        <s v="I would like to express my strong interest in contributing to SUN.STUDIO and learning from your team. I am eager to gain hands-on experience, continuously improve my skills, and contribute to meaningful AI projects while growing with the company."/>
        <s v="I am particularly motivated to contribute while continuously learning and taking ownership in my work. I hope not only to grow here, but also to make a meaningful contribution to the team &lt;3"/>
        <s v="Em rất mong có cơ hội được học hỏi và phát triển tại SUN.STUDIO trong vai trò Data Analyst Intern. Em luôn sẵn sàng chủ động học hỏi, tiếp nhận feedback và nỗ lực đóng góp giá trị thông qua dữ liệu.&#10;&#10;Cảm ơn SUN.STUDIO đã dành thời gian xem xét hồ sơ của e"/>
        <s v="I would just like to emphasize how genuinely excited I am about the scale at which SUN.STUDIO operates. Reaching over 1 billion plays is an incredible milestone, and your mission to make games accessible and enjoyable really resonates with me. Thank you f"/>
        <s v="I’m eager to learn, contribute, and grow in a fast-paced game environment. I’m highly motivated to build strong user acquisition skills and create real impact for SUN.STUDIO."/>
        <s v="Beyond my background in data and creative testing, I’m someone who genuinely loves the mobile gaming industry. I chose SUN.STUDIO because I believe your environment is the best place for me to master User Acquisition. I’m committed to learning fast, worki"/>
        <s v="I am very excited about the opportunity to join SUN.RISER. I am eager to bring my analytical skills to the team, learn from experienced mentors, and contribute to the growth of high-quality gaming products at SUN.STUDIO."/>
        <s v="Em hiện đang là sinh viên năm 2 ngành Khoa học Máy tính của trường Đại Học Công nghệ Thông tin, chương trình liên kết với Đại học Birmingham City. Thiết kế của chương trình học hiện tại là kỳ thực tập của em, em không phải tham gia bất kỳ lớp nào ở trường"/>
        <s v="Mình rất hào hứng khi có thể thamm gia vào chương trình thực tập của SUN.STUDIO, nếu như mình không được nhận thì không biết mình  có thể apply lại sau khi đã chuẩn bị kỹ hơn không ạ"/>
        <s v="I am eager to learn, open to feedback, and willing to take on challenges. I hope to contribute my best while growing in a professional environment like SUN.STUDIO."/>
        <s v="Thank you !"/>
        <s v="Hope to be a part of SUN.STUDIO"/>
        <s v="I really hope to have the opportunity to work and develop here."/>
        <s v="Em muốn chia sẻ rằng em rất mong muốn phát triển lâu dài trong lĩnh vực Marketing và không ngừng cải thiện kỹ năng của mình. Em đặc biệt quan tâm đến việc sáng tạo nội dung và tìm hiểu hành vi khách hàng để xây dựng các chiến dịch hiệu quả.&#10;&#10;Em tin rằng m"/>
        <s v="Em mong có được cơ hội làm việc và gắn bó với SUN.STUDIO ạ"/>
        <s v="Em rất ấn tượng với văn hóa và môi trường làm việc tại SUN.STUDIO qua các kênh truyền thông. Em hy vọng hành trình sắp tới của mình sẽ được bắt đầu tại đây – nơi em có thể kết hợp tư duy logic của một sinh viên Bách Khoa và niềm đam mê với ngành Nhân sự. "/>
        <s v="Em mong muốn được tham gia vào môi trường thực chiến tại SUN.STUDIO để phát triển tư duy phân tích dữ liệu và tối ưu hiệu quả chiến dịch. Với tinh thần chủ động học hỏi và sẵn sàng thử nghiệm, em tin rằng mình có thể nhanh chóng thích nghi và đóng góp vào"/>
        <s v="Từ lúc em xác định muốn được phát triển trong lĩnh vực UA Marketing thì Sun Studio là môi trường làm việc mà em rất quan tâm và luôn chờ đợi cơ hội phù hợp. Trong quá trình tìm hiểu thì em nhận thấy rất ít công ty game/mobile app ở TP.HCM có chương trình "/>
        <s v="I truly appreciate the opportunity to apply for the SUN.RISER program. I am eager to learn from SUN.STUDIO’s innovative environment, contribute my skills in AI engineering, and grow alongside talented peers. I look forward to making meaningful contributio"/>
        <s v="Em rất mong có cơ hội được tham gia và học hỏi tại SUN.STUDIO. Dù kinh nghiệm thực tế của em chưa nhiều, nhưng em sẵn sàng học hỏi, chủ động trong công việc và luôn cố gắng hoàn thành tốt các nhiệm vụ được giao.&#10;&#10;Em hy vọng có thể đóng góp một phần nhỏ th"/>
        <s v="Em mong muốn được đồng hành cùng SUN.STUDIO để nắm bắt và tham gia phát triển kịp thời trong kỷ nguyên AI. Với nền tảng có sẵn và kinh nghiệm thực chiến với AI, tôi đã sẵn sàng đóng góp vào việc tự động hóa và tăng tốc quy trình sản xuất của công ty. Rất "/>
        <s v="I have always admired how Sun.Studio’s games bring simple, everyday joy to millions of users, including me. While I am just a newbie in the professional game industry, I am confident in my ability to contribute creative value to the game-building process."/>
        <s v="Em xác định Game Development là con đường sự nghiệp duy nhất và dài hạn của mình. Với nền tảng từ dự án đã làm, em khao khát được rèn luyện trong quy chuẩn chuyên nghiệp của SUN.STUDIO để không chỉ hoàn thành tốt vai trò thực tập sinh, mà còn phát triển t"/>
        <s v="I’m really excited about the possibility of joining the team. Beyond the data and the spreadsheets, I’m a huge fan of how gaming brings people together and my time in Japan really deepened my appreciation for that culture. I’m looking for a place where I "/>
        <s v="Em mong sẽ có cơ hội học tập và làm việc lâu dài trong môi trường của SUN.STUDIO"/>
        <s v="Em mong được trở thành một phần của SUN.STUDIO, nơi em có thể học hỏi từ môi trường thực tế, phát triển chuyên môn về Data/AI và tạo ra những giá trị thiết thực cho đội ngũ."/>
        <s v="Em hi vọng mình có thể trở thành một thành viên được học hỏi kinh nghiệm và làm việc trong một môi trường chuyên nghiệp như SUN.STUDIO."/>
        <s v="I'm a second-year student, so I may not check every box on paper — but I'm a fast learner, I take ownership seriously, and I genuinely want to grow in data. I'd love the chance to prove that in the room."/>
        <s v="I just want to say. I'm genuinely excited about this opportunity, not just to build my skills, but to contribute to something real. I'm still early in my career, but I care deeply about making games that feel good to play, and I'm willing to put in the wo"/>
        <s v="I am truly interested in growing as a data analyst in the gaming industry and see Sun Studio as a great place to start. I am eager to learn, work with real data, and contribute to improving player experience through data insights."/>
        <s v="Hy vọng tôi và quý công ty sẽ có cơ hội được đồng hành và phát triển cùng nhau. Cảm ơn quý công ty."/>
        <s v="I hope to have the opportunity to experience a real game development environment at SUN.STUDIO, where I can develop my product thinking, user understanding, and ability to work in a fast-growing, fast-paced environment, while also contributing directly to"/>
        <s v="Sau khi thấy bài đăng tuyển, em đã dành thời gian tìm hiểu thêm về SUN.STUDIO. Em ấn tượng khi công ty đã phát triển hơn 40 game với hơn 1 tỷ lượt chơi trên toàn cầu. Em đặc biệt quan tâm đến cách công ty tập trung vào game casual và trải nghiệm người chơ"/>
        <s v="I wish to be a part of your team"/>
        <s v="Em mong có cơ hội được học hỏi và tham gia trực tiếp vào các campaign thực tế tại SUN.STUDIO để hiểu rõ hơn về user acquisition. Em sẵn sàng thử, sai và học nhanh để cải thiện mỗi ngày. Hy vọng có thể đóng góp một phần nhỏ vào team trong quá trình đó."/>
        <s v="I hope to have the opportunity to learn, grow, and contribute to SUN.STUDIO as an AI Engineer Intern. I am willing to work hard, learn from the team, and apply my knowledge to real game projects."/>
        <s v="Em hy vọng có cơ hội đồng hành cùng SUN.STUDIO, học hỏi và đóng góp vào các dự án AI thực tế. Nếu chưa phù hợp, em rất mong nhận được feedback để tiếp tục cải thiện bản thân và CV của mình."/>
        <s v="I am truly interested in growing as a data analyst in the gaming industry and see SUN.STUDIO as a great place to start."/>
        <s v="Em rất mong có cơ hội đóng góp để tạo ra những tựa game hay. Em sẽ cố gắng học hỏi nhanh để hoàn thành tốt công việc và cùng team mang đến những sản phẩm chỉn chu nhất cho người chơi."/>
        <s v="Tôi muốn chia sẻ rằng mình là một người luôn đặt sự chủ động và tinh thần học hỏi lên hàng đầu. Tôi hi vọng mình sẽ mang đến nguồn năng lượng tươi mới cùng khát khao được thực chiến và đóng góp hết mình. Tôi tin rằng sự bền bỉ và tư duy không ngại thử thá"/>
        <s v="Em mong sẽ có cơ hội được đồng hành cùng SUN.STUDIO để học hỏi trong môi trường chuyên nghiệp, tiếp cận dữ liệu thực tế và phát triển hơn về tư duy phân tích. Em sẵn sàng nỗ lực, chủ động học hỏi và đóng góp hết khả năng của mình nếu được trở thành một ph"/>
        <s v="Mục tiêu lớn nhất của em khi tham gia chương trình SUN.RISER là được đào tạo bài bản và cọ xát thực tế tại vị trí Data Analysis Intern của SUN.STUDIO. Với nền tảng sẵn có về xử lý dữ liệu và phân tích khám phá (EDA), em rất mong được học hỏi cách doanh ng"/>
        <s v="Em mong muốn được học hỏi và tham gia vào môi trường thực chiến tại SUN.STUDIO để phát triển nhanh hơn về kỹ năng chạy ads và tư duy performance. Em sẵn sàng chủ động học, nhận feedback và hỗ trợ team hết khả năng để tạo ra hiệu suất và kết quả ngày càng "/>
        <s v="Tôi muốn SUN.STUDIO sẽ phát triển và đầu tư làm những dự án game lớn hơn vươn tới những người chơi trên toàn thế giới"/>
        <s v="Mình biết mình chưa có nhiều kinh nghiệm thực tế, nhưng mình sẵn sàng học hỏi. Cảm ơn SUN.STUDIO đã tạo ra chương trình thực tập cho trường."/>
        <s v="Thank you for considering my application. I am very interested in this internship because it matches my current focus on LLMs, AI agents, and workflow automation. I am willing to learn quickly, work responsibly, and contribute to practical internal AI too"/>
        <s v="Không có ạ"/>
        <s v="Tôi thực sự mong muốn được làm việc trong một môi trường gắn liền với các sản phẩm game như SUN.STUDIO. Đây có thể là một bước khởi đầu quan trọng trong sự nghiệp của tôi, và có thể là nơi tôi sẽ gắn bó trong những năm sắp tới nếu có cơ hội. Tôi sẵn sàng "/>
        <s v="Thank you for reviewing my application. I am eager to learn, improve my Unity skills, and contribute to real projects. I look forward to the opportunity to work and grow with your team."/>
        <s v="Em biết bản thân còn nhiều điều cần học, nhưng em rất mong muốn có cơ hội được trải nghiệm thực tế và phát triển bản thân. Em sẽ cố gắng học hỏi và đóng góp tốt nhất nếu có cơ hội tại SUN.STUDIO"/>
        <s v="Tôi rất mong có cơ hội được đồng hành cùng SUN.STUDIO. Với niềm đam mê game và sự kiên nhẫn trong việc kiểm thử, tôi tin mình có thể đóng góp vào việc nâng cao trải nghiệm người chơi. Tôi sẵn sàng học hỏi, tiếp thu kinh nghiệm từ đội ngũ, và mong muốn cùn"/>
        <s v="Mình muốn biết thêm về lộ trình thăng tiến trong công việc, work flow làm việc của công ty và hi vọng được là mảnh ghép của công ty trong thời gian sắp tới."/>
        <s v="Thank you for taking the time to review my CV. I look forward to the opportunity to meet with you in person."/>
        <s v="Nếu có cơ hội vào SUN.STUDIO, rất mong được hợp tác và phát triển nhiều với team và công ty ở trong những dự án sau này."/>
        <s v="I hope to grow in a dynamic environment and bring value to the team"/>
        <s v="Thank you for considering my application. I’m looking forward to learning, contributing, and growing as a game developer through real projects and teamwork at SUN.STUDIO."/>
        <s v="Em mong muốn hồ sơ của mình sẽ được xem xét, và sẽ được trao cơ hội thực tập tại quý công ty, để được cọ xát thực tế với vốn kiến thức của mình về chuyên ngành mà em yêu thích"/>
        <s v="Em chưa có nhiều kinh nghiệm trong mảng game UA nhưng em có nền tảng digital và sẵn sàng học nhanh, làm thật để cải thiện từng ngày. Em mong có cơ hội được thử sức trong môi trường như SUN.STUDIO để hiểu rõ hơn cách một chiến dịch hoạt động và phát triển "/>
        <s v="Em sẽ chủ động hiểu mục tiêu của team, nắm rõ công việc của từng thành viên và hỗ trợ để tối ưu khối lượng công việc chung."/>
        <s v="No"/>
        <s v="I look forward to the opportunity to be considered for this position. Thank you for your time and consideration."/>
        <s v="Là một người đam mê game tôi rất muốn làm việc tại công ty và góp phần đưa các sản phẩm game hay nhất ra thị trường."/>
        <s v="Em tìm đến với SUN.STUDIO không chỉ vì muốn tích lũy kinh nghiệm mà vì thật sự bị thu hút bởi cách bên mình xây dựng sản phẩm/thương hiệu. Em tin môi trường tại SUN.STUDIO sẽ giúp em phát triển được nhiều hơn và hơn thế nữa em cũng rất sẵn sàng cống hiến "/>
        <s v="Hy vọng SUN.STUDIO sẽ là nơi mở đầu giá trị cho chuỗi hành trình cống hiến và phát triển của em trong tương lai."/>
        <s v="I’m highly motivated to build a long-term career in user acquisition for mobile games, and I’m eager to learn quickly and contribute to real campaigns. I’m also very open to feedback and ready to take on challenges to grow with SUN.STUDIO."/>
        <s v="Em hi vọng có được một cơ hội được học tập, làm việc và đóng góp giá trị cho công ty trong kỳ thực tập. Thông qua đó, em có thể xây dựng được những nền tảng vững chắc cho tương lai của mình trong công việc AI Engineer. Em xin cảm ơn"/>
        <s v="Tôi đã có gần 1.5 năm kinh nghiệm phát triển game với Unity trên nền tảng WebGL, chủ yếu tập trung vào gameplay systems và tối ưu hiệu năng. Tuy nhiên, team size trước đây của tôi khá nhỏ, vì vậy hiện tại tôi mong muốn được làm việc trong một môi trường c"/>
        <s v="Em mong có cơ hội được học hỏi và phát triển tại SUN.STUDIO trong môi trường chuyên nghiệp và sáng tạo. Với tinh thần chủ động học hỏi, trách nhiệm và yêu thích kiểm thử game/phần mềm, em hy vọng có thể đóng góp vào việc nâng cao chất lượng sản phẩm cũng "/>
        <s v="Em mong muốn có thể được đồng hành cùng SUN.STUDIO trên con đường nghề nghiệp của em ạ."/>
        <s v="Mong rằng bộ phận tuyển dụng có thể đọc CV và sắp xếp một cuộc phỏng vấn trực tiếp gần đây nhất."/>
        <s v="Em mong muốn được mang tư duy quản lý chất lượng và sự tỉ mỉ của mình để đồng hành cùng SUN.STUDIO trong việc tối ưu hóa sản phẩm. Với tinh thần trách nhiệm và thái độ cầu tiến , em sẽ cố gắng học hỏi nhanh chóng để đóng góp hiệu quả vào đội ngũ, hướng tớ"/>
        <s v="I have nothing to share further now."/>
        <s v="Với nền tảng kiến thức liên quan đến phân tích dữ liệu mà em đã có được thông qua việc học tập trên trường cũng như các dự án mà em đã thực hiện, em tự tin mình đã sẵn sàng để chuyển từ 'dữ liệu mẫu' sang 'dữ liệu thực'. Em rất mong có cơ hội gia nhập côn"/>
        <s v="Chúc cho chương trình mình thành công mĩ mãng và SUN.STUDIO sẽ cho ra lò những sản phẩm làm mới thị trường Game Việt và vươn xa hơn là cả thị trường quốc tế ạ. Nếu được có tên trong đội ngủ sản xuất đó thì thật sự quá tuyệt với đối với em"/>
        <s v="Em rất mong có cơ hội được trở thành SUN.RISER tại SUN.STUDIO để được học hỏi và phát triển trong một môi trường làm game chuyên nghiệp, thực tế. Em đặc biệt ấn tượng với định hướng tạo ra các sản phẩm game dễ tiếp cận và mang lại trải nghiệm tốt cho ngườ"/>
        <s v="Em mong muốn được học hỏi và phát triển trong môi trường năng động như SUN.STUDIO, nơi em có thể vừa nâng cao kỹ năng phân tích dữ liệu vừa tham gia vào các sản phẩm thực tế có tác động đến người dùng. Em tin rằng với tinh thần chủ động, khả năng học nhan"/>
        <s v="This is the first studio I have applied to for an internship, and I hope to have the chance to make it through and be part of your team."/>
        <s v="Thank you for considering my application. I would really appreciate the opportunity to discuss my background and motivation further, and learn more about the role and team at Sun.Riser."/>
        <s v="Em hi vọng có thể tham gia chương trình thực tập bên mình và đồng hành cùng công ty trong lĩnh vực game, chúc công ty thành công hơn nữa trong thị trường game. Cảm ơn nhiều ạ"/>
        <s v="Em rất mong có cơ hội được tham gia SUN.RISER vì em thật sự hứng thú với hướng ứng dụng AI để tối ưu workflow và xây dựng các hệ thống automation thực tế. Điều em thích ở SUN.STUDIO là cách công ty nhìn AI như một công cụ giúp đội ngũ làm việc hiệu quả hơ"/>
        <s v="Em mong được học hỏi trong môi trường nơi AI không chỉ dừng ở ý tưởng mà được áp dụng vào quy trình thực tế để tạo ra sản phẩm có tác động rõ ràng. Em đặc biệt hứng thú với hướng AI automation, prompt engineering và agent workflows mà SUN.RISER đang theo "/>
        <s v="Em mong muốn được học hỏi và phát triển trong môi trường làm game chuyên nghiệp tại SUN.STUDIO. Em có khả năng tự học, chủ động tìm hiểu tài liệu kỹ thuật và kiên trì hoàn thiện giải pháp khi gặp vấn đề. Dù kinh nghiệm thực tế của em còn hạn chế và em vẫn"/>
        <s v="Dạ tạm thời không ạ"/>
        <s v="Em rất mong có cơ hội được học hỏi, phát triển kỹ năng và đóng góp cho các dự án game tại SUN.STUDIO. Em sẽ luôn cố gắng hoàn thành tốt công việc và cải thiện bản thân trong quá trình làm việc. Chúc quý công ty có một ngày làm việc hiệu quả ạ !!"/>
        <s v="Em là một người đã gắn bó với game từ nhỏ và đến hiện tại vẫn thường chơi game để giải trí (Clash of Clans, Subway Surfers,..). Em không chỉ thích chơi để giải trí mà còn thích quan sát cách game giữ chân người chơi, tạo trải nghiệm và xây dựng các hệ thố"/>
        <s v="Hy vọng rằng hồ sơ của em sẽ phù hợp với những gì studio đang tìm kiếm, và em có cơ hội được đồng hành, phát triển cùng mọi người trong thời gian tới, em mong muốn được học hỏi thêm để có thể phát triển bản thân và đáp ứng được sự kỳ vọng của quý công ty"/>
        <s v="Em mong muốn có cơ hội được học hỏi và phát triển thực tế trong môi trường game năng động tại SUN.STUDIO. Em sẵn sàng chủ động học hỏi, thử nghiệm và đóng góp hết mình để tạo ra những chiến dịch hiệu quả cho sản phẩm game của công ty."/>
        <s v="I'm passionate about data analysis and excited to grow alongside SUN.STUDIO. I appreciate the opportunity and look forward to making a positive impact through my work and continuous learning. I'm committed to quickly mastering the tools and technologies r"/>
        <s v="Em rất mong có cơ hội được học hỏi và phát triển tại SUN.STUDIO. Dù chưa có nhiều kinh nghiệm thực tế nhưng em luôn sẵn sàng chủ động tìm hiểu kiến thức mới, có tinh thần trách nhiệm và sẵn sàng tiếp thu feedback để cải thiện bản thân. Em hy vọng có thể đ"/>
        <s v="Thank you for considering my application. As a fresh graduate, I’m eager to learn, grow, and contribute in a professional game development environment. I believe my passion for games, attention to detail, and willingness to improve would allow me to add v"/>
        <s v="Tôi mong muốn được học hỏi những kinh nghiệm và trải từ SUN.STUDIO,"/>
        <s v="I would love the opportunity to join SUN.STUDIO and gain valuable hands-on experience in a real working environment. I’m eager to learn from experienced professionals, improve my analytical and problem-solving skills, and contribute with a proactive and g"/>
        <s v="Thank you for creating real opportunities for young talent. I'm genuinely excited to contribute to Sun.Riser."/>
        <s v="Đầu tiên là do em biết đến SUN.RISER hơi trễ nên chưa chuẩn bị kịp bảng điểm - bảng điểm hiện tại chỉ là em chụp trên hệ thống.&#10;Cuối cùng, em dù biết đến chương trình hơi muộn, nhưng đam mê làm game và mong muốn làm việc trong môi trường chuyên nghiệp như"/>
        <s v="Tôi rất mong có cơ hội tham gia SUN.STUDIO vì vị trí này phù hợp với định hướng của tôi: ứng dụng AI vào các workflow thực tế trong doanh nghiệp, không chỉ dừng lại ở các demo kỹ thuật. Tôi là người học nhanh, chủ động tiếp nhận feedback và sẵn sàng chịu "/>
        <s v="I’m very excited about the opportunity to join SUN.STUDIO&#10; as a Unity Intern.&#10;&#10;I believe this position would be a valuable chance for me to learn from experienced developers, improve my technical and teamwork skills, and gain real industry experience. I’m"/>
        <s v="Tôi muốn gửi lời cảm ơn đến SUN.STUDIO vì đã tạo ra chương trình SUN.RISER – một cơ hội quý giá cho sinh viên tiếp cận môi trường làm việc chuyên nghiệp. Với nền tảng là sinh viên ngành Kỹ thuật phần mềm và kinh nghiệm tự phát triển dự án cá nhân về Game "/>
        <s v="Được theo dõi các sản phẩm của SUN.STUDIO đã truyền cho em rất nhiều cảm hứng để phát triển bản thân trở thành một Unity Developer có tư duy thiết kế trải nghiệm người dùng. Với nền tảng Kỹ thuật Phần mềm và niềm đam mê mãnh liệt với dòng game Casual/Puzz"/>
        <s v="I am highly motivated to learn, adaptable to new environments, and eager to gain hands-on experience in a professional setting. I believe my analytical mindset, willingness to learn, and passion for working with data will allow me to contribute positively"/>
        <s v="Just I truly passion about creating games. I see SUN.STUDIO as an ideal environment where I can dedicate myself, acting as a reliable bridge between creative concepts and technical execution. I am ready to give my best to ensure that make team can deliver"/>
        <s v="Em rất mong có cơ hội được học hỏi và phát triển tại một môi trường năng động, sáng tạo và gắn liền với sản phẩm thực tế như SUN.STUDIO. Em hy vọng có thể đóng góp khả năng phân tích dữ liệu, tinh thần chủ động và sự ham học hỏi của mình để hỗ trợ team tạ"/>
        <s v="Hi vọng sẽ có cơ hội được làm việc cùng các anh chị. &#10;Chúc Studio ngày càng phát triển ạ !"/>
        <s v="Em thật sự rất thích được làm việc trong ngành game và mong muốn phát triển lâu dài với Marketing/Game UA. Đây là lĩnh vực khiến em có nhiều động lực học hỏi và theo đuổi nghiêm túc. Em hy vọng sẽ có cơ hội được đồng hành cùng SUN.STUDIO để vừa phát triển"/>
        <s v="Trình độ giao tiếng bằng tiếng anh của tôi còn hạn chế, không biết JD công việc có yêu cầu cao về tiếng anh không? Nếu có, hy vọng hãy cho tôi một cơ hội để tôi được học tập, trau dồi không chỉ về kĩ năng nghề nghiệp mà còn cải thiện trình độ giao tiếp ng"/>
        <s v="N/A"/>
        <s v="Tôi rất mong có thể được đồng hành cùng công ty, phát triển sự nghiệp, cùng team tạo nên các tựa game chất lượng và gặt hái thành công."/>
        <s v="I want to make games/apps that are #cute , #healing, #stunning visuals. is it possible at SUN.STUDIO?"/>
      </sharedItems>
    </cacheField>
    <cacheField name="CV" numFmtId="0">
      <sharedItems>
        <s v="https://api.typeform.com/responses/files/49914017047ecf29aa38c89cd9c8474bb0e21155ab3d986d3d29cf806dc7ad56/CV___Game_User_Acquisition_Intern___Nguyễn_Thị_Tuyết_Nữ.pdf"/>
        <s v="https://api.typeform.com/responses/files/ba7d85aa3096688023c9b20963039d62768d888c85f5daddb4090c306569f32a/CV___AI_Engineering_Intern___Le_Duc_Long.pdf"/>
        <s v="https://api.typeform.com/responses/files/36fd2c809b26d4e6b489a8575399ff4e76c3e59258dd6c0e910acc5d8b79819a/CV_Unity_Development_Intern_Huỳnh_Thị_Kim_Ngọc.pdf"/>
        <s v="https://api.typeform.com/responses/files/1abd3ff6c86bb06949d67c3d2903fa37b028d8796a9941af006dba69c93dcc4a/CV___AI_ENGINEER___HOÀNG_HUY_TỚI.pdf"/>
        <s v="https://api.typeform.com/responses/files/baa29c84a12d250db6d69b432a9edcf991b2ef6371e92de9f276eff4f54256ef/CV___Data_Analysis_Intern___Đỗ_Nguyễn_Khoa_Duy.pdf"/>
        <s v="https://api.typeform.com/responses/files/c1bd34278f9d207f06282b1cad2ec24171686e60036405ad5282a013c3ca7280/CV___Unity_Development_Intern___Hồ_Nhật_Tiến.pdf"/>
        <s v="https://api.typeform.com/responses/files/54f3de6e685d334bab5ffd155e35e0cca7fdb91e2e338893a157633f40a18698/CV___AI_Engineer_Intern___Châu_Văn_Minh_Khoa.pdf"/>
        <s v="https://api.typeform.com/responses/files/598bf7fff1505d81b481e8cebf485eb50f425e8fe38a822666ecd595a6b8d33b/CV___AI_Engineer_Intern___Trần_Đắc_Thịnh.pdf"/>
        <s v="https://api.typeform.com/responses/files/7a981ae5d63ba9c61f91645d10d9538c291fa29d5994973b545448b9c104ef06/CV_Data_Analysis_Intern_Nguyễn_Trần_Thị_Phi_Yến.pdf"/>
        <s v="https://api.typeform.com/responses/files/315cf7de4d558a41e23ecd15e899d4d5821448597bb2aee87602937b113dfbe0/inbound1309049399635309885.pdf"/>
        <s v="https://api.typeform.com/responses/files/1170efcc3fcb712c516112ab5bcd2e95c9f7d07fedc76f1599fb1aa2250527de/CV___Unity_Developer_Intern___Lê_Ngọc_Hiền.pdf"/>
        <s v="https://api.typeform.com/responses/files/195d776be624d5a03c73c0607494e2e8b8e666e55ab2dc27e9179e75745e90e8/Tester_Intern___Trần_Đắc_Phú.pdf"/>
        <s v="https://api.typeform.com/responses/files/eb78bbcb879d3d889122844608515d4a2416074df9cab858a0d809e39777b880/CV_AI_Engineer_Intern_NguyenLuuAnhHuy.pdf"/>
        <s v="https://api.typeform.com/responses/files/70cd037dde0faddec65e66b115fd4c52f36ec2683713d84e941927e588aee8b8/CV___Data_Analysis_Intern___Lê_Hà_Chức.pdf"/>
        <s v="https://api.typeform.com/responses/files/df1a631ed1ed2bd64f68db108c10a176af597082f621f24162b520f4e1c5884b/CV___Game_QA_Intern___Võ_Đức_Thiện.pdf"/>
        <s v="https://api.typeform.com/responses/files/04df42fb1cdcc323c15613104ebaf5ba5a3c374019fb576142db67e9decb6276/CV_AI_Engineer_TrinhQuangHien.pdf"/>
        <s v="https://api.typeform.com/responses/files/a7461935db8dceda3d841164b1b806da142c5ba3995f77373f1650f7ddbe3082/CV_AI_engineer_intern____Lê_Thành_Đạt.pdf"/>
        <s v="https://api.typeform.com/responses/files/39d5a438fd6ba8cec9597aff3e8efb70bc76fd248d204e7372ec070d40ba8ae6/CV_AI_Engineer_intern_Lê_Nguyễn_Trung_Vĩnh.pdf"/>
        <s v="https://api.typeform.com/responses/files/eb4b39b34d24d4ffe2cd72889bab27fbbb8daf96a3210a288ced15ad9d287cc9/CV___Game_UA_Marketing_Intern___Nguyễn_Huỳnh_Hạnh_Nguyên.pdf"/>
        <s v="https://api.typeform.com/responses/files/27fc615d25dd2fef1aac03d2a95f2d40b1cc1c3c41b0b2d65b28ca66ebecbfac/CV__Data_Analyst_Intern___NGUYỄN_BÙI_DUY_ANH.pdf"/>
        <s v="https://api.typeform.com/responses/files/b4c0985982e707ebb0d43a98f1f23288b8bda30166559828143b88d218db1bc8/CV___Game_User_Acquisition_Intern___Tsằn_Cá_Thành.pdf"/>
        <s v="https://api.typeform.com/responses/files/6dea104a8cc5703b9b4be5e3a8548b51f8f1f42f443dddb72adb14b6c23b55ea/CV_AI_Engineer_LamTanPhat.pdf"/>
        <s v="https://api.typeform.com/responses/files/733c3956134e89abffbea94ae45dd1cd8869d175f6fabac5a10f038f6183a95f/CV___Human_Resources_Intern___Nguyễn_Đăng_Khoa.pdf"/>
        <s v="https://api.typeform.com/responses/files/f9dfd0ff2de73437ec21e3332068709473cb826b8bcea1ef160387c3a193af49/CV___AI_Engineering_Intern___Trương_Phúc_Trường.pdf"/>
        <s v="https://api.typeform.com/responses/files/2edac3aad6512b75c0bf2ba6c8c8494f21690316ecbd0f2b0e88714f6acebe9d/CV___Game_Quality_Assurance_Intern___Lê_Minh_Kiệt.pdf"/>
        <s v="https://api.typeform.com/responses/files/26f468b285c291f4ced752d15db8834fe19ae11d79c62b925595bfb1c92c62fe/CV_AI_Engineer_Intern_Nguyễn_Quyết_Giang_Sơn.pdf"/>
        <s v="https://api.typeform.com/responses/files/c3c91791f5aa19e5db1391d16489e4eadcb408e6e53e3a7b6e831de03e0bdee1/DUONG_QUOC_THANH.pdf"/>
        <s v="https://api.typeform.com/responses/files/f2c5a3c72630d714d9aef96527c4d564efb0a8569b7889cd73b62cb2945eb113/CV___Data_Analysis_Intern___Nguyễn_Hoàng_Trang.pdf"/>
        <s v="https://api.typeform.com/responses/files/49f91eb06244faac76355306436875548c23774bd3d0413e73efec01fd80f2b3/CV___Unity_Developoment_Intern___Phan_Nguyễn_Trung_Hiếu.pdf"/>
        <s v="https://api.typeform.com/responses/files/09abc917cc345711c23c64d0f309705db51c9704b80974532a4b2f1c1fe2d422/CV___Unity_Development_Intern___Võ_Nhân_Hồng_Phúc.pdf"/>
        <s v="https://api.typeform.com/responses/files/9453de0038fae9f3c23a0dbd21106c09fae8de0872e7348f893607ed95dd1fc4/CV___Unity_Development_Intern___Lê_Bá_Đoàn.pdf"/>
        <s v="https://api.typeform.com/responses/files/9fd9c71e2c405501a9ca7db55acdac25f74be27f5b576d9df1dcab98e1edf875/CV_Game_Developer.pdf"/>
        <s v="https://api.typeform.com/responses/files/bb3adb52395ec57b759f916096fa6e1b15eead3c56c0bed20042196a683e7afd/CV___Unity_Development_Intern___Nguyễn_Trường_Thịnh.pdf"/>
        <s v="https://api.typeform.com/responses/files/c71924919374272610d7d2610268177b2759aa8ffc1931d04d8dfed322a40094/NguyenHoaiNhu_DA.pdf"/>
        <s v="https://api.typeform.com/responses/files/6b15a7d08d86fa2a249b1b96a350db3809bd582ebb5cdbcef8efe435cadf80a5/CV___AI_Engineer_Intern__Nguyễn_Xuân_Lộc.pdf"/>
        <s v="https://api.typeform.com/responses/files/f33ef764686e83ed00fb7dcdaa9522169848fa7f264ad7e38116f937a73973cd/_CV__4_.pdf"/>
        <s v="https://api.typeform.com/responses/files/0ae56c22399ad94e48f9485330c4c72f9ee53f61763946ec02b1ca2a2b3c7701/CV___AI_Engineer_Intern___Lê_Quốc_Vương.pdf"/>
        <s v="https://api.typeform.com/responses/files/93e15828f1137c97e70da051e3415706f6572123d168f86f3f9e50296186dad6/CV___Data_Analysis_Intern___Bui_Tran_Thy_Thy.pdf.pdf"/>
        <s v="https://api.typeform.com/responses/files/ae90e1003bdac1eb3b4e3f797551239e2c9375abc4788acf009235f81dc108a3/CV___Game_Quality_Assurance_Intern___Nguyễn_Hoàn_Báu.pdf"/>
        <s v="https://api.typeform.com/responses/files/fa2f2fe597b606856a24edee90ab7828fe258e98ca6100c33aeb77dc8efac84a/CV___Game_Quality_Assurance_Intern___Lương_Nguyễn_Xuân_Minh.pdf"/>
        <s v="https://api.typeform.com/responses/files/8dad546721a18f38e185fc120e8b47c794e8ea6807ee46be68f2cfbb138deb8e/CV___AI_Engineering_Intern___Bui_Le_Hong_Tam.pdf"/>
        <s v="https://api.typeform.com/responses/files/c88611e940d4999dfde026fe25da80e40325a4af726e41513da868d497d763b8/Lê_Hoàng_Châu_Anh_HR_Intern.pdf"/>
        <s v="https://api.typeform.com/responses/files/ec58cbf54a095043261e6b6a2b686e9453245c746106bf3472ee64cf34e01c2b/CV_GAME_QUALITY_ASSURANCE_INTERN_Truong_Tan_Phat.pdf"/>
        <s v="https://api.typeform.com/responses/files/d73d8300e4723fe929f6278482ae632f0d3676e837c8f186805e7ec42c73aa54/CV___Game_QA_Intern___Nguyễn_Lâm_Đức_Hòa.pdf"/>
        <s v="https://api.typeform.com/responses/files/6c4b1d01ef218d99a660f7b3278feeabc84201f6544485472ba81adf5616179d/CV___AI_Engineering_Intern___Nguyễn_Trần_Gia.pdf"/>
        <s v="https://api.typeform.com/responses/files/16bdc7249d28a3381aeca137e5bb10ff3b36b1e363c3bca24a48c1e890086028/NguyenTuNhu_Resume.pdf"/>
        <s v="https://api.typeform.com/responses/files/5e3f14188f4ea96c661ff3b8b862e2e13f08732eb38ab7ab630b4ad0bdd4249c/CV___Data_Analysis_Intern___Lê_Thị_Thu_Hiệp.pdf"/>
        <s v="https://api.typeform.com/responses/files/61186d44d17b346a6e9630618ed7e3a5f87c7b427c32c665fa3a59a9bf0fe8e1/CV___AI_Engineering_Intern___Nguyen_Thanh_Vinh.pdf"/>
        <s v="https://api.typeform.com/responses/files/b3010c69da28db0c20d0353aaf30250a903167d3da4298ed937bc0c7f1749e06/NGÔ_PHƯƠNG_NAM___AI_INTERN.pdf"/>
        <s v="https://api.typeform.com/responses/files/64d1f9a16986abad338f3c9dcd6095398e72b7faefcdd0b9ee248a30787662a3/CV___Human_Resources_Intern___Lâm_Minh_Khang.pdf"/>
        <s v="https://api.typeform.com/responses/files/9d20c65dbe838aa907b01f88a1cebd7dfcf72791269f9aa20846397d1957f234/CV_DA_INTERN_TRANTHIKIMANH.pdf"/>
        <s v="https://api.typeform.com/responses/files/6513e28e1ae8bad3673a62d91bebece68c1dbf94935ab46d317a494222e47069/CV___AI_Engineering_Intern___Võ_Hoàng_Phúc.pdf"/>
        <s v="https://api.typeform.com/responses/files/9672f307ec0f3c97dc4b5601c0c349d0ec79d17e8baf5b4ea8f00454aea53288/CV___User_Acquisition_Intern___Vũ_Đỗ_Trung_Quốc.pdf"/>
        <s v="https://api.typeform.com/responses/files/59090f2c3784f1d9d8ebc481f665c9fe21a66bf5e80e66a697b19f3a9a02e031/CV___Game_User_Acquisition_Marketing_Intern___Phạm_Hồng_Phương_Anh.pdf"/>
        <s v="https://api.typeform.com/responses/files/d0abdb4990184ed9ea72a3454073482d292e873df3c9eec1708589060c846042/CV_Data_Analysis_Intern_Lê_Nguyễn_Minh_Thư.pdf"/>
        <s v="https://api.typeform.com/responses/files/df556f9a6414eb09822776211207d06811d44c5408441dd575a459f51dc4ec3d/CV___Game_Quality_Assurance_Intern___Ngô_Tùng_Khải.pdf"/>
        <s v="https://api.typeform.com/responses/files/dca375a32a8f97f51009606dd4d4ec655335561278e00a0b91e631c409915fa0/Nguyen_Viet_Ky_Quan___AI_Engineer_Intern.pdf"/>
        <s v="https://api.typeform.com/responses/files/403261feec660eb86bd27792281bcfd67c3a50da2d8e9db6e56f61266c90fbd3/CV_DATA_ANALYSIS_INTERN_NGÔ_MINH_HẢI_YẾN.pdf"/>
        <s v="https://api.typeform.com/responses/files/2031ced20c2a3a9ad3996fae57fd903e8620958ff99a8660b9a8d59163bc1b91/CV___AI_Engineering_Intern___Nguyễn_Thiên_Ấn.pdf"/>
        <s v="https://api.typeform.com/responses/files/96a8f7c0b92dc363b5afff07795c32ce608a5ed75d2fea0c3ba1f52976657629/CV___Human_Resources_Intern___Nguyen_Mai_Han.pdf"/>
        <s v="https://api.typeform.com/responses/files/4b87c78838ef589e7e3c1984799d81ae4909f28c9e6d225e0f1301ca4954e7b4/CV_AI_Intern_Unity_Intern_HaoNg.pdf"/>
        <s v="https://api.typeform.com/responses/files/29359326825c64bfb910eb5f580da14ef4f45789c88a7ab7fda46e14be598073/Bùi_Đặng_Quỳnh_Như_CV.pdf"/>
        <s v="https://api.typeform.com/responses/files/9e147a5f4c0ba1d2ca493fa1dc881cc87e92a3802d2f09062cc61f008246d1d9/CV_Nguyen_Dac_Thanh.pdf"/>
        <s v="https://api.typeform.com/responses/files/8fbc9efa2cea2727c070adf92cc9af5070d48695a6e83ff7050ce781640ec3f8/CV_GameQualityAssuranceIntern_DangTrNguyen.pdf"/>
        <s v="https://api.typeform.com/responses/files/b5a0efb36df24a43b34b38e56bb330a84da33d23a5792bbfe9fa775127482d93/CV___DuongXuanThanhTai___TTS_CNTT.pdf"/>
        <s v="https://api.typeform.com/responses/files/77c68b428e877b174e1bd8b4944ff9a9ea754945e97e7d4922391c3f2d926452/NguyenPhuTrong_DataAnalyst.pdf"/>
        <s v="https://api.typeform.com/responses/files/fd58d4928215889c40287fe0672b2c22d6274942d5eeb8b018965f1cb9c87be5/CV_Game_User_Acquisition_Intern___Nguyen_Kim_Hang.pdf"/>
        <s v="https://api.typeform.com/responses/files/566715ff6aaae1103279f5c2401ce8cf18ad9db0c423c691de30c896a0ff9117/CV___AI_Engineering_Intern___Phạm_Thị_Cẩm_Nhung.pdf"/>
        <s v="https://api.typeform.com/responses/files/677e90566ede899a1abb4e178b67616bed1ef3efa6cc65af8cbba446911ba168/CV___Human_Resources_Intern___Đào_Hương_Giang.pdf"/>
        <s v="https://api.typeform.com/responses/files/5dc891333b46b5b32f92fbb98e19aebdf5fcae62e77f9a98d4363dd9d14e13ca/CV___Game_User_Acquisition_Intern___Trần_Thị_Thanh_Nga.pdf"/>
        <s v="https://api.typeform.com/responses/files/c5be06acd5fa8bd387a920a801a684e9a4e51832a97abeaaf6e6242f56052d69/DangTranAnhHao_CV.pdf"/>
        <s v="https://api.typeform.com/responses/files/716d81538a196ca4088e2748e61c779d90698071f8ae7bdc6a77a441c91af2d0/CV___Data_Analysis_Intern___Phạm_Ngọc_Thiện.pdf"/>
        <s v="https://api.typeform.com/responses/files/b66ffb7782469233c3159069805501af56ddcbd0eb32317bb5d11d5b99240543/CV___Game_User_Acquisition_Marketing_Intern___Lê_Phạm_Hoàng_Hà.pdf"/>
        <s v="https://api.typeform.com/responses/files/1460e62047590129377fa668af87725fe2749a76f6915235977a01effcc6eed1/CV___Game_User_Acquisition_Intern___Le_Bao_Ngoc.pdf"/>
        <s v="https://api.typeform.com/responses/files/f429150985dd6104a43d69730227d87178dbed6fcf610ec658af53d3bf0a8b94/CV___AI_Engineering_Intern___Nguyễn_Tấn_Dũng.pdf"/>
        <s v="https://api.typeform.com/responses/files/3fa14a8dc662c72d513759000bc9e619b8803717d08800b7f3bd1c57a822ece7/CV_–_Le_Quang_Long.pdf"/>
        <s v="https://api.typeform.com/responses/files/890a7775089239383c5dfd41ba89d49a185c9f82afeaabb459f4970a1dd871e9/CV___Data_Analysis_Intern___Nguyễn_Phạm_Chí_Bảo.pdf"/>
        <s v="https://api.typeform.com/responses/files/499da9e9d0e9eca1475551b6e69620d84553a26d233305ee6786bb3bd539d500/CV___AI_Engineering_Intern___Trần_Ngọc_Biên.pdf"/>
        <s v="https://api.typeform.com/responses/files/99a73b03048faf44d2443f1feef8ce143efc695349327f7521ed5dd2694f8de7/CV___Game_User_Acquisition_Intern___Nguyễn_Phan_Bình_Nguyên.pdf"/>
        <s v="https://api.typeform.com/responses/files/01af29048b22c30ac97f181eea7f0a327c3950fc9cc6a2a73d2652f88bc57ac2/CV___Unity_Developer_Intern___Lê_Tấn_Lợi.pdf"/>
        <s v="https://api.typeform.com/responses/files/6fe4884982b96405938630441b0f998b17e78aba052ebf457f26703c0f6fd1c2/Ho_Nguyen_Thanh_Trung_SunRiser_RISER2026.pdf"/>
        <s v="https://api.typeform.com/responses/files/39c5fea6d646586ea51f980c21da8fc789e83e1239a0f1c42f84fb8717e4bace/CV___Unity_Development_Intern___Đặng_Hiểu_Hòa.pdf"/>
        <s v="https://api.typeform.com/responses/files/ec4d7e5f6dda3d75de42344e779991bf97984fdc127889f5c81e10426b29cfac/cv_Le_Tan_Xuan_Khang_Data_Analyst.pdf"/>
        <s v="https://api.typeform.com/responses/files/6bf594917c6821514f626cce6aa67a2662feb872b59036484f4f5b6198d505b8/CV___Unity_Development_Intern___Trương_Quốc_Bảo.pdf"/>
        <s v="https://api.typeform.com/responses/files/0c0381696fcb62be8e224f2a97cd412f0f1e107d0dc3d97a6c6ca08d005420b5/CV___Data_Analysis_Intern___Lai_Mộc_Huy.pdf"/>
        <s v="https://api.typeform.com/responses/files/373d7134fdc673263e7dcb7f4499475c13d3f44538fd8a705015e9a0a5799e30/Nguyen_Duy_Tan_—_Game_Developer_CV.pdf"/>
        <s v="https://api.typeform.com/responses/files/7e9751df3682769dc199f9023a485a3fcef8919dd13092c44d5be08f0947d3b2/CV___Data_Analyst_Intern___Kiều_Tấn_Anh_Minh.pdf"/>
        <s v="https://api.typeform.com/responses/files/6f916413114a829d44187d2597682a7e5bc4651c4fd3156918dbead78d7558ea/CV___AI_Engineer_Intern___Nguyễn_Trần_Đức_Hoàng.pdf"/>
        <s v="https://api.typeform.com/responses/files/d2ab98ffe9d2d93a600dc6afdbc08e28ba81ad513c2709257a1082a1138d7a54/CV___Game_User_Acquisition_Intern___Ngo_Anh_Kiet.pdf"/>
        <s v="https://api.typeform.com/responses/files/4b0642d9437fc9d075b8688995786e153b13a6fca6fd4dc9bc3e42baeb012e1a/CV___Data_Analysis_Intern___Nguyễn_Mai_Xuân_Linh.pdf"/>
        <s v="https://api.typeform.com/responses/files/3b997507ab7c4ad043f5b77d70727f2a4f64dbebf9bde7759fd02df6554c7ec8/CV___Data_Analysis_Intern___Huỳnh_Thị_Kim_Quỳnh.pdf"/>
        <s v="https://api.typeform.com/responses/files/b704cae463df92948526f9952dc07492509d212da7c343a5116a1ccb9d206b9c/CV___Data_Analysis_Intern___Phạm_Trần_Dạ_Thảo.pdf"/>
        <s v="https://api.typeform.com/responses/files/559b3ac86a8d257553623fea7e7f50963d57ebd2afcb6a0fd546eedbbd1e2556/CV___Game_User_Acquisition_Intern___Hoàng_Thị_Thanh_Tâm.pdf"/>
        <s v="https://api.typeform.com/responses/files/af0a0f83dff2ac56e4f4605ef2a85264edeba2ed7f7f114d46b859a25cdee821/CV_AI_Engineer_Intern_NgoTruongDinh.pdf"/>
        <s v="https://api.typeform.com/responses/files/911d49cc3aea621e04dbd748580da61cd998f5a393215b8b4d37afe74eeefc2f/AI_ENGINEER_INTERN_NGUYENTHIVIEN.pdf"/>
        <s v="https://api.typeform.com/responses/files/4c8b50ee651aaca322beb884fae3be258e3e9e6be49e212838aadf0447c57a29/CV___Unity_Development_Intern___Nguyễn_Duy_Nhất.pdf"/>
        <s v="https://api.typeform.com/responses/files/b162e682cb77db2aaa64894ff5df8f21ba529e3c8a510eb4e3b72275beb0fc88/CV___Data_Analyst_Intern___Kiều_Tấn_Anh_Minh.pdf"/>
        <s v="https://api.typeform.com/responses/files/a783e42d0cfbfd0c2695f26a94b32fd229c28006f38fd4cd9a0f9ea5e36cdb45/CV___Data_Analysis_Intern___Phạm_Ngọc_Quỳnh_Hương.pdf"/>
        <s v="https://api.typeform.com/responses/files/4fbd48d6c74009cc42195d399540259dcb51be719d1a3d3721687349c1262957/CV___Quality_Assurance_Intern___PhamThiAiNgan.pdf"/>
        <s v="https://api.typeform.com/responses/files/4853978340d60f40aae95778d28a25ec46a4e778c66a7e285cb3dbf5ba78da64/CV___Data_Analysis_Intern___Huỳnh_Tấn_Đạt.pdf"/>
        <s v="https://api.typeform.com/responses/files/84c31a6d019eea66ea0a90619bed6630484f8dd4b201f6b2efaad42bfd03c98c/CV_Data_Analysis_Intern_Nguyễn_Lê_Thiên_Kim.pdf"/>
        <s v="https://api.typeform.com/responses/files/3b30aaaf6ac09b82e20ce02ad8dc450440dcdb663e7d9bb134edbc709fe75d8c/CV___Unity_Development_Intern___Lê_Minh_Hoàng.docx"/>
        <s v="https://api.typeform.com/responses/files/299198dab7cf9009b961493f839d9b29d6d2ad1ad4c3f22c480b56fceb52e005/CV___Data_Analysis_Intern___Nguyễn_Đỗ_Minh_Quân.pdf"/>
        <s v="https://api.typeform.com/responses/files/fe222c07768573624fee327757c23907774f6892edd1b6a80ca36172b0cc4c6a/CV___Thực_tập_sinh_Digital_Marketing___Nguyễn_Ngọc_Ánh.pdf"/>
        <s v="https://api.typeform.com/responses/files/bb3a054e7c2282dba1b93afacb8cee4406a782c0832e520f643b17420106dee6/Bui_Thai_Hoang_CV_GameDev.pdf"/>
        <s v="https://api.typeform.com/responses/files/5c940dd5b65a2903d7040373164ea3a30593d100a64dbff5746966a00992b32c/CV___AI_Engineering_Intern___Vũ_Đức_Việt_Anh.pdf"/>
        <s v="https://api.typeform.com/responses/files/8b0ba42288bc4be1d7775904d1eed6d8d738ddfc09c04ab5e603209d9cc550ba/CV___AI_Engineering_Intern___Hoàng_Đức_Hiếu_Anh.pdf"/>
        <s v="https://api.typeform.com/responses/files/a33f20d37765fded85d31dd6947846160ad7b6cceaed4c8c0f92d616cb6695e3/CV___Data_Analysis_Intern___Dương_Thị_Quỳnh_Giang.pdf"/>
        <s v="https://api.typeform.com/responses/files/db95950b6f530f1564b76715d219d4308a1b869574f20c8253c894b509b36cc3/CV___Data_Analysis_Intern___Hà_Quang_Đại.pdf"/>
        <s v="https://api.typeform.com/responses/files/f8955de1f7be3fb9732e9bc76f778a2186c2f92684b69df31110a831de045883/CV___Unity_Development_Intern___Nguyen_Van_Anh_Quan.pdf"/>
        <s v="https://api.typeform.com/responses/files/754cbf4da5af4cfa417a927c7e701c994c52277975fa792fef7065245bfb1f2d/CV_Game_User_Acquisition_Intern_Trần_Ngọc_Tuyền_Vy.pdf"/>
        <s v="https://api.typeform.com/responses/files/7b5b4c71d8de87b7f617f363f9afda5112d2f352c885c26304bee1911bdc8b88/CV___Data_Analysis_Intern___Phạm_Nguyễn_Thế_Hào.pdf"/>
        <s v="https://api.typeform.com/responses/files/3129db86cc09b8aaff344cf92d2d2a0dc6b244344408547e579b9a753bf2c327/CV___Game_Quality_Assurance_Intern___Bế_Trương_Dương.pdf"/>
        <s v="https://api.typeform.com/responses/files/663d15e07c8d552f51c284c940eb7c822abad022bbc12b8175c940f0bf36f221/CV___Game_QA_Intern___Dinh_Quoc_Tien.pdf"/>
        <s v="https://api.typeform.com/responses/files/49db19975847406654afd86ae3834b9173347d83479fcde20c4e85e48c0aaa9e/CV___Unity_Developer_Intern___Trieu_Phuoc_Minh_Long.pdf"/>
        <s v="https://api.typeform.com/responses/files/5f605a1c6ce5ccbf94b2c914bde7c76bac3bd9a20b31503b1f0996616b88727b/CV___Data_Analysis_Intern___Nguyễn_Huy_Quang.pdf"/>
        <s v="https://api.typeform.com/responses/files/4ab64870071dcbf725ff84f4dbb7426c409b24651cd3cabe4bee178f38db24ea/CV_Game_User_Acquisition_Intern_Nguyễn_Văn_Minh_Quân.pdf"/>
        <s v="https://api.typeform.com/responses/files/6e6e85f927bef14a197f0c1bb938f4e9d531b685b27af4d261e7c9b7f9a92e0a/CV_AI_Engineer_Intern_HuynhAnhQuoc.pdf"/>
        <s v="https://api.typeform.com/responses/files/785dbf3c71b07e9b5a0cd9be49248e6461c5a6a001c906e68935d1644ffd1e4e/CV_Game_Data_Analyst_Trần_Minh_Tài.pdf"/>
        <s v="https://api.typeform.com/responses/files/3ebe5ba92d667fa8c24e31de49ee5358537d6cd7f2f07e7dbf9514fa668fec7a/CV___Unity_Development_Intern___Trương_Lâm_Gia_Vỹ.pdf"/>
        <s v="https://api.typeform.com/responses/files/3d7a23a002b3c9383123a9c4ebf68fba8c9f3f6b9916d503b63d39853ec47f7c/CV.pdf"/>
        <s v="https://api.typeform.com/responses/files/e1bc1ad2aff25cce2636d4cdf2500285a965a1e226ae5b30945f627d362cc207/CV___Game_User_Acquisition_Intern___Lê_Thị_Hoa.pdf"/>
        <s v="https://api.typeform.com/responses/files/46b363832a6d05141111b0648ca95f0d7b7c3c20351d080965614f67cf5f1d49/CV___AI_Engineering_Intern___Nguyễn_Cang_Trường.pdf"/>
        <s v="https://api.typeform.com/responses/files/d6e68cd5798ce2d15ef5be21b8c55b7affd37250c3895dd1f9d953602821e345/CV___AI_Engineer_Intern___Hồ_Ngọc_Hiếu.pdf"/>
        <s v="https://api.typeform.com/responses/files/b76c45faf6d973bf069ae312af56632e78b9cc50660109a2624417e2ae3cb953/CV_Intern_TranCamTu.pdf"/>
        <s v="https://api.typeform.com/responses/files/1062bd437edc2439b7ca92f2500bbfd57b8fab3693728598b03b324433637e28/CV___Game_User_Acquisition___Trần_Thị_Trúc_Linh.pdf"/>
        <s v="https://api.typeform.com/responses/files/65b90bb9e43f64a90c4a89df4424a1c24a881d3ed3305846233bc016702c5714/CV_Human_Resources_Intern_Trần_Nguyễn_Hạnh_Trang.pdf"/>
        <s v="https://api.typeform.com/responses/files/42e5adf1b77f525315fada848cc89bb771e2a141a7b9a768f707cb4c07bc8d76/CV___AI_Engineering_Intern___Nguyễn_Trần_Phương_Mai.pdf"/>
        <s v="https://api.typeform.com/responses/files/197a8134413b7f89d53563ddc6833231dfa4a05339ddc5c9f9e13ea34152e128/inbound8750467988551631756.pdf"/>
        <s v="https://api.typeform.com/responses/files/391becd546cef329fe2b04f86cfb4237368cfe9fa1b4ed6ae7cd730e2ccf6b9a/CV___Data_Analysis_Intern___Phạm_Quang_Vinh.pdf"/>
        <s v="https://api.typeform.com/responses/files/bad24a7bbd624b5a920a67a6bec43771857329f5e5a65364b1609956d5f23a35/CV___Data_Analysis_Intern___Nguyễn_Thị_Anh_Thư.pdf"/>
        <s v="https://api.typeform.com/responses/files/88ebbe63a569c0cf97f238cda19d72fc831c08208a0ed0dc9b9d1db82df38fc1/CV___Game_User_Acquisition_Intern___Nguyen_Quoc_Lap.pdf"/>
        <s v="https://api.typeform.com/responses/files/e0abc6e5e984dc88eb37843b80ca0add885d01416946f8519f9dec65679f9a16/CV_AI_Engineering_Intern_Nguyen_Le_Dang_Khoa.pdf"/>
        <s v="https://api.typeform.com/responses/files/a16d3eee286f05edd443efbf890137ca917c6759f4660199fca954f9332486df/CV___Unity_Development_Intern___Dương_Thanh_Phụng.pdf"/>
        <s v="https://api.typeform.com/responses/files/810ec574a4d2d17afaa92ff28a4855f9e72d7233512d9072e59620047eb2fa1a/CV_Game_Quality_Assurance_Intern_Thi_Kiều_Thơ.pdf"/>
        <s v="https://api.typeform.com/responses/files/c1bee8cfc88b4c9151da8d26cc5c0380754c5331bde19a1cafce02ef44719ecc/CV___Game_Development_Intern___Tiền_Minh_Dương.pdf"/>
        <s v="https://api.typeform.com/responses/files/e0d546f430e71886e593eaac9077b771453245d3bd6011cabf0105730069f61e/CV___Unity_Development_Intern___Lữ_Nguyễn_Duy_Đức.pdf"/>
        <s v="https://api.typeform.com/responses/files/6dafd62ebcaeaee9802119cd006c511f68816eeacb9c8b593a0634f90160cf9a/CV_UA_Marketing_Intern_Nguyễn_Đức_Hiệp.pdf"/>
        <s v="https://api.typeform.com/responses/files/8ff95b7cf76c623c8a539db878af1bb5fad836af101433075f44bdd8a2b779aa/CV_TRAN_GIA_HAN.pdf"/>
        <s v="https://api.typeform.com/responses/files/487faf698d652b54f7fd4bb22955f5981ed55110043bd113cfd3028ef31cea13/CV_Game_User_Acquisition_Intern_Nguyễn_Thế_Văn.pdf"/>
        <s v="https://api.typeform.com/responses/files/2c8ec081c739a5bef0038d95d2ab261a8e5b0d87493da83ee76709d2ecda67c6/CV_DataAnalysisIntern_NguyenHuuThien.pdf"/>
        <s v="https://api.typeform.com/responses/files/e33b8ced23db78a32a0f8e9eedded1504c656c0b506ad7e071fe1fdbbb740363/CV___Unity_Development_Intern___Nguyễn_Quốc_Tiến.pdf"/>
        <s v="https://api.typeform.com/responses/files/e4249dbb7bb8df64ca61af444d452a835aed6cc01642510b9ab00f1d8c260cb2/CV___AI_Engineering_Intern___Võ_Duy_Anh.pdf"/>
        <s v="https://api.typeform.com/responses/files/2ef5602885763888f54f97a82417f8b722ea3ebc41b955abef54c43ace0c26d0/CV___Data_Analysis_Intern___Nguyễn_Lê_Diễm_Ngọc.pdf"/>
        <s v="https://api.typeform.com/responses/files/5bd217639643451b7696b1dab3dd7ecb88a0138bdc2495752cf724f50c517a66/CV___Unity_Developement_Intern___Luong_Linh_Khoi.pdf"/>
        <s v="https://api.typeform.com/responses/files/ace33cafe59cbf7138661084001a69409cad9ce77fcbf810c72e06bbbb707ff1/CV___Game_Quality_Assurance_Intern___Bui_Trong_Tin.pdf"/>
        <s v="https://api.typeform.com/responses/files/bc706f04e2f7e12869711cc36e42142642c554c929d858fcad7f01562f4f6f59/CV__Unity_Development_Intern___Nguyễn_Nhật_Huy.pdf"/>
        <s v="https://api.typeform.com/responses/files/9c2181e593823d11d8bc9e2427b32cbc8ea01b991b3722f7a495cdb1d4d41621/CV___AI_Engineering_Intern___Huỳnh_Ngọc_Anh_Thư.pdf"/>
        <s v="https://api.typeform.com/responses/files/af20850e5fd50399ecd9949b8e5bb2b6ef7f86140ef64edfd5e89f5394c0001d/CV___AI_Engineering_Intern___Hoàng_Văn_Minh.pdf"/>
        <s v="https://api.typeform.com/responses/files/24a0ac4644e4c3c2f2d526ed0f163da30480460ccc771886e12668bd80afe123/CV___AI_Engineering_Intern___Nguyễn_Phước_Thành_Tâm.pdf"/>
        <s v="https://api.typeform.com/responses/files/1e5239c6bbbad82941b3f86433ea2e879c6f872d795da19a9088cd3434ba0893/Phạm_Thị_Thùy_Dương__Game_User_Acquisition_Intern.pdf"/>
        <s v="https://api.typeform.com/responses/files/0aa071ecf023fd20887d17c9285a7007928a23b0e501a7e8bcc91894506082ee/NguyenThanhHien_CV.pdf"/>
        <s v="https://api.typeform.com/responses/files/b061918d3522d7b58e7ea1274bd6a4206ba73905ec7f3147806db43646b2c6f1/CV_Data_Analysis_Intern_Tran_Ngoc_Nhi.docx"/>
        <s v="https://api.typeform.com/responses/files/0a9a7fcae150d0f6e18104ddec830629cab60fdea54d2d0ee52eb6a17080a9f8/My_resume__1_.pdf"/>
        <s v="https://api.typeform.com/responses/files/1baefdedfabfecd1bfee1f4a1dd966ebf524c73cd4de6394d5d9582eb2e93867/Cv_GAME_DESIG_INTERN_Hà_Ngọc_Tuyết_Như.webp"/>
        <s v="https://api.typeform.com/responses/files/6c13068c817aa6677c606b6de4a012a529d9996eb7f79e39dba0a640ca9172e8/CV___Game_User_Acquisition_Intern___Trần_Xuân_Mai.pdf"/>
        <s v="https://api.typeform.com/responses/files/3254b64f13a27f76da14b0b61b9d7ae6afc3c572fff4557c028da7608efac33d/CV___Data_Analysis_Intern___Võ_Thị_Đông_Nghi.pdf"/>
        <s v="https://api.typeform.com/responses/files/f36563f61b681171eb61af56ee526a5f819320e770a05c21b54129beb8317b8b/CV___Data_Analyst_Intern___Nguyen_Ngoc_Phuong.pdf"/>
        <s v="https://api.typeform.com/responses/files/2931d30a800641c0c2e8734d37f5636685aaf1020732293d510cb191b38cab92/CV___Data_Analysis_Intern___Lê_Hiếu_Ngân.pdf"/>
        <s v="https://api.typeform.com/responses/files/c5b0a52ba821419c677db4c42db17744802c1c55a53a960aff1437fa41ce9979/LeMinhQuang_GameDesigner.docx"/>
        <s v="https://api.typeform.com/responses/files/f2c6a15e19edebf93e4f9e9dcb976c930de524b70fceed8b49d0e52856e7fbc3/CV_Game_Quality_Assurance_Intern_Nguyễn_Thị_Ngọc_Hânpdf.pdf"/>
        <s v="https://api.typeform.com/responses/files/707ec72d1b720e421a35a92b8c32d05d198e7a6f2ad3b84e3ba47eb41d36b137/CV_AI_Engineer_Intern_Phan_Văn_Hoàng.pdf"/>
        <s v="https://api.typeform.com/responses/files/2cd6bd7f33bdd003829874f4ee5c262f17ebd824007ef9f82dbbc72a80211330/CV___Data_Analyst_Intern___Nguyễn_Đình_Sinh_Quảng.pdf"/>
        <s v="https://api.typeform.com/responses/files/b757f7ef9a1266bae0e2fbe2a196d0a15cb06425e2d96ce6112dd5a8159e9624/Marketing_Executive___Phan_Thị_Thùy_Trang..pdf"/>
        <s v="https://api.typeform.com/responses/files/000892336c1c6e60338e2d7b6d8b1e3bf090657d648b6fc3fb1b255d0f58d640/CV___HR_Intern___Phùng_Nguyễn_Khánh_Trâm.pdf"/>
        <s v="https://api.typeform.com/responses/files/94dda5d5f494ccfafe9c8a669572d09ba3f40fbfeac1e5df049140de533e74cd/CV___Data_Analysis_Intern___Nguyễn_Lợi_Thanh_Dũng.pdf"/>
        <s v="https://api.typeform.com/responses/files/e24a1ab8e988d199b7dd0cd12e33697c8af41d830641cb5d103e7d483c390829/CV___Unity_Development_Intern___Game_Design_Intern___Nguyễn_Gia_Bảo_Danh.pdf"/>
        <s v="https://api.typeform.com/responses/files/e968c3f4b66dc8f596f5d2fe892463c79c9166c0be33f04ef6650f55b6d5aecb/CV___AI_Engineer_Intern___Lâm_Nhật_Minh.pdf"/>
        <s v="https://api.typeform.com/responses/files/68bde0fb74306f5c80cfb5b68c597c692506eac4e653c6176903c07102f09494/LeDucManh_Unity_Programer_CV.pdf"/>
        <s v="https://api.typeform.com/responses/files/cd81738f22c033d0d75580459419b76cb9c2073e73811d81152c5de2d301e9ef/Le_Minh_Truong_TopCV.vn_080526.184633.pdf"/>
        <s v="https://api.typeform.com/responses/files/0a18ddfbfccdeb9663850f88f59862cbdff924a4b94858ccaf21529d6fab670b/CV___Unity_Development_Intern___Nguyễn_Hữu_Sang.pdf"/>
        <s v="https://api.typeform.com/responses/files/79ccb9e78382cd9e540c2cea7f60daa9a67ae7f880bb660e96948090387166e0/CV___Data_Analysis_Intern___Nguyễn_Công_Minh.pdf"/>
        <s v="https://api.typeform.com/responses/files/d662685d834c56d06b684f3e6996ed8cf5c5a3d1c668e406cfcab9fc767142a3/CV___Game_Designer_Intern___Vo_Van_Chi_Thuan.pdf"/>
        <s v="https://api.typeform.com/responses/files/0dc5502dcc36e2cec5f8209e8487c141886e975da855c45aad7b6b7afff57c24/CV___Data_Analysis_Intern___Tô_Trần_Nhã_Uyên.pdf"/>
        <s v="https://api.typeform.com/responses/files/874e0551480b7cdebd5cee3899120d091d852bad18ab5297d6205ebf5f719eaf/CV___Game_Designer_Intern___Bùi_Bách_Nguyên.pdf"/>
        <s v="https://api.typeform.com/responses/files/5364ae1c58fbb72d1d704104d6a7bc8f8678feb7fbbbd7b12d765d18af023b84/CV_Game_User_Acquisition_Intern__Pham_Ngoc_Yen_Nhi.pdf"/>
        <s v="https://api.typeform.com/responses/files/6c9a6b2aefb52ddec5622b41bc30dd4e47ab80d4e2e3bedcab5e3f1706dad1b3/CV___Data_Analysis_Intern___LÊ_HOÀNG_NHƯ.pdf"/>
        <s v="https://api.typeform.com/responses/files/b0af5f8a486b8b04f208d9f9c74f8341183f4571d21fb3661efc41b754c641ed/CV___Data_Analysis_Intern___Huỳnh_Chơn_Thành_Nhân.pdf"/>
        <s v="https://api.typeform.com/responses/files/0a868a82a1ce8298a5a2737b618868b9dd5922b1c12adc8dd5ccda177f4ddb6c/CV___AI_Engineering_Intern___Võ_Công_Khanh.pdf"/>
        <s v="https://api.typeform.com/responses/files/5243664a785779e46484bf37c623f595ca4a76cb8393e7d16ad11e993aeb8e9f/CV___Unity_Development_Intern___Nguyễn_Thanh_Vũ.pdf"/>
        <s v="https://api.typeform.com/responses/files/ff2462ddc35380accb6d96feb9b1e55b27132189cf5a0615d3e3fc55c59b2fac/CV___Game_Design_Intern___Huỳnh_Phước_Tài.pdf"/>
        <s v="https://api.typeform.com/responses/files/02f5950acc28cb1d5f85f123457dbe86562bad520966b53a2630f172170ed026/CV_Game_User_Acquisition_Marketing_Intern___Data_Analysis_Intern__Võ_Nguyễn_Lan_Nhi.pdf"/>
      </sharedItems>
    </cacheField>
    <cacheField name="Submitted At" numFmtId="166">
      <sharedItems containsSemiMixedTypes="0" containsDate="1" containsString="0">
        <d v="2026-05-01T13:52:16Z"/>
        <d v="2026-05-01T14:13:46Z"/>
        <d v="2026-05-01T15:04:29Z"/>
        <d v="2026-05-01T16:16:27Z"/>
        <d v="2026-05-02T00:44:12Z"/>
        <d v="2026-05-02T01:39:28Z"/>
        <d v="2026-05-02T03:15:53Z"/>
        <d v="2026-05-02T04:17:08Z"/>
        <d v="2026-05-02T05:03:10Z"/>
        <d v="2026-05-02T05:45:18Z"/>
        <d v="2026-05-02T06:04:20Z"/>
        <d v="2026-05-02T06:44:35Z"/>
        <d v="2026-05-02T07:56:34Z"/>
        <d v="2026-05-02T09:20:50Z"/>
        <d v="2026-05-02T10:27:59Z"/>
        <d v="2026-05-02T10:49:42Z"/>
        <d v="2026-05-02T11:21:20Z"/>
        <d v="2026-05-02T11:50:40Z"/>
        <d v="2026-05-02T12:02:59Z"/>
        <d v="2026-05-02T12:05:26Z"/>
        <d v="2026-05-02T13:17:10Z"/>
        <d v="2026-05-02T14:58:35Z"/>
        <d v="2026-05-02T15:09:15Z"/>
        <d v="2026-05-02T16:10:33Z"/>
        <d v="2026-05-02T16:14:52Z"/>
        <d v="2026-05-02T17:19:36Z"/>
        <d v="2026-05-02T17:42:41Z"/>
        <d v="2026-05-02T18:05:42Z"/>
        <d v="2026-05-02T20:56:15Z"/>
        <d v="2026-05-03T01:49:05Z"/>
        <d v="2026-05-03T05:54:08Z"/>
        <d v="2026-05-03T06:00:17Z"/>
        <d v="2026-05-03T06:42:38Z"/>
        <d v="2026-05-03T07:50:48Z"/>
        <d v="2026-05-03T09:24:28Z"/>
        <d v="2026-05-03T09:46:29Z"/>
        <d v="2026-05-03T09:51:26Z"/>
        <d v="2026-05-03T10:40:24Z"/>
        <d v="2026-05-03T11:07:59Z"/>
        <d v="2026-05-03T11:22:02Z"/>
        <d v="2026-05-03T11:48:13Z"/>
        <d v="2026-05-03T11:58:57Z"/>
        <d v="2026-05-03T14:05:29Z"/>
        <d v="2026-05-03T14:25:58Z"/>
        <d v="2026-05-03T15:02:12Z"/>
        <d v="2026-05-03T15:26:19Z"/>
        <d v="2026-05-03T15:31:49Z"/>
        <d v="2026-05-03T15:58:34Z"/>
        <d v="2026-05-03T16:08:02Z"/>
        <d v="2026-05-03T16:31:44Z"/>
        <d v="2026-05-03T16:33:19Z"/>
        <d v="2026-05-03T16:59:53Z"/>
        <d v="2026-05-03T17:41:21Z"/>
        <d v="2026-05-03T19:15:43Z"/>
        <d v="2026-05-04T02:13:57Z"/>
        <d v="2026-05-04T03:04:01Z"/>
        <d v="2026-05-04T03:04:50Z"/>
        <d v="2026-05-04T03:13:10Z"/>
        <d v="2026-05-04T03:19:48Z"/>
        <d v="2026-05-04T05:04:53Z"/>
        <d v="2026-05-04T06:27:36Z"/>
        <d v="2026-05-04T06:29:51Z"/>
        <d v="2026-05-04T07:02:51Z"/>
        <d v="2026-05-04T07:52:17Z"/>
        <d v="2026-05-04T07:54:36Z"/>
        <d v="2026-05-04T08:04:21Z"/>
        <d v="2026-05-04T08:04:53Z"/>
        <d v="2026-05-04T08:12:30Z"/>
        <d v="2026-05-04T08:31:28Z"/>
        <d v="2026-05-04T09:11:08Z"/>
        <d v="2026-05-04T09:18:01Z"/>
        <d v="2026-05-04T09:38:18Z"/>
        <d v="2026-05-04T09:43:07Z"/>
        <d v="2026-05-04T10:34:02Z"/>
        <d v="2026-05-04T13:07:25Z"/>
        <d v="2026-05-04T14:49:22Z"/>
        <d v="2026-05-04T16:14:24Z"/>
        <d v="2026-05-04T16:21:10Z"/>
        <d v="2026-05-04T16:29:31Z"/>
        <d v="2026-05-04T16:44:25Z"/>
        <d v="2026-05-04T17:34:26Z"/>
        <d v="2026-05-05T02:02:26Z"/>
        <d v="2026-05-05T02:52:19Z"/>
        <d v="2026-05-05T03:32:51Z"/>
        <d v="2026-05-05T03:44:11Z"/>
        <d v="2026-05-05T03:54:59Z"/>
        <d v="2026-05-05T04:31:09Z"/>
        <d v="2026-05-05T05:32:36Z"/>
        <d v="2026-05-05T05:52:16Z"/>
        <d v="2026-05-05T06:34:15Z"/>
        <d v="2026-05-05T07:09:40Z"/>
        <d v="2026-05-05T07:16:09Z"/>
        <d v="2026-05-05T08:07:22Z"/>
        <d v="2026-05-05T08:27:43Z"/>
        <d v="2026-05-05T08:44:15Z"/>
        <d v="2026-05-05T08:49:45Z"/>
        <d v="2026-05-05T09:06:25Z"/>
        <d v="2026-05-05T11:42:03Z"/>
        <d v="2026-05-05T11:51:06Z"/>
        <d v="2026-05-05T12:48:25Z"/>
        <d v="2026-05-05T13:25:02Z"/>
        <d v="2026-05-05T14:26:19Z"/>
        <d v="2026-05-05T14:46:54Z"/>
        <d v="2026-05-05T14:51:08Z"/>
        <d v="2026-05-05T15:03:38Z"/>
        <d v="2026-05-05T15:53:43Z"/>
        <d v="2026-05-05T15:54:14Z"/>
        <d v="2026-05-05T15:54:52Z"/>
        <d v="2026-05-05T16:06:48Z"/>
        <d v="2026-05-05T16:56:28Z"/>
        <d v="2026-05-05T19:41:38Z"/>
        <d v="2026-05-06T01:47:05Z"/>
        <d v="2026-05-06T03:12:29Z"/>
        <d v="2026-05-06T03:34:55Z"/>
        <d v="2026-05-06T05:20:41Z"/>
        <d v="2026-05-06T06:58:17Z"/>
        <d v="2026-05-06T07:30:34Z"/>
        <d v="2026-05-06T09:28:38Z"/>
        <d v="2026-05-06T10:23:33Z"/>
        <d v="2026-05-06T10:37:49Z"/>
        <d v="2026-05-06T12:11:17Z"/>
        <d v="2026-05-06T12:18:16Z"/>
        <d v="2026-05-06T12:37:09Z"/>
        <d v="2026-05-06T13:42:10Z"/>
        <d v="2026-05-06T15:31:58Z"/>
        <d v="2026-05-06T15:35:02Z"/>
        <d v="2026-05-06T15:47:04Z"/>
        <d v="2026-05-06T16:05:44Z"/>
        <d v="2026-05-06T17:02:17Z"/>
        <d v="2026-05-06T17:34:12Z"/>
        <d v="2026-05-06T18:36:53Z"/>
        <d v="2026-05-06T22:24:57Z"/>
        <d v="2026-05-07T02:41:32Z"/>
        <d v="2026-05-07T04:49:29Z"/>
        <d v="2026-05-07T05:21:04Z"/>
        <d v="2026-05-07T06:42:22Z"/>
        <d v="2026-05-07T08:50:53Z"/>
        <d v="2026-05-07T09:05:45Z"/>
        <d v="2026-05-07T09:55:55Z"/>
        <d v="2026-05-07T10:05:11Z"/>
        <d v="2026-05-07T11:29:46Z"/>
        <d v="2026-05-07T13:56:17Z"/>
        <d v="2026-05-07T14:37:16Z"/>
        <d v="2026-05-07T15:07:41Z"/>
        <d v="2026-05-07T15:42:56Z"/>
        <d v="2026-05-07T16:04:14Z"/>
        <d v="2026-05-07T16:25:01Z"/>
        <d v="2026-05-07T16:43:25Z"/>
        <d v="2026-05-07T17:16:40Z"/>
        <d v="2026-05-07T17:36:31Z"/>
        <d v="2026-05-07T21:00:28Z"/>
        <d v="2026-05-07T21:16:38Z"/>
        <d v="2026-05-08T00:28:20Z"/>
        <d v="2026-05-08T03:53:36Z"/>
        <d v="2026-05-08T03:59:25Z"/>
        <d v="2026-05-08T06:08:20Z"/>
        <d v="2026-05-08T06:38:25Z"/>
        <d v="2026-05-08T07:30:55Z"/>
        <d v="2026-05-08T08:28:23Z"/>
        <d v="2026-05-08T08:51:58Z"/>
        <d v="2026-05-08T09:14:45Z"/>
        <d v="2026-05-08T09:40:09Z"/>
        <d v="2026-05-08T09:52:18Z"/>
        <d v="2026-05-08T10:37:17Z"/>
        <d v="2026-05-08T10:57:21Z"/>
        <d v="2026-05-08T10:58:05Z"/>
        <d v="2026-05-08T11:33:16Z"/>
        <d v="2026-05-08T11:39:13Z"/>
        <d v="2026-05-08T11:42:54Z"/>
        <d v="2026-05-08T12:21:01Z"/>
        <d v="2026-05-08T12:38:12Z"/>
        <d v="2026-05-08T12:48:59Z"/>
        <d v="2026-05-08T13:38:25Z"/>
        <d v="2026-05-08T13:40:18Z"/>
        <d v="2026-05-08T13:41:39Z"/>
        <d v="2026-05-08T14:58:21Z"/>
        <d v="2026-05-08T15:23:38Z"/>
        <d v="2026-05-08T15:48:03Z"/>
        <d v="2026-05-08T15:58:44Z"/>
        <d v="2026-05-08T16:58:41Z"/>
        <d v="2026-05-08T17:00:09Z"/>
        <d v="2026-05-09T04:13:25Z"/>
      </sharedItems>
    </cacheField>
    <cacheField name="Token" numFmtId="0">
      <sharedItems>
        <s v="s1i7l7a5b0g5yprxbs1iqe25wzo75yui"/>
        <s v="iihi0we3pbajowyyqdgwpiihi0mjmkda"/>
        <s v="axrlmj4qps0ksi2ejaxrlv3mhzikw0o7"/>
        <s v="6bz6le1gkhnccftaqs256bz6le6wjqme"/>
        <s v="5d81f7izcn5unx3ey5id5d81fq0dlkrf"/>
        <s v="yqeh2bl59u82rz11pmfyqeh2bvlfqcli"/>
        <s v="irp98r73db1gkonn358irp98nlnkp11g"/>
        <s v="rghnn3kzcffjhqtgzkmb2zt6rghnn8jr"/>
        <s v="6t4ji2q6suhd2two96t4jk2nmtvmhfoz"/>
        <s v="edscoitihl3edskhrws161vnrhluvkhr"/>
        <s v="dxgl98j39vqbb9bnprddxgl98ppfd7e2"/>
        <s v="t3cg1fjsierdns7lht3cgqcdqnoifukf"/>
        <s v="pi79xyt8g6ou89opi5l79bkkz5zs896j"/>
        <s v="7kasfyrzi63ovryiu3hr7kasfynx2c5k"/>
        <s v="8yuvh2spcc5aey7a29mn8yuvh24jsybx"/>
        <s v="yy90sbouspd78jm16zlv4yy90srdzisf"/>
        <s v="jbehwtgyw39w47oyjbehwtzhx1rrvh0b"/>
        <s v="pd741pn5armc1he9mpd741pgpvgszjeo"/>
        <s v="080zlwldvd0evcggz0zg4080zlwl6qx7"/>
        <s v="tgywi7z1fwttbs9xa6wtgyw48vn904q6"/>
        <s v="6kf8t0i84rpmx6a9rglbqzkvexak23bh"/>
        <s v="xkjo03wqq379343rgicxkjow3has8sqj"/>
        <s v="kyszu18y7759xlikyszplvag7yd4i6ck"/>
        <s v="fnhmg4pz4xexauxo0lafnhmg4p8tjnat"/>
        <s v="315dutt2oyxzaq27mi03315db2bvmoj1"/>
        <s v="0m05vuk8ttfwef90m05zw5dy3g194zzd"/>
        <s v="sqad4pkbz1rwr3knffjjsqad4pkbxxpk"/>
        <s v="f3rntee4u5p1loykk13f3rntaz4uvi5o"/>
        <s v="rjgg16bpsdsikwbyzujrjgg16fl5a78i"/>
        <s v="wrf0abdh9jrflmncwrf0w8qoep6ss5zx"/>
        <s v="mux92ookmpqh4kmb7lumuxrp8zhv81nv"/>
        <s v="a9v8z54wdxrl1authma3za9v8z5ul4tb"/>
        <s v="4l1ei512sx3vn3b04l1ei2pvmtt40yfc"/>
        <s v="k4t0h5s7u89903sfl3lnld1k4t0h5asr"/>
        <s v="gw2vlop5egq0gl2gw2vqkafcyxbep3xz"/>
        <s v="palrxykyg5q5b4palrxqldhe4ru9l6z8"/>
        <s v="z0elp1lzew8yzjw41piwcuz0elp1lbg1"/>
        <s v="5vgfpa8lzvjnvw4vhp9u5vgfpaa8ieq7"/>
        <s v="6pu81a92y2fj9vo92xq6pu81bcj4b0ek"/>
        <s v="54db48r4wc64luj8aczuoh854db48m0v"/>
        <s v="jqegbro2h78849xfojqeikpjuc36m6dv"/>
        <s v="csbdd6hckapdcl7bld9csbdd6mvr8dwy"/>
        <s v="wv8a3x4mg1z23drjjdhzwv8a3x4lo0yz"/>
        <s v="2l34dinw0zyww64k2lxnabttopm1qozf"/>
        <s v="2tmonqztu29gffb49s5k2tmonqy4cl8b"/>
        <s v="7mxy0cthh46h88d7mx7eczmzv4v4g5fa"/>
        <s v="isc38fvibu88wg9zdzly0892isc38fvi"/>
        <s v="usxgosyi70jmy2bzuwkwusxgov1zyc7q"/>
        <s v="jzz1mzpcosszp1ljzzy8d2sesqj7oni2"/>
        <s v="yfeqbz25sbr166n3jdh7yfeqbz2f0a6h"/>
        <s v="3ztr7sav1m8ttrwwwiic3ztr04wsloks"/>
        <s v="69hu02xzzawp3vyzt352m69hu0niaifw"/>
        <s v="gbnycfx332dqbaywsx83gbnycfxojpg9"/>
        <s v="94k6b4uh7x9fkmsj94k6b6stgsyz9rg6"/>
        <s v="4nhr33fz2dvibkj5u4nh3y57c6x23r86"/>
        <s v="cbblcwdu94pum2m0vucbblce4izvs8t2"/>
        <s v="vuvgrfyvuo3etlj665vuvgr167d47d1n"/>
        <s v="xefqy4nf1svfaytxefqdgffj4gp23t4z"/>
        <s v="gb98zk0vliwq7oca3nltkgb98zk0w8yk"/>
        <s v="dojxodpo21exzluaduvkdojxod8dsl68"/>
        <s v="y2oamhw07uxq613a68y2oamhwy5l1elx"/>
        <s v="pn2a1o3y9plm4ipn2vp8xeybaspk426s"/>
        <s v="wqvab3dn3fi3qqy86wqvab3dgajdafmi"/>
        <s v="hf9m5dxtfd7d1c8wy2zzehf9m5d3rrjj"/>
        <s v="3ssmjfzpq6jro3ssco9ifmui1lkr4zdn"/>
        <s v="opun7mwmieamop8fzyc07239hnuknssa"/>
        <s v="s98qioy08wuw952aly513s98qio1kj4t"/>
        <s v="e8sr7n7143zzm95qj64e4ov0e8sr7nbf"/>
        <s v="nb6o8eeaub7u9ziis7fsnb6o8eea1d3x"/>
        <s v="yxcdk6dholh0c5hjyxcdkswhkulwr89y"/>
        <s v="jpt6geotzvv7cqq0fhxjpt6g0zoezl74"/>
        <s v="cedevpnlv6xyhs5240yv3cedev0w90uo"/>
        <s v="kbv9tudf2sxo083ecxvc2g1kbv9thm5d"/>
        <s v="1uto0bw1qmink6p1uto0uxjeoxv0hexu"/>
        <s v="rxyq0nreja1jx83ieti6rxyq9rlhurpq"/>
        <s v="y1y51n1nbvvfy6niky1y5lbkj2jg866n"/>
        <s v="lfrm5hjiznnx64lfrmr4qbmdj6dxvyr1"/>
        <s v="wjwkc2xz2abgallvft0ymqwjwkc2x39q"/>
        <s v="7i77ctv0megssygxe1e01po7i77ctvj3"/>
        <s v="qh1dakqaois47likqmaqh1dakqvbcire"/>
        <s v="g976kp9szy8chgx7u4i8g976kpriiupa"/>
        <s v="4m5b4n1gp7ucasb34m58ady5244bwlfx"/>
        <s v="74n76myuawg2gqd74n76b2ajxckm135s"/>
        <s v="stxnhrb2tka6s2dlbstxo0orie8w4uet"/>
        <s v="evvv07donq7wwel7evvv0pb3uhzqkwo8"/>
        <s v="j189crkoe6tq5lggj189qpce03m1jm9x"/>
        <s v="g0nbk48yb70jgibh4zagg0nbk0ip7e3o"/>
        <s v="z3s4ib2elq541tbwz3ss6q8qoqt9ytym"/>
        <s v="4uv0czqv2mh4l4uv0cuf7xjwz3sfxejt"/>
        <s v="82lu7oyatyq2rm82awytr282lu7oyxsq"/>
        <s v="6mw4ij90z4sykdw2bc96mw4iat4dnzgh"/>
        <s v="nok0gllc9zf7h1m7ibjnok0hpc2u7h9a"/>
        <s v="kqkh3tbh1g2n582fx5n9tgwkqkh3tb4o"/>
        <s v="9embtzwtu0uhyg5m6npf39embtzvs1zc"/>
        <s v="c4vkgwpimvm37v6lc4vkg69us11i81w9"/>
        <s v="8pm5f2xpugt58po0iifdouvf81p99dte"/>
        <s v="etssxxe9yfq0ox9bdzgetssp0zenri35"/>
        <s v="k798nzxbfbkmwk798nzadlz32m1ggx5k"/>
        <s v="0hd2gimp0k4w8km4fbe5s0hd2gimylh1"/>
        <s v="c3nkiroiy0fa4doc3nkp9w7qspx4tnp9"/>
        <s v="kddp06y2qzdkznlgwcdmgkddp069znk9"/>
        <s v="6cmgle8lmu6cg5mcl37io6cmgle8w990"/>
        <s v="tsx7jxfbyok6z8bna4cptsx7j0utrr1r"/>
        <s v="liptqgc5fvgoe475p36mliptqgct3rca"/>
        <s v="v6t6tatfprz5cjvuiv6t6tat5755mt1d"/>
        <s v="botb99x4gnmhf3rensffwbotb99xkom9"/>
        <s v="mdcrzk5lk518c4b3a9mdcrzk94xxo3es"/>
        <s v="114mg71806bj5ssjpq114mg7em1ct470"/>
        <s v="tuegeeyp5ky12mpnpnltuegeeynl7n0h"/>
        <s v="5g375dfi4iavnh9wje65g375be6oap9r"/>
        <s v="w510ffnihkjqlm5pbvfrw510ffpsx55b"/>
        <s v="eujskpkky9g25xeb4ibeujskpk2sx59s"/>
        <s v="z1gj6kajxzbkpu155m4k1fz1gj6q0div"/>
        <s v="whvyghv1u92puad93xwhvyghcfkr67u3"/>
        <s v="5eau7tvap7b8615guf5ea5uoof9h3yfy"/>
        <s v="dsj9pi7uznd2jzqmeawsdsj9pi7h3t0k"/>
        <s v="u7nlr7hn473ooijet09alu7nlr7zqmps"/>
        <s v="d4cf74e76kiyelwd4cf7pakfc0r58jcc"/>
        <s v="7cow30si2hbgzdotifh37cow30slztuh"/>
        <s v="h00xzdu4ft0ysvmxrpzh00xzd8parv2c"/>
        <s v="rr0pxsbsuhvbmomvrr0pxiwih7v0bnew"/>
        <s v="3l5y3orkfeyyryyppym3l5y3kf3piiwp"/>
        <s v="lsb21t7s1kraq8g6ylsb21fayii0teaa"/>
        <s v="2x5evd5eddfr16mxsqv2h2x5evrbgsy9"/>
        <s v="alu61z135618l841xzuralu61z1j2gc1"/>
        <s v="eiu5hgubokgtnysugdeiu5hrip0umrxw"/>
        <s v="w2zqn22hp6bca7n1n040ww2zqn2iycap"/>
        <s v="ckf41ctf3do6z4ysexckf410n0i8h0hb"/>
        <s v="3mpgtua5ejcnr5rx3mpgtl72nlnu6sw3"/>
        <s v="7dbbjj6m1l7t9lye7dbbjgz8465npjkw"/>
        <s v="homf7z4cti92piyiqhomf7d7t7gw7ac9"/>
        <s v="vcwfbg84kk3yqnt121hvcwfbgwrks6h8"/>
        <s v="g6ru71g4my02g6ru03ap3087qi6t5y4g"/>
        <s v="cxjxkn9a99in06afvcxjxknre61qnw6m"/>
        <s v="434m5ub8nwuuy5e8vl4x434mhaztunjf"/>
        <s v="2yoz6qa6qqrho7a2yc8jy72yoz6qkmhc"/>
        <s v="9tkfj2r4ulc6qbwo9tkfowetlhv8of2y"/>
        <s v="q90zs8l317uvwbdj4q90zs8vvjz3y9mi"/>
        <s v="15brinq60mj8hs4fd15brinq0x0kclr7"/>
        <s v="ezgy3dm4u4qcaz5pezgyylv0jhswcxsf"/>
        <s v="makp0qbfjvo95maybfriu4bprsalnqmd"/>
        <s v="fy6nepkoh21ppu6zfy6nejzh0qssjwru"/>
        <s v="2h2trrtbpryw6h2h2tnokvazpyzgjwtn"/>
        <s v="t27jkx5yrgb8q9hbt27jkjmfyuy3pzy9"/>
        <s v="g98nvve1hq5zpug98n8thzy6ppyl6tnj"/>
        <s v="rxi56jx9qyrc28h9pdrxi56jj3izcom1"/>
        <s v="lxt0blc1mu6b8iz3iarqdlxt0h206tsx"/>
        <s v="wqw3fttr6lkzhuxjmz396bwqw3fttrm9"/>
        <s v="2c5dnj55ugrys6les2c5dnadt8kh21nq"/>
        <s v="p427k3xwgjdp9ze9dmsp427k3xwlnp24"/>
        <s v="4w72vzpv15bfnoqvmmq4w72vqsa0ldkx"/>
        <s v="yae36rgif55pm0eydyae36r9nt2gb07q"/>
        <s v="8ens2ry6uun28e116mc6nh0j6fy9116i"/>
        <s v="uw86grbl1hq7s9myat0uw86ght922r5f"/>
        <s v="fatilkfnfc258cb70fl7ifatimwk0hnt"/>
        <s v="94grfyokfs4k6lu94grf8vb34e6t3q7n"/>
        <s v="wrbahc6s7wf0d8aftnlq1uwrba2m1erb"/>
        <s v="591v7m1ax3u1vgtlh591v79fguer5xqr"/>
        <s v="egbb4kbpfabq6labsdo4egbbo4pbrg0v"/>
        <s v="a7hpjdqbr2uguk72fukla7hpj9n572js"/>
        <s v="bxy00uz15dvg9ebxyg36uupb8p3ts0j4"/>
        <s v="ds8d96ju2e17m5aqlap8dds8d9rwh02d"/>
        <s v="vczwc8mejtnye83z0pvczwcykkh6rorx"/>
        <s v="b3wqwpu8erspdep0b3wqw35rp4hm3al8"/>
        <s v="ccq8pzlxzj4x7cwwccq82wlmvwmwwogn"/>
        <s v="gy40wje4ed2gyhx8rskwdb2lybq3hx8r"/>
        <s v="utmj9yc1i2lwlt8a5ttq2yutmj9yplwf"/>
        <s v="frxt4t7vspz2vg6u3m43aefrxt4ko2qb"/>
        <s v="h7b9ditpmq9uh7b9seilrcbzmcrwseil"/>
        <s v="qctfgy3l9evdpvtqctfm9emamphpf7i8"/>
        <s v="7fdr5ujodt9rp9w7fdr5mwe3bud0eeua"/>
        <s v="tqxrulrmwj1qsbadtqxrusilpv2lleb8"/>
        <s v="tyiohcdli6j7r992510kxpn3tyiohc8l"/>
        <s v="o59q8zsi9jifopulg8uo59q8zstia6ye"/>
        <s v="zi8x1ad5hdhro4r2w5zi8xhcq9hs8idk"/>
        <s v="gpkfvm08httjzb9wai3gpkfv1lzfpyhx"/>
        <s v="p4av81nth4y8h29iip4av834ws8oaaor"/>
        <s v="gyxv6fire93prhkgyx2uh5fy88kosstu"/>
        <s v="j5yjwgykefo1jikodfsxj5yjwgyk3a8l"/>
        <s v="wvrhron5gxtlowhtlg4izwvrhrq5bjfx"/>
        <s v="qj7c10cqct8j7duqj7cojaf0rof4gyty"/>
        <s v="4t82vsc6bv9f9tg14t82v1cx9q2lbgy5"/>
      </sharedItems>
    </cacheField>
    <cacheField name="Batch" numFmtId="0">
      <sharedItems containsSemiMixedTypes="0" containsString="0" containsNumber="1" containsInteger="1">
        <n v="3.0"/>
      </sharedItems>
    </cacheField>
    <cacheField name="PIC" numFmtId="0">
      <sharedItems containsBlank="1">
        <m/>
        <s v="Minh"/>
      </sharedItems>
    </cacheField>
    <cacheField name="Round 1 - CV Result" numFmtId="0">
      <sharedItems containsBlank="1">
        <s v="Passed"/>
        <m/>
        <s v="Failed"/>
        <s v="Waiting list"/>
      </sharedItems>
    </cacheField>
    <cacheField name="Round 1 - Nhận xét " numFmtId="0">
      <sharedItems containsBlank="1">
        <m/>
        <s v="Background ko ấn tượng, chưa có dự án thực tế nào apply Unity"/>
        <s v="trái ngành, GPA thấp, chưa thấy được motivation"/>
        <s v="Cân nhắc cho HR "/>
        <s v="- Người SG&#10;- Chủ động tìm hiểu công việc, công ty&#10;- Có cơ duyên vào ban HR của CLB nên quyết định đi theo ngành nhân sự&#10;- Giữa các funtion của HR, chọn TA vì nghĩ bản thân hướng ngoại nên phù hợp&#10;- Homework: TA # recuiter?"/>
        <s v="cần check Eng"/>
        <s v="bạn này switch qua role Game Designer match hơn"/>
        <s v="cân nhắc case này cho Fresher/junior"/>
      </sharedItems>
    </cacheField>
    <cacheField name="Round 2 - Test" numFmtId="0">
      <sharedItems containsBlank="1">
        <s v="Test"/>
        <m/>
        <s v="Chờ test"/>
        <s v="Withdraw"/>
        <s v="Failed"/>
      </sharedItems>
    </cacheField>
    <cacheField name="Round 2 - HR Assignee&#10;- Tổng hợp &amp; gửi chấm bài làm&#10;- HR Intern: Email book lịch + Thực hiện Online Interview 30 phút" numFmtId="0">
      <sharedItems>
        <s v="Nhiên"/>
        <s v=""/>
        <s v="Quỳn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3.2. Pivot - Batch 3" cacheId="3" dataCaption="" compact="0" compactData="0">
  <location ref="A1:F10" firstHeaderRow="0" firstDataRow="1" firstDataCol="1"/>
  <pivotFields>
    <pivotField name="Họ và tê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Ngày sin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Emai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SĐ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Nguyện vọng 1" axis="axisRow" compact="0" outline="0" multipleItemSelectionAllowed="1" showAll="0" sortType="ascending">
      <items>
        <item x="1"/>
        <item x="3"/>
        <item x="6"/>
        <item x="4"/>
        <item x="0"/>
        <item x="5"/>
        <item x="2"/>
        <item t="default"/>
      </items>
    </pivotField>
    <pivotField name="Nguyện vọng 2" compact="0" outline="0" multipleItemSelectionAllowed="1" showAll="0">
      <items>
        <item x="0"/>
        <item x="1"/>
        <item x="2"/>
        <item x="3"/>
        <item x="4"/>
        <item x="5"/>
        <item x="6"/>
        <item x="7"/>
        <item t="default"/>
      </items>
    </pivotField>
    <pivotField name="Lý do ứng tuyển vị trí"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Hiểu role ứng tuyển làm gì? Vì sao bạn phù hợ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Đại họ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Đại học - Khá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V năm mấy?" compact="0" outline="0" multipleItemSelectionAllowed="1" showAll="0">
      <items>
        <item x="0"/>
        <item x="1"/>
        <item x="2"/>
        <item x="3"/>
        <item x="4"/>
        <item x="5"/>
        <item x="6"/>
        <item x="7"/>
        <item x="8"/>
        <item x="9"/>
        <item x="10"/>
        <item x="11"/>
        <item x="12"/>
        <item x="13"/>
        <item x="14"/>
        <item x="15"/>
        <item x="16"/>
        <item x="17"/>
        <item t="default"/>
      </items>
    </pivotField>
    <pivotField name="Chuyên ngàn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Thời gian tốt nghiệp (dự kiến nếu chưa tốt nghiệp)"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G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Bảng điể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Have you had any game-related or job-related experience before (personal project/coursework/competition…)?" compact="0" outline="0" multipleItemSelectionAllowed="1" showAll="0">
      <items>
        <item x="0"/>
        <item x="1"/>
        <item t="default"/>
      </items>
    </pivotField>
    <pivotField name="If yes, please briefly describe your roles and the project outco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Porfol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Are you willing to work full-time at least 3,5 days/week and commit to at least 3 months, starting from June 2026?" compact="0" outline="0" multipleItemSelectionAllowed="1" showAll="0">
      <items>
        <item x="0"/>
        <item x="1"/>
        <item x="2"/>
        <item t="default"/>
      </items>
    </pivotField>
    <pivotField name="Sau thời gian thực tập, bạn sẽ có cơ hội được review để thăng tiến vị trí chính thức. Bạn có thể đi làm full-time tối thiểu 3,5 ngày/tuần không?" compact="0" outline="0" multipleItemSelectionAllowed="1" showAll="0">
      <items>
        <item x="0"/>
        <item x="1"/>
        <item x="2"/>
        <item x="3"/>
        <item t="default"/>
      </items>
    </pivotField>
    <pivotField name="*Bạn biết đến chương trình thực tập SUN.riser của SUN.STUDIO qua kênh nà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ên nhân viên giới thiệu nội bộ*" compact="0" outline="0" multipleItemSelectionAllowed="1" showAll="0">
      <items>
        <item x="0"/>
        <item x="1"/>
        <item x="2"/>
        <item x="3"/>
        <item x="4"/>
        <item t="default"/>
      </items>
    </pivotField>
    <pivotField name="*Is there anything you would like to share with SUN.STUDIO?*&#10;_Bạn có điều gì muốn gửi gắm đến SUN.STUDIO?  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name="C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Submitted A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Tok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Batch" compact="0" outline="0" multipleItemSelectionAllowed="1" showAll="0">
      <items>
        <item x="0"/>
        <item t="default"/>
      </items>
    </pivotField>
    <pivotField name="PIC" compact="0" outline="0" multipleItemSelectionAllowed="1" showAll="0">
      <items>
        <item x="0"/>
        <item x="1"/>
        <item t="default"/>
      </items>
    </pivotField>
    <pivotField name="Round 1 - CV Result" axis="axisCol" compact="0" outline="0" multipleItemSelectionAllowed="1" showAll="0" sortType="ascending">
      <items>
        <item x="1"/>
        <item x="2"/>
        <item x="0"/>
        <item x="3"/>
        <item t="default"/>
      </items>
    </pivotField>
    <pivotField name="Round 1 - Nhận xét " compact="0" outline="0" multipleItemSelectionAllowed="1" showAll="0">
      <items>
        <item x="0"/>
        <item x="1"/>
        <item x="2"/>
        <item x="3"/>
        <item x="4"/>
        <item x="5"/>
        <item x="6"/>
        <item x="7"/>
        <item t="default"/>
      </items>
    </pivotField>
    <pivotField name="Round 2 - Test" compact="0" outline="0" multipleItemSelectionAllowed="1" showAll="0">
      <items>
        <item x="0"/>
        <item x="1"/>
        <item x="2"/>
        <item x="3"/>
        <item x="4"/>
        <item t="default"/>
      </items>
    </pivotField>
    <pivotField name="Round 2 - HR Assignee&#10;- Tổng hợp &amp; gửi chấm bài làm&#10;- HR Intern: Email book lịch + Thực hiện Online Interview 30 phút" compact="0" outline="0" multipleItemSelectionAllowed="1" showAll="0">
      <items>
        <item x="0"/>
        <item x="1"/>
        <item x="2"/>
        <item t="default"/>
      </items>
    </pivotField>
  </pivotFields>
  <rowFields>
    <field x="4"/>
  </rowFields>
  <colFields>
    <field x="28"/>
  </colFields>
  <dataFields>
    <dataField name="COUNTA of Email" fld="2" subtotal="count" baseField="0"/>
  </dataFields>
</pivotTableDefinition>
</file>

<file path=xl/pivotTables/pivotTable2.xml><?xml version="1.0" encoding="utf-8"?>
<pivotTableDefinition xmlns="http://schemas.openxmlformats.org/spreadsheetml/2006/main" name="3.2. Pivot - Batch 3 2" cacheId="3" dataCaption="" compact="0" compactData="0">
  <location ref="A14:E22" firstHeaderRow="0" firstDataRow="1" firstDataCol="1" rowPageCount="1" colPageCount="1"/>
  <pivotFields>
    <pivotField name="Họ và tê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Ngày sin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Emai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SĐ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Nguyện vọng 1" axis="axisRow" compact="0" outline="0" multipleItemSelectionAllowed="1" showAll="0" sortType="ascending">
      <items>
        <item x="1"/>
        <item x="3"/>
        <item x="6"/>
        <item x="4"/>
        <item x="0"/>
        <item x="5"/>
        <item x="2"/>
        <item t="default"/>
      </items>
    </pivotField>
    <pivotField name="Nguyện vọng 2" compact="0" outline="0" multipleItemSelectionAllowed="1" showAll="0">
      <items>
        <item x="0"/>
        <item x="1"/>
        <item x="2"/>
        <item x="3"/>
        <item x="4"/>
        <item x="5"/>
        <item x="6"/>
        <item x="7"/>
        <item t="default"/>
      </items>
    </pivotField>
    <pivotField name="Lý do ứng tuyển vị trí"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Hiểu role ứng tuyển làm gì? Vì sao bạn phù hợ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Đại họ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Đại học - Khá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V năm mấy?" compact="0" outline="0" multipleItemSelectionAllowed="1" showAll="0">
      <items>
        <item x="0"/>
        <item x="1"/>
        <item x="2"/>
        <item x="3"/>
        <item x="4"/>
        <item x="5"/>
        <item x="6"/>
        <item x="7"/>
        <item x="8"/>
        <item x="9"/>
        <item x="10"/>
        <item x="11"/>
        <item x="12"/>
        <item x="13"/>
        <item x="14"/>
        <item x="15"/>
        <item x="16"/>
        <item x="17"/>
        <item t="default"/>
      </items>
    </pivotField>
    <pivotField name="Chuyên ngàn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Thời gian tốt nghiệp (dự kiến nếu chưa tốt nghiệp)"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G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Bảng điể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Have you had any game-related or job-related experience before (personal project/coursework/competition…)?" compact="0" outline="0" multipleItemSelectionAllowed="1" showAll="0">
      <items>
        <item x="0"/>
        <item x="1"/>
        <item t="default"/>
      </items>
    </pivotField>
    <pivotField name="If yes, please briefly describe your roles and the project outco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Porfol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Are you willing to work full-time at least 3,5 days/week and commit to at least 3 months, starting from June 2026?" compact="0" outline="0" multipleItemSelectionAllowed="1" showAll="0">
      <items>
        <item x="0"/>
        <item x="1"/>
        <item x="2"/>
        <item t="default"/>
      </items>
    </pivotField>
    <pivotField name="Sau thời gian thực tập, bạn sẽ có cơ hội được review để thăng tiến vị trí chính thức. Bạn có thể đi làm full-time tối thiểu 3,5 ngày/tuần không?" compact="0" outline="0" multipleItemSelectionAllowed="1" showAll="0">
      <items>
        <item x="0"/>
        <item x="1"/>
        <item x="2"/>
        <item x="3"/>
        <item t="default"/>
      </items>
    </pivotField>
    <pivotField name="*Bạn biết đến chương trình thực tập SUN.riser của SUN.STUDIO qua kênh nà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ên nhân viên giới thiệu nội bộ*" compact="0" outline="0" multipleItemSelectionAllowed="1" showAll="0">
      <items>
        <item x="0"/>
        <item x="1"/>
        <item x="2"/>
        <item x="3"/>
        <item x="4"/>
        <item t="default"/>
      </items>
    </pivotField>
    <pivotField name="*Is there anything you would like to share with SUN.STUDIO?*&#10;_Bạn có điều gì muốn gửi gắm đến SUN.STUDIO?  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name="C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Submitted A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Tok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Batch" compact="0" outline="0" multipleItemSelectionAllowed="1" showAll="0">
      <items>
        <item x="0"/>
        <item t="default"/>
      </items>
    </pivotField>
    <pivotField name="PIC" compact="0" outline="0" multipleItemSelectionAllowed="1" showAll="0">
      <items>
        <item x="0"/>
        <item x="1"/>
        <item t="default"/>
      </items>
    </pivotField>
    <pivotField name="Round 1 - CV Result" axis="axisPage" compact="0" outline="0" multipleItemSelectionAllowed="1" showAll="0">
      <items>
        <item x="0"/>
        <item h="1" x="1"/>
        <item h="1" x="2"/>
        <item h="1" x="3"/>
        <item t="default"/>
      </items>
    </pivotField>
    <pivotField name="Round 1 - Nhận xét " compact="0" outline="0" multipleItemSelectionAllowed="1" showAll="0">
      <items>
        <item x="0"/>
        <item x="1"/>
        <item x="2"/>
        <item x="3"/>
        <item x="4"/>
        <item x="5"/>
        <item x="6"/>
        <item x="7"/>
        <item t="default"/>
      </items>
    </pivotField>
    <pivotField name="Round 2 - Test" compact="0" outline="0" multipleItemSelectionAllowed="1" showAll="0">
      <items>
        <item x="0"/>
        <item x="1"/>
        <item x="2"/>
        <item x="3"/>
        <item x="4"/>
        <item t="default"/>
      </items>
    </pivotField>
    <pivotField name="Round 2 - HR Assignee&#10;- Tổng hợp &amp; gửi chấm bài làm&#10;- HR Intern: Email book lịch + Thực hiện Online Interview 30 phút" axis="axisCol" compact="0" outline="0" multipleItemSelectionAllowed="1" showAll="0" sortType="ascending">
      <items>
        <item x="1"/>
        <item x="0"/>
        <item x="2"/>
        <item t="default"/>
      </items>
    </pivotField>
  </pivotFields>
  <rowFields>
    <field x="4"/>
  </rowFields>
  <colFields>
    <field x="31"/>
  </colFields>
  <pageFields>
    <pageField fld="28"/>
  </pageFields>
  <dataFields>
    <dataField name="COUNTA of Email" fld="2" subtotal="count" baseField="0"/>
  </dataFields>
</pivotTableDefinition>
</file>

<file path=xl/tables/table1.xml><?xml version="1.0" encoding="utf-8"?>
<table xmlns="http://schemas.openxmlformats.org/spreadsheetml/2006/main" ref="A1:F12" displayName="Working_timeline" name="Working_timeline" id="1">
  <tableColumns count="6">
    <tableColumn name="Start date" id="1"/>
    <tableColumn name="End date" id="2"/>
    <tableColumn name="Batch" id="3"/>
    <tableColumn name="What to do" id="4"/>
    <tableColumn name="PIC" id="5"/>
    <tableColumn name="Note" id="6"/>
  </tableColumns>
  <tableStyleInfo name="Working Timeline -style" showColumnStripes="0" showFirstColumn="1" showLastColumn="1" showRowStripes="1"/>
</table>
</file>

<file path=xl/tables/table2.xml><?xml version="1.0" encoding="utf-8"?>
<table xmlns="http://schemas.openxmlformats.org/spreadsheetml/2006/main" ref="C15:D19" displayName="Email_template" name="Email_template" id="2">
  <tableColumns count="2">
    <tableColumn name="Function" id="1"/>
    <tableColumn name="Email template" id="2"/>
  </tableColumns>
  <tableStyleInfo name="Working Timeline -style 2" showColumnStripes="0" showFirstColumn="1" showLastColumn="1" showRowStripes="1"/>
</table>
</file>

<file path=xl/tables/table3.xml><?xml version="1.0" encoding="utf-8"?>
<table xmlns="http://schemas.openxmlformats.org/spreadsheetml/2006/main" ref="A1:AA645" displayName="From_Typeform" name="From_Typeform" id="3">
  <autoFilter ref="$A$1:$AA$645">
    <filterColumn colId="0">
      <filters>
        <filter val="Trần Như Phú Quang"/>
      </filters>
    </filterColumn>
  </autoFilter>
  <tableColumns count="27">
    <tableColumn name="*Vui lòng cung cấp họ và tên đầy đủ của bạn.*" id="1"/>
    <tableColumn name="*Ngày tháng năm sinh*" id="2"/>
    <tableColumn name="*Địa chỉ email của bạn là gì?*" id="3"/>
    <tableColumn name="*Số điện thoại bạn đang sử dụng?*" id="4"/>
    <tableColumn name="*1st choice / Nguyện vọng 1*" id="5"/>
    <tableColumn name="*2nd choice / Nguyện vọng 2*" id="6"/>
    <tableColumn name="*Please submit your CV here *" id="7"/>
    <tableColumn name="*Why do you want to apply for this position in SUN.riser program?*_x000a__Vì sao bạn muốn ứng tuyển vào vị trí này trong chương trình SUN.riser? _" id="8"/>
    <tableColumn name="*Why do your applied position *_x000a__Vì sao bạn muốn ứng tuyển vào vị trí này trong chương trình SUN.riser? _" id="9"/>
    <tableColumn name="*Which university are you studying at? / Bạn đến từ trường Đại học nào?*" id="10"/>
    <tableColumn name="Nếu không nằm trong danh sách phía trên, vui lòng ghi tên trường Đại học của bạn tại đây" id="11"/>
    <tableColumn name="*Trình độ học vấn hiện tại của bạn là gì?*" id="12"/>
    <tableColumn name="*Chuyên ngành học của bạn là gì?*" id="13"/>
    <tableColumn name="*Thời gian tốt nghiệp (dự kiến nếu chưa tốt nghiệp)*" id="14"/>
    <tableColumn name="*What is your GPA (out of 10)?*_x000a__Điểm trung bình hiện tại của bạn (Trên thang điểm 10)?_" id="15"/>
    <tableColumn name="*Please attach your academic transcript here*_x000a__Vui lòng đính kèm bảng điểm tại đây_" id="16"/>
    <tableColumn name="*Have you had any game-related or job-related experience before (personal project/coursework/competition…)?*_x000a__Bạn đã có kinh nghiệm liên quan đến Game hoặc vị trí ứng tuyển trước đây chưa (dự án/bài tập/công ty/cuộc thi,…)?_" id="17"/>
    <tableColumn name="*If yes, please briefly describe your roles and the project outcomes*_x000a__Nếu có, hãy mô tả ngắn về vai trò của bạn và kết quả của dự án/bài tập đó._" id="18"/>
    <tableColumn name="*Please attach your related Portfolio or Project links here*_x000a_Vui lòng đính kèm Portfolio hoặc Link dự án liên quan đến kinh nghiệm của bạn tại đây. " id="19"/>
    <tableColumn name="*Are you willing to work full-time at least 3,5 days/week and commit to at least 3 months, starting from June 2026?*_x000a_Bạn có sẵn sàng làm việc full-time tối thiểu 3,5 ngày/tuần và cam kết tham gia tối thiểu 3 tháng, bắt đầu từ tháng 6/2026 không? " id="20"/>
    <tableColumn name="*Sau thời gian thực tập, bạn sẽ có cơ hội được review để thăng tiến vị trí chính thức. Bạn có thể đi làm full-time tối thiểu 3,5 ngày/tuần không?*" id="21"/>
    <tableColumn name="*Bạn biết đến chương trình thực tập SUN.riser của SUN.STUDIO qua kênh nào?*" id="22"/>
    <tableColumn name="*Tên nhân viên giới thiệu nội bộ*" id="23"/>
    <tableColumn name="*Is there anything you would like to share with SUN.STUDIO?*_x000a__Bạn có điều gì muốn gửi gắm đến SUN.STUDIO?  _" id="24"/>
    <tableColumn name="Submitted At" id="25"/>
    <tableColumn name="Token" id="26"/>
    <tableColumn name="Batch" id="27"/>
  </tableColumns>
  <tableStyleInfo name="SUN.RISER 2026-style" showColumnStripes="0" showFirstColumn="1" showLastColumn="1" showRowStripes="1"/>
</table>
</file>

<file path=xl/tables/table4.xml><?xml version="1.0" encoding="utf-8"?>
<table xmlns="http://schemas.openxmlformats.org/spreadsheetml/2006/main" ref="A1:AJ120" displayName="Table1" name="Table1" id="4">
  <autoFilter ref="$A$1:$AJ$120">
    <filterColumn colId="28">
      <filters>
        <filter val="Failed"/>
        <filter val="Waiting list"/>
      </filters>
    </filterColumn>
    <filterColumn colId="4">
      <filters>
        <filter val="Data Analysis Intern"/>
      </filters>
    </filterColumn>
    <filterColumn colId="29">
      <filters>
        <filter val="thiên hướng AI research"/>
        <filter val="Làm 2 dự án game được vài demo. Từng làm giảng dạy game Teky Technology Academy 10 tháng đến 04/2026 (chưa biết bạn dạy gì trong này). Điểm lập trình C#, giải thuật around 7-8, OOP thì được 9. Có thể thử cho bài test"/>
        <filter val="UIT, học các môn Lập trình, OOP điểm bình thường around 7-8, có làm game nhưng mà chỉ 1 game nhỏ và không chơi được. Hiện đang làm thêm 1 game nữa nên vớt coi thử bạn làm ra sao"/>
        <filter val="Bạn này chuyển qua Fresher/Junior"/>
        <filter val="2&#10;nd Prize – IT Hackathon: SOLANA PRAGMATIC"/>
        <filter val="Won 3rd prize in the 2023 Binh Dinh Provincial Excellent Student Mathematics Competition."/>
        <filter val="Học ở Đà Nẵng. Đạt giải nhì Cuộc thi Thách thức Tư duy Thuật toán"/>
        <filter val="Đạt giải Final Prize ấn tượng ở giải Game Việt"/>
        <filter val="Chuyên Nguyễn Thịnh Thành- Trà Vinh"/>
        <filter val="Có thể cân nhắc NV2-DA"/>
        <filter val="Background Lập trình game FPT nên vớt vào Waiting list Các dự án bạn làm về Game điểm hơi thấp, các môn lập trình điểm cũng &lt;7"/>
        <filter val="Chuyên Long An"/>
        <filter val="Nothing special"/>
        <filter val="Nữ, điểm GPA rất cao, có 2 lần học bổng. Từng làm Data Intern tại Galaxy Joy về visualize PowerBI"/>
        <filter val="Obj liên quan BI. Học XSTK điểm cao 9.2. Đi học và đi thi liên quan Data Analysis nhiều"/>
        <filter val="nothing special"/>
        <filter val="GPA cao"/>
        <filter val="Không làm gì liên quan hết"/>
        <filter val="có thể gửi qua teqm QA. LotusHack Hackathon 2026 | Top 30"/>
        <filter val="Bạn đặt obj cho QA career rõ ràng, mà bạn có thể hợp cả 2 NV. Hiểu biết nhiều dòng game, biết về Jira track bug, project cá nhân có làm QA làm test case (Mà thấy bạn thích các game của Game Publisher như VNG, VTC hơn)"/>
        <filter val="Waiting list vì những gì bạn làm thiên về DE, vẫn có thể match yêu cầu bên mình nhưng bạn không thể hiện rõ ràng được lý do muốn qua DA"/>
        <filter val="Vớt vì là con gái, viết có self-awareness và thành thật. Học cũng giỏi do có 2 học bổng"/>
        <filter val="đam mê game"/>
        <filter val="Điểm cao"/>
        <filter val="Điểm XSTT cao &gt;9. Chưa có kinh nghiệm đi làm. Có các project về SQL cho business"/>
        <filter val="Có ghi skill QA về manual/auto nhưng không thấy thể hiện cụ thể. Không thể hiện động lực ứng tuyển rõ ràng"/>
        <filter val="Bạn này từng làm level design ở Lihuhu, đi học GPA cao 3.6 nhưng code thì không ngon -&gt; Consider chuyển qua NV2 của bạn. Bạn quyết định chọn NV1 Unity và rất quyết tâm vì side project riêng của bạn. Vì cũng đã có kinh nghiệm công ty game nên cho bạn thử"/>
        <filter val="đam mê game, thành thực"/>
        <filter val="Có làm dự án Indie Flappy Bird riêng và cũng như 2 dự án trên trường. 5 lần Đạt sinh viên giỏi, xuất sắc của trường. Học điểm cũng cao, lập trình 8-9"/>
        <filter val="Không học về Kỹ thuật phần mềm hay Lập trình. Lớn quá cho Fresher luôn rồi"/>
        <filter val="Học FPT - Lập trình game, điểm &gt;8 khá cao. Concern: Năm 2???"/>
        <filter val="Có kinh nghiệm làm Game trên Unity, chủ yếu làm game 3D. Tốt nghiệp rồi nên test thử cho Fresher"/>
        <filter val="artist"/>
        <filter val="WL -&gt; Fail. Chỉ làm 1 project về BI thôi, điểm ok là học cấp 3 trường chuyên, chuyên lý"/>
        <filter val="Vớt. Nữ, điểm XSTT không quá xuất sắc. Có từng đi Intern DE và BI"/>
        <filter val="Có project làm QA dù không liên quan ngành game lắm. Trình bày động lực cũng rõ ràng"/>
        <filter val="GPA cao, Dean’s List (Academic Year 2024 – 2025) – Ranked in the Top 5% of the Regular Program for&#10;outstanding academic excellence."/>
        <filter val="Nothing special ngoại từ cái tên"/>
        <filter val="Bạn cũng làm 2 project game solo 2D và 3D. Trình bày Porfolio trên Notion cũng gọn gàng, sạch sẽ, đầu tư. Cho vào test coi Greenwich dạy sao và có được Fresher"/>
        <filter val="IELTS 8.0. Điểm GPA cao. Học cấp 3 trường Top thành phố (Trung học Thực hành Sư phạm). Kêu có tìm hiểu về game Casual"/>
        <filter val="⭐"/>
        <filter val="Các môn học Lập trình/Game điểm không cao, khoảng 6-7"/>
        <filter val="Chưa có làm gì liên quan hết, con game duy nhất bạn làm chỉ đang ở bước prototye. Học điểm cũng không cao"/>
        <filter val="Có kinh nghiệm làm công ty game, có 3 dự án làm chung với bạn về game 2D,3D trên Unity, học FPT, điểm tổng không cao nhưng các môn Giải thuật, lập trìng C# Unity điểm cao, có IELTS 6.5. Đã ra trường thì có thể consider Fresher"/>
        <filter val="Có thể vớt tại bạn này bày tỏ enjoy công việc QA"/>
        <filter val="Có kinh nghiệm lấy data theo requirement cho start-up. Điểm XSTK 8.7. Có làm nhiều project BI"/>
        <filter val="Có thể cân nhắc NV2 - Game QA"/>
        <filter val="nothing special, cân nhắc qua team DA"/>
        <filter val="Chuyên ngành thực tế không match"/>
        <filter val="Bạn này từng apply GD, nhưng khá yếu về kiến thức, midset cũng không quá sáng =&gt; reject"/>
        <filter val="GPA cao&#10;' Top 2 Finalist EVENTA - ACM Multimedia 2025 (Track 2): Participation Certificate, Ranking&#10;• Top 2 Finalist ROOMELSA - SHREC 2025: Participation Certificate, Ranking"/>
        <filter val="Nothing special, nữ nên vớt"/>
        <filter val="IELTS 7.5, exp game"/>
        <filter val="WL -&gt; Fail. Công việc cũ là DS Research nên các tool của bạn không quá match. Điểm XSTT 8"/>
        <filter val="Chuyên LQĐ- Khánh hOÀ"/>
        <filter val="Có làm BI, n8n ở 2 job Intern. GPA cao. Có project về Social Media Ads: data pipeline, SQL, performance metrics khá match với SOW"/>
        <filter val="WL -&gt; Fail. Không có gì đặc biệt, chỉ có làm 1 project cá nhân hơi liên quan thôi. Nhưng objectives có muốn làm BI"/>
        <filter val="WL -&gt; Fail. Consider NV2 của bạn. Có kinh nghiệm làm AI Intern, chương trình học cũng thiên về AI hình ảnh"/>
        <filter val="khá tốt nhưng mới năm 2, hẹn năm sau"/>
        <filter val="WL -&gt; Fail. CV không có gì đặc biệt trừ việc bạn đang làm game Casual và phân tích data người dùng của thể loại game này"/>
        <filter val="Có học bổng 2 lần. Nhưng mà chủ yếu kinh nghiệm là ML. Điểm cao"/>
      </filters>
    </filterColumn>
  </autoFilter>
  <tableColumns count="36">
    <tableColumn name="Họ và tên" id="1"/>
    <tableColumn name="Ngày sinh" id="2"/>
    <tableColumn name="Email" id="3"/>
    <tableColumn name="SĐT" id="4"/>
    <tableColumn name="Nguyện vọng 1" id="5"/>
    <tableColumn name="Nguyện vọng 2" id="6"/>
    <tableColumn name="Lý do ứng tuyển vị trí" id="7"/>
    <tableColumn name="Hiểu role ứng tuyển làm gì? Vì sao bạn phù hợp?" id="8"/>
    <tableColumn name="Đại học" id="9"/>
    <tableColumn name="Đại học - Khác" id="10"/>
    <tableColumn name="SV năm mấy?" id="11"/>
    <tableColumn name="Chuyên ngành" id="12"/>
    <tableColumn name="Thời gian tốt nghiệp (dự kiến nếu chưa tốt nghiệp)" id="13"/>
    <tableColumn name="GPA" id="14"/>
    <tableColumn name="Bảng điểm" id="15"/>
    <tableColumn name="Have you had any game-related or job-related experience before (personal project/coursework/competition…)?" id="16"/>
    <tableColumn name="If yes, please briefly describe your roles and the project outcomes" id="17"/>
    <tableColumn name="Porfolio" id="18"/>
    <tableColumn name="Are you willing to work full-time at least 3,5 days/week and commit to at least 3 months, starting from June 2026?" id="19"/>
    <tableColumn name="Sau thời gian thực tập, bạn sẽ có cơ hội được review để thăng tiến vị trí chính thức. Bạn có thể đi làm full-time tối thiểu 3,5 ngày/tuần không?" id="20"/>
    <tableColumn name="*Bạn biết đến chương trình thực tập SUN.riser của SUN.STUDIO qua kênh nào?*" id="21"/>
    <tableColumn name="*Tên nhân viên giới thiệu nội bộ*" id="22"/>
    <tableColumn name="*Is there anything you would like to share with SUN.STUDIO?*_x000a__Bạn có điều gì muốn gửi gắm đến SUN.STUDIO?  _" id="23"/>
    <tableColumn name="CV" id="24"/>
    <tableColumn name="Submitted At" id="25"/>
    <tableColumn name="Token" id="26"/>
    <tableColumn name="Batch" id="27"/>
    <tableColumn name="PIC" id="28"/>
    <tableColumn name="Round 1 - CV Result" id="29"/>
    <tableColumn name="Round 1 - Nhận xét " id="30"/>
    <tableColumn name="Round 2 - Test result" id="31"/>
    <tableColumn name="Round 2 - HR Assignee_x000a_- Tổng hợp &amp; gửi chấm bài làm_x000a_- HR Intern: Email book lịch + Thực hiện Online Interview 30 phút" id="32"/>
    <tableColumn name="Round 2 - Test Reviewer" id="33"/>
    <tableColumn name="Round 2 - Link bài test" id="34"/>
    <tableColumn name="Round 2 - Nhận xét" id="35"/>
    <tableColumn name="Column 1" id="36"/>
  </tableColumns>
  <tableStyleInfo name="1.1. Batch 1 - 20260423 - 1945-style" showColumnStripes="0" showFirstColumn="1" showLastColumn="1" showRowStripes="1"/>
</table>
</file>

<file path=xl/tables/table5.xml><?xml version="1.0" encoding="utf-8"?>
<table xmlns="http://schemas.openxmlformats.org/spreadsheetml/2006/main" ref="A1:AF183" displayName="Table2" name="Table2" id="5">
  <autoFilter ref="$A$1:$AF$183">
    <filterColumn colId="4">
      <filters>
        <filter val="Human Resources Intern"/>
      </filters>
    </filterColumn>
    <filterColumn colId="28">
      <filters blank="1">
        <filter val="Passed"/>
        <filter val="Waiting list"/>
      </filters>
    </filterColumn>
  </autoFilter>
  <tableColumns count="32">
    <tableColumn name="Họ và tên" id="1"/>
    <tableColumn name="Ngày sinh" id="2"/>
    <tableColumn name="Email" id="3"/>
    <tableColumn name="SĐT" id="4"/>
    <tableColumn name="Nguyện vọng 1" id="5"/>
    <tableColumn name="Nguyện vọng 2" id="6"/>
    <tableColumn name="Lý do ứng tuyển vị trí" id="7"/>
    <tableColumn name="Hiểu role ứng tuyển làm gì? Vì sao bạn phù hợp?" id="8"/>
    <tableColumn name="Đại học" id="9"/>
    <tableColumn name="Đại học - Khác" id="10"/>
    <tableColumn name="SV năm mấy?" id="11"/>
    <tableColumn name="Chuyên ngành" id="12"/>
    <tableColumn name="Thời gian tốt nghiệp (dự kiến nếu chưa tốt nghiệp)" id="13"/>
    <tableColumn name="GPA" id="14"/>
    <tableColumn name="Bảng điểm" id="15"/>
    <tableColumn name="Have you had any game-related or job-related experience before (personal project/coursework/competition…)?" id="16"/>
    <tableColumn name="If yes, please briefly describe your roles and the project outcomes" id="17"/>
    <tableColumn name="Porfolio" id="18"/>
    <tableColumn name="Are you willing to work full-time at least 3,5 days/week and commit to at least 3 months, starting from June 2026?" id="19"/>
    <tableColumn name="Sau thời gian thực tập, bạn sẽ có cơ hội được review để thăng tiến vị trí chính thức. Bạn có thể đi làm full-time tối thiểu 3,5 ngày/tuần không?" id="20"/>
    <tableColumn name="*Bạn biết đến chương trình thực tập SUN.riser của SUN.STUDIO qua kênh nào?*" id="21"/>
    <tableColumn name="*Tên nhân viên giới thiệu nội bộ*" id="22"/>
    <tableColumn name="*Is there anything you would like to share with SUN.STUDIO?*_x000a__Bạn có điều gì muốn gửi gắm đến SUN.STUDIO?  _" id="23"/>
    <tableColumn name="CV" id="24"/>
    <tableColumn name="Submitted At" id="25"/>
    <tableColumn name="Token" id="26"/>
    <tableColumn name="Batch" id="27"/>
    <tableColumn name="PIC" id="28"/>
    <tableColumn name="Round 1 - CV Result" id="29"/>
    <tableColumn name="Round 1 - Nhận xét " id="30"/>
    <tableColumn name="Round 2 - Test" id="31"/>
    <tableColumn name="Round 2 - HR Assignee_x000a_- Tổng hợp &amp; gửi chấm bài làm_x000a_- HR Intern: Email book lịch + Thực hiện Online Interview 30 phút" id="32"/>
  </tableColumns>
  <tableStyleInfo name="3.1. Batch 3 - 2026050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ngamestudios-my.sharepoint.com/:f:/r/personal/quynh_huynh_sun_studio/Documents/6.%20TA/SUN.RISER%202026/Email%20template/QA_Template?csf=1&amp;web=1&amp;e=qnNtKK"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nhien.lam@sun.studio" TargetMode="External"/><Relationship Id="rId83" Type="http://schemas.openxmlformats.org/officeDocument/2006/relationships/drawing" Target="../drawings/drawing4.xml"/><Relationship Id="rId42" Type="http://schemas.openxmlformats.org/officeDocument/2006/relationships/hyperlink" Target="mailto:nhien.lam@sun.studio" TargetMode="External"/><Relationship Id="rId41" Type="http://schemas.openxmlformats.org/officeDocument/2006/relationships/hyperlink" Target="https://drive.google.com/open?id=150h8dRv4QTAzl4L5Z7qwWo3zhtt4gx27" TargetMode="External"/><Relationship Id="rId85" Type="http://schemas.openxmlformats.org/officeDocument/2006/relationships/table" Target="../tables/table4.xml"/><Relationship Id="rId44" Type="http://schemas.openxmlformats.org/officeDocument/2006/relationships/hyperlink" Target="mailto:nhien.lam@sun.studio" TargetMode="External"/><Relationship Id="rId43" Type="http://schemas.openxmlformats.org/officeDocument/2006/relationships/hyperlink" Target="mailto:nhien.lam@sun.studio" TargetMode="External"/><Relationship Id="rId46" Type="http://schemas.openxmlformats.org/officeDocument/2006/relationships/hyperlink" Target="mailto:nhien.lam@sun.studio" TargetMode="External"/><Relationship Id="rId45" Type="http://schemas.openxmlformats.org/officeDocument/2006/relationships/hyperlink" Target="https://drive.google.com/open?id=1MKr0yHNOp9qi6rAd8tvWcDa4lbs211oH" TargetMode="External"/><Relationship Id="rId80" Type="http://schemas.openxmlformats.org/officeDocument/2006/relationships/hyperlink" Target="mailto:nhien.lam@sun.studio" TargetMode="External"/><Relationship Id="rId82" Type="http://schemas.openxmlformats.org/officeDocument/2006/relationships/hyperlink" Target="mailto:nhien.lam@sun.studio" TargetMode="External"/><Relationship Id="rId81" Type="http://schemas.openxmlformats.org/officeDocument/2006/relationships/hyperlink" Target="https://drive.google.com/open?id=1cwvR1ER1vWcpfQuwrcYeLapgrgk7ZHKl" TargetMode="External"/><Relationship Id="rId1" Type="http://schemas.openxmlformats.org/officeDocument/2006/relationships/hyperlink" Target="mailto:nhien.lam@sun.studio" TargetMode="External"/><Relationship Id="rId2" Type="http://schemas.openxmlformats.org/officeDocument/2006/relationships/hyperlink" Target="https://drive.google.com/open?id=1LdKpOj8j36KWtPE5LEU6sthrq33AjC9s" TargetMode="External"/><Relationship Id="rId3" Type="http://schemas.openxmlformats.org/officeDocument/2006/relationships/hyperlink" Target="mailto:nhien.lam@sun.studio" TargetMode="External"/><Relationship Id="rId4" Type="http://schemas.openxmlformats.org/officeDocument/2006/relationships/hyperlink" Target="mailto:nhien.lam@sun.studio" TargetMode="External"/><Relationship Id="rId9" Type="http://schemas.openxmlformats.org/officeDocument/2006/relationships/hyperlink" Target="mailto:nhien.lam@sun.studio" TargetMode="External"/><Relationship Id="rId48" Type="http://schemas.openxmlformats.org/officeDocument/2006/relationships/hyperlink" Target="mailto:nhien.lam@sun.studio" TargetMode="External"/><Relationship Id="rId47" Type="http://schemas.openxmlformats.org/officeDocument/2006/relationships/hyperlink" Target="mailto:nhien.lam@sun.studio" TargetMode="External"/><Relationship Id="rId49" Type="http://schemas.openxmlformats.org/officeDocument/2006/relationships/hyperlink" Target="mailto:nhien.lam@sun.studio" TargetMode="External"/><Relationship Id="rId5" Type="http://schemas.openxmlformats.org/officeDocument/2006/relationships/hyperlink" Target="mailto:nhien.lam@sun.studio" TargetMode="External"/><Relationship Id="rId6" Type="http://schemas.openxmlformats.org/officeDocument/2006/relationships/hyperlink" Target="mailto:nhien.lam@sun.studio" TargetMode="External"/><Relationship Id="rId7" Type="http://schemas.openxmlformats.org/officeDocument/2006/relationships/hyperlink" Target="mailto:nhien.lam@sun.studio" TargetMode="External"/><Relationship Id="rId8" Type="http://schemas.openxmlformats.org/officeDocument/2006/relationships/hyperlink" Target="mailto:nhien.lam@sun.studio" TargetMode="External"/><Relationship Id="rId73" Type="http://schemas.openxmlformats.org/officeDocument/2006/relationships/hyperlink" Target="mailto:nhien.lam@sun.studio" TargetMode="External"/><Relationship Id="rId72" Type="http://schemas.openxmlformats.org/officeDocument/2006/relationships/hyperlink" Target="mailto:nhien.lam@sun.studio" TargetMode="External"/><Relationship Id="rId31" Type="http://schemas.openxmlformats.org/officeDocument/2006/relationships/hyperlink" Target="mailto:nhien.lam@sun.studio" TargetMode="External"/><Relationship Id="rId75" Type="http://schemas.openxmlformats.org/officeDocument/2006/relationships/hyperlink" Target="mailto:nhien.lam@sun.studio" TargetMode="External"/><Relationship Id="rId30" Type="http://schemas.openxmlformats.org/officeDocument/2006/relationships/hyperlink" Target="https://drive.google.com/open?id=1d4DVyTrtBPSA45LRAkdp9YY04jCMRVWw" TargetMode="External"/><Relationship Id="rId74" Type="http://schemas.openxmlformats.org/officeDocument/2006/relationships/hyperlink" Target="https://drive.google.com/open?id=1IBIglNsPX_IEJG-l0bz12SOULbuG9iGz" TargetMode="External"/><Relationship Id="rId33" Type="http://schemas.openxmlformats.org/officeDocument/2006/relationships/hyperlink" Target="https://drive.google.com/open?id=18Fb1AFzpIc4MCCRBcSYVvAeGiDsqjHPV" TargetMode="External"/><Relationship Id="rId77" Type="http://schemas.openxmlformats.org/officeDocument/2006/relationships/hyperlink" Target="mailto:nhien.lam@sun.studio" TargetMode="External"/><Relationship Id="rId32" Type="http://schemas.openxmlformats.org/officeDocument/2006/relationships/hyperlink" Target="mailto:nhien.lam@sun.studio" TargetMode="External"/><Relationship Id="rId76" Type="http://schemas.openxmlformats.org/officeDocument/2006/relationships/hyperlink" Target="mailto:nhien.lam@sun.studio" TargetMode="External"/><Relationship Id="rId35" Type="http://schemas.openxmlformats.org/officeDocument/2006/relationships/hyperlink" Target="https://drive.google.com/open?id=1dJhSwl24HAbcNETc_UTjYBsZLN1mv-1b" TargetMode="External"/><Relationship Id="rId79" Type="http://schemas.openxmlformats.org/officeDocument/2006/relationships/hyperlink" Target="https://www.youtube.com/watch?v=T1pwFHTb3Ao" TargetMode="External"/><Relationship Id="rId34" Type="http://schemas.openxmlformats.org/officeDocument/2006/relationships/hyperlink" Target="mailto:nhien.lam@sun.studio" TargetMode="External"/><Relationship Id="rId78" Type="http://schemas.openxmlformats.org/officeDocument/2006/relationships/hyperlink" Target="mailto:nhien.lam@sun.studio" TargetMode="External"/><Relationship Id="rId71" Type="http://schemas.openxmlformats.org/officeDocument/2006/relationships/hyperlink" Target="mailto:nhien.lam@sun.studio" TargetMode="External"/><Relationship Id="rId70" Type="http://schemas.openxmlformats.org/officeDocument/2006/relationships/hyperlink" Target="https://drive.google.com/open?id=11R-oKXkeDz0Zhs3c7srtksLsKRAgeAm2" TargetMode="External"/><Relationship Id="rId37" Type="http://schemas.openxmlformats.org/officeDocument/2006/relationships/hyperlink" Target="https://drive.google.com/open?id=1lixqYZ3V6-0d6B7PqtzeqQrwjWcjkjo8" TargetMode="External"/><Relationship Id="rId36" Type="http://schemas.openxmlformats.org/officeDocument/2006/relationships/hyperlink" Target="mailto:nhien.lam@sun.studio" TargetMode="External"/><Relationship Id="rId39" Type="http://schemas.openxmlformats.org/officeDocument/2006/relationships/hyperlink" Target="mailto:nhien.lam@sun.studio" TargetMode="External"/><Relationship Id="rId38" Type="http://schemas.openxmlformats.org/officeDocument/2006/relationships/hyperlink" Target="mailto:nhien.lam@sun.studio" TargetMode="External"/><Relationship Id="rId62" Type="http://schemas.openxmlformats.org/officeDocument/2006/relationships/hyperlink" Target="mailto:nhien.lam@sun.studio" TargetMode="External"/><Relationship Id="rId61" Type="http://schemas.openxmlformats.org/officeDocument/2006/relationships/hyperlink" Target="https://drive.google.com/open?id=16yk5xRZ_aPK0VhW7s8pvADpIWCbK4VGm" TargetMode="External"/><Relationship Id="rId20" Type="http://schemas.openxmlformats.org/officeDocument/2006/relationships/hyperlink" Target="mailto:nhien.lam@sun.studio" TargetMode="External"/><Relationship Id="rId64" Type="http://schemas.openxmlformats.org/officeDocument/2006/relationships/hyperlink" Target="mailto:nhien.lam@sun.studio" TargetMode="External"/><Relationship Id="rId63" Type="http://schemas.openxmlformats.org/officeDocument/2006/relationships/hyperlink" Target="https://drive.google.com/open?id=1vMHpEteYBC53Tz8O5CCf-H_b3Eph6ZGw" TargetMode="External"/><Relationship Id="rId22" Type="http://schemas.openxmlformats.org/officeDocument/2006/relationships/hyperlink" Target="mailto:nhien.lam@sun.studio" TargetMode="External"/><Relationship Id="rId66" Type="http://schemas.openxmlformats.org/officeDocument/2006/relationships/hyperlink" Target="mailto:nhien.lam@sun.studio" TargetMode="External"/><Relationship Id="rId21" Type="http://schemas.openxmlformats.org/officeDocument/2006/relationships/hyperlink" Target="mailto:nhien.lam@sun.studio" TargetMode="External"/><Relationship Id="rId65" Type="http://schemas.openxmlformats.org/officeDocument/2006/relationships/hyperlink" Target="mailto:nhien.lam@sun.studio" TargetMode="External"/><Relationship Id="rId24" Type="http://schemas.openxmlformats.org/officeDocument/2006/relationships/hyperlink" Target="mailto:nhien.lam@sun.studio" TargetMode="External"/><Relationship Id="rId68" Type="http://schemas.openxmlformats.org/officeDocument/2006/relationships/hyperlink" Target="mailto:nhien.lam@sun.studio" TargetMode="External"/><Relationship Id="rId23" Type="http://schemas.openxmlformats.org/officeDocument/2006/relationships/hyperlink" Target="https://drive.google.com/open?id=1m6ud-X7j8W6NGecfDLirrJe4a2fPCQek" TargetMode="External"/><Relationship Id="rId67" Type="http://schemas.openxmlformats.org/officeDocument/2006/relationships/hyperlink" Target="https://drive.google.com/open?id=1N__i_0BtoHgbxcuwxxCok62D246P9jHR" TargetMode="External"/><Relationship Id="rId60" Type="http://schemas.openxmlformats.org/officeDocument/2006/relationships/hyperlink" Target="mailto:nhien.lam@sun.studio" TargetMode="External"/><Relationship Id="rId26" Type="http://schemas.openxmlformats.org/officeDocument/2006/relationships/hyperlink" Target="mailto:nhien.lam@sun.studio" TargetMode="External"/><Relationship Id="rId25" Type="http://schemas.openxmlformats.org/officeDocument/2006/relationships/hyperlink" Target="https://drive.google.com/open?id=1FtluDRpUDaMvQovF0uDnw9_vt9CRY4wv" TargetMode="External"/><Relationship Id="rId69" Type="http://schemas.openxmlformats.org/officeDocument/2006/relationships/hyperlink" Target="mailto:nhien.lam@sun.studio" TargetMode="External"/><Relationship Id="rId28" Type="http://schemas.openxmlformats.org/officeDocument/2006/relationships/hyperlink" Target="https://drive.google.com/open?id=1G2yvpcHSXI8vR0LEXg2sqciNlsTmBxos" TargetMode="External"/><Relationship Id="rId27" Type="http://schemas.openxmlformats.org/officeDocument/2006/relationships/hyperlink" Target="mailto:nhien.lam@sun.studio" TargetMode="External"/><Relationship Id="rId29" Type="http://schemas.openxmlformats.org/officeDocument/2006/relationships/hyperlink" Target="mailto:nhien.lam@sun.studio" TargetMode="External"/><Relationship Id="rId51" Type="http://schemas.openxmlformats.org/officeDocument/2006/relationships/hyperlink" Target="mailto:nhien.lam@sun.studio" TargetMode="External"/><Relationship Id="rId50" Type="http://schemas.openxmlformats.org/officeDocument/2006/relationships/hyperlink" Target="https://drive.google.com/open?id=1_acLQaa0xg3TMtlKQ0CPjyycVYS39gtY" TargetMode="External"/><Relationship Id="rId53" Type="http://schemas.openxmlformats.org/officeDocument/2006/relationships/hyperlink" Target="mailto:nhien.lam@sun.studio" TargetMode="External"/><Relationship Id="rId52" Type="http://schemas.openxmlformats.org/officeDocument/2006/relationships/hyperlink" Target="mailto:nhien.lam@sun.studio" TargetMode="External"/><Relationship Id="rId11" Type="http://schemas.openxmlformats.org/officeDocument/2006/relationships/hyperlink" Target="mailto:nhien.lam@sun.studio" TargetMode="External"/><Relationship Id="rId55" Type="http://schemas.openxmlformats.org/officeDocument/2006/relationships/hyperlink" Target="mailto:nhien.lam@sun.studio" TargetMode="External"/><Relationship Id="rId10" Type="http://schemas.openxmlformats.org/officeDocument/2006/relationships/hyperlink" Target="https://drive.google.com/open?id=1KStk9KD8dD53rbnRUz3I8xpmFIRvi-Df" TargetMode="External"/><Relationship Id="rId54" Type="http://schemas.openxmlformats.org/officeDocument/2006/relationships/hyperlink" Target="mailto:nhien.lam@sun.studio" TargetMode="External"/><Relationship Id="rId13" Type="http://schemas.openxmlformats.org/officeDocument/2006/relationships/hyperlink" Target="mailto:nhien.lam@sun.studio" TargetMode="External"/><Relationship Id="rId57" Type="http://schemas.openxmlformats.org/officeDocument/2006/relationships/hyperlink" Target="https://drive.google.com/open?id=1IL5Vr6Q7fOoltQA6w8mXzMkufdE-8oZc" TargetMode="External"/><Relationship Id="rId12" Type="http://schemas.openxmlformats.org/officeDocument/2006/relationships/hyperlink" Target="mailto:nhien.lam@sun.studio" TargetMode="External"/><Relationship Id="rId56" Type="http://schemas.openxmlformats.org/officeDocument/2006/relationships/hyperlink" Target="mailto:nhien.lam@sun.studio" TargetMode="External"/><Relationship Id="rId15" Type="http://schemas.openxmlformats.org/officeDocument/2006/relationships/hyperlink" Target="mailto:nhien.lam@sun.studio" TargetMode="External"/><Relationship Id="rId59" Type="http://schemas.openxmlformats.org/officeDocument/2006/relationships/hyperlink" Target="https://drive.google.com/open?id=14hsUiJmrSQqMTJTqy-_EsDgeseHTx7Yf" TargetMode="External"/><Relationship Id="rId14" Type="http://schemas.openxmlformats.org/officeDocument/2006/relationships/hyperlink" Target="mailto:nhien.lam@sun.studio" TargetMode="External"/><Relationship Id="rId58" Type="http://schemas.openxmlformats.org/officeDocument/2006/relationships/hyperlink" Target="mailto:nhien.lam@sun.studio" TargetMode="External"/><Relationship Id="rId17" Type="http://schemas.openxmlformats.org/officeDocument/2006/relationships/hyperlink" Target="mailto:nhien.lam@sun.studio" TargetMode="External"/><Relationship Id="rId16" Type="http://schemas.openxmlformats.org/officeDocument/2006/relationships/hyperlink" Target="https://drive.google.com/open?id=17PbsI9KmxYrsZNyGj00AsUp7naCbvGy9" TargetMode="External"/><Relationship Id="rId19" Type="http://schemas.openxmlformats.org/officeDocument/2006/relationships/hyperlink" Target="mailto:nhien.lam@sun.studio" TargetMode="External"/><Relationship Id="rId18" Type="http://schemas.openxmlformats.org/officeDocument/2006/relationships/hyperlink" Target="mailto:nhien.lam@sun.stud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nhien.lam@sun.studio" TargetMode="External"/><Relationship Id="rId42" Type="http://schemas.openxmlformats.org/officeDocument/2006/relationships/hyperlink" Target="http://itch.io/" TargetMode="External"/><Relationship Id="rId41" Type="http://schemas.openxmlformats.org/officeDocument/2006/relationships/hyperlink" Target="mailto:nhien.lam@sun.studio" TargetMode="External"/><Relationship Id="rId44" Type="http://schemas.openxmlformats.org/officeDocument/2006/relationships/hyperlink" Target="http://itch.io/" TargetMode="External"/><Relationship Id="rId43" Type="http://schemas.openxmlformats.org/officeDocument/2006/relationships/hyperlink" Target="mailto:nhien.lam@sun.studio" TargetMode="External"/><Relationship Id="rId46" Type="http://schemas.openxmlformats.org/officeDocument/2006/relationships/hyperlink" Target="mailto:nhien.lam@sun.studio" TargetMode="External"/><Relationship Id="rId45" Type="http://schemas.openxmlformats.org/officeDocument/2006/relationships/hyperlink" Target="https://github.com/Otcuan" TargetMode="External"/><Relationship Id="rId107" Type="http://schemas.openxmlformats.org/officeDocument/2006/relationships/hyperlink" Target="mailto:nhien.lam@sun.studio" TargetMode="External"/><Relationship Id="rId106" Type="http://schemas.openxmlformats.org/officeDocument/2006/relationships/hyperlink" Target="mailto:nhien.lam@sun.studio" TargetMode="External"/><Relationship Id="rId105" Type="http://schemas.openxmlformats.org/officeDocument/2006/relationships/hyperlink" Target="mailto:nhien.lam@sun.studio" TargetMode="External"/><Relationship Id="rId104" Type="http://schemas.openxmlformats.org/officeDocument/2006/relationships/hyperlink" Target="mailto:nhien.lam@sun.studio" TargetMode="External"/><Relationship Id="rId109" Type="http://schemas.openxmlformats.org/officeDocument/2006/relationships/hyperlink" Target="mailto:nhien.lam@sun.studio" TargetMode="External"/><Relationship Id="rId108" Type="http://schemas.openxmlformats.org/officeDocument/2006/relationships/hyperlink" Target="mailto:nhien.lam@sun.studio" TargetMode="External"/><Relationship Id="rId48" Type="http://schemas.openxmlformats.org/officeDocument/2006/relationships/hyperlink" Target="mailto:nhien.lam@sun.studio" TargetMode="External"/><Relationship Id="rId47" Type="http://schemas.openxmlformats.org/officeDocument/2006/relationships/hyperlink" Target="mailto:nhien.lam@sun.studio" TargetMode="External"/><Relationship Id="rId49" Type="http://schemas.openxmlformats.org/officeDocument/2006/relationships/hyperlink" Target="mailto:nhien.lam@sun.studio" TargetMode="External"/><Relationship Id="rId103" Type="http://schemas.openxmlformats.org/officeDocument/2006/relationships/hyperlink" Target="mailto:nhien.lam@sun.studio" TargetMode="External"/><Relationship Id="rId102" Type="http://schemas.openxmlformats.org/officeDocument/2006/relationships/hyperlink" Target="mailto:nhien.lam@sun.studio" TargetMode="External"/><Relationship Id="rId101" Type="http://schemas.openxmlformats.org/officeDocument/2006/relationships/hyperlink" Target="mailto:nhien.lam@sun.studio" TargetMode="External"/><Relationship Id="rId100" Type="http://schemas.openxmlformats.org/officeDocument/2006/relationships/hyperlink" Target="mailto:nhien.lam@sun.studio" TargetMode="External"/><Relationship Id="rId31" Type="http://schemas.openxmlformats.org/officeDocument/2006/relationships/hyperlink" Target="mailto:nhien.lam@sun.studio" TargetMode="External"/><Relationship Id="rId30" Type="http://schemas.openxmlformats.org/officeDocument/2006/relationships/hyperlink" Target="mailto:nhien.lam@sun.studio" TargetMode="External"/><Relationship Id="rId33" Type="http://schemas.openxmlformats.org/officeDocument/2006/relationships/hyperlink" Target="mailto:nhien.lam@sun.studio" TargetMode="External"/><Relationship Id="rId32" Type="http://schemas.openxmlformats.org/officeDocument/2006/relationships/hyperlink" Target="mailto:nhien.lam@sun.studio" TargetMode="External"/><Relationship Id="rId35" Type="http://schemas.openxmlformats.org/officeDocument/2006/relationships/hyperlink" Target="mailto:nhien.lam@sun.studio" TargetMode="External"/><Relationship Id="rId34" Type="http://schemas.openxmlformats.org/officeDocument/2006/relationships/hyperlink" Target="mailto:nhien.lam@sun.studio" TargetMode="External"/><Relationship Id="rId37" Type="http://schemas.openxmlformats.org/officeDocument/2006/relationships/hyperlink" Target="mailto:nhien.lam@sun.studio" TargetMode="External"/><Relationship Id="rId36" Type="http://schemas.openxmlformats.org/officeDocument/2006/relationships/hyperlink" Target="mailto:nhien.lam@sun.studio" TargetMode="External"/><Relationship Id="rId39" Type="http://schemas.openxmlformats.org/officeDocument/2006/relationships/hyperlink" Target="mailto:nhien.lam@sun.studio" TargetMode="External"/><Relationship Id="rId38" Type="http://schemas.openxmlformats.org/officeDocument/2006/relationships/hyperlink" Target="mailto:nhien.lam@sun.studio" TargetMode="External"/><Relationship Id="rId20" Type="http://schemas.openxmlformats.org/officeDocument/2006/relationships/hyperlink" Target="mailto:nhien.lam@sun.studio" TargetMode="External"/><Relationship Id="rId22" Type="http://schemas.openxmlformats.org/officeDocument/2006/relationships/hyperlink" Target="mailto:nhien.lam@sun.studio" TargetMode="External"/><Relationship Id="rId21" Type="http://schemas.openxmlformats.org/officeDocument/2006/relationships/hyperlink" Target="mailto:nhien.lam@sun.studio" TargetMode="External"/><Relationship Id="rId24" Type="http://schemas.openxmlformats.org/officeDocument/2006/relationships/hyperlink" Target="mailto:nhien.lam@sun.studio" TargetMode="External"/><Relationship Id="rId23" Type="http://schemas.openxmlformats.org/officeDocument/2006/relationships/hyperlink" Target="mailto:nhien.lam@sun.studio" TargetMode="External"/><Relationship Id="rId129" Type="http://schemas.openxmlformats.org/officeDocument/2006/relationships/hyperlink" Target="mailto:nhien.lam@sun.studio" TargetMode="External"/><Relationship Id="rId128" Type="http://schemas.openxmlformats.org/officeDocument/2006/relationships/hyperlink" Target="mailto:nhien.lam@sun.studio" TargetMode="External"/><Relationship Id="rId127" Type="http://schemas.openxmlformats.org/officeDocument/2006/relationships/hyperlink" Target="mailto:nhien.lam@sun.studio" TargetMode="External"/><Relationship Id="rId126" Type="http://schemas.openxmlformats.org/officeDocument/2006/relationships/hyperlink" Target="mailto:nhien.lam@sun.studio" TargetMode="External"/><Relationship Id="rId26" Type="http://schemas.openxmlformats.org/officeDocument/2006/relationships/hyperlink" Target="mailto:nhien.lam@sun.studio" TargetMode="External"/><Relationship Id="rId121" Type="http://schemas.openxmlformats.org/officeDocument/2006/relationships/hyperlink" Target="mailto:nhien.lam@sun.studio" TargetMode="External"/><Relationship Id="rId25" Type="http://schemas.openxmlformats.org/officeDocument/2006/relationships/hyperlink" Target="mailto:nhien.lam@sun.studio" TargetMode="External"/><Relationship Id="rId120" Type="http://schemas.openxmlformats.org/officeDocument/2006/relationships/hyperlink" Target="mailto:nhien.lam@sun.studio" TargetMode="External"/><Relationship Id="rId28" Type="http://schemas.openxmlformats.org/officeDocument/2006/relationships/hyperlink" Target="mailto:nhien.lam@sun.studio" TargetMode="External"/><Relationship Id="rId27" Type="http://schemas.openxmlformats.org/officeDocument/2006/relationships/hyperlink" Target="mailto:nhien.lam@sun.studio" TargetMode="External"/><Relationship Id="rId125" Type="http://schemas.openxmlformats.org/officeDocument/2006/relationships/hyperlink" Target="mailto:nhien.lam@sun.studio" TargetMode="External"/><Relationship Id="rId29" Type="http://schemas.openxmlformats.org/officeDocument/2006/relationships/hyperlink" Target="mailto:nhien.lam@sun.studio" TargetMode="External"/><Relationship Id="rId124" Type="http://schemas.openxmlformats.org/officeDocument/2006/relationships/hyperlink" Target="mailto:nhien.lam@sun.studio" TargetMode="External"/><Relationship Id="rId123" Type="http://schemas.openxmlformats.org/officeDocument/2006/relationships/hyperlink" Target="mailto:nhien.lam@sun.studio" TargetMode="External"/><Relationship Id="rId122" Type="http://schemas.openxmlformats.org/officeDocument/2006/relationships/hyperlink" Target="mailto:nhien.lam@sun.studio" TargetMode="External"/><Relationship Id="rId95" Type="http://schemas.openxmlformats.org/officeDocument/2006/relationships/hyperlink" Target="https://senseiikuiku.github.io/" TargetMode="External"/><Relationship Id="rId94" Type="http://schemas.openxmlformats.org/officeDocument/2006/relationships/hyperlink" Target="mailto:nhien.lam@sun.studio" TargetMode="External"/><Relationship Id="rId97" Type="http://schemas.openxmlformats.org/officeDocument/2006/relationships/hyperlink" Target="mailto:nhien.lam@sun.studio" TargetMode="External"/><Relationship Id="rId96" Type="http://schemas.openxmlformats.org/officeDocument/2006/relationships/hyperlink" Target="mailto:nhien.lam@sun.studio" TargetMode="External"/><Relationship Id="rId11" Type="http://schemas.openxmlformats.org/officeDocument/2006/relationships/hyperlink" Target="mailto:nhien.lam@sun.studio" TargetMode="External"/><Relationship Id="rId99" Type="http://schemas.openxmlformats.org/officeDocument/2006/relationships/hyperlink" Target="mailto:nhien.lam@sun.studio" TargetMode="External"/><Relationship Id="rId10" Type="http://schemas.openxmlformats.org/officeDocument/2006/relationships/hyperlink" Target="mailto:nhien.lam@sun.studio" TargetMode="External"/><Relationship Id="rId98" Type="http://schemas.openxmlformats.org/officeDocument/2006/relationships/hyperlink" Target="mailto:nhien.lam@sun.studio" TargetMode="External"/><Relationship Id="rId13" Type="http://schemas.openxmlformats.org/officeDocument/2006/relationships/hyperlink" Target="mailto:nhien.lam@sun.studio" TargetMode="External"/><Relationship Id="rId12" Type="http://schemas.openxmlformats.org/officeDocument/2006/relationships/hyperlink" Target="mailto:nhien.lam@sun.studio" TargetMode="External"/><Relationship Id="rId91" Type="http://schemas.openxmlformats.org/officeDocument/2006/relationships/hyperlink" Target="mailto:nhien.lam@sun.studio" TargetMode="External"/><Relationship Id="rId90" Type="http://schemas.openxmlformats.org/officeDocument/2006/relationships/hyperlink" Target="mailto:nhien.lam@sun.studio" TargetMode="External"/><Relationship Id="rId93" Type="http://schemas.openxmlformats.org/officeDocument/2006/relationships/hyperlink" Target="mailto:nhien.lam@sun.studio" TargetMode="External"/><Relationship Id="rId92" Type="http://schemas.openxmlformats.org/officeDocument/2006/relationships/hyperlink" Target="mailto:nhien.lam@sun.studio" TargetMode="External"/><Relationship Id="rId118" Type="http://schemas.openxmlformats.org/officeDocument/2006/relationships/hyperlink" Target="mailto:nhien.lam@sun.studio" TargetMode="External"/><Relationship Id="rId117" Type="http://schemas.openxmlformats.org/officeDocument/2006/relationships/hyperlink" Target="mailto:nhien.lam@sun.studio" TargetMode="External"/><Relationship Id="rId116" Type="http://schemas.openxmlformats.org/officeDocument/2006/relationships/hyperlink" Target="mailto:nhien.lam@sun.studio" TargetMode="External"/><Relationship Id="rId115" Type="http://schemas.openxmlformats.org/officeDocument/2006/relationships/hyperlink" Target="mailto:nhien.lam@sun.studio" TargetMode="External"/><Relationship Id="rId119" Type="http://schemas.openxmlformats.org/officeDocument/2006/relationships/hyperlink" Target="mailto:nhien.lam@sun.studio" TargetMode="External"/><Relationship Id="rId15" Type="http://schemas.openxmlformats.org/officeDocument/2006/relationships/hyperlink" Target="mailto:nhien.lam@sun.studio" TargetMode="External"/><Relationship Id="rId110" Type="http://schemas.openxmlformats.org/officeDocument/2006/relationships/hyperlink" Target="mailto:nhien.lam@sun.studio" TargetMode="External"/><Relationship Id="rId14" Type="http://schemas.openxmlformats.org/officeDocument/2006/relationships/hyperlink" Target="mailto:nhien.lam@sun.studio" TargetMode="External"/><Relationship Id="rId17" Type="http://schemas.openxmlformats.org/officeDocument/2006/relationships/hyperlink" Target="mailto:nhien.lam@sun.studio" TargetMode="External"/><Relationship Id="rId16" Type="http://schemas.openxmlformats.org/officeDocument/2006/relationships/hyperlink" Target="mailto:nhien.lam@sun.studio" TargetMode="External"/><Relationship Id="rId19" Type="http://schemas.openxmlformats.org/officeDocument/2006/relationships/hyperlink" Target="mailto:nhien.lam@sun.studio" TargetMode="External"/><Relationship Id="rId114" Type="http://schemas.openxmlformats.org/officeDocument/2006/relationships/hyperlink" Target="mailto:nhien.lam@sun.studio" TargetMode="External"/><Relationship Id="rId18" Type="http://schemas.openxmlformats.org/officeDocument/2006/relationships/hyperlink" Target="mailto:nhien.lam@sun.studio" TargetMode="External"/><Relationship Id="rId113" Type="http://schemas.openxmlformats.org/officeDocument/2006/relationships/hyperlink" Target="https://github.com/vkkhanh/QLyRapPhimMegaGS" TargetMode="External"/><Relationship Id="rId112" Type="http://schemas.openxmlformats.org/officeDocument/2006/relationships/hyperlink" Target="mailto:nhien.lam@sun.studio" TargetMode="External"/><Relationship Id="rId111" Type="http://schemas.openxmlformats.org/officeDocument/2006/relationships/hyperlink" Target="mailto:nhien.lam@sun.studio" TargetMode="External"/><Relationship Id="rId84" Type="http://schemas.openxmlformats.org/officeDocument/2006/relationships/hyperlink" Target="https://drive.google.com/drive/folders/1xsdxp6hN_pLSFANEmjNvQ0g0GTm7KroU?usp=sharing" TargetMode="External"/><Relationship Id="rId83" Type="http://schemas.openxmlformats.org/officeDocument/2006/relationships/hyperlink" Target="mailto:nhien.lam@sun.studio" TargetMode="External"/><Relationship Id="rId86" Type="http://schemas.openxmlformats.org/officeDocument/2006/relationships/hyperlink" Target="mailto:nhien.lam@sun.studio" TargetMode="External"/><Relationship Id="rId85" Type="http://schemas.openxmlformats.org/officeDocument/2006/relationships/hyperlink" Target="mailto:nhien.lam@sun.studio" TargetMode="External"/><Relationship Id="rId88" Type="http://schemas.openxmlformats.org/officeDocument/2006/relationships/hyperlink" Target="mailto:nhien.lam@sun.studio" TargetMode="External"/><Relationship Id="rId87" Type="http://schemas.openxmlformats.org/officeDocument/2006/relationships/hyperlink" Target="mailto:nhien.lam@sun.studio" TargetMode="External"/><Relationship Id="rId89" Type="http://schemas.openxmlformats.org/officeDocument/2006/relationships/hyperlink" Target="mailto:nhien.lam@sun.studio" TargetMode="External"/><Relationship Id="rId80" Type="http://schemas.openxmlformats.org/officeDocument/2006/relationships/hyperlink" Target="mailto:nhien.lam@sun.studio" TargetMode="External"/><Relationship Id="rId82" Type="http://schemas.openxmlformats.org/officeDocument/2006/relationships/hyperlink" Target="mailto:nhien.lam@sun.studio" TargetMode="External"/><Relationship Id="rId81" Type="http://schemas.openxmlformats.org/officeDocument/2006/relationships/hyperlink" Target="mailto:nhien.lam@sun.studio" TargetMode="External"/><Relationship Id="rId1" Type="http://schemas.openxmlformats.org/officeDocument/2006/relationships/hyperlink" Target="mailto:nhien.lam@sun.studio" TargetMode="External"/><Relationship Id="rId2" Type="http://schemas.openxmlformats.org/officeDocument/2006/relationships/hyperlink" Target="mailto:nhien.lam@sun.studio" TargetMode="External"/><Relationship Id="rId3" Type="http://schemas.openxmlformats.org/officeDocument/2006/relationships/hyperlink" Target="mailto:nhien.lam@sun.studio" TargetMode="External"/><Relationship Id="rId4" Type="http://schemas.openxmlformats.org/officeDocument/2006/relationships/hyperlink" Target="mailto:nhien.lam@sun.studio" TargetMode="External"/><Relationship Id="rId9" Type="http://schemas.openxmlformats.org/officeDocument/2006/relationships/hyperlink" Target="mailto:nhien.lam@sun.studio" TargetMode="External"/><Relationship Id="rId143" Type="http://schemas.openxmlformats.org/officeDocument/2006/relationships/hyperlink" Target="mailto:nhien.lam@sun.studio" TargetMode="External"/><Relationship Id="rId142" Type="http://schemas.openxmlformats.org/officeDocument/2006/relationships/hyperlink" Target="mailto:nhien.lam@sun.studio" TargetMode="External"/><Relationship Id="rId141" Type="http://schemas.openxmlformats.org/officeDocument/2006/relationships/hyperlink" Target="mailto:nhien.lam@sun.studio" TargetMode="External"/><Relationship Id="rId140" Type="http://schemas.openxmlformats.org/officeDocument/2006/relationships/hyperlink" Target="mailto:nhien.lam@sun.studio" TargetMode="External"/><Relationship Id="rId5" Type="http://schemas.openxmlformats.org/officeDocument/2006/relationships/hyperlink" Target="mailto:nhien.lam@sun.studio" TargetMode="External"/><Relationship Id="rId147" Type="http://schemas.openxmlformats.org/officeDocument/2006/relationships/drawing" Target="../drawings/drawing6.xml"/><Relationship Id="rId6" Type="http://schemas.openxmlformats.org/officeDocument/2006/relationships/hyperlink" Target="mailto:nhien.lam@sun.studio" TargetMode="External"/><Relationship Id="rId146" Type="http://schemas.openxmlformats.org/officeDocument/2006/relationships/hyperlink" Target="mailto:nhien.lam@sun.studio" TargetMode="External"/><Relationship Id="rId7" Type="http://schemas.openxmlformats.org/officeDocument/2006/relationships/hyperlink" Target="mailto:nhien.lam@sun.studio" TargetMode="External"/><Relationship Id="rId145" Type="http://schemas.openxmlformats.org/officeDocument/2006/relationships/hyperlink" Target="mailto:nhien.lam@sun.studio" TargetMode="External"/><Relationship Id="rId8" Type="http://schemas.openxmlformats.org/officeDocument/2006/relationships/hyperlink" Target="mailto:nhien.lam@sun.studio" TargetMode="External"/><Relationship Id="rId144" Type="http://schemas.openxmlformats.org/officeDocument/2006/relationships/hyperlink" Target="mailto:nhien.lam@sun.studio" TargetMode="External"/><Relationship Id="rId73" Type="http://schemas.openxmlformats.org/officeDocument/2006/relationships/hyperlink" Target="mailto:nhien.lam@sun.studio" TargetMode="External"/><Relationship Id="rId72" Type="http://schemas.openxmlformats.org/officeDocument/2006/relationships/hyperlink" Target="mailto:nhien.lam@sun.studio" TargetMode="External"/><Relationship Id="rId75" Type="http://schemas.openxmlformats.org/officeDocument/2006/relationships/hyperlink" Target="mailto:nhien.lam@sun.studio" TargetMode="External"/><Relationship Id="rId74" Type="http://schemas.openxmlformats.org/officeDocument/2006/relationships/hyperlink" Target="mailto:nhien.lam@sun.studio" TargetMode="External"/><Relationship Id="rId77" Type="http://schemas.openxmlformats.org/officeDocument/2006/relationships/hyperlink" Target="mailto:nhien.lam@sun.studio" TargetMode="External"/><Relationship Id="rId76" Type="http://schemas.openxmlformats.org/officeDocument/2006/relationships/hyperlink" Target="mailto:nhien.lam@sun.studio" TargetMode="External"/><Relationship Id="rId79" Type="http://schemas.openxmlformats.org/officeDocument/2006/relationships/hyperlink" Target="mailto:nhien.lam@sun.studio" TargetMode="External"/><Relationship Id="rId78" Type="http://schemas.openxmlformats.org/officeDocument/2006/relationships/hyperlink" Target="mailto:nhien.lam@sun.studio" TargetMode="External"/><Relationship Id="rId71" Type="http://schemas.openxmlformats.org/officeDocument/2006/relationships/hyperlink" Target="mailto:nhien.lam@sun.studio" TargetMode="External"/><Relationship Id="rId70" Type="http://schemas.openxmlformats.org/officeDocument/2006/relationships/hyperlink" Target="mailto:nhien.lam@sun.studio" TargetMode="External"/><Relationship Id="rId139" Type="http://schemas.openxmlformats.org/officeDocument/2006/relationships/hyperlink" Target="mailto:nhien.lam@sun.studio" TargetMode="External"/><Relationship Id="rId138" Type="http://schemas.openxmlformats.org/officeDocument/2006/relationships/hyperlink" Target="mailto:nhien.lam@sun.studio" TargetMode="External"/><Relationship Id="rId137" Type="http://schemas.openxmlformats.org/officeDocument/2006/relationships/hyperlink" Target="mailto:nhien.lam@sun.studio" TargetMode="External"/><Relationship Id="rId132" Type="http://schemas.openxmlformats.org/officeDocument/2006/relationships/hyperlink" Target="mailto:nhien.lam@sun.studio" TargetMode="External"/><Relationship Id="rId131" Type="http://schemas.openxmlformats.org/officeDocument/2006/relationships/hyperlink" Target="mailto:nhien.lam@sun.studio" TargetMode="External"/><Relationship Id="rId130" Type="http://schemas.openxmlformats.org/officeDocument/2006/relationships/hyperlink" Target="mailto:nhien.lam@sun.studio" TargetMode="External"/><Relationship Id="rId136" Type="http://schemas.openxmlformats.org/officeDocument/2006/relationships/hyperlink" Target="mailto:nhien.lam@sun.studio" TargetMode="External"/><Relationship Id="rId135" Type="http://schemas.openxmlformats.org/officeDocument/2006/relationships/hyperlink" Target="mailto:nhien.lam@sun.studio" TargetMode="External"/><Relationship Id="rId134" Type="http://schemas.openxmlformats.org/officeDocument/2006/relationships/hyperlink" Target="mailto:nhien.lam@sun.studio" TargetMode="External"/><Relationship Id="rId133" Type="http://schemas.openxmlformats.org/officeDocument/2006/relationships/hyperlink" Target="mailto:nhien.lam@sun.studio" TargetMode="External"/><Relationship Id="rId62" Type="http://schemas.openxmlformats.org/officeDocument/2006/relationships/hyperlink" Target="mailto:nhien.lam@sun.studio" TargetMode="External"/><Relationship Id="rId61" Type="http://schemas.openxmlformats.org/officeDocument/2006/relationships/hyperlink" Target="mailto:nhien.lam@sun.studio" TargetMode="External"/><Relationship Id="rId64" Type="http://schemas.openxmlformats.org/officeDocument/2006/relationships/hyperlink" Target="mailto:nhien.lam@sun.studio" TargetMode="External"/><Relationship Id="rId63" Type="http://schemas.openxmlformats.org/officeDocument/2006/relationships/hyperlink" Target="mailto:nhien.lam@sun.studio" TargetMode="External"/><Relationship Id="rId66" Type="http://schemas.openxmlformats.org/officeDocument/2006/relationships/hyperlink" Target="mailto:nhien.lam@sun.studio" TargetMode="External"/><Relationship Id="rId65" Type="http://schemas.openxmlformats.org/officeDocument/2006/relationships/hyperlink" Target="mailto:nhien.lam@sun.studio" TargetMode="External"/><Relationship Id="rId68" Type="http://schemas.openxmlformats.org/officeDocument/2006/relationships/hyperlink" Target="mailto:nhien.lam@sun.studio" TargetMode="External"/><Relationship Id="rId67" Type="http://schemas.openxmlformats.org/officeDocument/2006/relationships/hyperlink" Target="https://github.com/letai1854/Farmy-Days" TargetMode="External"/><Relationship Id="rId60" Type="http://schemas.openxmlformats.org/officeDocument/2006/relationships/hyperlink" Target="mailto:nhien.lam@sun.studio" TargetMode="External"/><Relationship Id="rId69" Type="http://schemas.openxmlformats.org/officeDocument/2006/relationships/hyperlink" Target="mailto:nhien.lam@sun.studio" TargetMode="External"/><Relationship Id="rId51" Type="http://schemas.openxmlformats.org/officeDocument/2006/relationships/hyperlink" Target="mailto:nhien.lam@sun.studio" TargetMode="External"/><Relationship Id="rId50" Type="http://schemas.openxmlformats.org/officeDocument/2006/relationships/hyperlink" Target="mailto:nhien.lam@sun.studio" TargetMode="External"/><Relationship Id="rId53" Type="http://schemas.openxmlformats.org/officeDocument/2006/relationships/hyperlink" Target="mailto:nhien.lam@sun.studio" TargetMode="External"/><Relationship Id="rId52" Type="http://schemas.openxmlformats.org/officeDocument/2006/relationships/hyperlink" Target="mailto:nhien.lam@sun.studio" TargetMode="External"/><Relationship Id="rId55" Type="http://schemas.openxmlformats.org/officeDocument/2006/relationships/hyperlink" Target="mailto:nhien.lam@sun.studio" TargetMode="External"/><Relationship Id="rId54" Type="http://schemas.openxmlformats.org/officeDocument/2006/relationships/hyperlink" Target="mailto:nhien.lam@sun.studio" TargetMode="External"/><Relationship Id="rId57" Type="http://schemas.openxmlformats.org/officeDocument/2006/relationships/hyperlink" Target="mailto:nhien.lam@sun.studio" TargetMode="External"/><Relationship Id="rId56" Type="http://schemas.openxmlformats.org/officeDocument/2006/relationships/hyperlink" Target="mailto:nhien.lam@sun.studio" TargetMode="External"/><Relationship Id="rId59" Type="http://schemas.openxmlformats.org/officeDocument/2006/relationships/hyperlink" Target="mailto:nhien.lam@sun.studio" TargetMode="External"/><Relationship Id="rId58" Type="http://schemas.openxmlformats.org/officeDocument/2006/relationships/hyperlink" Target="mailto:nhien.lam@sun.studi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0"/>
    <col customWidth="1" min="3" max="3" width="9.75"/>
    <col customWidth="1" min="4" max="4" width="46.88"/>
    <col customWidth="1" min="5" max="5" width="41.38"/>
    <col customWidth="1" min="6" max="6" width="39.0"/>
  </cols>
  <sheetData>
    <row r="1" ht="22.5" customHeight="1">
      <c r="A1" s="1" t="s">
        <v>0</v>
      </c>
      <c r="B1" s="1" t="s">
        <v>1</v>
      </c>
      <c r="C1" s="2" t="s">
        <v>2</v>
      </c>
      <c r="D1" s="3" t="s">
        <v>3</v>
      </c>
      <c r="E1" s="4" t="s">
        <v>4</v>
      </c>
      <c r="F1" s="1" t="s">
        <v>5</v>
      </c>
    </row>
    <row r="2" ht="22.5" customHeight="1">
      <c r="A2" s="5">
        <v>46135.0</v>
      </c>
      <c r="B2" s="5">
        <v>46139.99930555555</v>
      </c>
      <c r="C2" s="6">
        <v>1.0</v>
      </c>
      <c r="D2" s="7" t="s">
        <v>6</v>
      </c>
      <c r="E2" s="8" t="s">
        <v>7</v>
      </c>
      <c r="F2" s="9" t="s">
        <v>8</v>
      </c>
    </row>
    <row r="3" ht="22.5" customHeight="1">
      <c r="A3" s="5">
        <v>46141.625</v>
      </c>
      <c r="B3" s="10">
        <f>A3+3</f>
        <v>46144.625</v>
      </c>
      <c r="C3" s="6">
        <v>1.0</v>
      </c>
      <c r="D3" s="7" t="s">
        <v>9</v>
      </c>
      <c r="E3" s="7"/>
      <c r="F3" s="7" t="s">
        <v>10</v>
      </c>
    </row>
    <row r="4" ht="22.5" customHeight="1">
      <c r="A4" s="5">
        <v>46146.375</v>
      </c>
      <c r="B4" s="10"/>
      <c r="C4" s="11">
        <v>1.0</v>
      </c>
      <c r="D4" s="8" t="s">
        <v>11</v>
      </c>
    </row>
    <row r="5" ht="22.5" customHeight="1">
      <c r="A5" s="5">
        <v>46140.0</v>
      </c>
      <c r="B5" s="5">
        <v>46146.99930555555</v>
      </c>
      <c r="C5" s="6">
        <v>2.0</v>
      </c>
      <c r="D5" s="7" t="s">
        <v>12</v>
      </c>
      <c r="E5" s="7" t="s">
        <v>13</v>
      </c>
      <c r="F5" s="9" t="s">
        <v>14</v>
      </c>
    </row>
    <row r="6" ht="22.5" customHeight="1">
      <c r="A6" s="5">
        <v>46147.625</v>
      </c>
      <c r="B6" s="10">
        <f>A6+3</f>
        <v>46150.625</v>
      </c>
      <c r="C6" s="6">
        <v>2.0</v>
      </c>
      <c r="D6" s="7" t="s">
        <v>15</v>
      </c>
    </row>
    <row r="7" ht="22.5" customHeight="1">
      <c r="A7" s="5">
        <v>46150.625</v>
      </c>
      <c r="B7" s="5"/>
      <c r="C7" s="6">
        <v>2.0</v>
      </c>
      <c r="D7" s="7" t="s">
        <v>16</v>
      </c>
      <c r="E7" s="9"/>
      <c r="F7" s="9"/>
    </row>
    <row r="8" ht="22.5" customHeight="1">
      <c r="A8" s="5">
        <v>46147.0</v>
      </c>
      <c r="B8" s="5">
        <v>46152.99930555555</v>
      </c>
      <c r="C8" s="6">
        <v>3.0</v>
      </c>
      <c r="D8" s="7" t="s">
        <v>17</v>
      </c>
      <c r="E8" s="7" t="s">
        <v>18</v>
      </c>
      <c r="F8" s="9" t="s">
        <v>19</v>
      </c>
    </row>
    <row r="9" ht="22.5" customHeight="1">
      <c r="A9" s="5">
        <v>46153.625</v>
      </c>
      <c r="B9" s="10">
        <f>A9+3</f>
        <v>46156.625</v>
      </c>
      <c r="C9" s="6">
        <v>3.0</v>
      </c>
      <c r="D9" s="7" t="s">
        <v>20</v>
      </c>
    </row>
    <row r="10" ht="22.5" customHeight="1">
      <c r="A10" s="5">
        <v>46156.0</v>
      </c>
      <c r="B10" s="10"/>
      <c r="C10" s="6">
        <v>3.0</v>
      </c>
      <c r="D10" s="7" t="s">
        <v>21</v>
      </c>
    </row>
    <row r="11" ht="22.5" customHeight="1">
      <c r="A11" s="5">
        <v>46150.395833333336</v>
      </c>
      <c r="B11" s="10"/>
      <c r="C11" s="6"/>
      <c r="D11" s="7" t="s">
        <v>22</v>
      </c>
    </row>
    <row r="12" ht="22.5" customHeight="1">
      <c r="A12" s="5">
        <v>46153.375</v>
      </c>
      <c r="B12" s="5">
        <v>46156.270833333336</v>
      </c>
      <c r="C12" s="11" t="s">
        <v>23</v>
      </c>
      <c r="D12" s="8" t="s">
        <v>24</v>
      </c>
      <c r="E12" s="8" t="s">
        <v>25</v>
      </c>
    </row>
    <row r="13">
      <c r="C13" s="12"/>
    </row>
    <row r="15" ht="22.5" customHeight="1">
      <c r="C15" s="1" t="s">
        <v>26</v>
      </c>
      <c r="D15" s="1" t="s">
        <v>27</v>
      </c>
    </row>
    <row r="16" ht="22.5" customHeight="1">
      <c r="C16" s="8" t="s">
        <v>28</v>
      </c>
      <c r="D16" s="13" t="s">
        <v>29</v>
      </c>
    </row>
    <row r="17" ht="22.5" customHeight="1">
      <c r="C17" s="14" t="s">
        <v>23</v>
      </c>
      <c r="D17" s="15"/>
    </row>
    <row r="18" ht="22.5" customHeight="1">
      <c r="C18" s="14" t="s">
        <v>30</v>
      </c>
      <c r="D18" s="15"/>
    </row>
    <row r="19" ht="22.5" customHeight="1">
      <c r="C19" s="14" t="s">
        <v>31</v>
      </c>
      <c r="D19" s="15"/>
    </row>
    <row r="20">
      <c r="C20" s="12"/>
    </row>
    <row r="21">
      <c r="C21" s="12"/>
    </row>
    <row r="22">
      <c r="C22" s="12"/>
    </row>
    <row r="23">
      <c r="C23" s="12"/>
    </row>
    <row r="24">
      <c r="C24" s="12"/>
    </row>
    <row r="25">
      <c r="C25" s="12"/>
    </row>
    <row r="26">
      <c r="C26" s="12"/>
    </row>
    <row r="27">
      <c r="C27" s="12"/>
    </row>
    <row r="28">
      <c r="C28" s="12"/>
    </row>
    <row r="29">
      <c r="C29" s="12"/>
    </row>
    <row r="30">
      <c r="C30" s="12"/>
    </row>
    <row r="31">
      <c r="C31" s="12"/>
    </row>
    <row r="32">
      <c r="C32" s="12"/>
    </row>
    <row r="33">
      <c r="C33" s="12"/>
    </row>
    <row r="34">
      <c r="C34" s="12"/>
    </row>
    <row r="35">
      <c r="C35" s="12"/>
    </row>
    <row r="36">
      <c r="C36" s="12"/>
    </row>
    <row r="37">
      <c r="C37" s="12"/>
    </row>
    <row r="38">
      <c r="C38" s="12"/>
    </row>
    <row r="39">
      <c r="C39" s="12"/>
    </row>
    <row r="40">
      <c r="C40" s="12"/>
    </row>
    <row r="41">
      <c r="C41" s="12"/>
    </row>
    <row r="42">
      <c r="C42" s="12"/>
    </row>
    <row r="43">
      <c r="C43" s="12"/>
    </row>
    <row r="44">
      <c r="C44" s="12"/>
    </row>
    <row r="45">
      <c r="C45" s="12"/>
    </row>
    <row r="46">
      <c r="C46" s="12"/>
    </row>
    <row r="47">
      <c r="C47" s="12"/>
    </row>
    <row r="48">
      <c r="C48" s="12"/>
    </row>
    <row r="49">
      <c r="C49" s="12"/>
    </row>
    <row r="50">
      <c r="C50" s="12"/>
    </row>
    <row r="51">
      <c r="C51" s="12"/>
    </row>
    <row r="52">
      <c r="C52" s="12"/>
    </row>
    <row r="53">
      <c r="C53" s="12"/>
    </row>
    <row r="54">
      <c r="C54" s="12"/>
    </row>
    <row r="55">
      <c r="C55" s="12"/>
    </row>
    <row r="56">
      <c r="C56" s="12"/>
    </row>
    <row r="57">
      <c r="C57" s="12"/>
    </row>
    <row r="58">
      <c r="C58" s="12"/>
    </row>
    <row r="59">
      <c r="C59" s="12"/>
    </row>
    <row r="60">
      <c r="C60" s="12"/>
    </row>
    <row r="61">
      <c r="C61" s="12"/>
    </row>
    <row r="62">
      <c r="C62" s="12"/>
    </row>
    <row r="63">
      <c r="C63" s="12"/>
    </row>
    <row r="64">
      <c r="C64" s="12"/>
    </row>
    <row r="65">
      <c r="C65" s="12"/>
    </row>
    <row r="66">
      <c r="C66" s="12"/>
    </row>
    <row r="67">
      <c r="C67" s="12"/>
    </row>
    <row r="68">
      <c r="C68" s="12"/>
    </row>
    <row r="69">
      <c r="C69" s="12"/>
    </row>
    <row r="70">
      <c r="C70" s="12"/>
    </row>
    <row r="71">
      <c r="C71" s="12"/>
    </row>
    <row r="72">
      <c r="C72" s="12"/>
    </row>
    <row r="73">
      <c r="C73" s="12"/>
    </row>
    <row r="74">
      <c r="C74" s="12"/>
    </row>
    <row r="75">
      <c r="C75" s="12"/>
    </row>
    <row r="76">
      <c r="C76" s="12"/>
    </row>
    <row r="77">
      <c r="C77" s="12"/>
    </row>
    <row r="78">
      <c r="C78" s="12"/>
    </row>
    <row r="79">
      <c r="C79" s="12"/>
    </row>
    <row r="80">
      <c r="C80" s="12"/>
    </row>
    <row r="81">
      <c r="C81" s="12"/>
    </row>
    <row r="82">
      <c r="C82" s="12"/>
    </row>
    <row r="83">
      <c r="C83" s="12"/>
    </row>
    <row r="84">
      <c r="C84" s="12"/>
    </row>
    <row r="85">
      <c r="C85" s="12"/>
    </row>
    <row r="86">
      <c r="C86" s="12"/>
    </row>
    <row r="87">
      <c r="C87" s="12"/>
    </row>
    <row r="88">
      <c r="C88" s="12"/>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row r="1001">
      <c r="C1001" s="12"/>
    </row>
    <row r="1002">
      <c r="C1002" s="12"/>
    </row>
    <row r="1003">
      <c r="C1003" s="12"/>
    </row>
    <row r="1004">
      <c r="C1004" s="12"/>
    </row>
    <row r="1005">
      <c r="C1005" s="12"/>
    </row>
    <row r="1006">
      <c r="C1006" s="12"/>
    </row>
    <row r="1007">
      <c r="C1007" s="12"/>
    </row>
  </sheetData>
  <dataValidations>
    <dataValidation type="custom" allowBlank="1" showDropDown="1" sqref="B2:B12">
      <formula1>OR(NOT(ISERROR(DATEVALUE(B2))), AND(ISNUMBER(B2), LEFT(CELL("format", B2))="D"))</formula1>
    </dataValidation>
    <dataValidation type="custom" allowBlank="1" showDropDown="1" sqref="A2:A12">
      <formula1>OR(NOT(ISERROR(DATEVALUE(A2))), AND(ISNUMBER(A2), LEFT(CELL("format", A2))="D"))</formula1>
    </dataValidation>
  </dataValidations>
  <hyperlinks>
    <hyperlink r:id="rId1" ref="D16"/>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8.88"/>
    <col customWidth="1" min="3" max="3" width="27.38"/>
    <col customWidth="1" min="4" max="4" width="31.63"/>
    <col customWidth="1" min="5" max="5" width="27.38"/>
    <col customWidth="1" min="6" max="6" width="27.88"/>
    <col customWidth="1" min="7" max="11" width="37.63"/>
    <col customWidth="1" min="12" max="12" width="36.13"/>
    <col customWidth="1" min="13" max="13" width="31.5"/>
    <col customWidth="1" min="14" max="22" width="37.63"/>
    <col customWidth="1" min="23" max="23" width="29.88"/>
    <col customWidth="1" min="24" max="24" width="37.63"/>
    <col customWidth="1" min="25" max="25" width="18.63"/>
    <col customWidth="1" min="26" max="26" width="17.75"/>
    <col customWidth="1" min="32" max="32" width="24.13"/>
  </cols>
  <sheetData>
    <row r="1" ht="22.5" customHeight="1">
      <c r="A1" s="16" t="s">
        <v>32</v>
      </c>
      <c r="B1" s="17" t="s">
        <v>33</v>
      </c>
      <c r="C1" s="16" t="s">
        <v>34</v>
      </c>
      <c r="D1" s="16" t="s">
        <v>35</v>
      </c>
      <c r="E1" s="16" t="s">
        <v>36</v>
      </c>
      <c r="F1" s="16" t="s">
        <v>37</v>
      </c>
      <c r="G1" s="16" t="s">
        <v>38</v>
      </c>
      <c r="H1" s="16" t="s">
        <v>39</v>
      </c>
      <c r="I1" s="16" t="s">
        <v>40</v>
      </c>
      <c r="J1" s="16" t="s">
        <v>41</v>
      </c>
      <c r="K1" s="16" t="s">
        <v>42</v>
      </c>
      <c r="L1" s="16" t="s">
        <v>43</v>
      </c>
      <c r="M1" s="16" t="s">
        <v>44</v>
      </c>
      <c r="N1" s="16" t="s">
        <v>45</v>
      </c>
      <c r="O1" s="16" t="s">
        <v>46</v>
      </c>
      <c r="P1" s="16" t="s">
        <v>47</v>
      </c>
      <c r="Q1" s="16" t="s">
        <v>48</v>
      </c>
      <c r="R1" s="16" t="s">
        <v>49</v>
      </c>
      <c r="S1" s="16" t="s">
        <v>50</v>
      </c>
      <c r="T1" s="16" t="s">
        <v>51</v>
      </c>
      <c r="U1" s="16" t="s">
        <v>52</v>
      </c>
      <c r="V1" s="16" t="s">
        <v>53</v>
      </c>
      <c r="W1" s="16" t="s">
        <v>54</v>
      </c>
      <c r="X1" s="16" t="s">
        <v>55</v>
      </c>
      <c r="Y1" s="16" t="s">
        <v>56</v>
      </c>
      <c r="Z1" s="16" t="s">
        <v>57</v>
      </c>
      <c r="AA1" s="18" t="s">
        <v>2</v>
      </c>
      <c r="AB1" s="19"/>
      <c r="AC1" s="19"/>
      <c r="AD1" s="19"/>
      <c r="AE1" s="19"/>
      <c r="AF1" s="19"/>
      <c r="AG1" s="19"/>
      <c r="AH1" s="19"/>
      <c r="AI1" s="19"/>
      <c r="AJ1" s="19"/>
      <c r="AK1" s="19"/>
      <c r="AL1" s="19"/>
      <c r="AM1" s="19"/>
      <c r="AN1" s="19"/>
      <c r="AO1" s="19"/>
      <c r="AP1" s="19"/>
      <c r="AQ1" s="19"/>
      <c r="AR1" s="19"/>
      <c r="AS1" s="19"/>
      <c r="AT1" s="19"/>
      <c r="AU1" s="19"/>
      <c r="AV1" s="19"/>
      <c r="AW1" s="19"/>
      <c r="AX1" s="19"/>
    </row>
    <row r="2" ht="22.5" hidden="1" customHeight="1">
      <c r="A2" s="20" t="s">
        <v>58</v>
      </c>
      <c r="B2" s="21">
        <v>38387.0</v>
      </c>
      <c r="C2" s="20" t="s">
        <v>59</v>
      </c>
      <c r="D2" s="22" t="s">
        <v>60</v>
      </c>
      <c r="E2" s="20" t="s">
        <v>61</v>
      </c>
      <c r="F2" s="20" t="s">
        <v>62</v>
      </c>
      <c r="G2" s="23" t="str">
        <f>HYPERLINK("https://api.typeform.com/responses/files/af59c765842d256a6b19dda5f36acaede0803e973d05a7cc2225ee13e186418a/cv_intern.pdf")</f>
        <v>https://api.typeform.com/responses/files/af59c765842d256a6b19dda5f36acaede0803e973d05a7cc2225ee13e186418a/cv_intern.pdf</v>
      </c>
      <c r="H2" s="20" t="s">
        <v>63</v>
      </c>
      <c r="I2" s="20" t="s">
        <v>64</v>
      </c>
      <c r="J2" s="20" t="s">
        <v>65</v>
      </c>
      <c r="K2" s="20" t="s">
        <v>66</v>
      </c>
      <c r="L2" s="20" t="s">
        <v>67</v>
      </c>
      <c r="M2" s="20" t="s">
        <v>68</v>
      </c>
      <c r="N2" s="24">
        <v>46315.0</v>
      </c>
      <c r="O2" s="22" t="s">
        <v>69</v>
      </c>
      <c r="P2" s="23" t="str">
        <f>HYPERLINK("https://api.typeform.com/responses/files/d8b6e14ed9afca1385c327a1a80f2d74bdf23991bfb54bc603275ef462fbb0f3/z7628526052579_ff37ca4b9293ddf8043ac661565babc2.jpg")</f>
        <v>https://api.typeform.com/responses/files/d8b6e14ed9afca1385c327a1a80f2d74bdf23991bfb54bc603275ef462fbb0f3/z7628526052579_ff37ca4b9293ddf8043ac661565babc2.jpg</v>
      </c>
      <c r="Q2" s="20" t="b">
        <v>0</v>
      </c>
      <c r="R2" s="20" t="s">
        <v>70</v>
      </c>
      <c r="S2" s="25" t="s">
        <v>71</v>
      </c>
      <c r="T2" s="20" t="s">
        <v>72</v>
      </c>
      <c r="U2" s="20" t="s">
        <v>72</v>
      </c>
      <c r="V2" s="20" t="s">
        <v>73</v>
      </c>
      <c r="W2" s="20"/>
      <c r="X2" s="20" t="s">
        <v>74</v>
      </c>
      <c r="Y2" s="26">
        <v>46134.355474537035</v>
      </c>
      <c r="Z2" s="20" t="s">
        <v>75</v>
      </c>
      <c r="AA2" s="6">
        <v>1.0</v>
      </c>
      <c r="AB2" s="27"/>
      <c r="AC2" s="28" t="s">
        <v>76</v>
      </c>
      <c r="AD2" s="28" t="s">
        <v>77</v>
      </c>
      <c r="AE2" s="27"/>
      <c r="AF2" s="28" t="s">
        <v>78</v>
      </c>
      <c r="AG2" s="27"/>
      <c r="AH2" s="27"/>
      <c r="AI2" s="27"/>
      <c r="AJ2" s="27"/>
      <c r="AK2" s="27"/>
      <c r="AL2" s="27"/>
      <c r="AM2" s="27"/>
      <c r="AN2" s="27"/>
      <c r="AO2" s="27"/>
      <c r="AP2" s="27"/>
      <c r="AQ2" s="27"/>
      <c r="AR2" s="27"/>
      <c r="AS2" s="27"/>
      <c r="AT2" s="27"/>
      <c r="AU2" s="27"/>
      <c r="AV2" s="27"/>
      <c r="AW2" s="27"/>
      <c r="AX2" s="27"/>
    </row>
    <row r="3" ht="22.5" hidden="1" customHeight="1">
      <c r="A3" s="20" t="s">
        <v>79</v>
      </c>
      <c r="B3" s="21">
        <v>38058.0</v>
      </c>
      <c r="C3" s="20" t="s">
        <v>80</v>
      </c>
      <c r="D3" s="22" t="s">
        <v>81</v>
      </c>
      <c r="E3" s="20" t="s">
        <v>82</v>
      </c>
      <c r="F3" s="20" t="s">
        <v>62</v>
      </c>
      <c r="G3" s="23" t="str">
        <f>HYPERLINK("https://api.typeform.com/responses/files/04f57b802dfab7bc41f81802d0af17d1f919e526e6ab815fe4a53518b4ad2d10/CV___Data_Analysis_Intern___Phạm_Ngọc_Trí.pdf")</f>
        <v>https://api.typeform.com/responses/files/04f57b802dfab7bc41f81802d0af17d1f919e526e6ab815fe4a53518b4ad2d10/CV___Data_Analysis_Intern___Phạm_Ngọc_Trí.pdf</v>
      </c>
      <c r="H3" s="20" t="s">
        <v>83</v>
      </c>
      <c r="I3" s="20" t="s">
        <v>84</v>
      </c>
      <c r="J3" s="20" t="s">
        <v>85</v>
      </c>
      <c r="K3" s="20"/>
      <c r="L3" s="20" t="s">
        <v>67</v>
      </c>
      <c r="M3" s="20" t="s">
        <v>86</v>
      </c>
      <c r="N3" s="24">
        <v>46204.0</v>
      </c>
      <c r="O3" s="22" t="s">
        <v>87</v>
      </c>
      <c r="P3" s="23" t="str">
        <f>HYPERLINK("https://api.typeform.com/responses/files/d55b4c41d3e6682cfab98e065a4ba2da037f4ddbfc2875cf21f0ccb61883aabd/Transcript___Data_Analysis_Intern___Phạm_Ngọc_Trí.pdf")</f>
        <v>https://api.typeform.com/responses/files/d55b4c41d3e6682cfab98e065a4ba2da037f4ddbfc2875cf21f0ccb61883aabd/Transcript___Data_Analysis_Intern___Phạm_Ngọc_Trí.pdf</v>
      </c>
      <c r="Q3" s="20" t="b">
        <v>1</v>
      </c>
      <c r="R3" s="20" t="s">
        <v>88</v>
      </c>
      <c r="S3" s="25" t="s">
        <v>89</v>
      </c>
      <c r="T3" s="20" t="s">
        <v>72</v>
      </c>
      <c r="U3" s="20" t="s">
        <v>72</v>
      </c>
      <c r="V3" s="20" t="s">
        <v>90</v>
      </c>
      <c r="W3" s="20"/>
      <c r="X3" s="20" t="s">
        <v>91</v>
      </c>
      <c r="Y3" s="26">
        <v>46134.41590277778</v>
      </c>
      <c r="Z3" s="20" t="s">
        <v>92</v>
      </c>
      <c r="AA3" s="6">
        <v>1.0</v>
      </c>
      <c r="AB3" s="27"/>
      <c r="AC3" s="28" t="s">
        <v>93</v>
      </c>
      <c r="AD3" s="28" t="s">
        <v>94</v>
      </c>
      <c r="AE3" s="27"/>
      <c r="AF3" s="28" t="s">
        <v>95</v>
      </c>
      <c r="AG3" s="27"/>
      <c r="AH3" s="27"/>
      <c r="AI3" s="27"/>
      <c r="AJ3" s="27"/>
      <c r="AK3" s="27"/>
      <c r="AL3" s="27"/>
      <c r="AM3" s="27"/>
      <c r="AN3" s="27"/>
      <c r="AO3" s="27"/>
      <c r="AP3" s="27"/>
      <c r="AQ3" s="27"/>
      <c r="AR3" s="27"/>
      <c r="AS3" s="27"/>
      <c r="AT3" s="27"/>
      <c r="AU3" s="27"/>
      <c r="AV3" s="27"/>
      <c r="AW3" s="27"/>
      <c r="AX3" s="27"/>
    </row>
    <row r="4" ht="22.5" hidden="1" customHeight="1">
      <c r="A4" s="20" t="s">
        <v>96</v>
      </c>
      <c r="B4" s="21">
        <v>37686.0</v>
      </c>
      <c r="C4" s="20" t="s">
        <v>97</v>
      </c>
      <c r="D4" s="22" t="s">
        <v>98</v>
      </c>
      <c r="E4" s="20" t="s">
        <v>61</v>
      </c>
      <c r="F4" s="20" t="s">
        <v>99</v>
      </c>
      <c r="G4" s="23" t="str">
        <f>HYPERLINK("https://api.typeform.com/responses/files/f8137e009d217a437ef2a22054dc0e91e60489c8858d10d0e02dad6f76d32896/CV_NguyenTrongNghia_UnityDeveloper.pdf")</f>
        <v>https://api.typeform.com/responses/files/f8137e009d217a437ef2a22054dc0e91e60489c8858d10d0e02dad6f76d32896/CV_NguyenTrongNghia_UnityDeveloper.pdf</v>
      </c>
      <c r="H4" s="20" t="s">
        <v>100</v>
      </c>
      <c r="I4" s="20" t="s">
        <v>101</v>
      </c>
      <c r="J4" s="20" t="s">
        <v>65</v>
      </c>
      <c r="K4" s="20" t="s">
        <v>102</v>
      </c>
      <c r="L4" s="20" t="s">
        <v>103</v>
      </c>
      <c r="M4" s="20" t="s">
        <v>104</v>
      </c>
      <c r="N4" s="24">
        <v>45982.0</v>
      </c>
      <c r="O4" s="22" t="s">
        <v>105</v>
      </c>
      <c r="P4" s="23" t="str">
        <f>HYPERLINK("https://api.typeform.com/responses/files/dd07064b4a28c99f27f523cd6e4bd40343e10d8e2a4a68ffe89b96e10ee09f98/Transcript___Unity_Developer_Intern___Nguyễn_Trọng_Nghĩa.pdf")</f>
        <v>https://api.typeform.com/responses/files/dd07064b4a28c99f27f523cd6e4bd40343e10d8e2a4a68ffe89b96e10ee09f98/Transcript___Unity_Developer_Intern___Nguyễn_Trọng_Nghĩa.pdf</v>
      </c>
      <c r="Q4" s="20" t="b">
        <v>1</v>
      </c>
      <c r="R4" s="20" t="s">
        <v>106</v>
      </c>
      <c r="S4" s="25" t="s">
        <v>107</v>
      </c>
      <c r="T4" s="20" t="s">
        <v>72</v>
      </c>
      <c r="U4" s="20" t="s">
        <v>72</v>
      </c>
      <c r="V4" s="20" t="s">
        <v>73</v>
      </c>
      <c r="W4" s="20"/>
      <c r="X4" s="20"/>
      <c r="Y4" s="26">
        <v>46134.4500462963</v>
      </c>
      <c r="Z4" s="20" t="s">
        <v>108</v>
      </c>
      <c r="AA4" s="6">
        <v>1.0</v>
      </c>
      <c r="AB4" s="27"/>
      <c r="AC4" s="28" t="s">
        <v>109</v>
      </c>
      <c r="AD4" s="28" t="s">
        <v>28</v>
      </c>
      <c r="AE4" s="27"/>
      <c r="AF4" s="28" t="s">
        <v>110</v>
      </c>
      <c r="AG4" s="27"/>
      <c r="AH4" s="27"/>
      <c r="AI4" s="27"/>
      <c r="AJ4" s="27"/>
      <c r="AK4" s="27"/>
      <c r="AL4" s="27"/>
      <c r="AM4" s="27"/>
      <c r="AN4" s="27"/>
      <c r="AO4" s="27"/>
      <c r="AP4" s="27"/>
      <c r="AQ4" s="27"/>
      <c r="AR4" s="27"/>
      <c r="AS4" s="27"/>
      <c r="AT4" s="27"/>
      <c r="AU4" s="27"/>
      <c r="AV4" s="27"/>
      <c r="AW4" s="27"/>
      <c r="AX4" s="27"/>
    </row>
    <row r="5" ht="22.5" hidden="1" customHeight="1">
      <c r="A5" s="20" t="s">
        <v>111</v>
      </c>
      <c r="B5" s="21">
        <v>38198.0</v>
      </c>
      <c r="C5" s="20" t="s">
        <v>112</v>
      </c>
      <c r="D5" s="22" t="s">
        <v>113</v>
      </c>
      <c r="E5" s="20" t="s">
        <v>99</v>
      </c>
      <c r="F5" s="20" t="s">
        <v>61</v>
      </c>
      <c r="G5" s="23" t="str">
        <f>HYPERLINK("https://api.typeform.com/responses/files/e3d7fa588d5228d6f0f01b823d437afdccf75b2682b96418f290011392e551b5/CV_Game_Design_Intern_Đặng_Thế_An.pdf")</f>
        <v>https://api.typeform.com/responses/files/e3d7fa588d5228d6f0f01b823d437afdccf75b2682b96418f290011392e551b5/CV_Game_Design_Intern_Đặng_Thế_An.pdf</v>
      </c>
      <c r="H5" s="20" t="s">
        <v>114</v>
      </c>
      <c r="I5" s="20" t="s">
        <v>115</v>
      </c>
      <c r="J5" s="20" t="s">
        <v>116</v>
      </c>
      <c r="K5" s="20"/>
      <c r="L5" s="20" t="s">
        <v>67</v>
      </c>
      <c r="M5" s="20" t="s">
        <v>117</v>
      </c>
      <c r="N5" s="24">
        <v>46295.0</v>
      </c>
      <c r="O5" s="22" t="s">
        <v>118</v>
      </c>
      <c r="P5" s="23" t="str">
        <f>HYPERLINK("https://api.typeform.com/responses/files/6f878a25a48a09d8d66d65c5bbf323c36d844c42d556da210778186126a86619/Transcript___Game_Design_Intern___Đặng_Thế_An.png")</f>
        <v>https://api.typeform.com/responses/files/6f878a25a48a09d8d66d65c5bbf323c36d844c42d556da210778186126a86619/Transcript___Game_Design_Intern___Đặng_Thế_An.png</v>
      </c>
      <c r="Q5" s="20" t="b">
        <v>1</v>
      </c>
      <c r="R5" s="20" t="s">
        <v>119</v>
      </c>
      <c r="S5" s="25" t="s">
        <v>120</v>
      </c>
      <c r="T5" s="20" t="s">
        <v>72</v>
      </c>
      <c r="U5" s="20" t="s">
        <v>72</v>
      </c>
      <c r="V5" s="20" t="s">
        <v>73</v>
      </c>
      <c r="W5" s="20"/>
      <c r="X5" s="20" t="s">
        <v>121</v>
      </c>
      <c r="Y5" s="26">
        <v>46134.466516203705</v>
      </c>
      <c r="Z5" s="20" t="s">
        <v>122</v>
      </c>
      <c r="AA5" s="6">
        <v>1.0</v>
      </c>
      <c r="AB5" s="27"/>
      <c r="AC5" s="27"/>
      <c r="AD5" s="27"/>
      <c r="AE5" s="27"/>
      <c r="AF5" s="28" t="s">
        <v>123</v>
      </c>
      <c r="AG5" s="27"/>
      <c r="AH5" s="27"/>
      <c r="AI5" s="27"/>
      <c r="AJ5" s="27"/>
      <c r="AK5" s="27"/>
      <c r="AL5" s="27"/>
      <c r="AM5" s="27"/>
      <c r="AN5" s="27"/>
      <c r="AO5" s="27"/>
      <c r="AP5" s="27"/>
      <c r="AQ5" s="27"/>
      <c r="AR5" s="27"/>
      <c r="AS5" s="27"/>
      <c r="AT5" s="27"/>
      <c r="AU5" s="27"/>
      <c r="AV5" s="27"/>
      <c r="AW5" s="27"/>
      <c r="AX5" s="27"/>
    </row>
    <row r="6" ht="22.5" hidden="1" customHeight="1">
      <c r="A6" s="20" t="s">
        <v>124</v>
      </c>
      <c r="B6" s="21">
        <v>38184.0</v>
      </c>
      <c r="C6" s="20" t="s">
        <v>125</v>
      </c>
      <c r="D6" s="22" t="s">
        <v>126</v>
      </c>
      <c r="E6" s="20" t="s">
        <v>61</v>
      </c>
      <c r="F6" s="20" t="s">
        <v>127</v>
      </c>
      <c r="G6" s="23" t="str">
        <f>HYPERLINK("https://api.typeform.com/responses/files/2625f62526c8aabc839b37a2620f1a9db363d6f1b09e54e94e7efd0890126ea6/CV___Unity_Development_Intern___Nguyễn_Công_Trung.pdf")</f>
        <v>https://api.typeform.com/responses/files/2625f62526c8aabc839b37a2620f1a9db363d6f1b09e54e94e7efd0890126ea6/CV___Unity_Development_Intern___Nguyễn_Công_Trung.pdf</v>
      </c>
      <c r="H6" s="20" t="s">
        <v>128</v>
      </c>
      <c r="I6" s="20" t="s">
        <v>129</v>
      </c>
      <c r="J6" s="20" t="s">
        <v>130</v>
      </c>
      <c r="K6" s="20" t="s">
        <v>131</v>
      </c>
      <c r="L6" s="20" t="s">
        <v>67</v>
      </c>
      <c r="M6" s="20" t="s">
        <v>132</v>
      </c>
      <c r="N6" s="24">
        <v>46295.0</v>
      </c>
      <c r="O6" s="22" t="s">
        <v>133</v>
      </c>
      <c r="P6" s="23" t="str">
        <f>HYPERLINK("https://api.typeform.com/responses/files/97994d1e71c27b89f6927f71a8c3fa5b5b17be2834b645c137c748710af45177/Transcript___Unity_Development_Intern___Nguyễn_Công_Trung.pdf")</f>
        <v>https://api.typeform.com/responses/files/97994d1e71c27b89f6927f71a8c3fa5b5b17be2834b645c137c748710af45177/Transcript___Unity_Development_Intern___Nguyễn_Công_Trung.pdf</v>
      </c>
      <c r="Q6" s="20" t="b">
        <v>1</v>
      </c>
      <c r="R6" s="20" t="s">
        <v>134</v>
      </c>
      <c r="S6" s="25" t="s">
        <v>135</v>
      </c>
      <c r="T6" s="20" t="s">
        <v>72</v>
      </c>
      <c r="U6" s="20" t="s">
        <v>72</v>
      </c>
      <c r="V6" s="20" t="s">
        <v>73</v>
      </c>
      <c r="W6" s="20"/>
      <c r="X6" s="20" t="s">
        <v>136</v>
      </c>
      <c r="Y6" s="26">
        <v>46134.482407407406</v>
      </c>
      <c r="Z6" s="20" t="s">
        <v>137</v>
      </c>
      <c r="AA6" s="6">
        <v>1.0</v>
      </c>
      <c r="AB6" s="27"/>
      <c r="AC6" s="27"/>
      <c r="AD6" s="27"/>
      <c r="AE6" s="27"/>
      <c r="AF6" s="28" t="s">
        <v>138</v>
      </c>
      <c r="AG6" s="27"/>
      <c r="AH6" s="27"/>
      <c r="AI6" s="27"/>
      <c r="AJ6" s="27"/>
      <c r="AK6" s="27"/>
      <c r="AL6" s="27"/>
      <c r="AM6" s="27"/>
      <c r="AN6" s="27"/>
      <c r="AO6" s="27"/>
      <c r="AP6" s="27"/>
      <c r="AQ6" s="27"/>
      <c r="AR6" s="27"/>
      <c r="AS6" s="27"/>
      <c r="AT6" s="27"/>
      <c r="AU6" s="27"/>
      <c r="AV6" s="27"/>
      <c r="AW6" s="27"/>
      <c r="AX6" s="27"/>
    </row>
    <row r="7" ht="22.5" hidden="1" customHeight="1">
      <c r="A7" s="20" t="s">
        <v>139</v>
      </c>
      <c r="B7" s="21">
        <v>38931.0</v>
      </c>
      <c r="C7" s="20" t="s">
        <v>140</v>
      </c>
      <c r="D7" s="22" t="s">
        <v>141</v>
      </c>
      <c r="E7" s="20" t="s">
        <v>61</v>
      </c>
      <c r="F7" s="20" t="s">
        <v>99</v>
      </c>
      <c r="G7" s="23" t="str">
        <f>HYPERLINK("https://api.typeform.com/responses/files/a7521ca33a5886955e0aa8cff0afd19aa2203e2a911d21f5940a315b68e2b12b/CV_UnityDevelopment_TranDoHoangTan.pdf")</f>
        <v>https://api.typeform.com/responses/files/a7521ca33a5886955e0aa8cff0afd19aa2203e2a911d21f5940a315b68e2b12b/CV_UnityDevelopment_TranDoHoangTan.pdf</v>
      </c>
      <c r="H7" s="20" t="s">
        <v>142</v>
      </c>
      <c r="I7" s="20" t="s">
        <v>143</v>
      </c>
      <c r="J7" s="20" t="s">
        <v>144</v>
      </c>
      <c r="K7" s="20"/>
      <c r="L7" s="20" t="s">
        <v>145</v>
      </c>
      <c r="M7" s="20" t="s">
        <v>146</v>
      </c>
      <c r="N7" s="24">
        <v>46235.0</v>
      </c>
      <c r="O7" s="22" t="s">
        <v>147</v>
      </c>
      <c r="P7" s="23" t="str">
        <f>HYPERLINK("https://api.typeform.com/responses/files/93d0e912f21fb5f4eff357f599b83cffd626eb68d0d59edaa43030c923c03b40/Transcript_intern_TranDoHoangTan.png")</f>
        <v>https://api.typeform.com/responses/files/93d0e912f21fb5f4eff357f599b83cffd626eb68d0d59edaa43030c923c03b40/Transcript_intern_TranDoHoangTan.png</v>
      </c>
      <c r="Q7" s="20" t="b">
        <v>1</v>
      </c>
      <c r="R7" s="20" t="s">
        <v>148</v>
      </c>
      <c r="S7" s="25" t="s">
        <v>149</v>
      </c>
      <c r="T7" s="20" t="s">
        <v>72</v>
      </c>
      <c r="U7" s="20" t="s">
        <v>72</v>
      </c>
      <c r="V7" s="20" t="s">
        <v>150</v>
      </c>
      <c r="W7" s="20"/>
      <c r="X7" s="20" t="s">
        <v>151</v>
      </c>
      <c r="Y7" s="26">
        <v>46134.50517361111</v>
      </c>
      <c r="Z7" s="20" t="s">
        <v>152</v>
      </c>
      <c r="AA7" s="6">
        <v>1.0</v>
      </c>
      <c r="AB7" s="27"/>
      <c r="AC7" s="27"/>
      <c r="AD7" s="27"/>
      <c r="AE7" s="27"/>
      <c r="AF7" s="27"/>
      <c r="AG7" s="27"/>
      <c r="AH7" s="27"/>
      <c r="AI7" s="27"/>
      <c r="AJ7" s="27"/>
      <c r="AK7" s="27"/>
      <c r="AL7" s="27"/>
      <c r="AM7" s="27"/>
      <c r="AN7" s="27"/>
      <c r="AO7" s="27"/>
      <c r="AP7" s="27"/>
      <c r="AQ7" s="27"/>
      <c r="AR7" s="27"/>
      <c r="AS7" s="27"/>
      <c r="AT7" s="27"/>
      <c r="AU7" s="27"/>
      <c r="AV7" s="27"/>
      <c r="AW7" s="27"/>
      <c r="AX7" s="27"/>
    </row>
    <row r="8" ht="22.5" hidden="1" customHeight="1">
      <c r="A8" s="20" t="s">
        <v>153</v>
      </c>
      <c r="B8" s="21">
        <v>37826.0</v>
      </c>
      <c r="C8" s="20" t="s">
        <v>154</v>
      </c>
      <c r="D8" s="22" t="s">
        <v>155</v>
      </c>
      <c r="E8" s="20" t="s">
        <v>99</v>
      </c>
      <c r="F8" s="20" t="s">
        <v>61</v>
      </c>
      <c r="G8" s="23" t="str">
        <f>HYPERLINK("https://api.typeform.com/responses/files/4daf05074df1b4a5024a18ade40bd22c037f262114c891e5abdb3a44b916211e/CV_Game_Designer_Intern_Nguyễn_Minh_Khôi.pdf")</f>
        <v>https://api.typeform.com/responses/files/4daf05074df1b4a5024a18ade40bd22c037f262114c891e5abdb3a44b916211e/CV_Game_Designer_Intern_Nguyễn_Minh_Khôi.pdf</v>
      </c>
      <c r="H8" s="20" t="s">
        <v>156</v>
      </c>
      <c r="I8" s="20" t="s">
        <v>157</v>
      </c>
      <c r="J8" s="20" t="s">
        <v>65</v>
      </c>
      <c r="K8" s="20" t="s">
        <v>158</v>
      </c>
      <c r="L8" s="20" t="s">
        <v>103</v>
      </c>
      <c r="M8" s="20" t="s">
        <v>104</v>
      </c>
      <c r="N8" s="24">
        <v>46227.0</v>
      </c>
      <c r="O8" s="22" t="s">
        <v>159</v>
      </c>
      <c r="P8" s="23" t="str">
        <f>HYPERLINK("https://api.typeform.com/responses/files/53679cae613e1380865f5b1c629b2b8f1558d4f3c99e17fa4fdbda1662435a60/Transcript___Game_Designer___Nguyễn_Minh_Khôi.pdf")</f>
        <v>https://api.typeform.com/responses/files/53679cae613e1380865f5b1c629b2b8f1558d4f3c99e17fa4fdbda1662435a60/Transcript___Game_Designer___Nguyễn_Minh_Khôi.pdf</v>
      </c>
      <c r="Q8" s="20" t="b">
        <v>1</v>
      </c>
      <c r="R8" s="20" t="s">
        <v>160</v>
      </c>
      <c r="S8" s="25" t="s">
        <v>161</v>
      </c>
      <c r="T8" s="20" t="s">
        <v>72</v>
      </c>
      <c r="U8" s="20" t="s">
        <v>72</v>
      </c>
      <c r="V8" s="20" t="s">
        <v>73</v>
      </c>
      <c r="W8" s="20"/>
      <c r="X8" s="20" t="s">
        <v>162</v>
      </c>
      <c r="Y8" s="26">
        <v>46134.50609953704</v>
      </c>
      <c r="Z8" s="20" t="s">
        <v>163</v>
      </c>
      <c r="AA8" s="6">
        <v>1.0</v>
      </c>
      <c r="AB8" s="27"/>
      <c r="AC8" s="27"/>
      <c r="AD8" s="27"/>
      <c r="AE8" s="27"/>
      <c r="AF8" s="27"/>
      <c r="AG8" s="27"/>
      <c r="AH8" s="27"/>
      <c r="AI8" s="27"/>
      <c r="AJ8" s="27"/>
      <c r="AK8" s="27"/>
      <c r="AL8" s="27"/>
      <c r="AM8" s="27"/>
      <c r="AN8" s="27"/>
      <c r="AO8" s="27"/>
      <c r="AP8" s="27"/>
      <c r="AQ8" s="27"/>
      <c r="AR8" s="27"/>
      <c r="AS8" s="27"/>
      <c r="AT8" s="27"/>
      <c r="AU8" s="27"/>
      <c r="AV8" s="27"/>
      <c r="AW8" s="27"/>
      <c r="AX8" s="27"/>
    </row>
    <row r="9" ht="22.5" hidden="1" customHeight="1">
      <c r="A9" s="20" t="s">
        <v>164</v>
      </c>
      <c r="B9" s="21">
        <v>38799.0</v>
      </c>
      <c r="C9" s="20" t="s">
        <v>165</v>
      </c>
      <c r="D9" s="22" t="s">
        <v>166</v>
      </c>
      <c r="E9" s="20" t="s">
        <v>61</v>
      </c>
      <c r="F9" s="20" t="s">
        <v>99</v>
      </c>
      <c r="G9" s="23" t="str">
        <f>HYPERLINK("https://api.typeform.com/responses/files/577976c1e3cc6d1fdc2886d246aa5060c9d02d3ceec1c8020127397cf8a58028/CV.pdf")</f>
        <v>https://api.typeform.com/responses/files/577976c1e3cc6d1fdc2886d246aa5060c9d02d3ceec1c8020127397cf8a58028/CV.pdf</v>
      </c>
      <c r="H9" s="20" t="s">
        <v>167</v>
      </c>
      <c r="I9" s="20" t="s">
        <v>168</v>
      </c>
      <c r="J9" s="20" t="s">
        <v>144</v>
      </c>
      <c r="K9" s="20"/>
      <c r="L9" s="20" t="s">
        <v>169</v>
      </c>
      <c r="M9" s="20" t="s">
        <v>170</v>
      </c>
      <c r="N9" s="24">
        <v>46264.0</v>
      </c>
      <c r="O9" s="22" t="s">
        <v>171</v>
      </c>
      <c r="P9" s="23" t="str">
        <f>HYPERLINK("https://api.typeform.com/responses/files/72eaf3206f3e349b5ff6bbe1955faf3282b4e361c4fdd146ce90d6fd4d7ac675/Bảng_điểm__FPT_Polytechnic.pdf")</f>
        <v>https://api.typeform.com/responses/files/72eaf3206f3e349b5ff6bbe1955faf3282b4e361c4fdd146ce90d6fd4d7ac675/Bảng_điểm__FPT_Polytechnic.pdf</v>
      </c>
      <c r="Q9" s="20" t="b">
        <v>1</v>
      </c>
      <c r="R9" s="20" t="s">
        <v>172</v>
      </c>
      <c r="S9" s="25" t="s">
        <v>173</v>
      </c>
      <c r="T9" s="20" t="s">
        <v>72</v>
      </c>
      <c r="U9" s="20" t="s">
        <v>72</v>
      </c>
      <c r="V9" s="20" t="s">
        <v>174</v>
      </c>
      <c r="W9" s="20"/>
      <c r="X9" s="20" t="s">
        <v>175</v>
      </c>
      <c r="Y9" s="26">
        <v>46134.51033564815</v>
      </c>
      <c r="Z9" s="20" t="s">
        <v>176</v>
      </c>
      <c r="AA9" s="6">
        <v>1.0</v>
      </c>
      <c r="AB9" s="27"/>
      <c r="AC9" s="27"/>
      <c r="AD9" s="27"/>
      <c r="AE9" s="27"/>
      <c r="AF9" s="27"/>
      <c r="AG9" s="27"/>
      <c r="AH9" s="27"/>
      <c r="AI9" s="27"/>
      <c r="AJ9" s="27"/>
      <c r="AK9" s="27"/>
      <c r="AL9" s="27"/>
      <c r="AM9" s="27"/>
      <c r="AN9" s="27"/>
      <c r="AO9" s="27"/>
      <c r="AP9" s="27"/>
      <c r="AQ9" s="27"/>
      <c r="AR9" s="27"/>
      <c r="AS9" s="27"/>
      <c r="AT9" s="27"/>
      <c r="AU9" s="27"/>
      <c r="AV9" s="27"/>
      <c r="AW9" s="27"/>
      <c r="AX9" s="27"/>
    </row>
    <row r="10" ht="22.5" hidden="1" customHeight="1">
      <c r="A10" s="20" t="s">
        <v>177</v>
      </c>
      <c r="B10" s="21">
        <v>36733.0</v>
      </c>
      <c r="C10" s="20" t="s">
        <v>178</v>
      </c>
      <c r="D10" s="22" t="s">
        <v>179</v>
      </c>
      <c r="E10" s="20" t="s">
        <v>99</v>
      </c>
      <c r="F10" s="20" t="s">
        <v>62</v>
      </c>
      <c r="G10" s="23" t="str">
        <f>HYPERLINK("https://api.typeform.com/responses/files/7e3eb98ce253cd0705271e5498eb8bab9be2346bd2cfe685da3d12c6e8d03d47/CV_Nguyen_Duc_Hoang_Unity_Developer__30_3_2026_.pdf")</f>
        <v>https://api.typeform.com/responses/files/7e3eb98ce253cd0705271e5498eb8bab9be2346bd2cfe685da3d12c6e8d03d47/CV_Nguyen_Duc_Hoang_Unity_Developer__30_3_2026_.pdf</v>
      </c>
      <c r="H10" s="20" t="s">
        <v>180</v>
      </c>
      <c r="I10" s="20" t="s">
        <v>181</v>
      </c>
      <c r="J10" s="20" t="s">
        <v>65</v>
      </c>
      <c r="K10" s="20" t="s">
        <v>182</v>
      </c>
      <c r="L10" s="20" t="s">
        <v>183</v>
      </c>
      <c r="M10" s="20" t="s">
        <v>184</v>
      </c>
      <c r="N10" s="24">
        <v>44701.0</v>
      </c>
      <c r="O10" s="22" t="s">
        <v>185</v>
      </c>
      <c r="P10" s="23" t="str">
        <f>HYPERLINK("https://api.typeform.com/responses/files/b97b8597bffdb1565f56df5e19a9f4ce350f9c9cf947007ea55276e0fadaf9d5/Transcript___Game_Designer_Intern___Nguyễn_Đức_Hoàng.pdf")</f>
        <v>https://api.typeform.com/responses/files/b97b8597bffdb1565f56df5e19a9f4ce350f9c9cf947007ea55276e0fadaf9d5/Transcript___Game_Designer_Intern___Nguyễn_Đức_Hoàng.pdf</v>
      </c>
      <c r="Q10" s="20" t="b">
        <v>1</v>
      </c>
      <c r="R10" s="20" t="s">
        <v>186</v>
      </c>
      <c r="S10" s="25" t="s">
        <v>187</v>
      </c>
      <c r="T10" s="20" t="s">
        <v>72</v>
      </c>
      <c r="U10" s="20" t="s">
        <v>72</v>
      </c>
      <c r="V10" s="20" t="s">
        <v>188</v>
      </c>
      <c r="W10" s="20"/>
      <c r="X10" s="20" t="s">
        <v>189</v>
      </c>
      <c r="Y10" s="26">
        <v>46134.51278935185</v>
      </c>
      <c r="Z10" s="20" t="s">
        <v>190</v>
      </c>
      <c r="AA10" s="6">
        <v>1.0</v>
      </c>
      <c r="AB10" s="27"/>
      <c r="AC10" s="27"/>
      <c r="AD10" s="27"/>
      <c r="AE10" s="27"/>
      <c r="AF10" s="27"/>
      <c r="AG10" s="27"/>
      <c r="AH10" s="27"/>
      <c r="AI10" s="27"/>
      <c r="AJ10" s="27"/>
      <c r="AK10" s="27"/>
      <c r="AL10" s="27"/>
      <c r="AM10" s="27"/>
      <c r="AN10" s="27"/>
      <c r="AO10" s="27"/>
      <c r="AP10" s="27"/>
      <c r="AQ10" s="27"/>
      <c r="AR10" s="27"/>
      <c r="AS10" s="27"/>
      <c r="AT10" s="27"/>
      <c r="AU10" s="27"/>
      <c r="AV10" s="27"/>
      <c r="AW10" s="27"/>
      <c r="AX10" s="27"/>
    </row>
    <row r="11" ht="22.5" hidden="1" customHeight="1">
      <c r="A11" s="20" t="s">
        <v>191</v>
      </c>
      <c r="B11" s="21">
        <v>36765.0</v>
      </c>
      <c r="C11" s="20" t="s">
        <v>192</v>
      </c>
      <c r="D11" s="22" t="s">
        <v>193</v>
      </c>
      <c r="E11" s="20" t="s">
        <v>127</v>
      </c>
      <c r="F11" s="20" t="s">
        <v>99</v>
      </c>
      <c r="G11" s="23" t="str">
        <f>HYPERLINK("https://api.typeform.com/responses/files/8c921e90f409e99278ce56cdee988c0cffd9d215d52a29a9f835ccedc62ddb86/Dat_Tran_TopCV.vn_090426.223435__1___3_.pdf")</f>
        <v>https://api.typeform.com/responses/files/8c921e90f409e99278ce56cdee988c0cffd9d215d52a29a9f835ccedc62ddb86/Dat_Tran_TopCV.vn_090426.223435__1___3_.pdf</v>
      </c>
      <c r="H11" s="20" t="s">
        <v>194</v>
      </c>
      <c r="I11" s="20" t="s">
        <v>195</v>
      </c>
      <c r="J11" s="20" t="s">
        <v>65</v>
      </c>
      <c r="K11" s="20" t="s">
        <v>196</v>
      </c>
      <c r="L11" s="20" t="s">
        <v>197</v>
      </c>
      <c r="M11" s="20" t="s">
        <v>132</v>
      </c>
      <c r="N11" s="24">
        <v>46204.0</v>
      </c>
      <c r="O11" s="20" t="s">
        <v>198</v>
      </c>
      <c r="P11" s="23" t="str">
        <f>HYPERLINK("https://api.typeform.com/responses/files/5494a8a953acc15ac2ab77ee74255181f05412bb1fdaff82817b2eb80200d4ed/Dat_Tran_TopCV.vn_090426.223435__1___3_.pdf")</f>
        <v>https://api.typeform.com/responses/files/5494a8a953acc15ac2ab77ee74255181f05412bb1fdaff82817b2eb80200d4ed/Dat_Tran_TopCV.vn_090426.223435__1___3_.pdf</v>
      </c>
      <c r="Q11" s="20" t="b">
        <v>1</v>
      </c>
      <c r="R11" s="20" t="s">
        <v>199</v>
      </c>
      <c r="S11" s="25" t="s">
        <v>200</v>
      </c>
      <c r="T11" s="20" t="s">
        <v>72</v>
      </c>
      <c r="U11" s="20" t="s">
        <v>72</v>
      </c>
      <c r="V11" s="20" t="s">
        <v>73</v>
      </c>
      <c r="W11" s="20"/>
      <c r="X11" s="20" t="s">
        <v>201</v>
      </c>
      <c r="Y11" s="26">
        <v>46134.51598379629</v>
      </c>
      <c r="Z11" s="20" t="s">
        <v>202</v>
      </c>
      <c r="AA11" s="6">
        <v>1.0</v>
      </c>
      <c r="AB11" s="27"/>
      <c r="AC11" s="27"/>
      <c r="AD11" s="27"/>
      <c r="AE11" s="27"/>
      <c r="AF11" s="27"/>
      <c r="AG11" s="27"/>
      <c r="AH11" s="27"/>
      <c r="AI11" s="27"/>
      <c r="AJ11" s="27"/>
      <c r="AK11" s="27"/>
      <c r="AL11" s="27"/>
      <c r="AM11" s="27"/>
      <c r="AN11" s="27"/>
      <c r="AO11" s="27"/>
      <c r="AP11" s="27"/>
      <c r="AQ11" s="27"/>
      <c r="AR11" s="27"/>
      <c r="AS11" s="27"/>
      <c r="AT11" s="27"/>
      <c r="AU11" s="27"/>
      <c r="AV11" s="27"/>
      <c r="AW11" s="27"/>
      <c r="AX11" s="27"/>
    </row>
    <row r="12" ht="22.5" hidden="1" customHeight="1">
      <c r="A12" s="20" t="s">
        <v>203</v>
      </c>
      <c r="B12" s="21">
        <v>37915.0</v>
      </c>
      <c r="C12" s="20" t="s">
        <v>204</v>
      </c>
      <c r="D12" s="22" t="s">
        <v>205</v>
      </c>
      <c r="E12" s="20" t="s">
        <v>99</v>
      </c>
      <c r="F12" s="20" t="s">
        <v>61</v>
      </c>
      <c r="G12" s="23" t="str">
        <f>HYPERLINK("https://api.typeform.com/responses/files/6e0e59b4dd4066f42f455ba97e234fdfbc43839efe05ad178dfce3296ca192b8/CV_GameDesignerIntern_Trần_Quốc_An.pdf")</f>
        <v>https://api.typeform.com/responses/files/6e0e59b4dd4066f42f455ba97e234fdfbc43839efe05ad178dfce3296ca192b8/CV_GameDesignerIntern_Trần_Quốc_An.pdf</v>
      </c>
      <c r="H12" s="20" t="s">
        <v>206</v>
      </c>
      <c r="I12" s="20" t="s">
        <v>207</v>
      </c>
      <c r="J12" s="20" t="s">
        <v>144</v>
      </c>
      <c r="K12" s="20"/>
      <c r="L12" s="20" t="s">
        <v>169</v>
      </c>
      <c r="M12" s="20" t="s">
        <v>208</v>
      </c>
      <c r="N12" s="24">
        <v>46204.0</v>
      </c>
      <c r="O12" s="20" t="s">
        <v>209</v>
      </c>
      <c r="P12" s="23" t="str">
        <f>HYPERLINK("https://api.typeform.com/responses/files/0731dc164a41b8ec3b2879feff29fef008760d47156b24640f31e0c692797a03/Transcript_Game_DesignerIntern_Trần_Quốc_An.pdf")</f>
        <v>https://api.typeform.com/responses/files/0731dc164a41b8ec3b2879feff29fef008760d47156b24640f31e0c692797a03/Transcript_Game_DesignerIntern_Trần_Quốc_An.pdf</v>
      </c>
      <c r="Q12" s="20" t="b">
        <v>1</v>
      </c>
      <c r="R12" s="20" t="s">
        <v>210</v>
      </c>
      <c r="S12" s="25" t="s">
        <v>211</v>
      </c>
      <c r="T12" s="20" t="s">
        <v>72</v>
      </c>
      <c r="U12" s="20" t="s">
        <v>72</v>
      </c>
      <c r="V12" s="20" t="s">
        <v>73</v>
      </c>
      <c r="W12" s="20"/>
      <c r="X12" s="20" t="s">
        <v>212</v>
      </c>
      <c r="Y12" s="26">
        <v>46134.53643518518</v>
      </c>
      <c r="Z12" s="20" t="s">
        <v>213</v>
      </c>
      <c r="AA12" s="6">
        <v>1.0</v>
      </c>
      <c r="AB12" s="27"/>
      <c r="AC12" s="27"/>
      <c r="AD12" s="27"/>
      <c r="AE12" s="27"/>
      <c r="AF12" s="27"/>
      <c r="AG12" s="27"/>
      <c r="AH12" s="27"/>
      <c r="AI12" s="27"/>
      <c r="AJ12" s="27"/>
      <c r="AK12" s="27"/>
      <c r="AL12" s="27"/>
      <c r="AM12" s="27"/>
      <c r="AN12" s="27"/>
      <c r="AO12" s="27"/>
      <c r="AP12" s="27"/>
      <c r="AQ12" s="27"/>
      <c r="AR12" s="27"/>
      <c r="AS12" s="27"/>
      <c r="AT12" s="27"/>
      <c r="AU12" s="27"/>
      <c r="AV12" s="27"/>
      <c r="AW12" s="27"/>
      <c r="AX12" s="27"/>
    </row>
    <row r="13" ht="22.5" hidden="1" customHeight="1">
      <c r="A13" s="20" t="s">
        <v>214</v>
      </c>
      <c r="B13" s="21">
        <v>38411.0</v>
      </c>
      <c r="C13" s="20" t="s">
        <v>215</v>
      </c>
      <c r="D13" s="22" t="s">
        <v>216</v>
      </c>
      <c r="E13" s="20" t="s">
        <v>82</v>
      </c>
      <c r="F13" s="20" t="s">
        <v>127</v>
      </c>
      <c r="G13" s="23" t="str">
        <f>HYPERLINK("https://api.typeform.com/responses/files/9cd376e0d75c562169274163998ef74115cca7b0436aecb1c2fb0a2316338a9d/CV_Data_Analysis_Intern_PhamMinhNgan.pdf")</f>
        <v>https://api.typeform.com/responses/files/9cd376e0d75c562169274163998ef74115cca7b0436aecb1c2fb0a2316338a9d/CV_Data_Analysis_Intern_PhamMinhNgan.pdf</v>
      </c>
      <c r="H13" s="20" t="s">
        <v>217</v>
      </c>
      <c r="I13" s="20" t="s">
        <v>218</v>
      </c>
      <c r="J13" s="20" t="s">
        <v>85</v>
      </c>
      <c r="K13" s="20"/>
      <c r="L13" s="20" t="s">
        <v>219</v>
      </c>
      <c r="M13" s="20" t="s">
        <v>220</v>
      </c>
      <c r="N13" s="24">
        <v>46233.0</v>
      </c>
      <c r="O13" s="22" t="s">
        <v>221</v>
      </c>
      <c r="P13" s="23" t="str">
        <f>HYPERLINK("https://api.typeform.com/responses/files/9aca8be9e7fa75bd199efca892849ef5d72dc10194bd2180dd7ace19d5c84280/Transcript___Data_Analysis_Intern___Phạm_Minh_Ngân.pdf")</f>
        <v>https://api.typeform.com/responses/files/9aca8be9e7fa75bd199efca892849ef5d72dc10194bd2180dd7ace19d5c84280/Transcript___Data_Analysis_Intern___Phạm_Minh_Ngân.pdf</v>
      </c>
      <c r="Q13" s="20" t="b">
        <v>0</v>
      </c>
      <c r="R13" s="20" t="s">
        <v>222</v>
      </c>
      <c r="S13" s="25" t="s">
        <v>223</v>
      </c>
      <c r="T13" s="20" t="s">
        <v>72</v>
      </c>
      <c r="U13" s="20" t="s">
        <v>72</v>
      </c>
      <c r="V13" s="20" t="s">
        <v>224</v>
      </c>
      <c r="W13" s="20"/>
      <c r="X13" s="20"/>
      <c r="Y13" s="26">
        <v>46134.53938657408</v>
      </c>
      <c r="Z13" s="20" t="s">
        <v>225</v>
      </c>
      <c r="AA13" s="6">
        <v>1.0</v>
      </c>
      <c r="AB13" s="27"/>
      <c r="AC13" s="27"/>
      <c r="AD13" s="27"/>
      <c r="AE13" s="27"/>
      <c r="AF13" s="27"/>
      <c r="AG13" s="27"/>
      <c r="AH13" s="27"/>
      <c r="AI13" s="27"/>
      <c r="AJ13" s="27"/>
      <c r="AK13" s="27"/>
      <c r="AL13" s="27"/>
      <c r="AM13" s="27"/>
      <c r="AN13" s="27"/>
      <c r="AO13" s="27"/>
      <c r="AP13" s="27"/>
      <c r="AQ13" s="27"/>
      <c r="AR13" s="27"/>
      <c r="AS13" s="27"/>
      <c r="AT13" s="27"/>
      <c r="AU13" s="27"/>
      <c r="AV13" s="27"/>
      <c r="AW13" s="27"/>
      <c r="AX13" s="27"/>
    </row>
    <row r="14" ht="22.5" hidden="1" customHeight="1">
      <c r="A14" s="20" t="s">
        <v>226</v>
      </c>
      <c r="B14" s="21">
        <v>35165.0</v>
      </c>
      <c r="C14" s="20" t="s">
        <v>227</v>
      </c>
      <c r="D14" s="22" t="s">
        <v>228</v>
      </c>
      <c r="E14" s="20" t="s">
        <v>99</v>
      </c>
      <c r="F14" s="20" t="s">
        <v>61</v>
      </c>
      <c r="G14" s="23" t="str">
        <f>HYPERLINK("https://api.typeform.com/responses/files/28b24fda5028b13ccff8413d5b49e1fdadfdc61a4424a7c0f17240565425da2f/CV_GameDesignerIntern_VoNguyenHung.pdf")</f>
        <v>https://api.typeform.com/responses/files/28b24fda5028b13ccff8413d5b49e1fdadfdc61a4424a7c0f17240565425da2f/CV_GameDesignerIntern_VoNguyenHung.pdf</v>
      </c>
      <c r="H14" s="20" t="s">
        <v>229</v>
      </c>
      <c r="I14" s="20" t="s">
        <v>230</v>
      </c>
      <c r="J14" s="20" t="s">
        <v>65</v>
      </c>
      <c r="K14" s="20" t="s">
        <v>231</v>
      </c>
      <c r="L14" s="20" t="s">
        <v>103</v>
      </c>
      <c r="M14" s="20" t="s">
        <v>232</v>
      </c>
      <c r="N14" s="24">
        <v>45979.0</v>
      </c>
      <c r="O14" s="22" t="s">
        <v>233</v>
      </c>
      <c r="P14" s="23" t="str">
        <f>HYPERLINK("https://api.typeform.com/responses/files/11c262b1979f89539b3b7dc2d373eb139a9852d1861c8d9b3cb4dcd378c73fb4/Transcript_GameDesignerIntern_VoNguyenHung.pdf")</f>
        <v>https://api.typeform.com/responses/files/11c262b1979f89539b3b7dc2d373eb139a9852d1861c8d9b3cb4dcd378c73fb4/Transcript_GameDesignerIntern_VoNguyenHung.pdf</v>
      </c>
      <c r="Q14" s="20" t="b">
        <v>1</v>
      </c>
      <c r="R14" s="20" t="s">
        <v>234</v>
      </c>
      <c r="S14" s="25" t="s">
        <v>235</v>
      </c>
      <c r="T14" s="20" t="s">
        <v>72</v>
      </c>
      <c r="U14" s="20" t="s">
        <v>72</v>
      </c>
      <c r="V14" s="20" t="s">
        <v>236</v>
      </c>
      <c r="W14" s="20"/>
      <c r="X14" s="20" t="s">
        <v>237</v>
      </c>
      <c r="Y14" s="26">
        <v>46134.5446875</v>
      </c>
      <c r="Z14" s="20" t="s">
        <v>238</v>
      </c>
      <c r="AA14" s="6">
        <v>1.0</v>
      </c>
      <c r="AB14" s="27"/>
      <c r="AC14" s="27"/>
      <c r="AD14" s="27"/>
      <c r="AE14" s="27"/>
      <c r="AF14" s="27"/>
      <c r="AG14" s="27"/>
      <c r="AH14" s="27"/>
      <c r="AI14" s="27"/>
      <c r="AJ14" s="27"/>
      <c r="AK14" s="27"/>
      <c r="AL14" s="27"/>
      <c r="AM14" s="27"/>
      <c r="AN14" s="27"/>
      <c r="AO14" s="27"/>
      <c r="AP14" s="27"/>
      <c r="AQ14" s="27"/>
      <c r="AR14" s="27"/>
      <c r="AS14" s="27"/>
      <c r="AT14" s="27"/>
      <c r="AU14" s="27"/>
      <c r="AV14" s="27"/>
      <c r="AW14" s="27"/>
      <c r="AX14" s="27"/>
    </row>
    <row r="15" ht="22.5" hidden="1" customHeight="1">
      <c r="A15" s="20" t="s">
        <v>239</v>
      </c>
      <c r="B15" s="21">
        <v>36815.0</v>
      </c>
      <c r="C15" s="20" t="s">
        <v>240</v>
      </c>
      <c r="D15" s="22" t="s">
        <v>241</v>
      </c>
      <c r="E15" s="20" t="s">
        <v>99</v>
      </c>
      <c r="F15" s="20" t="s">
        <v>99</v>
      </c>
      <c r="G15" s="23" t="str">
        <f>HYPERLINK("https://api.typeform.com/responses/files/192ac2dc50e0468553f108dd56105e1e10a17de450dcd0a21fd9b39b520639e7/CV_GameDesignerIntern_TranDongKhang.pdf")</f>
        <v>https://api.typeform.com/responses/files/192ac2dc50e0468553f108dd56105e1e10a17de450dcd0a21fd9b39b520639e7/CV_GameDesignerIntern_TranDongKhang.pdf</v>
      </c>
      <c r="H15" s="20" t="s">
        <v>242</v>
      </c>
      <c r="I15" s="20" t="s">
        <v>243</v>
      </c>
      <c r="J15" s="20" t="s">
        <v>244</v>
      </c>
      <c r="K15" s="20"/>
      <c r="L15" s="20" t="s">
        <v>103</v>
      </c>
      <c r="M15" s="20" t="s">
        <v>104</v>
      </c>
      <c r="N15" s="24">
        <v>45919.0</v>
      </c>
      <c r="O15" s="22" t="s">
        <v>245</v>
      </c>
      <c r="P15" s="23" t="str">
        <f>HYPERLINK("https://api.typeform.com/responses/files/c05fb2b3f238138b3fd1a4632ce82a420acb9552bceed8718df3c4bbd0e48f27/Transcript___Game_Designer_Intern___Trần_Đông_Khang.rar")</f>
        <v>https://api.typeform.com/responses/files/c05fb2b3f238138b3fd1a4632ce82a420acb9552bceed8718df3c4bbd0e48f27/Transcript___Game_Designer_Intern___Trần_Đông_Khang.rar</v>
      </c>
      <c r="Q15" s="20" t="b">
        <v>1</v>
      </c>
      <c r="R15" s="20" t="s">
        <v>246</v>
      </c>
      <c r="S15" s="25" t="s">
        <v>247</v>
      </c>
      <c r="T15" s="20" t="s">
        <v>72</v>
      </c>
      <c r="U15" s="20" t="s">
        <v>72</v>
      </c>
      <c r="V15" s="20" t="s">
        <v>73</v>
      </c>
      <c r="W15" s="20"/>
      <c r="X15" s="20" t="s">
        <v>248</v>
      </c>
      <c r="Y15" s="26">
        <v>46134.55907407407</v>
      </c>
      <c r="Z15" s="20" t="s">
        <v>249</v>
      </c>
      <c r="AA15" s="6">
        <v>1.0</v>
      </c>
      <c r="AB15" s="27"/>
      <c r="AC15" s="27"/>
      <c r="AD15" s="27"/>
      <c r="AE15" s="27"/>
      <c r="AF15" s="27"/>
      <c r="AG15" s="27"/>
      <c r="AH15" s="27"/>
      <c r="AI15" s="27"/>
      <c r="AJ15" s="27"/>
      <c r="AK15" s="27"/>
      <c r="AL15" s="27"/>
      <c r="AM15" s="27"/>
      <c r="AN15" s="27"/>
      <c r="AO15" s="27"/>
      <c r="AP15" s="27"/>
      <c r="AQ15" s="27"/>
      <c r="AR15" s="27"/>
      <c r="AS15" s="27"/>
      <c r="AT15" s="27"/>
      <c r="AU15" s="27"/>
      <c r="AV15" s="27"/>
      <c r="AW15" s="27"/>
      <c r="AX15" s="27"/>
    </row>
    <row r="16" ht="22.5" hidden="1" customHeight="1">
      <c r="A16" s="20" t="s">
        <v>250</v>
      </c>
      <c r="B16" s="21">
        <v>38354.0</v>
      </c>
      <c r="C16" s="20" t="s">
        <v>251</v>
      </c>
      <c r="D16" s="22" t="s">
        <v>252</v>
      </c>
      <c r="E16" s="20" t="s">
        <v>61</v>
      </c>
      <c r="F16" s="20" t="s">
        <v>61</v>
      </c>
      <c r="G16" s="23" t="str">
        <f>HYPERLINK("https://api.typeform.com/responses/files/64ce4da0b6fb67d925246efc5d6f1308072613bfabbaa4886021db7d16f540ad/Intern_Unity_Developer_Game.pdf")</f>
        <v>https://api.typeform.com/responses/files/64ce4da0b6fb67d925246efc5d6f1308072613bfabbaa4886021db7d16f540ad/Intern_Unity_Developer_Game.pdf</v>
      </c>
      <c r="H16" s="20" t="s">
        <v>253</v>
      </c>
      <c r="I16" s="20" t="s">
        <v>254</v>
      </c>
      <c r="J16" s="20" t="s">
        <v>144</v>
      </c>
      <c r="K16" s="20" t="s">
        <v>255</v>
      </c>
      <c r="L16" s="20" t="s">
        <v>169</v>
      </c>
      <c r="M16" s="20" t="s">
        <v>256</v>
      </c>
      <c r="N16" s="24">
        <v>46266.0</v>
      </c>
      <c r="O16" s="22" t="s">
        <v>171</v>
      </c>
      <c r="P16" s="23" t="str">
        <f>HYPERLINK("https://api.typeform.com/responses/files/335e05d6eda626954f9101a8aef110fcffb2885e37f918be56d762b78f2b9c51/BẢNG_ĐIỂM_HẢI_ĐĂNG.zip")</f>
        <v>https://api.typeform.com/responses/files/335e05d6eda626954f9101a8aef110fcffb2885e37f918be56d762b78f2b9c51/BẢNG_ĐIỂM_HẢI_ĐĂNG.zip</v>
      </c>
      <c r="Q16" s="20" t="b">
        <v>1</v>
      </c>
      <c r="R16" s="20" t="s">
        <v>257</v>
      </c>
      <c r="S16" s="25" t="s">
        <v>258</v>
      </c>
      <c r="T16" s="20" t="s">
        <v>72</v>
      </c>
      <c r="U16" s="20" t="s">
        <v>72</v>
      </c>
      <c r="V16" s="20" t="s">
        <v>259</v>
      </c>
      <c r="W16" s="20"/>
      <c r="X16" s="20" t="s">
        <v>260</v>
      </c>
      <c r="Y16" s="26">
        <v>46134.559895833336</v>
      </c>
      <c r="Z16" s="20" t="s">
        <v>261</v>
      </c>
      <c r="AA16" s="6">
        <v>1.0</v>
      </c>
      <c r="AB16" s="27"/>
      <c r="AC16" s="27"/>
      <c r="AD16" s="27"/>
      <c r="AE16" s="27"/>
      <c r="AF16" s="27"/>
      <c r="AG16" s="27"/>
      <c r="AH16" s="27"/>
      <c r="AI16" s="27"/>
      <c r="AJ16" s="27"/>
      <c r="AK16" s="27"/>
      <c r="AL16" s="27"/>
      <c r="AM16" s="27"/>
      <c r="AN16" s="27"/>
      <c r="AO16" s="27"/>
      <c r="AP16" s="27"/>
      <c r="AQ16" s="27"/>
      <c r="AR16" s="27"/>
      <c r="AS16" s="27"/>
      <c r="AT16" s="27"/>
      <c r="AU16" s="27"/>
      <c r="AV16" s="27"/>
      <c r="AW16" s="27"/>
      <c r="AX16" s="27"/>
    </row>
    <row r="17" ht="22.5" hidden="1" customHeight="1">
      <c r="A17" s="20" t="s">
        <v>262</v>
      </c>
      <c r="B17" s="21">
        <v>38397.0</v>
      </c>
      <c r="C17" s="20" t="s">
        <v>263</v>
      </c>
      <c r="D17" s="22" t="s">
        <v>264</v>
      </c>
      <c r="E17" s="20" t="s">
        <v>61</v>
      </c>
      <c r="F17" s="20" t="s">
        <v>99</v>
      </c>
      <c r="G17" s="23" t="str">
        <f>HYPERLINK("https://api.typeform.com/responses/files/6535733ae0fdc68a2223741c52df68917bfbc7518ad1f173357ec356df59aacc/CV___Unity_Development_Intern___Nguyễn_Phương_Nam.pdf")</f>
        <v>https://api.typeform.com/responses/files/6535733ae0fdc68a2223741c52df68917bfbc7518ad1f173357ec356df59aacc/CV___Unity_Development_Intern___Nguyễn_Phương_Nam.pdf</v>
      </c>
      <c r="H17" s="20" t="s">
        <v>265</v>
      </c>
      <c r="I17" s="20" t="s">
        <v>266</v>
      </c>
      <c r="J17" s="20" t="s">
        <v>85</v>
      </c>
      <c r="K17" s="20"/>
      <c r="L17" s="20" t="s">
        <v>219</v>
      </c>
      <c r="M17" s="20" t="s">
        <v>104</v>
      </c>
      <c r="N17" s="24">
        <v>46563.0</v>
      </c>
      <c r="O17" s="22" t="s">
        <v>267</v>
      </c>
      <c r="P17" s="23" t="str">
        <f>HYPERLINK("https://api.typeform.com/responses/files/198cd9ca97b35e6dc28e70f0e3d253ddf064f8826dd590de1881e183a8f6b553/Transcript___Unity_Development_Intern___Nguyễn_Phương_Nam.pdf")</f>
        <v>https://api.typeform.com/responses/files/198cd9ca97b35e6dc28e70f0e3d253ddf064f8826dd590de1881e183a8f6b553/Transcript___Unity_Development_Intern___Nguyễn_Phương_Nam.pdf</v>
      </c>
      <c r="Q17" s="20" t="b">
        <v>0</v>
      </c>
      <c r="R17" s="20" t="s">
        <v>268</v>
      </c>
      <c r="S17" s="25" t="s">
        <v>268</v>
      </c>
      <c r="T17" s="20" t="s">
        <v>72</v>
      </c>
      <c r="U17" s="20" t="s">
        <v>72</v>
      </c>
      <c r="V17" s="20" t="s">
        <v>269</v>
      </c>
      <c r="W17" s="20"/>
      <c r="X17" s="20" t="s">
        <v>270</v>
      </c>
      <c r="Y17" s="26">
        <v>46134.573287037034</v>
      </c>
      <c r="Z17" s="20" t="s">
        <v>271</v>
      </c>
      <c r="AA17" s="6">
        <v>1.0</v>
      </c>
      <c r="AB17" s="27"/>
      <c r="AC17" s="27"/>
      <c r="AD17" s="27"/>
      <c r="AE17" s="27"/>
      <c r="AF17" s="27"/>
      <c r="AG17" s="27"/>
      <c r="AH17" s="27"/>
      <c r="AI17" s="27"/>
      <c r="AJ17" s="27"/>
      <c r="AK17" s="27"/>
      <c r="AL17" s="27"/>
      <c r="AM17" s="27"/>
      <c r="AN17" s="27"/>
      <c r="AO17" s="27"/>
      <c r="AP17" s="27"/>
      <c r="AQ17" s="27"/>
      <c r="AR17" s="27"/>
      <c r="AS17" s="27"/>
      <c r="AT17" s="27"/>
      <c r="AU17" s="27"/>
      <c r="AV17" s="27"/>
      <c r="AW17" s="27"/>
      <c r="AX17" s="27"/>
    </row>
    <row r="18" ht="22.5" hidden="1" customHeight="1">
      <c r="A18" s="20" t="s">
        <v>272</v>
      </c>
      <c r="B18" s="21">
        <v>37623.0</v>
      </c>
      <c r="C18" s="20" t="s">
        <v>273</v>
      </c>
      <c r="D18" s="22" t="s">
        <v>274</v>
      </c>
      <c r="E18" s="20" t="s">
        <v>62</v>
      </c>
      <c r="F18" s="20" t="s">
        <v>82</v>
      </c>
      <c r="G18" s="23" t="str">
        <f>HYPERLINK("https://api.typeform.com/responses/files/ee0dd682bb1d771392c8eb91ba1ed3cfe9f368026e14433af0d78829e461f8dc/CV___AI_Engineering_Intern___Phan_Đình_Thái.pdf")</f>
        <v>https://api.typeform.com/responses/files/ee0dd682bb1d771392c8eb91ba1ed3cfe9f368026e14433af0d78829e461f8dc/CV___AI_Engineering_Intern___Phan_Đình_Thái.pdf</v>
      </c>
      <c r="H18" s="20" t="s">
        <v>275</v>
      </c>
      <c r="I18" s="20" t="s">
        <v>276</v>
      </c>
      <c r="J18" s="20" t="s">
        <v>277</v>
      </c>
      <c r="K18" s="20"/>
      <c r="L18" s="20" t="s">
        <v>67</v>
      </c>
      <c r="M18" s="20" t="s">
        <v>278</v>
      </c>
      <c r="N18" s="24">
        <v>46234.0</v>
      </c>
      <c r="O18" s="20" t="s">
        <v>279</v>
      </c>
      <c r="P18" s="23" t="str">
        <f>HYPERLINK("https://api.typeform.com/responses/files/32a39f2241d205e2501fd82b9c0e9d929733317670a5a619458cad22954c4171/Transcripts___AI_Engineering_Intern___Phan_Đình_Thái.pdf")</f>
        <v>https://api.typeform.com/responses/files/32a39f2241d205e2501fd82b9c0e9d929733317670a5a619458cad22954c4171/Transcripts___AI_Engineering_Intern___Phan_Đình_Thái.pdf</v>
      </c>
      <c r="Q18" s="20" t="b">
        <v>1</v>
      </c>
      <c r="R18" s="20" t="s">
        <v>280</v>
      </c>
      <c r="S18" s="25" t="s">
        <v>281</v>
      </c>
      <c r="T18" s="20" t="s">
        <v>72</v>
      </c>
      <c r="U18" s="20" t="s">
        <v>72</v>
      </c>
      <c r="V18" s="20" t="s">
        <v>73</v>
      </c>
      <c r="W18" s="20"/>
      <c r="X18" s="20"/>
      <c r="Y18" s="26">
        <v>46134.57943287037</v>
      </c>
      <c r="Z18" s="20" t="s">
        <v>282</v>
      </c>
      <c r="AA18" s="6">
        <v>1.0</v>
      </c>
      <c r="AB18" s="27"/>
      <c r="AC18" s="27"/>
      <c r="AD18" s="27"/>
      <c r="AE18" s="27"/>
      <c r="AF18" s="27"/>
      <c r="AG18" s="27"/>
      <c r="AH18" s="27"/>
      <c r="AI18" s="27"/>
      <c r="AJ18" s="27"/>
      <c r="AK18" s="27"/>
      <c r="AL18" s="27"/>
      <c r="AM18" s="27"/>
      <c r="AN18" s="27"/>
      <c r="AO18" s="27"/>
      <c r="AP18" s="27"/>
      <c r="AQ18" s="27"/>
      <c r="AR18" s="27"/>
      <c r="AS18" s="27"/>
      <c r="AT18" s="27"/>
      <c r="AU18" s="27"/>
      <c r="AV18" s="27"/>
      <c r="AW18" s="27"/>
      <c r="AX18" s="27"/>
    </row>
    <row r="19" ht="22.5" hidden="1" customHeight="1">
      <c r="A19" s="20" t="s">
        <v>283</v>
      </c>
      <c r="B19" s="21">
        <v>37976.0</v>
      </c>
      <c r="C19" s="20" t="s">
        <v>284</v>
      </c>
      <c r="D19" s="22" t="s">
        <v>285</v>
      </c>
      <c r="E19" s="20" t="s">
        <v>99</v>
      </c>
      <c r="F19" s="20" t="s">
        <v>127</v>
      </c>
      <c r="G19" s="23" t="str">
        <f>HYPERLINK("https://api.typeform.com/responses/files/9640816c8fdd41b05a71a130941a72079f2532834fcad2cdaa68cbde0712c77f/CV___Game_Designer_Intern___NgoTrungThien.pdf")</f>
        <v>https://api.typeform.com/responses/files/9640816c8fdd41b05a71a130941a72079f2532834fcad2cdaa68cbde0712c77f/CV___Game_Designer_Intern___NgoTrungThien.pdf</v>
      </c>
      <c r="H19" s="20" t="s">
        <v>286</v>
      </c>
      <c r="I19" s="20" t="s">
        <v>287</v>
      </c>
      <c r="J19" s="20" t="s">
        <v>85</v>
      </c>
      <c r="K19" s="20"/>
      <c r="L19" s="20" t="s">
        <v>103</v>
      </c>
      <c r="M19" s="20" t="s">
        <v>220</v>
      </c>
      <c r="N19" s="24">
        <v>46174.0</v>
      </c>
      <c r="O19" s="22" t="s">
        <v>288</v>
      </c>
      <c r="P19" s="23" t="str">
        <f>HYPERLINK("https://api.typeform.com/responses/files/4539e8b37eb7173f733e1e42c7b93f135367c35feeafed0bf1a147ccd6379f95/Transcript___Game_Desiner_Intern___Ngô_Trung_Thiện.pdf")</f>
        <v>https://api.typeform.com/responses/files/4539e8b37eb7173f733e1e42c7b93f135367c35feeafed0bf1a147ccd6379f95/Transcript___Game_Desiner_Intern___Ngô_Trung_Thiện.pdf</v>
      </c>
      <c r="Q19" s="20" t="b">
        <v>1</v>
      </c>
      <c r="R19" s="20" t="s">
        <v>289</v>
      </c>
      <c r="S19" s="25" t="s">
        <v>290</v>
      </c>
      <c r="T19" s="20" t="s">
        <v>72</v>
      </c>
      <c r="U19" s="20" t="s">
        <v>72</v>
      </c>
      <c r="V19" s="20" t="s">
        <v>269</v>
      </c>
      <c r="W19" s="20"/>
      <c r="X19" s="20" t="s">
        <v>291</v>
      </c>
      <c r="Y19" s="26">
        <v>46134.57965277778</v>
      </c>
      <c r="Z19" s="20" t="s">
        <v>292</v>
      </c>
      <c r="AA19" s="6">
        <v>1.0</v>
      </c>
      <c r="AB19" s="27"/>
      <c r="AC19" s="27"/>
      <c r="AD19" s="27"/>
      <c r="AE19" s="27"/>
      <c r="AF19" s="27"/>
      <c r="AG19" s="27"/>
      <c r="AH19" s="27"/>
      <c r="AI19" s="27"/>
      <c r="AJ19" s="27"/>
      <c r="AK19" s="27"/>
      <c r="AL19" s="27"/>
      <c r="AM19" s="27"/>
      <c r="AN19" s="27"/>
      <c r="AO19" s="27"/>
      <c r="AP19" s="27"/>
      <c r="AQ19" s="27"/>
      <c r="AR19" s="27"/>
      <c r="AS19" s="27"/>
      <c r="AT19" s="27"/>
      <c r="AU19" s="27"/>
      <c r="AV19" s="27"/>
      <c r="AW19" s="27"/>
      <c r="AX19" s="27"/>
    </row>
    <row r="20" ht="22.5" hidden="1" customHeight="1">
      <c r="A20" s="20" t="s">
        <v>293</v>
      </c>
      <c r="B20" s="21">
        <v>38276.0</v>
      </c>
      <c r="C20" s="20" t="s">
        <v>294</v>
      </c>
      <c r="D20" s="22" t="s">
        <v>295</v>
      </c>
      <c r="E20" s="20" t="s">
        <v>82</v>
      </c>
      <c r="F20" s="20" t="s">
        <v>127</v>
      </c>
      <c r="G20" s="23" t="str">
        <f>HYPERLINK("https://api.typeform.com/responses/files/49a9e551024e1fc3a04bac70d2dea38da51a0f60c8635a20913ffc3613a41f93/CV_Tran_Danh_Vinh.pdf")</f>
        <v>https://api.typeform.com/responses/files/49a9e551024e1fc3a04bac70d2dea38da51a0f60c8635a20913ffc3613a41f93/CV_Tran_Danh_Vinh.pdf</v>
      </c>
      <c r="H20" s="20" t="s">
        <v>296</v>
      </c>
      <c r="I20" s="20" t="s">
        <v>297</v>
      </c>
      <c r="J20" s="20" t="s">
        <v>85</v>
      </c>
      <c r="K20" s="20"/>
      <c r="L20" s="20" t="s">
        <v>67</v>
      </c>
      <c r="M20" s="20" t="s">
        <v>298</v>
      </c>
      <c r="N20" s="24">
        <v>46327.0</v>
      </c>
      <c r="O20" s="22" t="s">
        <v>299</v>
      </c>
      <c r="P20" s="23" t="str">
        <f>HYPERLINK("https://api.typeform.com/responses/files/53d8acbb8aa78802e0f7801cc48664ade14327d05af092b1e6c95c2043149481/bảng_điểm_Trần_Danh_Vinh.pdf")</f>
        <v>https://api.typeform.com/responses/files/53d8acbb8aa78802e0f7801cc48664ade14327d05af092b1e6c95c2043149481/bảng_điểm_Trần_Danh_Vinh.pdf</v>
      </c>
      <c r="Q20" s="20" t="b">
        <v>0</v>
      </c>
      <c r="R20" s="20" t="s">
        <v>300</v>
      </c>
      <c r="S20" s="25" t="s">
        <v>301</v>
      </c>
      <c r="T20" s="20" t="s">
        <v>72</v>
      </c>
      <c r="U20" s="20" t="s">
        <v>72</v>
      </c>
      <c r="V20" s="20" t="s">
        <v>269</v>
      </c>
      <c r="W20" s="20"/>
      <c r="X20" s="20"/>
      <c r="Y20" s="26">
        <v>46134.58758101852</v>
      </c>
      <c r="Z20" s="20" t="s">
        <v>302</v>
      </c>
      <c r="AA20" s="6">
        <v>1.0</v>
      </c>
      <c r="AB20" s="27"/>
      <c r="AC20" s="27"/>
      <c r="AD20" s="27"/>
      <c r="AE20" s="27"/>
      <c r="AF20" s="27"/>
      <c r="AG20" s="27"/>
      <c r="AH20" s="27"/>
      <c r="AI20" s="27"/>
      <c r="AJ20" s="27"/>
      <c r="AK20" s="27"/>
      <c r="AL20" s="27"/>
      <c r="AM20" s="27"/>
      <c r="AN20" s="27"/>
      <c r="AO20" s="27"/>
      <c r="AP20" s="27"/>
      <c r="AQ20" s="27"/>
      <c r="AR20" s="27"/>
      <c r="AS20" s="27"/>
      <c r="AT20" s="27"/>
      <c r="AU20" s="27"/>
      <c r="AV20" s="27"/>
      <c r="AW20" s="27"/>
      <c r="AX20" s="27"/>
    </row>
    <row r="21" ht="22.5" hidden="1" customHeight="1">
      <c r="A21" s="20" t="s">
        <v>303</v>
      </c>
      <c r="B21" s="21">
        <v>38208.0</v>
      </c>
      <c r="C21" s="20" t="s">
        <v>304</v>
      </c>
      <c r="D21" s="22" t="s">
        <v>305</v>
      </c>
      <c r="E21" s="20" t="s">
        <v>62</v>
      </c>
      <c r="F21" s="20" t="s">
        <v>82</v>
      </c>
      <c r="G21" s="23" t="str">
        <f>HYPERLINK("https://api.typeform.com/responses/files/3c6a52aa01e5a74e1c7916912deed381030556df188e16cb493301cc5c04b70c/CV_Nguyen_Hung_Phat.pdf")</f>
        <v>https://api.typeform.com/responses/files/3c6a52aa01e5a74e1c7916912deed381030556df188e16cb493301cc5c04b70c/CV_Nguyen_Hung_Phat.pdf</v>
      </c>
      <c r="H21" s="20" t="s">
        <v>306</v>
      </c>
      <c r="I21" s="20" t="s">
        <v>307</v>
      </c>
      <c r="J21" s="20" t="s">
        <v>85</v>
      </c>
      <c r="K21" s="20"/>
      <c r="L21" s="20" t="s">
        <v>103</v>
      </c>
      <c r="M21" s="20" t="s">
        <v>308</v>
      </c>
      <c r="N21" s="24">
        <v>46185.0</v>
      </c>
      <c r="O21" s="22" t="s">
        <v>309</v>
      </c>
      <c r="P21" s="23" t="str">
        <f>HYPERLINK("https://api.typeform.com/responses/files/aec9ee77beb60ce0615124d212aa8d38203db7389e67ebca493c86f6b27aaa81/NguyenHungPhat_Academic.pdf")</f>
        <v>https://api.typeform.com/responses/files/aec9ee77beb60ce0615124d212aa8d38203db7389e67ebca493c86f6b27aaa81/NguyenHungPhat_Academic.pdf</v>
      </c>
      <c r="Q21" s="20" t="b">
        <v>0</v>
      </c>
      <c r="R21" s="20" t="s">
        <v>300</v>
      </c>
      <c r="S21" s="25" t="s">
        <v>310</v>
      </c>
      <c r="T21" s="20" t="s">
        <v>72</v>
      </c>
      <c r="U21" s="20" t="s">
        <v>72</v>
      </c>
      <c r="V21" s="20" t="s">
        <v>269</v>
      </c>
      <c r="W21" s="20"/>
      <c r="X21" s="20"/>
      <c r="Y21" s="26">
        <v>46134.59475694445</v>
      </c>
      <c r="Z21" s="20" t="s">
        <v>311</v>
      </c>
      <c r="AA21" s="6">
        <v>1.0</v>
      </c>
      <c r="AB21" s="27"/>
      <c r="AC21" s="27"/>
      <c r="AD21" s="27"/>
      <c r="AE21" s="27"/>
      <c r="AF21" s="27"/>
      <c r="AG21" s="27"/>
      <c r="AH21" s="27"/>
      <c r="AI21" s="27"/>
      <c r="AJ21" s="27"/>
      <c r="AK21" s="27"/>
      <c r="AL21" s="27"/>
      <c r="AM21" s="27"/>
      <c r="AN21" s="27"/>
      <c r="AO21" s="27"/>
      <c r="AP21" s="27"/>
      <c r="AQ21" s="27"/>
      <c r="AR21" s="27"/>
      <c r="AS21" s="27"/>
      <c r="AT21" s="27"/>
      <c r="AU21" s="27"/>
      <c r="AV21" s="27"/>
      <c r="AW21" s="27"/>
      <c r="AX21" s="27"/>
    </row>
    <row r="22" ht="22.5" hidden="1" customHeight="1">
      <c r="A22" s="20" t="s">
        <v>312</v>
      </c>
      <c r="B22" s="21">
        <v>37917.0</v>
      </c>
      <c r="C22" s="20" t="s">
        <v>313</v>
      </c>
      <c r="D22" s="22" t="s">
        <v>314</v>
      </c>
      <c r="E22" s="20" t="s">
        <v>82</v>
      </c>
      <c r="F22" s="20" t="s">
        <v>62</v>
      </c>
      <c r="G22" s="23" t="str">
        <f>HYPERLINK("https://api.typeform.com/responses/files/27b0e36878d8b5425437b1ec7bc7fa4ed0228ba7fd4ac3187a3fdf5733ceb5e6/CV___Data_Analysis_Intern___Lê_Hữu_Tài.pdf")</f>
        <v>https://api.typeform.com/responses/files/27b0e36878d8b5425437b1ec7bc7fa4ed0228ba7fd4ac3187a3fdf5733ceb5e6/CV___Data_Analysis_Intern___Lê_Hữu_Tài.pdf</v>
      </c>
      <c r="H22" s="20" t="s">
        <v>315</v>
      </c>
      <c r="I22" s="20" t="s">
        <v>316</v>
      </c>
      <c r="J22" s="20" t="s">
        <v>85</v>
      </c>
      <c r="K22" s="20"/>
      <c r="L22" s="20" t="s">
        <v>103</v>
      </c>
      <c r="M22" s="20" t="s">
        <v>86</v>
      </c>
      <c r="N22" s="24">
        <v>45988.0</v>
      </c>
      <c r="O22" s="22" t="s">
        <v>317</v>
      </c>
      <c r="P22" s="23" t="str">
        <f>HYPERLINK("https://api.typeform.com/responses/files/91e19ff99978976cf2625a4afc05055a40ef4ffd1152a89e49124b13a126ca6f/Transcript___Data_Analysis_Intern___Lê_Hữu_Tài.pdf")</f>
        <v>https://api.typeform.com/responses/files/91e19ff99978976cf2625a4afc05055a40ef4ffd1152a89e49124b13a126ca6f/Transcript___Data_Analysis_Intern___Lê_Hữu_Tài.pdf</v>
      </c>
      <c r="Q22" s="20" t="b">
        <v>0</v>
      </c>
      <c r="R22" s="20" t="s">
        <v>318</v>
      </c>
      <c r="S22" s="25" t="s">
        <v>319</v>
      </c>
      <c r="T22" s="20" t="s">
        <v>72</v>
      </c>
      <c r="U22" s="20" t="s">
        <v>72</v>
      </c>
      <c r="V22" s="20" t="s">
        <v>269</v>
      </c>
      <c r="W22" s="20"/>
      <c r="X22" s="20"/>
      <c r="Y22" s="26">
        <v>46134.59984953704</v>
      </c>
      <c r="Z22" s="20" t="s">
        <v>320</v>
      </c>
      <c r="AA22" s="6">
        <v>1.0</v>
      </c>
      <c r="AB22" s="27"/>
      <c r="AC22" s="27"/>
      <c r="AD22" s="27"/>
      <c r="AE22" s="27"/>
      <c r="AF22" s="27"/>
      <c r="AG22" s="27"/>
      <c r="AH22" s="27"/>
      <c r="AI22" s="27"/>
      <c r="AJ22" s="27"/>
      <c r="AK22" s="27"/>
      <c r="AL22" s="27"/>
      <c r="AM22" s="27"/>
      <c r="AN22" s="27"/>
      <c r="AO22" s="27"/>
      <c r="AP22" s="27"/>
      <c r="AQ22" s="27"/>
      <c r="AR22" s="27"/>
      <c r="AS22" s="27"/>
      <c r="AT22" s="27"/>
      <c r="AU22" s="27"/>
      <c r="AV22" s="27"/>
      <c r="AW22" s="27"/>
      <c r="AX22" s="27"/>
    </row>
    <row r="23" ht="22.5" hidden="1" customHeight="1">
      <c r="A23" s="20" t="s">
        <v>321</v>
      </c>
      <c r="B23" s="21">
        <v>37777.0</v>
      </c>
      <c r="C23" s="20" t="s">
        <v>322</v>
      </c>
      <c r="D23" s="22" t="s">
        <v>323</v>
      </c>
      <c r="E23" s="20" t="s">
        <v>127</v>
      </c>
      <c r="F23" s="20" t="s">
        <v>62</v>
      </c>
      <c r="G23" s="23" t="str">
        <f>HYPERLINK("https://api.typeform.com/responses/files/5ee87f8f2d3247b5a468e15d31b1fca98926d1b9dd584158ab5d9a5dd93c13e7/Nguyễn_Quốc_Anh.pdf")</f>
        <v>https://api.typeform.com/responses/files/5ee87f8f2d3247b5a468e15d31b1fca98926d1b9dd584158ab5d9a5dd93c13e7/Nguyễn_Quốc_Anh.pdf</v>
      </c>
      <c r="H23" s="20" t="s">
        <v>324</v>
      </c>
      <c r="I23" s="20" t="s">
        <v>325</v>
      </c>
      <c r="J23" s="20" t="s">
        <v>326</v>
      </c>
      <c r="K23" s="20"/>
      <c r="L23" s="20" t="s">
        <v>67</v>
      </c>
      <c r="M23" s="20" t="s">
        <v>327</v>
      </c>
      <c r="N23" s="24">
        <v>46280.0</v>
      </c>
      <c r="O23" s="22" t="s">
        <v>328</v>
      </c>
      <c r="P23" s="23" t="str">
        <f>HYPERLINK("https://api.typeform.com/responses/files/923b787408de0fc1469f099a94dece171a05d9bb13a651a811e163021e36e281/transcript.pdf")</f>
        <v>https://api.typeform.com/responses/files/923b787408de0fc1469f099a94dece171a05d9bb13a651a811e163021e36e281/transcript.pdf</v>
      </c>
      <c r="Q23" s="20" t="b">
        <v>1</v>
      </c>
      <c r="R23" s="20" t="s">
        <v>329</v>
      </c>
      <c r="S23" s="25" t="s">
        <v>330</v>
      </c>
      <c r="T23" s="20" t="s">
        <v>72</v>
      </c>
      <c r="U23" s="20" t="s">
        <v>72</v>
      </c>
      <c r="V23" s="20" t="s">
        <v>331</v>
      </c>
      <c r="W23" s="20"/>
      <c r="X23" s="20"/>
      <c r="Y23" s="26">
        <v>46134.6062962963</v>
      </c>
      <c r="Z23" s="20" t="s">
        <v>332</v>
      </c>
      <c r="AA23" s="6">
        <v>1.0</v>
      </c>
      <c r="AB23" s="27"/>
      <c r="AC23" s="27"/>
      <c r="AD23" s="27"/>
      <c r="AE23" s="27"/>
      <c r="AF23" s="27"/>
      <c r="AG23" s="27"/>
      <c r="AH23" s="27"/>
      <c r="AI23" s="27"/>
      <c r="AJ23" s="27"/>
      <c r="AK23" s="27"/>
      <c r="AL23" s="27"/>
      <c r="AM23" s="27"/>
      <c r="AN23" s="27"/>
      <c r="AO23" s="27"/>
      <c r="AP23" s="27"/>
      <c r="AQ23" s="27"/>
      <c r="AR23" s="27"/>
      <c r="AS23" s="27"/>
      <c r="AT23" s="27"/>
      <c r="AU23" s="27"/>
      <c r="AV23" s="27"/>
      <c r="AW23" s="27"/>
      <c r="AX23" s="27"/>
    </row>
    <row r="24" ht="22.5" hidden="1" customHeight="1">
      <c r="A24" s="20" t="s">
        <v>333</v>
      </c>
      <c r="B24" s="21">
        <v>37913.0</v>
      </c>
      <c r="C24" s="20" t="s">
        <v>334</v>
      </c>
      <c r="D24" s="22" t="s">
        <v>335</v>
      </c>
      <c r="E24" s="20" t="s">
        <v>99</v>
      </c>
      <c r="F24" s="20" t="s">
        <v>127</v>
      </c>
      <c r="G24" s="23" t="str">
        <f>HYPERLINK("https://api.typeform.com/responses/files/070b9a437fbc83ce78ea18fea8be84117aacdbf91e396aef2e76913d6d16d7be/CV_Game_Design_Intern_Tran_Phuong_Anh.pdf")</f>
        <v>https://api.typeform.com/responses/files/070b9a437fbc83ce78ea18fea8be84117aacdbf91e396aef2e76913d6d16d7be/CV_Game_Design_Intern_Tran_Phuong_Anh.pdf</v>
      </c>
      <c r="H24" s="20" t="s">
        <v>336</v>
      </c>
      <c r="I24" s="20" t="s">
        <v>337</v>
      </c>
      <c r="J24" s="20" t="s">
        <v>338</v>
      </c>
      <c r="K24" s="20"/>
      <c r="L24" s="20" t="s">
        <v>67</v>
      </c>
      <c r="M24" s="20" t="s">
        <v>339</v>
      </c>
      <c r="N24" s="24">
        <v>46228.0</v>
      </c>
      <c r="O24" s="22" t="s">
        <v>147</v>
      </c>
      <c r="P24" s="23" t="str">
        <f>HYPERLINK("https://api.typeform.com/responses/files/3ae1c6dd01b726e77a59ca331c14f03236f4aa9f5498f76d7fdc55beeddcca12/Transcript___Game_Design_Intern___Tran_Phuong_Anh.pdf")</f>
        <v>https://api.typeform.com/responses/files/3ae1c6dd01b726e77a59ca331c14f03236f4aa9f5498f76d7fdc55beeddcca12/Transcript___Game_Design_Intern___Tran_Phuong_Anh.pdf</v>
      </c>
      <c r="Q24" s="20" t="b">
        <v>1</v>
      </c>
      <c r="R24" s="20" t="s">
        <v>340</v>
      </c>
      <c r="S24" s="25" t="s">
        <v>341</v>
      </c>
      <c r="T24" s="20" t="s">
        <v>72</v>
      </c>
      <c r="U24" s="20" t="s">
        <v>72</v>
      </c>
      <c r="V24" s="20" t="s">
        <v>73</v>
      </c>
      <c r="W24" s="20"/>
      <c r="X24" s="20" t="s">
        <v>342</v>
      </c>
      <c r="Y24" s="26">
        <v>46134.60833333333</v>
      </c>
      <c r="Z24" s="20" t="s">
        <v>343</v>
      </c>
      <c r="AA24" s="6">
        <v>1.0</v>
      </c>
      <c r="AB24" s="27"/>
      <c r="AC24" s="27"/>
      <c r="AD24" s="27"/>
      <c r="AE24" s="27"/>
      <c r="AF24" s="27"/>
      <c r="AG24" s="27"/>
      <c r="AH24" s="27"/>
      <c r="AI24" s="27"/>
      <c r="AJ24" s="27"/>
      <c r="AK24" s="27"/>
      <c r="AL24" s="27"/>
      <c r="AM24" s="27"/>
      <c r="AN24" s="27"/>
      <c r="AO24" s="27"/>
      <c r="AP24" s="27"/>
      <c r="AQ24" s="27"/>
      <c r="AR24" s="27"/>
      <c r="AS24" s="27"/>
      <c r="AT24" s="27"/>
      <c r="AU24" s="27"/>
      <c r="AV24" s="27"/>
      <c r="AW24" s="27"/>
      <c r="AX24" s="27"/>
    </row>
    <row r="25" ht="22.5" hidden="1" customHeight="1">
      <c r="A25" s="20" t="s">
        <v>344</v>
      </c>
      <c r="B25" s="21">
        <v>37627.0</v>
      </c>
      <c r="C25" s="20" t="s">
        <v>345</v>
      </c>
      <c r="D25" s="22" t="s">
        <v>346</v>
      </c>
      <c r="E25" s="20" t="s">
        <v>99</v>
      </c>
      <c r="F25" s="20" t="s">
        <v>127</v>
      </c>
      <c r="G25" s="23" t="str">
        <f>HYPERLINK("https://api.typeform.com/responses/files/88a085aed49d56d77e5f3182079cbae43cf34584583722ea9d2a3523b2c872f0/TranLap_Nhan__Game_Designer.pdf")</f>
        <v>https://api.typeform.com/responses/files/88a085aed49d56d77e5f3182079cbae43cf34584583722ea9d2a3523b2c872f0/TranLap_Nhan__Game_Designer.pdf</v>
      </c>
      <c r="H25" s="20" t="s">
        <v>347</v>
      </c>
      <c r="I25" s="20" t="s">
        <v>348</v>
      </c>
      <c r="J25" s="20" t="s">
        <v>65</v>
      </c>
      <c r="K25" s="20" t="s">
        <v>349</v>
      </c>
      <c r="L25" s="20" t="s">
        <v>103</v>
      </c>
      <c r="M25" s="20" t="s">
        <v>350</v>
      </c>
      <c r="N25" s="24">
        <v>46011.0</v>
      </c>
      <c r="O25" s="22" t="s">
        <v>351</v>
      </c>
      <c r="P25" s="23" t="str">
        <f>HYPERLINK("https://api.typeform.com/responses/files/5b8d5c4f8a8b81fc3cfe661e02895245de0c5144bc9c842e377cf580e918bfa7/Transcript___Game_Designer_Intern___Trần_Lập_Nhân.pdf")</f>
        <v>https://api.typeform.com/responses/files/5b8d5c4f8a8b81fc3cfe661e02895245de0c5144bc9c842e377cf580e918bfa7/Transcript___Game_Designer_Intern___Trần_Lập_Nhân.pdf</v>
      </c>
      <c r="Q25" s="20" t="b">
        <v>1</v>
      </c>
      <c r="R25" s="20" t="s">
        <v>352</v>
      </c>
      <c r="S25" s="25" t="s">
        <v>353</v>
      </c>
      <c r="T25" s="20" t="s">
        <v>72</v>
      </c>
      <c r="U25" s="20" t="s">
        <v>72</v>
      </c>
      <c r="V25" s="20" t="s">
        <v>73</v>
      </c>
      <c r="W25" s="20"/>
      <c r="X25" s="20" t="s">
        <v>354</v>
      </c>
      <c r="Y25" s="26">
        <v>46134.60927083333</v>
      </c>
      <c r="Z25" s="20" t="s">
        <v>355</v>
      </c>
      <c r="AA25" s="6">
        <v>1.0</v>
      </c>
      <c r="AB25" s="27"/>
      <c r="AC25" s="27"/>
      <c r="AD25" s="27"/>
      <c r="AE25" s="27"/>
      <c r="AF25" s="27"/>
      <c r="AG25" s="27"/>
      <c r="AH25" s="27"/>
      <c r="AI25" s="27"/>
      <c r="AJ25" s="27"/>
      <c r="AK25" s="27"/>
      <c r="AL25" s="27"/>
      <c r="AM25" s="27"/>
      <c r="AN25" s="27"/>
      <c r="AO25" s="27"/>
      <c r="AP25" s="27"/>
      <c r="AQ25" s="27"/>
      <c r="AR25" s="27"/>
      <c r="AS25" s="27"/>
      <c r="AT25" s="27"/>
      <c r="AU25" s="27"/>
      <c r="AV25" s="27"/>
      <c r="AW25" s="27"/>
      <c r="AX25" s="27"/>
    </row>
    <row r="26" ht="22.5" hidden="1" customHeight="1">
      <c r="A26" s="20" t="s">
        <v>356</v>
      </c>
      <c r="B26" s="21">
        <v>37936.0</v>
      </c>
      <c r="C26" s="20" t="s">
        <v>357</v>
      </c>
      <c r="D26" s="22" t="s">
        <v>358</v>
      </c>
      <c r="E26" s="20" t="s">
        <v>99</v>
      </c>
      <c r="F26" s="20"/>
      <c r="G26" s="23" t="str">
        <f>HYPERLINK("https://api.typeform.com/responses/files/17d2ad1e85b7684c949ba556f594153d5cbf4161272655214fd0929e43505402/CV_DuongTheKhai_GameDesignerIntern.pdf")</f>
        <v>https://api.typeform.com/responses/files/17d2ad1e85b7684c949ba556f594153d5cbf4161272655214fd0929e43505402/CV_DuongTheKhai_GameDesignerIntern.pdf</v>
      </c>
      <c r="H26" s="20" t="s">
        <v>359</v>
      </c>
      <c r="I26" s="20" t="s">
        <v>360</v>
      </c>
      <c r="J26" s="20" t="s">
        <v>338</v>
      </c>
      <c r="K26" s="20"/>
      <c r="L26" s="20" t="s">
        <v>103</v>
      </c>
      <c r="M26" s="20" t="s">
        <v>361</v>
      </c>
      <c r="N26" s="24">
        <v>45897.0</v>
      </c>
      <c r="O26" s="22" t="s">
        <v>362</v>
      </c>
      <c r="P26" s="23" t="str">
        <f>HYPERLINK("https://api.typeform.com/responses/files/35014d9f4fe7aad694519fb272f3f8342690521a01e44c6701d162e862e3a5c9/Transcript___Game_Designer_Intern___Dương_Thế_Khải__2_.jpg")</f>
        <v>https://api.typeform.com/responses/files/35014d9f4fe7aad694519fb272f3f8342690521a01e44c6701d162e862e3a5c9/Transcript___Game_Designer_Intern___Dương_Thế_Khải__2_.jpg</v>
      </c>
      <c r="Q26" s="20" t="b">
        <v>1</v>
      </c>
      <c r="R26" s="20" t="s">
        <v>363</v>
      </c>
      <c r="S26" s="25" t="s">
        <v>364</v>
      </c>
      <c r="T26" s="20" t="s">
        <v>72</v>
      </c>
      <c r="U26" s="20" t="s">
        <v>72</v>
      </c>
      <c r="V26" s="20" t="s">
        <v>73</v>
      </c>
      <c r="W26" s="20"/>
      <c r="X26" s="20" t="s">
        <v>365</v>
      </c>
      <c r="Y26" s="26">
        <v>46134.61347222222</v>
      </c>
      <c r="Z26" s="20" t="s">
        <v>366</v>
      </c>
      <c r="AA26" s="6">
        <v>1.0</v>
      </c>
      <c r="AB26" s="27"/>
      <c r="AC26" s="27"/>
      <c r="AD26" s="27"/>
      <c r="AE26" s="27"/>
      <c r="AF26" s="27"/>
      <c r="AG26" s="27"/>
      <c r="AH26" s="27"/>
      <c r="AI26" s="27"/>
      <c r="AJ26" s="27"/>
      <c r="AK26" s="27"/>
      <c r="AL26" s="27"/>
      <c r="AM26" s="27"/>
      <c r="AN26" s="27"/>
      <c r="AO26" s="27"/>
      <c r="AP26" s="27"/>
      <c r="AQ26" s="27"/>
      <c r="AR26" s="27"/>
      <c r="AS26" s="27"/>
      <c r="AT26" s="27"/>
      <c r="AU26" s="27"/>
      <c r="AV26" s="27"/>
      <c r="AW26" s="27"/>
      <c r="AX26" s="27"/>
    </row>
    <row r="27" ht="22.5" hidden="1" customHeight="1">
      <c r="A27" s="20" t="s">
        <v>367</v>
      </c>
      <c r="B27" s="21">
        <v>37260.0</v>
      </c>
      <c r="C27" s="20" t="s">
        <v>368</v>
      </c>
      <c r="D27" s="22" t="s">
        <v>369</v>
      </c>
      <c r="E27" s="20" t="s">
        <v>61</v>
      </c>
      <c r="F27" s="20" t="s">
        <v>99</v>
      </c>
      <c r="G27" s="23" t="str">
        <f>HYPERLINK("https://api.typeform.com/responses/files/ed22fb6dc0590a518076fd642725fb4deb69e39610c1e81897dd15ceb6e8320c/CV___Unity_Development_Intern___Tạ_Ngọc_Minh.pdf")</f>
        <v>https://api.typeform.com/responses/files/ed22fb6dc0590a518076fd642725fb4deb69e39610c1e81897dd15ceb6e8320c/CV___Unity_Development_Intern___Tạ_Ngọc_Minh.pdf</v>
      </c>
      <c r="H27" s="20" t="s">
        <v>370</v>
      </c>
      <c r="I27" s="20" t="s">
        <v>371</v>
      </c>
      <c r="J27" s="20" t="s">
        <v>372</v>
      </c>
      <c r="K27" s="20"/>
      <c r="L27" s="20" t="s">
        <v>103</v>
      </c>
      <c r="M27" s="20" t="s">
        <v>373</v>
      </c>
      <c r="N27" s="24">
        <v>45648.0</v>
      </c>
      <c r="O27" s="22" t="s">
        <v>374</v>
      </c>
      <c r="P27" s="23" t="str">
        <f>HYPERLINK("https://api.typeform.com/responses/files/53ad8f672880a7ad0efc9c5717810edd9bf9e9bb9d55532b3c6a54361ab75fb9/Transcript___Unity_Development_Intern___Tạ_Ngọc_Minh.docx")</f>
        <v>https://api.typeform.com/responses/files/53ad8f672880a7ad0efc9c5717810edd9bf9e9bb9d55532b3c6a54361ab75fb9/Transcript___Unity_Development_Intern___Tạ_Ngọc_Minh.docx</v>
      </c>
      <c r="Q27" s="20" t="b">
        <v>0</v>
      </c>
      <c r="R27" s="20" t="s">
        <v>375</v>
      </c>
      <c r="S27" s="25" t="s">
        <v>376</v>
      </c>
      <c r="T27" s="20" t="s">
        <v>72</v>
      </c>
      <c r="U27" s="20" t="s">
        <v>72</v>
      </c>
      <c r="V27" s="20" t="s">
        <v>73</v>
      </c>
      <c r="W27" s="20"/>
      <c r="X27" s="20" t="s">
        <v>377</v>
      </c>
      <c r="Y27" s="26">
        <v>46134.615266203706</v>
      </c>
      <c r="Z27" s="20" t="s">
        <v>378</v>
      </c>
      <c r="AA27" s="6">
        <v>1.0</v>
      </c>
      <c r="AB27" s="27"/>
      <c r="AC27" s="27"/>
      <c r="AD27" s="27"/>
      <c r="AE27" s="27"/>
      <c r="AF27" s="27"/>
      <c r="AG27" s="27"/>
      <c r="AH27" s="27"/>
      <c r="AI27" s="27"/>
      <c r="AJ27" s="27"/>
      <c r="AK27" s="27"/>
      <c r="AL27" s="27"/>
      <c r="AM27" s="27"/>
      <c r="AN27" s="27"/>
      <c r="AO27" s="27"/>
      <c r="AP27" s="27"/>
      <c r="AQ27" s="27"/>
      <c r="AR27" s="27"/>
      <c r="AS27" s="27"/>
      <c r="AT27" s="27"/>
      <c r="AU27" s="27"/>
      <c r="AV27" s="27"/>
      <c r="AW27" s="27"/>
      <c r="AX27" s="27"/>
    </row>
    <row r="28" ht="22.5" hidden="1" customHeight="1">
      <c r="A28" s="20" t="s">
        <v>379</v>
      </c>
      <c r="B28" s="21">
        <v>37815.0</v>
      </c>
      <c r="C28" s="20" t="s">
        <v>380</v>
      </c>
      <c r="D28" s="22" t="s">
        <v>381</v>
      </c>
      <c r="E28" s="20" t="s">
        <v>82</v>
      </c>
      <c r="F28" s="20" t="s">
        <v>62</v>
      </c>
      <c r="G28" s="23" t="str">
        <f>HYPERLINK("https://api.typeform.com/responses/files/1b237672126ea08d8483a1c307f9d2ebd25c09af7bc4ebfb9028ed3e4f3aeb71/CV___Data_Analysis_Intern___Đỗ_Phú_Duy.pdf")</f>
        <v>https://api.typeform.com/responses/files/1b237672126ea08d8483a1c307f9d2ebd25c09af7bc4ebfb9028ed3e4f3aeb71/CV___Data_Analysis_Intern___Đỗ_Phú_Duy.pdf</v>
      </c>
      <c r="H28" s="20" t="s">
        <v>382</v>
      </c>
      <c r="I28" s="20" t="s">
        <v>383</v>
      </c>
      <c r="J28" s="20" t="s">
        <v>85</v>
      </c>
      <c r="K28" s="20"/>
      <c r="L28" s="20" t="s">
        <v>103</v>
      </c>
      <c r="M28" s="20" t="s">
        <v>384</v>
      </c>
      <c r="N28" s="24">
        <v>45988.0</v>
      </c>
      <c r="O28" s="22" t="s">
        <v>385</v>
      </c>
      <c r="P28" s="23" t="str">
        <f>HYPERLINK("https://api.typeform.com/responses/files/09099c73385b6c3c89c638604d92734b2563b8a068b3449cfd4fdc80cc3a774e/Transcript___Data_Analysis_Intern___Đỗ_Phú_Duy.pdf")</f>
        <v>https://api.typeform.com/responses/files/09099c73385b6c3c89c638604d92734b2563b8a068b3449cfd4fdc80cc3a774e/Transcript___Data_Analysis_Intern___Đỗ_Phú_Duy.pdf</v>
      </c>
      <c r="Q28" s="20" t="b">
        <v>0</v>
      </c>
      <c r="R28" s="20" t="s">
        <v>386</v>
      </c>
      <c r="S28" s="25" t="s">
        <v>387</v>
      </c>
      <c r="T28" s="20" t="s">
        <v>72</v>
      </c>
      <c r="U28" s="20" t="s">
        <v>72</v>
      </c>
      <c r="V28" s="20" t="s">
        <v>388</v>
      </c>
      <c r="W28" s="20"/>
      <c r="X28" s="20"/>
      <c r="Y28" s="26">
        <v>46134.62739583333</v>
      </c>
      <c r="Z28" s="20" t="s">
        <v>389</v>
      </c>
      <c r="AA28" s="6">
        <v>1.0</v>
      </c>
      <c r="AB28" s="27"/>
      <c r="AC28" s="27"/>
      <c r="AD28" s="27"/>
      <c r="AE28" s="27"/>
      <c r="AF28" s="27"/>
      <c r="AG28" s="27"/>
      <c r="AH28" s="27"/>
      <c r="AI28" s="27"/>
      <c r="AJ28" s="27"/>
      <c r="AK28" s="27"/>
      <c r="AL28" s="27"/>
      <c r="AM28" s="27"/>
      <c r="AN28" s="27"/>
      <c r="AO28" s="27"/>
      <c r="AP28" s="27"/>
      <c r="AQ28" s="27"/>
      <c r="AR28" s="27"/>
      <c r="AS28" s="27"/>
      <c r="AT28" s="27"/>
      <c r="AU28" s="27"/>
      <c r="AV28" s="27"/>
      <c r="AW28" s="27"/>
      <c r="AX28" s="27"/>
    </row>
    <row r="29" ht="22.5" hidden="1" customHeight="1">
      <c r="A29" s="20" t="s">
        <v>312</v>
      </c>
      <c r="B29" s="21">
        <v>37917.0</v>
      </c>
      <c r="C29" s="20" t="s">
        <v>313</v>
      </c>
      <c r="D29" s="22" t="s">
        <v>314</v>
      </c>
      <c r="E29" s="20" t="s">
        <v>82</v>
      </c>
      <c r="F29" s="20" t="s">
        <v>62</v>
      </c>
      <c r="G29" s="23" t="str">
        <f>HYPERLINK("https://api.typeform.com/responses/files/e08a3f9c1c63e15a724e0698f5dfe2ea199f57a4c35751f48908eb4c799d3cf4/CV___Data_Analysis_Intern___Lê_Hữu_Tài.pdf")</f>
        <v>https://api.typeform.com/responses/files/e08a3f9c1c63e15a724e0698f5dfe2ea199f57a4c35751f48908eb4c799d3cf4/CV___Data_Analysis_Intern___Lê_Hữu_Tài.pdf</v>
      </c>
      <c r="H29" s="20" t="s">
        <v>390</v>
      </c>
      <c r="I29" s="20" t="s">
        <v>391</v>
      </c>
      <c r="J29" s="20" t="s">
        <v>85</v>
      </c>
      <c r="K29" s="20"/>
      <c r="L29" s="20" t="s">
        <v>103</v>
      </c>
      <c r="M29" s="20" t="s">
        <v>384</v>
      </c>
      <c r="N29" s="24">
        <v>45988.0</v>
      </c>
      <c r="O29" s="22" t="s">
        <v>317</v>
      </c>
      <c r="P29" s="23" t="str">
        <f>HYPERLINK("https://api.typeform.com/responses/files/ba824c2d35776c0cab1213132f9388c3a26e2f462fbf85ce93cfd426426b15f8/Transcript___Data_Analysis_Intern___Lê_Hữu_Tài.pdf")</f>
        <v>https://api.typeform.com/responses/files/ba824c2d35776c0cab1213132f9388c3a26e2f462fbf85ce93cfd426426b15f8/Transcript___Data_Analysis_Intern___Lê_Hữu_Tài.pdf</v>
      </c>
      <c r="Q29" s="20" t="b">
        <v>0</v>
      </c>
      <c r="R29" s="20" t="s">
        <v>392</v>
      </c>
      <c r="S29" s="25" t="s">
        <v>319</v>
      </c>
      <c r="T29" s="20" t="s">
        <v>72</v>
      </c>
      <c r="U29" s="20" t="s">
        <v>72</v>
      </c>
      <c r="V29" s="20" t="s">
        <v>269</v>
      </c>
      <c r="W29" s="20"/>
      <c r="X29" s="20"/>
      <c r="Y29" s="26">
        <v>46134.65418981481</v>
      </c>
      <c r="Z29" s="20" t="s">
        <v>393</v>
      </c>
      <c r="AA29" s="6">
        <v>1.0</v>
      </c>
      <c r="AB29" s="27"/>
      <c r="AC29" s="27"/>
      <c r="AD29" s="27"/>
      <c r="AE29" s="27"/>
      <c r="AF29" s="27"/>
      <c r="AG29" s="27"/>
      <c r="AH29" s="27"/>
      <c r="AI29" s="27"/>
      <c r="AJ29" s="27"/>
      <c r="AK29" s="27"/>
      <c r="AL29" s="27"/>
      <c r="AM29" s="27"/>
      <c r="AN29" s="27"/>
      <c r="AO29" s="27"/>
      <c r="AP29" s="27"/>
      <c r="AQ29" s="27"/>
      <c r="AR29" s="27"/>
      <c r="AS29" s="27"/>
      <c r="AT29" s="27"/>
      <c r="AU29" s="27"/>
      <c r="AV29" s="27"/>
      <c r="AW29" s="27"/>
      <c r="AX29" s="27"/>
    </row>
    <row r="30" ht="22.5" hidden="1" customHeight="1">
      <c r="A30" s="20" t="s">
        <v>394</v>
      </c>
      <c r="B30" s="21">
        <v>38319.0</v>
      </c>
      <c r="C30" s="20" t="s">
        <v>395</v>
      </c>
      <c r="D30" s="22" t="s">
        <v>396</v>
      </c>
      <c r="E30" s="20" t="s">
        <v>82</v>
      </c>
      <c r="F30" s="20" t="s">
        <v>62</v>
      </c>
      <c r="G30" s="23" t="str">
        <f>HYPERLINK("https://api.typeform.com/responses/files/a1942272df9d15a4a3ed1ffefc3aeba52f22eb8709bdf6af7f5c9d5c03178d0e/CV___Data_Analysis_Intern___Nguyễn_Bình_Minh_Quân.pdf")</f>
        <v>https://api.typeform.com/responses/files/a1942272df9d15a4a3ed1ffefc3aeba52f22eb8709bdf6af7f5c9d5c03178d0e/CV___Data_Analysis_Intern___Nguyễn_Bình_Minh_Quân.pdf</v>
      </c>
      <c r="H30" s="20" t="s">
        <v>397</v>
      </c>
      <c r="I30" s="20" t="s">
        <v>398</v>
      </c>
      <c r="J30" s="20" t="s">
        <v>244</v>
      </c>
      <c r="K30" s="20"/>
      <c r="L30" s="20" t="s">
        <v>67</v>
      </c>
      <c r="M30" s="20" t="s">
        <v>399</v>
      </c>
      <c r="N30" s="24">
        <v>46295.0</v>
      </c>
      <c r="O30" s="22" t="s">
        <v>400</v>
      </c>
      <c r="P30" s="23" t="str">
        <f>HYPERLINK("https://api.typeform.com/responses/files/60bf3328dfba7ff81a60e6bad5534deb69e645ca825f9e7dc1069eaa805df6cb/Transcript___Data_Analysis_Intern___Nguyễn_Bình_Minh_Quân.pdf")</f>
        <v>https://api.typeform.com/responses/files/60bf3328dfba7ff81a60e6bad5534deb69e645ca825f9e7dc1069eaa805df6cb/Transcript___Data_Analysis_Intern___Nguyễn_Bình_Minh_Quân.pdf</v>
      </c>
      <c r="Q30" s="20" t="b">
        <v>0</v>
      </c>
      <c r="R30" s="20" t="s">
        <v>401</v>
      </c>
      <c r="S30" s="25" t="s">
        <v>402</v>
      </c>
      <c r="T30" s="20" t="s">
        <v>72</v>
      </c>
      <c r="U30" s="20" t="s">
        <v>72</v>
      </c>
      <c r="V30" s="20" t="s">
        <v>403</v>
      </c>
      <c r="W30" s="20" t="s">
        <v>404</v>
      </c>
      <c r="X30" s="20" t="s">
        <v>405</v>
      </c>
      <c r="Y30" s="26">
        <v>46134.6646412037</v>
      </c>
      <c r="Z30" s="20" t="s">
        <v>406</v>
      </c>
      <c r="AA30" s="6">
        <v>1.0</v>
      </c>
      <c r="AB30" s="27"/>
      <c r="AC30" s="27"/>
      <c r="AD30" s="27"/>
      <c r="AE30" s="27"/>
      <c r="AF30" s="27"/>
      <c r="AG30" s="27"/>
      <c r="AH30" s="27"/>
      <c r="AI30" s="27"/>
      <c r="AJ30" s="27"/>
      <c r="AK30" s="27"/>
      <c r="AL30" s="27"/>
      <c r="AM30" s="27"/>
      <c r="AN30" s="27"/>
      <c r="AO30" s="27"/>
      <c r="AP30" s="27"/>
      <c r="AQ30" s="27"/>
      <c r="AR30" s="27"/>
      <c r="AS30" s="27"/>
      <c r="AT30" s="27"/>
      <c r="AU30" s="27"/>
      <c r="AV30" s="27"/>
      <c r="AW30" s="27"/>
      <c r="AX30" s="27"/>
    </row>
    <row r="31" ht="22.5" hidden="1" customHeight="1">
      <c r="A31" s="20" t="s">
        <v>407</v>
      </c>
      <c r="B31" s="21">
        <v>38017.0</v>
      </c>
      <c r="C31" s="20" t="s">
        <v>408</v>
      </c>
      <c r="D31" s="22" t="s">
        <v>409</v>
      </c>
      <c r="E31" s="20" t="s">
        <v>62</v>
      </c>
      <c r="F31" s="20"/>
      <c r="G31" s="23" t="str">
        <f>HYPERLINK("https://api.typeform.com/responses/files/f5bf755277ab2ea133a66c36a4d97eb480b102d604bca6e2509ef5b40d82a528/CV___AI_Engineer_Intern___Nguyễn_Đình_Quân.pdf")</f>
        <v>https://api.typeform.com/responses/files/f5bf755277ab2ea133a66c36a4d97eb480b102d604bca6e2509ef5b40d82a528/CV___AI_Engineer_Intern___Nguyễn_Đình_Quân.pdf</v>
      </c>
      <c r="H31" s="20" t="s">
        <v>410</v>
      </c>
      <c r="I31" s="20" t="s">
        <v>411</v>
      </c>
      <c r="J31" s="20" t="s">
        <v>85</v>
      </c>
      <c r="K31" s="20"/>
      <c r="L31" s="20" t="s">
        <v>103</v>
      </c>
      <c r="M31" s="20" t="s">
        <v>412</v>
      </c>
      <c r="N31" s="24">
        <v>38076.0</v>
      </c>
      <c r="O31" s="22" t="s">
        <v>413</v>
      </c>
      <c r="P31" s="23" t="str">
        <f>HYPERLINK("https://api.typeform.com/responses/files/6be9ec4d71904347ff7f5f8e5faab8d1dbb6e7d05e2054f9b7dac2e952d52196/Transcript___AI_Engineer_Intern___Nguyễn_Đình_Quân.pdf")</f>
        <v>https://api.typeform.com/responses/files/6be9ec4d71904347ff7f5f8e5faab8d1dbb6e7d05e2054f9b7dac2e952d52196/Transcript___AI_Engineer_Intern___Nguyễn_Đình_Quân.pdf</v>
      </c>
      <c r="Q31" s="20" t="b">
        <v>0</v>
      </c>
      <c r="R31" s="20" t="s">
        <v>414</v>
      </c>
      <c r="S31" s="25" t="s">
        <v>415</v>
      </c>
      <c r="T31" s="20" t="s">
        <v>72</v>
      </c>
      <c r="U31" s="20" t="s">
        <v>72</v>
      </c>
      <c r="V31" s="20" t="s">
        <v>269</v>
      </c>
      <c r="W31" s="20"/>
      <c r="X31" s="20" t="s">
        <v>416</v>
      </c>
      <c r="Y31" s="26">
        <v>46134.67152777778</v>
      </c>
      <c r="Z31" s="20" t="s">
        <v>417</v>
      </c>
      <c r="AA31" s="6">
        <v>1.0</v>
      </c>
      <c r="AB31" s="27"/>
      <c r="AC31" s="27"/>
      <c r="AD31" s="27"/>
      <c r="AE31" s="27"/>
      <c r="AF31" s="27"/>
      <c r="AG31" s="27"/>
      <c r="AH31" s="27"/>
      <c r="AI31" s="27"/>
      <c r="AJ31" s="27"/>
      <c r="AK31" s="27"/>
      <c r="AL31" s="27"/>
      <c r="AM31" s="27"/>
      <c r="AN31" s="27"/>
      <c r="AO31" s="27"/>
      <c r="AP31" s="27"/>
      <c r="AQ31" s="27"/>
      <c r="AR31" s="27"/>
      <c r="AS31" s="27"/>
      <c r="AT31" s="27"/>
      <c r="AU31" s="27"/>
      <c r="AV31" s="27"/>
      <c r="AW31" s="27"/>
      <c r="AX31" s="27"/>
    </row>
    <row r="32" ht="22.5" hidden="1" customHeight="1">
      <c r="A32" s="20" t="s">
        <v>418</v>
      </c>
      <c r="B32" s="21">
        <v>38265.0</v>
      </c>
      <c r="C32" s="20" t="s">
        <v>419</v>
      </c>
      <c r="D32" s="22" t="s">
        <v>420</v>
      </c>
      <c r="E32" s="20" t="s">
        <v>99</v>
      </c>
      <c r="F32" s="20" t="s">
        <v>61</v>
      </c>
      <c r="G32" s="23" t="str">
        <f>HYPERLINK("https://api.typeform.com/responses/files/8b05c5501e635ba28fae083a6363af0c3953606e85e3c00435c6673e00ec97e0/CV___Game_Design_Intern___Nguyễn_Trương_Trọng_Hiếu.pdf")</f>
        <v>https://api.typeform.com/responses/files/8b05c5501e635ba28fae083a6363af0c3953606e85e3c00435c6673e00ec97e0/CV___Game_Design_Intern___Nguyễn_Trương_Trọng_Hiếu.pdf</v>
      </c>
      <c r="H32" s="20" t="s">
        <v>421</v>
      </c>
      <c r="I32" s="20" t="s">
        <v>422</v>
      </c>
      <c r="J32" s="20" t="s">
        <v>65</v>
      </c>
      <c r="K32" s="20" t="s">
        <v>423</v>
      </c>
      <c r="L32" s="20" t="s">
        <v>103</v>
      </c>
      <c r="M32" s="20" t="s">
        <v>424</v>
      </c>
      <c r="N32" s="24">
        <v>46022.0</v>
      </c>
      <c r="O32" s="20" t="s">
        <v>425</v>
      </c>
      <c r="P32" s="23" t="str">
        <f>HYPERLINK("https://api.typeform.com/responses/files/7d5e3c597cb8e8623d929aa60f9a6c8b3456bf567dbe0f3767767997bc3f584f/Transcript___Game_Design_Intern___Nguyễn_Trương_Trọng_Hiếu.pdf")</f>
        <v>https://api.typeform.com/responses/files/7d5e3c597cb8e8623d929aa60f9a6c8b3456bf567dbe0f3767767997bc3f584f/Transcript___Game_Design_Intern___Nguyễn_Trương_Trọng_Hiếu.pdf</v>
      </c>
      <c r="Q32" s="20" t="b">
        <v>1</v>
      </c>
      <c r="R32" s="20" t="s">
        <v>426</v>
      </c>
      <c r="S32" s="25" t="s">
        <v>427</v>
      </c>
      <c r="T32" s="20" t="s">
        <v>72</v>
      </c>
      <c r="U32" s="20" t="s">
        <v>72</v>
      </c>
      <c r="V32" s="20" t="s">
        <v>73</v>
      </c>
      <c r="W32" s="20"/>
      <c r="X32" s="20"/>
      <c r="Y32" s="26">
        <v>46134.69887731481</v>
      </c>
      <c r="Z32" s="20" t="s">
        <v>428</v>
      </c>
      <c r="AA32" s="6">
        <v>1.0</v>
      </c>
      <c r="AB32" s="27"/>
      <c r="AC32" s="27"/>
      <c r="AD32" s="27"/>
      <c r="AE32" s="27"/>
      <c r="AF32" s="27"/>
      <c r="AG32" s="27"/>
      <c r="AH32" s="27"/>
      <c r="AI32" s="27"/>
      <c r="AJ32" s="27"/>
      <c r="AK32" s="27"/>
      <c r="AL32" s="27"/>
      <c r="AM32" s="27"/>
      <c r="AN32" s="27"/>
      <c r="AO32" s="27"/>
      <c r="AP32" s="27"/>
      <c r="AQ32" s="27"/>
      <c r="AR32" s="27"/>
      <c r="AS32" s="27"/>
      <c r="AT32" s="27"/>
      <c r="AU32" s="27"/>
      <c r="AV32" s="27"/>
      <c r="AW32" s="27"/>
      <c r="AX32" s="27"/>
    </row>
    <row r="33" ht="22.5" hidden="1" customHeight="1">
      <c r="A33" s="20" t="s">
        <v>429</v>
      </c>
      <c r="B33" s="21">
        <v>37811.0</v>
      </c>
      <c r="C33" s="20" t="s">
        <v>430</v>
      </c>
      <c r="D33" s="22" t="s">
        <v>431</v>
      </c>
      <c r="E33" s="20" t="s">
        <v>99</v>
      </c>
      <c r="F33" s="20" t="s">
        <v>99</v>
      </c>
      <c r="G33" s="23" t="str">
        <f>HYPERLINK("https://api.typeform.com/responses/files/fa1b15a05f5a9a637d8311a003ee947cbf5e2cbdf8cf31df14c2811c1769ae86/CV_GameDesigner_Intern_NguyenKhacKy.pdf")</f>
        <v>https://api.typeform.com/responses/files/fa1b15a05f5a9a637d8311a003ee947cbf5e2cbdf8cf31df14c2811c1769ae86/CV_GameDesigner_Intern_NguyenKhacKy.pdf</v>
      </c>
      <c r="H33" s="20" t="s">
        <v>432</v>
      </c>
      <c r="I33" s="20" t="s">
        <v>433</v>
      </c>
      <c r="J33" s="20" t="s">
        <v>65</v>
      </c>
      <c r="K33" s="20" t="s">
        <v>434</v>
      </c>
      <c r="L33" s="20" t="s">
        <v>103</v>
      </c>
      <c r="M33" s="20" t="s">
        <v>132</v>
      </c>
      <c r="N33" s="24">
        <v>46047.0</v>
      </c>
      <c r="O33" s="22" t="s">
        <v>435</v>
      </c>
      <c r="P33" s="23" t="str">
        <f>HYPERLINK("https://api.typeform.com/responses/files/a09f4b7079ae962825f80e6fd51a202be38f1853e4f8ed8f0472c78f081cf6cc/BangDiem2_GameDesigner_Intern_NguyenKhacKy.jpg")</f>
        <v>https://api.typeform.com/responses/files/a09f4b7079ae962825f80e6fd51a202be38f1853e4f8ed8f0472c78f081cf6cc/BangDiem2_GameDesigner_Intern_NguyenKhacKy.jpg</v>
      </c>
      <c r="Q33" s="20" t="b">
        <v>1</v>
      </c>
      <c r="R33" s="20" t="s">
        <v>436</v>
      </c>
      <c r="S33" s="25" t="s">
        <v>437</v>
      </c>
      <c r="T33" s="20" t="s">
        <v>72</v>
      </c>
      <c r="U33" s="20" t="s">
        <v>72</v>
      </c>
      <c r="V33" s="20" t="s">
        <v>73</v>
      </c>
      <c r="W33" s="20"/>
      <c r="X33" s="20" t="s">
        <v>438</v>
      </c>
      <c r="Y33" s="26">
        <v>46134.7274537037</v>
      </c>
      <c r="Z33" s="20" t="s">
        <v>439</v>
      </c>
      <c r="AA33" s="6">
        <v>1.0</v>
      </c>
      <c r="AB33" s="27"/>
      <c r="AC33" s="27"/>
      <c r="AD33" s="27"/>
      <c r="AE33" s="27"/>
      <c r="AF33" s="27"/>
      <c r="AG33" s="27"/>
      <c r="AH33" s="27"/>
      <c r="AI33" s="27"/>
      <c r="AJ33" s="27"/>
      <c r="AK33" s="27"/>
      <c r="AL33" s="27"/>
      <c r="AM33" s="27"/>
      <c r="AN33" s="27"/>
      <c r="AO33" s="27"/>
      <c r="AP33" s="27"/>
      <c r="AQ33" s="27"/>
      <c r="AR33" s="27"/>
      <c r="AS33" s="27"/>
      <c r="AT33" s="27"/>
      <c r="AU33" s="27"/>
      <c r="AV33" s="27"/>
      <c r="AW33" s="27"/>
      <c r="AX33" s="27"/>
    </row>
    <row r="34" ht="22.5" hidden="1" customHeight="1">
      <c r="A34" s="29" t="s">
        <v>440</v>
      </c>
      <c r="B34" s="30">
        <v>37707.0</v>
      </c>
      <c r="C34" s="29" t="s">
        <v>441</v>
      </c>
      <c r="D34" s="31" t="s">
        <v>442</v>
      </c>
      <c r="E34" s="29" t="s">
        <v>61</v>
      </c>
      <c r="F34" s="29" t="s">
        <v>62</v>
      </c>
      <c r="G34" s="32" t="str">
        <f>HYPERLINK("https://api.typeform.com/responses/files/afa1622ddb3fedbe9cc6effde4bfbb8f4eb14b1760b6b17321430f04d043059a/CV___Unity_Developer_Intern__Phạm_Thanh_Phong.pdf")</f>
        <v>https://api.typeform.com/responses/files/afa1622ddb3fedbe9cc6effde4bfbb8f4eb14b1760b6b17321430f04d043059a/CV___Unity_Developer_Intern__Phạm_Thanh_Phong.pdf</v>
      </c>
      <c r="H34" s="29" t="s">
        <v>443</v>
      </c>
      <c r="I34" s="29" t="s">
        <v>444</v>
      </c>
      <c r="J34" s="29" t="s">
        <v>445</v>
      </c>
      <c r="K34" s="29"/>
      <c r="L34" s="29" t="s">
        <v>103</v>
      </c>
      <c r="M34" s="29" t="s">
        <v>446</v>
      </c>
      <c r="N34" s="33">
        <v>46131.0</v>
      </c>
      <c r="O34" s="31" t="s">
        <v>447</v>
      </c>
      <c r="P34" s="32" t="str">
        <f>HYPERLINK("https://api.typeform.com/responses/files/b8b1562d43425dba367af235ec6038d28ddb7a26e29081acc6c76e4ec9ea0154/CV___Unity_Developer_Intern__Phạm_Thanh_Phong.JPG")</f>
        <v>https://api.typeform.com/responses/files/b8b1562d43425dba367af235ec6038d28ddb7a26e29081acc6c76e4ec9ea0154/CV___Unity_Developer_Intern__Phạm_Thanh_Phong.JPG</v>
      </c>
      <c r="Q34" s="29" t="b">
        <v>0</v>
      </c>
      <c r="R34" s="29" t="s">
        <v>448</v>
      </c>
      <c r="S34" s="29" t="s">
        <v>449</v>
      </c>
      <c r="T34" s="29" t="s">
        <v>72</v>
      </c>
      <c r="U34" s="29" t="s">
        <v>72</v>
      </c>
      <c r="V34" s="29" t="s">
        <v>224</v>
      </c>
      <c r="W34" s="29"/>
      <c r="X34" s="29" t="s">
        <v>450</v>
      </c>
      <c r="Y34" s="34">
        <v>46134.75244212963</v>
      </c>
      <c r="Z34" s="29" t="s">
        <v>451</v>
      </c>
      <c r="AA34" s="6">
        <v>1.0</v>
      </c>
      <c r="AB34" s="27"/>
      <c r="AC34" s="27"/>
      <c r="AD34" s="27"/>
      <c r="AE34" s="27"/>
      <c r="AF34" s="27"/>
      <c r="AG34" s="27"/>
      <c r="AH34" s="27"/>
      <c r="AI34" s="27"/>
      <c r="AJ34" s="27"/>
      <c r="AK34" s="27"/>
      <c r="AL34" s="27"/>
      <c r="AM34" s="27"/>
      <c r="AN34" s="27"/>
      <c r="AO34" s="27"/>
      <c r="AP34" s="27"/>
      <c r="AQ34" s="27"/>
      <c r="AR34" s="27"/>
      <c r="AS34" s="27"/>
      <c r="AT34" s="27"/>
      <c r="AU34" s="27"/>
      <c r="AV34" s="27"/>
      <c r="AW34" s="27"/>
      <c r="AX34" s="27"/>
    </row>
    <row r="35" ht="22.5" hidden="1" customHeight="1">
      <c r="A35" s="29" t="s">
        <v>452</v>
      </c>
      <c r="B35" s="30">
        <v>38215.0</v>
      </c>
      <c r="C35" s="29" t="s">
        <v>453</v>
      </c>
      <c r="D35" s="31" t="s">
        <v>454</v>
      </c>
      <c r="E35" s="29" t="s">
        <v>99</v>
      </c>
      <c r="F35" s="29" t="s">
        <v>61</v>
      </c>
      <c r="G35" s="32" t="str">
        <f>HYPERLINK("https://api.typeform.com/responses/files/2fdffa75de17aa16a8fe240047e8508a7042e2e7cc5a196e8da76e94f91ef4b1/NguyenThanhHien.pdf")</f>
        <v>https://api.typeform.com/responses/files/2fdffa75de17aa16a8fe240047e8508a7042e2e7cc5a196e8da76e94f91ef4b1/NguyenThanhHien.pdf</v>
      </c>
      <c r="H35" s="29" t="s">
        <v>455</v>
      </c>
      <c r="I35" s="29" t="s">
        <v>456</v>
      </c>
      <c r="J35" s="29" t="s">
        <v>144</v>
      </c>
      <c r="K35" s="29"/>
      <c r="L35" s="29" t="s">
        <v>103</v>
      </c>
      <c r="M35" s="29" t="s">
        <v>457</v>
      </c>
      <c r="N35" s="33">
        <v>45950.0</v>
      </c>
      <c r="O35" s="31" t="s">
        <v>458</v>
      </c>
      <c r="P35" s="32" t="str">
        <f>HYPERLINK("https://api.typeform.com/responses/files/a6e0d3abf8eb69cad3e142b58af381177c5b4266e7fe4957923348bf4aac3051/Bảng_điểm__FPT_Polytechnic.pdf")</f>
        <v>https://api.typeform.com/responses/files/a6e0d3abf8eb69cad3e142b58af381177c5b4266e7fe4957923348bf4aac3051/Bảng_điểm__FPT_Polytechnic.pdf</v>
      </c>
      <c r="Q35" s="29" t="b">
        <v>1</v>
      </c>
      <c r="R35" s="29" t="s">
        <v>459</v>
      </c>
      <c r="S35" s="29" t="s">
        <v>460</v>
      </c>
      <c r="T35" s="29" t="s">
        <v>72</v>
      </c>
      <c r="U35" s="29" t="s">
        <v>72</v>
      </c>
      <c r="V35" s="29" t="s">
        <v>73</v>
      </c>
      <c r="W35" s="29"/>
      <c r="X35" s="29" t="s">
        <v>461</v>
      </c>
      <c r="Y35" s="34">
        <v>46134.77148148148</v>
      </c>
      <c r="Z35" s="29" t="s">
        <v>462</v>
      </c>
      <c r="AA35" s="6">
        <v>1.0</v>
      </c>
      <c r="AB35" s="27"/>
      <c r="AC35" s="27"/>
      <c r="AD35" s="27"/>
      <c r="AE35" s="27"/>
      <c r="AF35" s="27"/>
      <c r="AG35" s="27"/>
      <c r="AH35" s="27"/>
      <c r="AI35" s="27"/>
      <c r="AJ35" s="27"/>
      <c r="AK35" s="27"/>
      <c r="AL35" s="27"/>
      <c r="AM35" s="27"/>
      <c r="AN35" s="27"/>
      <c r="AO35" s="27"/>
      <c r="AP35" s="27"/>
      <c r="AQ35" s="27"/>
      <c r="AR35" s="27"/>
      <c r="AS35" s="27"/>
      <c r="AT35" s="27"/>
      <c r="AU35" s="27"/>
      <c r="AV35" s="27"/>
      <c r="AW35" s="27"/>
      <c r="AX35" s="27"/>
    </row>
    <row r="36" ht="22.5" hidden="1" customHeight="1">
      <c r="A36" s="29" t="s">
        <v>463</v>
      </c>
      <c r="B36" s="30">
        <v>38571.0</v>
      </c>
      <c r="C36" s="29" t="s">
        <v>464</v>
      </c>
      <c r="D36" s="31" t="s">
        <v>465</v>
      </c>
      <c r="E36" s="29" t="s">
        <v>99</v>
      </c>
      <c r="F36" s="29" t="s">
        <v>61</v>
      </c>
      <c r="G36" s="32" t="str">
        <f>HYPERLINK("https://api.typeform.com/responses/files/00e4398db24a73fd2c58ca0cb2897d491ca8ed70f3c66d903e2b55344e695f72/CV___Game_Design_Intern___Vũ_Trường_Hùng.pdf")</f>
        <v>https://api.typeform.com/responses/files/00e4398db24a73fd2c58ca0cb2897d491ca8ed70f3c66d903e2b55344e695f72/CV___Game_Design_Intern___Vũ_Trường_Hùng.pdf</v>
      </c>
      <c r="H36" s="29" t="s">
        <v>466</v>
      </c>
      <c r="I36" s="29" t="s">
        <v>467</v>
      </c>
      <c r="J36" s="29" t="s">
        <v>468</v>
      </c>
      <c r="K36" s="29"/>
      <c r="L36" s="29" t="s">
        <v>219</v>
      </c>
      <c r="M36" s="29" t="s">
        <v>469</v>
      </c>
      <c r="N36" s="33">
        <v>46335.0</v>
      </c>
      <c r="O36" s="29" t="s">
        <v>470</v>
      </c>
      <c r="P36" s="32" t="str">
        <f>HYPERLINK("https://api.typeform.com/responses/files/8e6c5ea4417ac3f6a729c61e81f8c6700aa35d3cc1c9af0bad0d83516199b8c2/Transcript___Game_Design_Intern___Vũ_Trường_Hùng.pdf")</f>
        <v>https://api.typeform.com/responses/files/8e6c5ea4417ac3f6a729c61e81f8c6700aa35d3cc1c9af0bad0d83516199b8c2/Transcript___Game_Design_Intern___Vũ_Trường_Hùng.pdf</v>
      </c>
      <c r="Q36" s="29" t="b">
        <v>1</v>
      </c>
      <c r="R36" s="29" t="s">
        <v>471</v>
      </c>
      <c r="S36" s="29" t="s">
        <v>472</v>
      </c>
      <c r="T36" s="29" t="s">
        <v>72</v>
      </c>
      <c r="U36" s="29" t="s">
        <v>72</v>
      </c>
      <c r="V36" s="29" t="s">
        <v>473</v>
      </c>
      <c r="W36" s="29"/>
      <c r="X36" s="29" t="s">
        <v>474</v>
      </c>
      <c r="Y36" s="34">
        <v>46134.81685185185</v>
      </c>
      <c r="Z36" s="29" t="s">
        <v>475</v>
      </c>
      <c r="AA36" s="6">
        <v>1.0</v>
      </c>
      <c r="AB36" s="27"/>
      <c r="AC36" s="27"/>
      <c r="AD36" s="27"/>
      <c r="AE36" s="27"/>
      <c r="AF36" s="27"/>
      <c r="AG36" s="27"/>
      <c r="AH36" s="27"/>
      <c r="AI36" s="27"/>
      <c r="AJ36" s="27"/>
      <c r="AK36" s="27"/>
      <c r="AL36" s="27"/>
      <c r="AM36" s="27"/>
      <c r="AN36" s="27"/>
      <c r="AO36" s="27"/>
      <c r="AP36" s="27"/>
      <c r="AQ36" s="27"/>
      <c r="AR36" s="27"/>
      <c r="AS36" s="27"/>
      <c r="AT36" s="27"/>
      <c r="AU36" s="27"/>
      <c r="AV36" s="27"/>
      <c r="AW36" s="27"/>
      <c r="AX36" s="27"/>
    </row>
    <row r="37" ht="22.5" hidden="1" customHeight="1">
      <c r="A37" s="29" t="s">
        <v>476</v>
      </c>
      <c r="B37" s="30">
        <v>37891.0</v>
      </c>
      <c r="C37" s="29" t="s">
        <v>477</v>
      </c>
      <c r="D37" s="31" t="s">
        <v>478</v>
      </c>
      <c r="E37" s="29" t="s">
        <v>61</v>
      </c>
      <c r="F37" s="29" t="s">
        <v>61</v>
      </c>
      <c r="G37" s="32" t="str">
        <f>HYPERLINK("https://api.typeform.com/responses/files/26321aec4288e6e5e6b66a5a410af01356498bc768af76316192413e3ef5a791/CV___Unity_Developer_Intern___Lê_Đình_Thiện.pdf")</f>
        <v>https://api.typeform.com/responses/files/26321aec4288e6e5e6b66a5a410af01356498bc768af76316192413e3ef5a791/CV___Unity_Developer_Intern___Lê_Đình_Thiện.pdf</v>
      </c>
      <c r="H37" s="29" t="s">
        <v>479</v>
      </c>
      <c r="I37" s="29" t="s">
        <v>480</v>
      </c>
      <c r="J37" s="29" t="s">
        <v>65</v>
      </c>
      <c r="K37" s="29" t="s">
        <v>481</v>
      </c>
      <c r="L37" s="29" t="s">
        <v>103</v>
      </c>
      <c r="M37" s="29" t="s">
        <v>482</v>
      </c>
      <c r="N37" s="33">
        <v>46011.0</v>
      </c>
      <c r="O37" s="31" t="s">
        <v>483</v>
      </c>
      <c r="P37" s="32" t="str">
        <f>HYPERLINK("https://api.typeform.com/responses/files/4f7acd8cd9f1fb6e6d09aea2d7944957c9b3da0c0a79b61b74c8dda816ecdbe5/Transcript____Unity_Developer_Intern___Lê_Đình_Thiện.jpg")</f>
        <v>https://api.typeform.com/responses/files/4f7acd8cd9f1fb6e6d09aea2d7944957c9b3da0c0a79b61b74c8dda816ecdbe5/Transcript____Unity_Developer_Intern___Lê_Đình_Thiện.jpg</v>
      </c>
      <c r="Q37" s="29" t="b">
        <v>1</v>
      </c>
      <c r="R37" s="29" t="s">
        <v>484</v>
      </c>
      <c r="S37" s="29" t="s">
        <v>485</v>
      </c>
      <c r="T37" s="29" t="s">
        <v>72</v>
      </c>
      <c r="U37" s="29" t="s">
        <v>72</v>
      </c>
      <c r="V37" s="29" t="s">
        <v>73</v>
      </c>
      <c r="W37" s="29"/>
      <c r="X37" s="29" t="s">
        <v>486</v>
      </c>
      <c r="Y37" s="34">
        <v>46134.83269675926</v>
      </c>
      <c r="Z37" s="29" t="s">
        <v>487</v>
      </c>
      <c r="AA37" s="6">
        <v>1.0</v>
      </c>
      <c r="AB37" s="27"/>
      <c r="AC37" s="27"/>
      <c r="AD37" s="27"/>
      <c r="AE37" s="27"/>
      <c r="AF37" s="27"/>
      <c r="AG37" s="27"/>
      <c r="AH37" s="27"/>
      <c r="AI37" s="27"/>
      <c r="AJ37" s="27"/>
      <c r="AK37" s="27"/>
      <c r="AL37" s="27"/>
      <c r="AM37" s="27"/>
      <c r="AN37" s="27"/>
      <c r="AO37" s="27"/>
      <c r="AP37" s="27"/>
      <c r="AQ37" s="27"/>
      <c r="AR37" s="27"/>
      <c r="AS37" s="27"/>
      <c r="AT37" s="27"/>
      <c r="AU37" s="27"/>
      <c r="AV37" s="27"/>
      <c r="AW37" s="27"/>
      <c r="AX37" s="27"/>
    </row>
    <row r="38" ht="22.5" hidden="1" customHeight="1">
      <c r="A38" s="29" t="s">
        <v>488</v>
      </c>
      <c r="B38" s="30">
        <v>37928.0</v>
      </c>
      <c r="C38" s="29" t="s">
        <v>489</v>
      </c>
      <c r="D38" s="31" t="s">
        <v>490</v>
      </c>
      <c r="E38" s="29" t="s">
        <v>99</v>
      </c>
      <c r="F38" s="29" t="s">
        <v>61</v>
      </c>
      <c r="G38" s="32" t="str">
        <f>HYPERLINK("https://api.typeform.com/responses/files/122d52c5bc08c500f19cd8caa7d4410c0454c6b1cd5146f19975607c1a8087cd/Cv.pdf")</f>
        <v>https://api.typeform.com/responses/files/122d52c5bc08c500f19cd8caa7d4410c0454c6b1cd5146f19975607c1a8087cd/Cv.pdf</v>
      </c>
      <c r="H38" s="29" t="s">
        <v>491</v>
      </c>
      <c r="I38" s="29" t="s">
        <v>492</v>
      </c>
      <c r="J38" s="29" t="s">
        <v>65</v>
      </c>
      <c r="K38" s="29" t="s">
        <v>493</v>
      </c>
      <c r="L38" s="29" t="s">
        <v>67</v>
      </c>
      <c r="M38" s="29" t="s">
        <v>494</v>
      </c>
      <c r="N38" s="33">
        <v>46388.0</v>
      </c>
      <c r="O38" s="29" t="s">
        <v>495</v>
      </c>
      <c r="P38" s="32" t="str">
        <f>HYPERLINK("https://api.typeform.com/responses/files/62eb95305329d9838576d4744feb39ab794350739e79024a34d0da728b02647e/IMG_1720.jpeg")</f>
        <v>https://api.typeform.com/responses/files/62eb95305329d9838576d4744feb39ab794350739e79024a34d0da728b02647e/IMG_1720.jpeg</v>
      </c>
      <c r="Q38" s="29" t="b">
        <v>1</v>
      </c>
      <c r="R38" s="29" t="s">
        <v>496</v>
      </c>
      <c r="S38" s="29" t="s">
        <v>497</v>
      </c>
      <c r="T38" s="29" t="s">
        <v>498</v>
      </c>
      <c r="U38" s="29" t="s">
        <v>72</v>
      </c>
      <c r="V38" s="29" t="s">
        <v>224</v>
      </c>
      <c r="W38" s="29"/>
      <c r="X38" s="29" t="s">
        <v>499</v>
      </c>
      <c r="Y38" s="34">
        <v>46134.8900462963</v>
      </c>
      <c r="Z38" s="29" t="s">
        <v>500</v>
      </c>
      <c r="AA38" s="6">
        <v>1.0</v>
      </c>
      <c r="AB38" s="27"/>
      <c r="AC38" s="27"/>
      <c r="AD38" s="27"/>
      <c r="AE38" s="27"/>
      <c r="AF38" s="27"/>
      <c r="AG38" s="27"/>
      <c r="AH38" s="27"/>
      <c r="AI38" s="27"/>
      <c r="AJ38" s="27"/>
      <c r="AK38" s="27"/>
      <c r="AL38" s="27"/>
      <c r="AM38" s="27"/>
      <c r="AN38" s="27"/>
      <c r="AO38" s="27"/>
      <c r="AP38" s="27"/>
      <c r="AQ38" s="27"/>
      <c r="AR38" s="27"/>
      <c r="AS38" s="27"/>
      <c r="AT38" s="27"/>
      <c r="AU38" s="27"/>
      <c r="AV38" s="27"/>
      <c r="AW38" s="27"/>
      <c r="AX38" s="27"/>
    </row>
    <row r="39" ht="22.5" hidden="1" customHeight="1">
      <c r="A39" s="29" t="s">
        <v>501</v>
      </c>
      <c r="B39" s="30">
        <v>38236.0</v>
      </c>
      <c r="C39" s="29" t="s">
        <v>502</v>
      </c>
      <c r="D39" s="31" t="s">
        <v>503</v>
      </c>
      <c r="E39" s="29" t="s">
        <v>61</v>
      </c>
      <c r="F39" s="29" t="s">
        <v>99</v>
      </c>
      <c r="G39" s="32" t="str">
        <f>HYPERLINK("https://api.typeform.com/responses/files/a2712d76e0a6340a8747f44b67c0ccb542e2c993557b5ea321e52cf750b47418/CV___Game_Development_Intern___Nguyễn_Anh_Tường.pdf")</f>
        <v>https://api.typeform.com/responses/files/a2712d76e0a6340a8747f44b67c0ccb542e2c993557b5ea321e52cf750b47418/CV___Game_Development_Intern___Nguyễn_Anh_Tường.pdf</v>
      </c>
      <c r="H39" s="29" t="s">
        <v>504</v>
      </c>
      <c r="I39" s="29" t="s">
        <v>505</v>
      </c>
      <c r="J39" s="29" t="s">
        <v>65</v>
      </c>
      <c r="K39" s="29" t="s">
        <v>506</v>
      </c>
      <c r="L39" s="29" t="s">
        <v>67</v>
      </c>
      <c r="M39" s="29" t="s">
        <v>132</v>
      </c>
      <c r="N39" s="33">
        <v>46336.0</v>
      </c>
      <c r="O39" s="31" t="s">
        <v>147</v>
      </c>
      <c r="P39" s="32" t="str">
        <f>HYPERLINK("https://api.typeform.com/responses/files/50511fecc58f8658467cbe03ad28330c1c26e5238b0fafbee680021fd2887584/Transcript___Unity_Development_Intern___Nguyễn_Anh_Tường.png")</f>
        <v>https://api.typeform.com/responses/files/50511fecc58f8658467cbe03ad28330c1c26e5238b0fafbee680021fd2887584/Transcript___Unity_Development_Intern___Nguyễn_Anh_Tường.png</v>
      </c>
      <c r="Q39" s="29" t="b">
        <v>1</v>
      </c>
      <c r="R39" s="29" t="s">
        <v>507</v>
      </c>
      <c r="S39" s="29" t="s">
        <v>508</v>
      </c>
      <c r="T39" s="29" t="s">
        <v>72</v>
      </c>
      <c r="U39" s="29" t="s">
        <v>72</v>
      </c>
      <c r="V39" s="29" t="s">
        <v>236</v>
      </c>
      <c r="W39" s="29"/>
      <c r="X39" s="29" t="s">
        <v>509</v>
      </c>
      <c r="Y39" s="34">
        <v>46134.99296296296</v>
      </c>
      <c r="Z39" s="29" t="s">
        <v>510</v>
      </c>
      <c r="AA39" s="6">
        <v>1.0</v>
      </c>
      <c r="AB39" s="27"/>
      <c r="AC39" s="27"/>
      <c r="AD39" s="27"/>
      <c r="AE39" s="27"/>
      <c r="AF39" s="27"/>
      <c r="AG39" s="27"/>
      <c r="AH39" s="27"/>
      <c r="AI39" s="27"/>
      <c r="AJ39" s="27"/>
      <c r="AK39" s="27"/>
      <c r="AL39" s="27"/>
      <c r="AM39" s="27"/>
      <c r="AN39" s="27"/>
      <c r="AO39" s="27"/>
      <c r="AP39" s="27"/>
      <c r="AQ39" s="27"/>
      <c r="AR39" s="27"/>
      <c r="AS39" s="27"/>
      <c r="AT39" s="27"/>
      <c r="AU39" s="27"/>
      <c r="AV39" s="27"/>
      <c r="AW39" s="27"/>
      <c r="AX39" s="27"/>
    </row>
    <row r="40" ht="22.5" hidden="1" customHeight="1">
      <c r="A40" s="29" t="s">
        <v>511</v>
      </c>
      <c r="B40" s="30">
        <v>38001.0</v>
      </c>
      <c r="C40" s="29" t="s">
        <v>512</v>
      </c>
      <c r="D40" s="31" t="s">
        <v>513</v>
      </c>
      <c r="E40" s="29" t="s">
        <v>62</v>
      </c>
      <c r="F40" s="29" t="s">
        <v>82</v>
      </c>
      <c r="G40" s="32" t="str">
        <f>HYPERLINK("https://api.typeform.com/responses/files/cbff5534cc3b2e0025b9480516547d65b020ba3f79473917fa1bbf65567763b4/CV___Data_Analysis_Intern___Võ_Ngọc_Duy.pdf")</f>
        <v>https://api.typeform.com/responses/files/cbff5534cc3b2e0025b9480516547d65b020ba3f79473917fa1bbf65567763b4/CV___Data_Analysis_Intern___Võ_Ngọc_Duy.pdf</v>
      </c>
      <c r="H40" s="29" t="s">
        <v>514</v>
      </c>
      <c r="I40" s="29" t="s">
        <v>515</v>
      </c>
      <c r="J40" s="29" t="s">
        <v>468</v>
      </c>
      <c r="K40" s="29"/>
      <c r="L40" s="29" t="s">
        <v>103</v>
      </c>
      <c r="M40" s="29" t="s">
        <v>132</v>
      </c>
      <c r="N40" s="33">
        <v>46143.0</v>
      </c>
      <c r="O40" s="31" t="s">
        <v>118</v>
      </c>
      <c r="P40" s="32" t="str">
        <f>HYPERLINK("https://api.typeform.com/responses/files/dd6850e19856682ebf44057545d6322d95f861ef2526e22a64bae0e19d093ff2/Transcript___Data_Analysis_Intern___Võ_Ngọc_Duy.pdf")</f>
        <v>https://api.typeform.com/responses/files/dd6850e19856682ebf44057545d6322d95f861ef2526e22a64bae0e19d093ff2/Transcript___Data_Analysis_Intern___Võ_Ngọc_Duy.pdf</v>
      </c>
      <c r="Q40" s="29" t="b">
        <v>0</v>
      </c>
      <c r="R40" s="29" t="s">
        <v>268</v>
      </c>
      <c r="S40" s="29" t="s">
        <v>516</v>
      </c>
      <c r="T40" s="29" t="s">
        <v>72</v>
      </c>
      <c r="U40" s="29" t="s">
        <v>72</v>
      </c>
      <c r="V40" s="29" t="s">
        <v>90</v>
      </c>
      <c r="W40" s="29"/>
      <c r="X40" s="29" t="s">
        <v>318</v>
      </c>
      <c r="Y40" s="34">
        <v>46135.056759259256</v>
      </c>
      <c r="Z40" s="29" t="s">
        <v>517</v>
      </c>
      <c r="AA40" s="6">
        <v>1.0</v>
      </c>
      <c r="AB40" s="27"/>
      <c r="AC40" s="27"/>
      <c r="AD40" s="27"/>
      <c r="AE40" s="27"/>
      <c r="AF40" s="27"/>
      <c r="AG40" s="27"/>
      <c r="AH40" s="27"/>
      <c r="AI40" s="27"/>
      <c r="AJ40" s="27"/>
      <c r="AK40" s="27"/>
      <c r="AL40" s="27"/>
      <c r="AM40" s="27"/>
      <c r="AN40" s="27"/>
      <c r="AO40" s="27"/>
      <c r="AP40" s="27"/>
      <c r="AQ40" s="27"/>
      <c r="AR40" s="27"/>
      <c r="AS40" s="27"/>
      <c r="AT40" s="27"/>
      <c r="AU40" s="27"/>
      <c r="AV40" s="27"/>
      <c r="AW40" s="27"/>
      <c r="AX40" s="27"/>
    </row>
    <row r="41" ht="22.5" hidden="1" customHeight="1">
      <c r="A41" s="29" t="s">
        <v>518</v>
      </c>
      <c r="B41" s="30">
        <v>38689.0</v>
      </c>
      <c r="C41" s="29" t="s">
        <v>519</v>
      </c>
      <c r="D41" s="31" t="s">
        <v>520</v>
      </c>
      <c r="E41" s="29" t="s">
        <v>99</v>
      </c>
      <c r="F41" s="29" t="s">
        <v>99</v>
      </c>
      <c r="G41" s="32" t="str">
        <f>HYPERLINK("https://api.typeform.com/responses/files/07a99ccdb8398dbd6eafa8a72d0489ae9d3c4eaf2139e3241422268a5d51cee9/DinhThanhTung_CV_en_GameDesign.pdf")</f>
        <v>https://api.typeform.com/responses/files/07a99ccdb8398dbd6eafa8a72d0489ae9d3c4eaf2139e3241422268a5d51cee9/DinhThanhTung_CV_en_GameDesign.pdf</v>
      </c>
      <c r="H41" s="29" t="s">
        <v>521</v>
      </c>
      <c r="I41" s="29" t="s">
        <v>522</v>
      </c>
      <c r="J41" s="29" t="s">
        <v>85</v>
      </c>
      <c r="K41" s="29"/>
      <c r="L41" s="29" t="s">
        <v>219</v>
      </c>
      <c r="M41" s="29" t="s">
        <v>446</v>
      </c>
      <c r="N41" s="33">
        <v>46573.0</v>
      </c>
      <c r="O41" s="31" t="s">
        <v>523</v>
      </c>
      <c r="P41" s="32" t="str">
        <f>HYPERLINK("https://api.typeform.com/responses/files/fece274dc73e25ad7a4def9371339d35e70a4e18ed7fe7148d03b46c0860de84/Transcript___Game_Design_Intern___Đinh_Thanh_Tùng.pdf")</f>
        <v>https://api.typeform.com/responses/files/fece274dc73e25ad7a4def9371339d35e70a4e18ed7fe7148d03b46c0860de84/Transcript___Game_Design_Intern___Đinh_Thanh_Tùng.pdf</v>
      </c>
      <c r="Q41" s="29" t="b">
        <v>1</v>
      </c>
      <c r="R41" s="29" t="s">
        <v>524</v>
      </c>
      <c r="S41" s="29" t="s">
        <v>525</v>
      </c>
      <c r="T41" s="29" t="s">
        <v>72</v>
      </c>
      <c r="U41" s="29" t="s">
        <v>72</v>
      </c>
      <c r="V41" s="29" t="s">
        <v>269</v>
      </c>
      <c r="W41" s="29"/>
      <c r="X41" s="29" t="s">
        <v>526</v>
      </c>
      <c r="Y41" s="34">
        <v>46135.08146990741</v>
      </c>
      <c r="Z41" s="29" t="s">
        <v>527</v>
      </c>
      <c r="AA41" s="6">
        <v>1.0</v>
      </c>
      <c r="AB41" s="27"/>
      <c r="AC41" s="27"/>
      <c r="AD41" s="27"/>
      <c r="AE41" s="27"/>
      <c r="AF41" s="27"/>
      <c r="AG41" s="27"/>
      <c r="AH41" s="27"/>
      <c r="AI41" s="27"/>
      <c r="AJ41" s="27"/>
      <c r="AK41" s="27"/>
      <c r="AL41" s="27"/>
      <c r="AM41" s="27"/>
      <c r="AN41" s="27"/>
      <c r="AO41" s="27"/>
      <c r="AP41" s="27"/>
      <c r="AQ41" s="27"/>
      <c r="AR41" s="27"/>
      <c r="AS41" s="27"/>
      <c r="AT41" s="27"/>
      <c r="AU41" s="27"/>
      <c r="AV41" s="27"/>
      <c r="AW41" s="27"/>
      <c r="AX41" s="27"/>
    </row>
    <row r="42" ht="22.5" hidden="1" customHeight="1">
      <c r="A42" s="29" t="s">
        <v>528</v>
      </c>
      <c r="B42" s="30">
        <v>38752.0</v>
      </c>
      <c r="C42" s="29" t="s">
        <v>529</v>
      </c>
      <c r="D42" s="31" t="s">
        <v>530</v>
      </c>
      <c r="E42" s="29" t="s">
        <v>62</v>
      </c>
      <c r="F42" s="29" t="s">
        <v>61</v>
      </c>
      <c r="G42" s="32" t="str">
        <f>HYPERLINK("https://api.typeform.com/responses/files/325a572c62882f7c0c56fec8f7042ee4997f259f608a3992d151c24b0527ef6b/KietTrinh_CV.pdf")</f>
        <v>https://api.typeform.com/responses/files/325a572c62882f7c0c56fec8f7042ee4997f259f608a3992d151c24b0527ef6b/KietTrinh_CV.pdf</v>
      </c>
      <c r="H42" s="29" t="s">
        <v>531</v>
      </c>
      <c r="I42" s="29" t="s">
        <v>532</v>
      </c>
      <c r="J42" s="29" t="s">
        <v>326</v>
      </c>
      <c r="K42" s="29"/>
      <c r="L42" s="29" t="s">
        <v>169</v>
      </c>
      <c r="M42" s="29" t="s">
        <v>399</v>
      </c>
      <c r="N42" s="33">
        <v>46973.0</v>
      </c>
      <c r="O42" s="31" t="s">
        <v>533</v>
      </c>
      <c r="P42" s="32" t="str">
        <f>HYPERLINK("https://api.typeform.com/responses/files/eabe5a8c7d55ada8725f2ed3f1b85f51c540499ed7ee532bc1f641da2c62b8b9/KietTrinh_GPA.pdf")</f>
        <v>https://api.typeform.com/responses/files/eabe5a8c7d55ada8725f2ed3f1b85f51c540499ed7ee532bc1f641da2c62b8b9/KietTrinh_GPA.pdf</v>
      </c>
      <c r="Q42" s="29" t="b">
        <v>1</v>
      </c>
      <c r="R42" s="29" t="s">
        <v>534</v>
      </c>
      <c r="S42" s="29" t="s">
        <v>535</v>
      </c>
      <c r="T42" s="29" t="s">
        <v>72</v>
      </c>
      <c r="U42" s="29" t="s">
        <v>72</v>
      </c>
      <c r="V42" s="29" t="s">
        <v>73</v>
      </c>
      <c r="W42" s="29"/>
      <c r="X42" s="29"/>
      <c r="Y42" s="34">
        <v>46135.091215277775</v>
      </c>
      <c r="Z42" s="29" t="s">
        <v>536</v>
      </c>
      <c r="AA42" s="6">
        <v>1.0</v>
      </c>
      <c r="AB42" s="27"/>
      <c r="AC42" s="27"/>
      <c r="AD42" s="27"/>
      <c r="AE42" s="27"/>
      <c r="AF42" s="27"/>
      <c r="AG42" s="27"/>
      <c r="AH42" s="27"/>
      <c r="AI42" s="27"/>
      <c r="AJ42" s="27"/>
      <c r="AK42" s="27"/>
      <c r="AL42" s="27"/>
      <c r="AM42" s="27"/>
      <c r="AN42" s="27"/>
      <c r="AO42" s="27"/>
      <c r="AP42" s="27"/>
      <c r="AQ42" s="27"/>
      <c r="AR42" s="27"/>
      <c r="AS42" s="27"/>
      <c r="AT42" s="27"/>
      <c r="AU42" s="27"/>
      <c r="AV42" s="27"/>
      <c r="AW42" s="27"/>
      <c r="AX42" s="27"/>
    </row>
    <row r="43" ht="22.5" hidden="1" customHeight="1">
      <c r="A43" s="29" t="s">
        <v>537</v>
      </c>
      <c r="B43" s="30">
        <v>38070.0</v>
      </c>
      <c r="C43" s="29" t="s">
        <v>538</v>
      </c>
      <c r="D43" s="31" t="s">
        <v>539</v>
      </c>
      <c r="E43" s="29" t="s">
        <v>62</v>
      </c>
      <c r="F43" s="29" t="s">
        <v>62</v>
      </c>
      <c r="G43" s="32" t="str">
        <f>HYPERLINK("https://api.typeform.com/responses/files/5f7eac26ce7d1cbe704b1fe99586b7985924abda4647d6ebea0735ad7ed22139/CV___AI_Engineer_Intern___Huỳnh_Cao_Tuấn_Kiệt.pdf")</f>
        <v>https://api.typeform.com/responses/files/5f7eac26ce7d1cbe704b1fe99586b7985924abda4647d6ebea0735ad7ed22139/CV___AI_Engineer_Intern___Huỳnh_Cao_Tuấn_Kiệt.pdf</v>
      </c>
      <c r="H43" s="29" t="s">
        <v>540</v>
      </c>
      <c r="I43" s="29" t="s">
        <v>541</v>
      </c>
      <c r="J43" s="29" t="s">
        <v>326</v>
      </c>
      <c r="K43" s="29"/>
      <c r="L43" s="29" t="s">
        <v>67</v>
      </c>
      <c r="M43" s="29" t="s">
        <v>399</v>
      </c>
      <c r="N43" s="33">
        <v>46357.0</v>
      </c>
      <c r="O43" s="31" t="s">
        <v>542</v>
      </c>
      <c r="P43" s="32" t="str">
        <f>HYPERLINK("https://api.typeform.com/responses/files/710d7818c82ed0f2570ceef6cb6558889d787aa384429200d329f818bcbe16b0/Transcript___AI_Engineer_Intern___Huỳnh_Cao_Tuấn_Kiệt.pdf")</f>
        <v>https://api.typeform.com/responses/files/710d7818c82ed0f2570ceef6cb6558889d787aa384429200d329f818bcbe16b0/Transcript___AI_Engineer_Intern___Huỳnh_Cao_Tuấn_Kiệt.pdf</v>
      </c>
      <c r="Q43" s="29" t="b">
        <v>1</v>
      </c>
      <c r="R43" s="29" t="s">
        <v>543</v>
      </c>
      <c r="S43" s="29" t="s">
        <v>401</v>
      </c>
      <c r="T43" s="29" t="s">
        <v>72</v>
      </c>
      <c r="U43" s="29" t="s">
        <v>72</v>
      </c>
      <c r="V43" s="29" t="s">
        <v>544</v>
      </c>
      <c r="W43" s="29"/>
      <c r="X43" s="29"/>
      <c r="Y43" s="34">
        <v>46135.09428240741</v>
      </c>
      <c r="Z43" s="29" t="s">
        <v>545</v>
      </c>
      <c r="AA43" s="6">
        <v>1.0</v>
      </c>
      <c r="AB43" s="27"/>
      <c r="AC43" s="27"/>
      <c r="AD43" s="27"/>
      <c r="AE43" s="27"/>
      <c r="AF43" s="27"/>
      <c r="AG43" s="27"/>
      <c r="AH43" s="27"/>
      <c r="AI43" s="27"/>
      <c r="AJ43" s="27"/>
      <c r="AK43" s="27"/>
      <c r="AL43" s="27"/>
      <c r="AM43" s="27"/>
      <c r="AN43" s="27"/>
      <c r="AO43" s="27"/>
      <c r="AP43" s="27"/>
      <c r="AQ43" s="27"/>
      <c r="AR43" s="27"/>
      <c r="AS43" s="27"/>
      <c r="AT43" s="27"/>
      <c r="AU43" s="27"/>
      <c r="AV43" s="27"/>
      <c r="AW43" s="27"/>
      <c r="AX43" s="27"/>
    </row>
    <row r="44" ht="22.5" hidden="1" customHeight="1">
      <c r="A44" s="29" t="s">
        <v>546</v>
      </c>
      <c r="B44" s="30">
        <v>37316.0</v>
      </c>
      <c r="C44" s="29" t="s">
        <v>547</v>
      </c>
      <c r="D44" s="31" t="s">
        <v>548</v>
      </c>
      <c r="E44" s="29" t="s">
        <v>62</v>
      </c>
      <c r="F44" s="29" t="s">
        <v>99</v>
      </c>
      <c r="G44" s="32" t="str">
        <f>HYPERLINK("https://api.typeform.com/responses/files/d93aa58561292d0ae9161191c5d412fcc6723e8227878a2b0045b9a78ed1875e/CV_Son_ENG.pdf")</f>
        <v>https://api.typeform.com/responses/files/d93aa58561292d0ae9161191c5d412fcc6723e8227878a2b0045b9a78ed1875e/CV_Son_ENG.pdf</v>
      </c>
      <c r="H44" s="29" t="s">
        <v>549</v>
      </c>
      <c r="I44" s="29" t="s">
        <v>550</v>
      </c>
      <c r="J44" s="29" t="s">
        <v>326</v>
      </c>
      <c r="K44" s="29"/>
      <c r="L44" s="29" t="s">
        <v>67</v>
      </c>
      <c r="M44" s="29" t="s">
        <v>551</v>
      </c>
      <c r="N44" s="33">
        <v>46173.0</v>
      </c>
      <c r="O44" s="31" t="s">
        <v>159</v>
      </c>
      <c r="P44" s="32" t="str">
        <f>HYPERLINK("https://api.typeform.com/responses/files/dd321eee0cdcba6e3d2f48f539481a837df44e45e6bda0b46ea2ff5d7edbb5ec/Transcript___AI_Engineering_Intern____Nguyen_Le_Son.pdf")</f>
        <v>https://api.typeform.com/responses/files/dd321eee0cdcba6e3d2f48f539481a837df44e45e6bda0b46ea2ff5d7edbb5ec/Transcript___AI_Engineering_Intern____Nguyen_Le_Son.pdf</v>
      </c>
      <c r="Q44" s="29" t="b">
        <v>0</v>
      </c>
      <c r="R44" s="29" t="s">
        <v>552</v>
      </c>
      <c r="S44" s="29" t="s">
        <v>553</v>
      </c>
      <c r="T44" s="29" t="s">
        <v>72</v>
      </c>
      <c r="U44" s="29" t="s">
        <v>72</v>
      </c>
      <c r="V44" s="29" t="s">
        <v>269</v>
      </c>
      <c r="W44" s="29"/>
      <c r="X44" s="29"/>
      <c r="Y44" s="34">
        <v>46135.10155092592</v>
      </c>
      <c r="Z44" s="29" t="s">
        <v>554</v>
      </c>
      <c r="AA44" s="6">
        <v>1.0</v>
      </c>
      <c r="AB44" s="27"/>
      <c r="AC44" s="27"/>
      <c r="AD44" s="27"/>
      <c r="AE44" s="27"/>
      <c r="AF44" s="27"/>
      <c r="AG44" s="27"/>
      <c r="AH44" s="27"/>
      <c r="AI44" s="27"/>
      <c r="AJ44" s="27"/>
      <c r="AK44" s="27"/>
      <c r="AL44" s="27"/>
      <c r="AM44" s="27"/>
      <c r="AN44" s="27"/>
      <c r="AO44" s="27"/>
      <c r="AP44" s="27"/>
      <c r="AQ44" s="27"/>
      <c r="AR44" s="27"/>
      <c r="AS44" s="27"/>
      <c r="AT44" s="27"/>
      <c r="AU44" s="27"/>
      <c r="AV44" s="27"/>
      <c r="AW44" s="27"/>
      <c r="AX44" s="27"/>
    </row>
    <row r="45" ht="22.5" hidden="1" customHeight="1">
      <c r="A45" s="29" t="s">
        <v>555</v>
      </c>
      <c r="B45" s="30">
        <v>38419.0</v>
      </c>
      <c r="C45" s="29" t="s">
        <v>556</v>
      </c>
      <c r="D45" s="31" t="s">
        <v>557</v>
      </c>
      <c r="E45" s="29" t="s">
        <v>62</v>
      </c>
      <c r="F45" s="29" t="s">
        <v>82</v>
      </c>
      <c r="G45" s="32" t="str">
        <f>HYPERLINK("https://api.typeform.com/responses/files/0ba3d4016feebbfded743f5ec0b0d122b935a33de8f731f54ea23da8ecded209/CV___AI_Engineering_Intern___Phan_Đức_Anh.pdf")</f>
        <v>https://api.typeform.com/responses/files/0ba3d4016feebbfded743f5ec0b0d122b935a33de8f731f54ea23da8ecded209/CV___AI_Engineering_Intern___Phan_Đức_Anh.pdf</v>
      </c>
      <c r="H45" s="29" t="s">
        <v>558</v>
      </c>
      <c r="I45" s="29" t="s">
        <v>559</v>
      </c>
      <c r="J45" s="29" t="s">
        <v>85</v>
      </c>
      <c r="K45" s="29"/>
      <c r="L45" s="29" t="s">
        <v>219</v>
      </c>
      <c r="M45" s="29" t="s">
        <v>560</v>
      </c>
      <c r="N45" s="33">
        <v>46512.0</v>
      </c>
      <c r="O45" s="29" t="s">
        <v>561</v>
      </c>
      <c r="P45" s="32" t="str">
        <f>HYPERLINK("https://api.typeform.com/responses/files/5e922b8ef8531452826f7f70c7f6b0685e4494aa8c063924ee8caa7e52eee1bd/Kết_quả_học_tập.mhtml")</f>
        <v>https://api.typeform.com/responses/files/5e922b8ef8531452826f7f70c7f6b0685e4494aa8c063924ee8caa7e52eee1bd/Kết_quả_học_tập.mhtml</v>
      </c>
      <c r="Q45" s="29" t="b">
        <v>1</v>
      </c>
      <c r="R45" s="29" t="s">
        <v>562</v>
      </c>
      <c r="S45" s="29" t="s">
        <v>563</v>
      </c>
      <c r="T45" s="29" t="s">
        <v>72</v>
      </c>
      <c r="U45" s="29" t="s">
        <v>72</v>
      </c>
      <c r="V45" s="29" t="s">
        <v>73</v>
      </c>
      <c r="W45" s="29"/>
      <c r="X45" s="29"/>
      <c r="Y45" s="34">
        <v>46135.10773148148</v>
      </c>
      <c r="Z45" s="29" t="s">
        <v>564</v>
      </c>
      <c r="AA45" s="6">
        <v>1.0</v>
      </c>
      <c r="AB45" s="27"/>
      <c r="AC45" s="27"/>
      <c r="AD45" s="27"/>
      <c r="AE45" s="27"/>
      <c r="AF45" s="27"/>
      <c r="AG45" s="27"/>
      <c r="AH45" s="27"/>
      <c r="AI45" s="27"/>
      <c r="AJ45" s="27"/>
      <c r="AK45" s="27"/>
      <c r="AL45" s="27"/>
      <c r="AM45" s="27"/>
      <c r="AN45" s="27"/>
      <c r="AO45" s="27"/>
      <c r="AP45" s="27"/>
      <c r="AQ45" s="27"/>
      <c r="AR45" s="27"/>
      <c r="AS45" s="27"/>
      <c r="AT45" s="27"/>
      <c r="AU45" s="27"/>
      <c r="AV45" s="27"/>
      <c r="AW45" s="27"/>
      <c r="AX45" s="27"/>
    </row>
    <row r="46" ht="22.5" hidden="1" customHeight="1">
      <c r="A46" s="29" t="s">
        <v>565</v>
      </c>
      <c r="B46" s="30">
        <v>38354.0</v>
      </c>
      <c r="C46" s="29" t="s">
        <v>566</v>
      </c>
      <c r="D46" s="31" t="s">
        <v>567</v>
      </c>
      <c r="E46" s="29" t="s">
        <v>62</v>
      </c>
      <c r="F46" s="29" t="s">
        <v>82</v>
      </c>
      <c r="G46" s="32" t="str">
        <f>HYPERLINK("https://api.typeform.com/responses/files/7b7232dff254e35815a10437c391022d2aa2772abdf0d0b0994574c5bf008565/CV___AI_Engineer_Intern___Luu_Thuong_Hong.pdf")</f>
        <v>https://api.typeform.com/responses/files/7b7232dff254e35815a10437c391022d2aa2772abdf0d0b0994574c5bf008565/CV___AI_Engineer_Intern___Luu_Thuong_Hong.pdf</v>
      </c>
      <c r="H46" s="29" t="s">
        <v>568</v>
      </c>
      <c r="I46" s="29" t="s">
        <v>569</v>
      </c>
      <c r="J46" s="29" t="s">
        <v>326</v>
      </c>
      <c r="K46" s="29"/>
      <c r="L46" s="29" t="s">
        <v>219</v>
      </c>
      <c r="M46" s="29" t="s">
        <v>570</v>
      </c>
      <c r="N46" s="33">
        <v>46645.0</v>
      </c>
      <c r="O46" s="31" t="s">
        <v>571</v>
      </c>
      <c r="P46" s="32" t="str">
        <f>HYPERLINK("https://api.typeform.com/responses/files/eb90ca399fc88793c7d791fa6aa159fe77e71423f9f46cbe75fcc28e6e963ed5/Transcript___AI_Engineer_Intern___Luu_Thuong_Hong.pdf")</f>
        <v>https://api.typeform.com/responses/files/eb90ca399fc88793c7d791fa6aa159fe77e71423f9f46cbe75fcc28e6e963ed5/Transcript___AI_Engineer_Intern___Luu_Thuong_Hong.pdf</v>
      </c>
      <c r="Q46" s="29" t="b">
        <v>1</v>
      </c>
      <c r="R46" s="29" t="s">
        <v>572</v>
      </c>
      <c r="S46" s="29" t="s">
        <v>573</v>
      </c>
      <c r="T46" s="29" t="s">
        <v>72</v>
      </c>
      <c r="U46" s="29" t="s">
        <v>72</v>
      </c>
      <c r="V46" s="29" t="s">
        <v>269</v>
      </c>
      <c r="W46" s="29"/>
      <c r="X46" s="29" t="s">
        <v>574</v>
      </c>
      <c r="Y46" s="34">
        <v>46135.10805555555</v>
      </c>
      <c r="Z46" s="29" t="s">
        <v>575</v>
      </c>
      <c r="AA46" s="6">
        <v>1.0</v>
      </c>
      <c r="AB46" s="27"/>
      <c r="AC46" s="27"/>
      <c r="AD46" s="27"/>
      <c r="AE46" s="27"/>
      <c r="AF46" s="27"/>
      <c r="AG46" s="27"/>
      <c r="AH46" s="27"/>
      <c r="AI46" s="27"/>
      <c r="AJ46" s="27"/>
      <c r="AK46" s="27"/>
      <c r="AL46" s="27"/>
      <c r="AM46" s="27"/>
      <c r="AN46" s="27"/>
      <c r="AO46" s="27"/>
      <c r="AP46" s="27"/>
      <c r="AQ46" s="27"/>
      <c r="AR46" s="27"/>
      <c r="AS46" s="27"/>
      <c r="AT46" s="27"/>
      <c r="AU46" s="27"/>
      <c r="AV46" s="27"/>
      <c r="AW46" s="27"/>
      <c r="AX46" s="27"/>
    </row>
    <row r="47" ht="22.5" hidden="1" customHeight="1">
      <c r="A47" s="29" t="s">
        <v>576</v>
      </c>
      <c r="B47" s="30">
        <v>38233.0</v>
      </c>
      <c r="C47" s="29" t="s">
        <v>577</v>
      </c>
      <c r="D47" s="31" t="s">
        <v>578</v>
      </c>
      <c r="E47" s="29" t="s">
        <v>82</v>
      </c>
      <c r="F47" s="29" t="s">
        <v>127</v>
      </c>
      <c r="G47" s="32" t="str">
        <f>HYPERLINK("https://api.typeform.com/responses/files/51978201fbd73caf36fa7569a5e49fabddce41a7fe129938d7f366190f818773/CV___Data_Analysis_Intern___Nguyễn_Hoàng_Vũ.pdf")</f>
        <v>https://api.typeform.com/responses/files/51978201fbd73caf36fa7569a5e49fabddce41a7fe129938d7f366190f818773/CV___Data_Analysis_Intern___Nguyễn_Hoàng_Vũ.pdf</v>
      </c>
      <c r="H47" s="29" t="s">
        <v>579</v>
      </c>
      <c r="I47" s="29" t="s">
        <v>580</v>
      </c>
      <c r="J47" s="29" t="s">
        <v>326</v>
      </c>
      <c r="K47" s="29"/>
      <c r="L47" s="29" t="s">
        <v>67</v>
      </c>
      <c r="M47" s="29" t="s">
        <v>581</v>
      </c>
      <c r="N47" s="33">
        <v>46357.0</v>
      </c>
      <c r="O47" s="31" t="s">
        <v>233</v>
      </c>
      <c r="P47" s="32" t="str">
        <f>HYPERLINK("https://api.typeform.com/responses/files/7a28bb2fd138bcaeead11add7689ed1690682546f3e088c177a277cbba8131c5/Transcript___Data_Analysis_Intern___Nguyễn_Hoàng_Vũ.pdf")</f>
        <v>https://api.typeform.com/responses/files/7a28bb2fd138bcaeead11add7689ed1690682546f3e088c177a277cbba8131c5/Transcript___Data_Analysis_Intern___Nguyễn_Hoàng_Vũ.pdf</v>
      </c>
      <c r="Q47" s="29" t="b">
        <v>1</v>
      </c>
      <c r="R47" s="29" t="s">
        <v>582</v>
      </c>
      <c r="S47" s="29" t="s">
        <v>583</v>
      </c>
      <c r="T47" s="29" t="s">
        <v>72</v>
      </c>
      <c r="U47" s="29" t="s">
        <v>72</v>
      </c>
      <c r="V47" s="29" t="s">
        <v>73</v>
      </c>
      <c r="W47" s="29"/>
      <c r="X47" s="29"/>
      <c r="Y47" s="34">
        <v>46135.10922453704</v>
      </c>
      <c r="Z47" s="29" t="s">
        <v>584</v>
      </c>
      <c r="AA47" s="6">
        <v>1.0</v>
      </c>
      <c r="AB47" s="27"/>
      <c r="AC47" s="27"/>
      <c r="AD47" s="27"/>
      <c r="AE47" s="27"/>
      <c r="AF47" s="27"/>
      <c r="AG47" s="27"/>
      <c r="AH47" s="27"/>
      <c r="AI47" s="27"/>
      <c r="AJ47" s="27"/>
      <c r="AK47" s="27"/>
      <c r="AL47" s="27"/>
      <c r="AM47" s="27"/>
      <c r="AN47" s="27"/>
      <c r="AO47" s="27"/>
      <c r="AP47" s="27"/>
      <c r="AQ47" s="27"/>
      <c r="AR47" s="27"/>
      <c r="AS47" s="27"/>
      <c r="AT47" s="27"/>
      <c r="AU47" s="27"/>
      <c r="AV47" s="27"/>
      <c r="AW47" s="27"/>
      <c r="AX47" s="27"/>
    </row>
    <row r="48" ht="22.5" hidden="1" customHeight="1">
      <c r="A48" s="29" t="s">
        <v>585</v>
      </c>
      <c r="B48" s="30">
        <v>38273.0</v>
      </c>
      <c r="C48" s="29" t="s">
        <v>586</v>
      </c>
      <c r="D48" s="31" t="s">
        <v>587</v>
      </c>
      <c r="E48" s="29" t="s">
        <v>82</v>
      </c>
      <c r="F48" s="29"/>
      <c r="G48" s="32" t="str">
        <f>HYPERLINK("https://api.typeform.com/responses/files/fe49c1215d88cda299c1fae7b1b00f72a205be6b86a134e8e5814bde4c3d65ce/CV_Data_Analyst_Intern_Tang_Thi_Van.pdf")</f>
        <v>https://api.typeform.com/responses/files/fe49c1215d88cda299c1fae7b1b00f72a205be6b86a134e8e5814bde4c3d65ce/CV_Data_Analyst_Intern_Tang_Thi_Van.pdf</v>
      </c>
      <c r="H48" s="29" t="s">
        <v>588</v>
      </c>
      <c r="I48" s="29" t="s">
        <v>589</v>
      </c>
      <c r="J48" s="29" t="s">
        <v>326</v>
      </c>
      <c r="K48" s="29"/>
      <c r="L48" s="29" t="s">
        <v>67</v>
      </c>
      <c r="M48" s="29" t="s">
        <v>590</v>
      </c>
      <c r="N48" s="33">
        <v>46318.0</v>
      </c>
      <c r="O48" s="31" t="s">
        <v>591</v>
      </c>
      <c r="P48" s="32" t="str">
        <f>HYPERLINK("https://api.typeform.com/responses/files/67b9e14e91162e6dc26b7f01b8bf93c176ca1aafb0b0c20f3c7c2635e3a6bb2f/Transcript___Data_Analyst_Intern___Tang_Thi_Van.pdf")</f>
        <v>https://api.typeform.com/responses/files/67b9e14e91162e6dc26b7f01b8bf93c176ca1aafb0b0c20f3c7c2635e3a6bb2f/Transcript___Data_Analyst_Intern___Tang_Thi_Van.pdf</v>
      </c>
      <c r="Q48" s="29" t="b">
        <v>1</v>
      </c>
      <c r="R48" s="29" t="s">
        <v>592</v>
      </c>
      <c r="S48" s="29" t="s">
        <v>593</v>
      </c>
      <c r="T48" s="29" t="s">
        <v>72</v>
      </c>
      <c r="U48" s="29" t="s">
        <v>72</v>
      </c>
      <c r="V48" s="29" t="s">
        <v>594</v>
      </c>
      <c r="W48" s="29"/>
      <c r="X48" s="29"/>
      <c r="Y48" s="34">
        <v>46135.112916666665</v>
      </c>
      <c r="Z48" s="29" t="s">
        <v>595</v>
      </c>
      <c r="AA48" s="6">
        <v>1.0</v>
      </c>
      <c r="AB48" s="27"/>
      <c r="AC48" s="27"/>
      <c r="AD48" s="27"/>
      <c r="AE48" s="27"/>
      <c r="AF48" s="27"/>
      <c r="AG48" s="27"/>
      <c r="AH48" s="27"/>
      <c r="AI48" s="27"/>
      <c r="AJ48" s="27"/>
      <c r="AK48" s="27"/>
      <c r="AL48" s="27"/>
      <c r="AM48" s="27"/>
      <c r="AN48" s="27"/>
      <c r="AO48" s="27"/>
      <c r="AP48" s="27"/>
      <c r="AQ48" s="27"/>
      <c r="AR48" s="27"/>
      <c r="AS48" s="27"/>
      <c r="AT48" s="27"/>
      <c r="AU48" s="27"/>
      <c r="AV48" s="27"/>
      <c r="AW48" s="27"/>
      <c r="AX48" s="27"/>
    </row>
    <row r="49" ht="22.5" hidden="1" customHeight="1">
      <c r="A49" s="29" t="s">
        <v>596</v>
      </c>
      <c r="B49" s="30">
        <v>37850.0</v>
      </c>
      <c r="C49" s="29" t="s">
        <v>597</v>
      </c>
      <c r="D49" s="31" t="s">
        <v>598</v>
      </c>
      <c r="E49" s="29" t="s">
        <v>61</v>
      </c>
      <c r="F49" s="29" t="s">
        <v>99</v>
      </c>
      <c r="G49" s="32" t="str">
        <f>HYPERLINK("https://api.typeform.com/responses/files/6afb456be1ae90bf17ea2b627a06972f118a821868a18fe73e66d125e43b4a28/CV___Unity_Development_Intern___Hoàng_Võ_Ngọc_Nguyên.pdf")</f>
        <v>https://api.typeform.com/responses/files/6afb456be1ae90bf17ea2b627a06972f118a821868a18fe73e66d125e43b4a28/CV___Unity_Development_Intern___Hoàng_Võ_Ngọc_Nguyên.pdf</v>
      </c>
      <c r="H49" s="29" t="s">
        <v>599</v>
      </c>
      <c r="I49" s="29" t="s">
        <v>600</v>
      </c>
      <c r="J49" s="29" t="s">
        <v>372</v>
      </c>
      <c r="K49" s="29"/>
      <c r="L49" s="29" t="s">
        <v>103</v>
      </c>
      <c r="M49" s="29" t="s">
        <v>601</v>
      </c>
      <c r="N49" s="33">
        <v>46111.0</v>
      </c>
      <c r="O49" s="31" t="s">
        <v>602</v>
      </c>
      <c r="P49" s="32" t="str">
        <f>HYPERLINK("https://api.typeform.com/responses/files/4d07276f921cb86a8a4be214bcfce2418c2320fb662adb7287fc03329189edc1/Transcript___Unity_Development_Intern___Hoàng_Võ_Ngọc_Nguyên.docx")</f>
        <v>https://api.typeform.com/responses/files/4d07276f921cb86a8a4be214bcfce2418c2320fb662adb7287fc03329189edc1/Transcript___Unity_Development_Intern___Hoàng_Võ_Ngọc_Nguyên.docx</v>
      </c>
      <c r="Q49" s="29" t="b">
        <v>0</v>
      </c>
      <c r="R49" s="29" t="s">
        <v>603</v>
      </c>
      <c r="S49" s="29" t="s">
        <v>604</v>
      </c>
      <c r="T49" s="29" t="s">
        <v>72</v>
      </c>
      <c r="U49" s="29" t="s">
        <v>72</v>
      </c>
      <c r="V49" s="29" t="s">
        <v>544</v>
      </c>
      <c r="W49" s="29"/>
      <c r="X49" s="29" t="s">
        <v>605</v>
      </c>
      <c r="Y49" s="34">
        <v>46135.11503472222</v>
      </c>
      <c r="Z49" s="29" t="s">
        <v>606</v>
      </c>
      <c r="AA49" s="6">
        <v>1.0</v>
      </c>
      <c r="AB49" s="27"/>
      <c r="AC49" s="27"/>
      <c r="AD49" s="27"/>
      <c r="AE49" s="27"/>
      <c r="AF49" s="27"/>
      <c r="AG49" s="27"/>
      <c r="AH49" s="27"/>
      <c r="AI49" s="27"/>
      <c r="AJ49" s="27"/>
      <c r="AK49" s="27"/>
      <c r="AL49" s="27"/>
      <c r="AM49" s="27"/>
      <c r="AN49" s="27"/>
      <c r="AO49" s="27"/>
      <c r="AP49" s="27"/>
      <c r="AQ49" s="27"/>
      <c r="AR49" s="27"/>
      <c r="AS49" s="27"/>
      <c r="AT49" s="27"/>
      <c r="AU49" s="27"/>
      <c r="AV49" s="27"/>
      <c r="AW49" s="27"/>
      <c r="AX49" s="27"/>
    </row>
    <row r="50" ht="22.5" hidden="1" customHeight="1">
      <c r="A50" s="29" t="s">
        <v>607</v>
      </c>
      <c r="B50" s="30">
        <v>38427.0</v>
      </c>
      <c r="C50" s="29" t="s">
        <v>608</v>
      </c>
      <c r="D50" s="31" t="s">
        <v>609</v>
      </c>
      <c r="E50" s="29" t="s">
        <v>82</v>
      </c>
      <c r="F50" s="29" t="s">
        <v>62</v>
      </c>
      <c r="G50" s="32" t="str">
        <f>HYPERLINK("https://api.typeform.com/responses/files/69a382b14fe3d1beff1f534018860474017cfe6d5844b20326edde33aba1e49d/CV___Data_Analysis_Intern___Hoàng_Đôn_Thiện_Hòa.pdf")</f>
        <v>https://api.typeform.com/responses/files/69a382b14fe3d1beff1f534018860474017cfe6d5844b20326edde33aba1e49d/CV___Data_Analysis_Intern___Hoàng_Đôn_Thiện_Hòa.pdf</v>
      </c>
      <c r="H50" s="29" t="s">
        <v>610</v>
      </c>
      <c r="I50" s="29" t="s">
        <v>611</v>
      </c>
      <c r="J50" s="29" t="s">
        <v>326</v>
      </c>
      <c r="K50" s="29"/>
      <c r="L50" s="29" t="s">
        <v>219</v>
      </c>
      <c r="M50" s="29" t="s">
        <v>612</v>
      </c>
      <c r="N50" s="33">
        <v>46661.0</v>
      </c>
      <c r="O50" s="31" t="s">
        <v>613</v>
      </c>
      <c r="P50" s="32" t="str">
        <f>HYPERLINK("https://api.typeform.com/responses/files/2a74944854212f3661c3cf9503cb4073c26a704690dc8f889fbae90ae76548f7/Transcript___Data_Analysis_Intern___Hoàng_Đôn_Thiện_Hòa.png")</f>
        <v>https://api.typeform.com/responses/files/2a74944854212f3661c3cf9503cb4073c26a704690dc8f889fbae90ae76548f7/Transcript___Data_Analysis_Intern___Hoàng_Đôn_Thiện_Hòa.png</v>
      </c>
      <c r="Q50" s="29" t="b">
        <v>1</v>
      </c>
      <c r="R50" s="29" t="s">
        <v>614</v>
      </c>
      <c r="S50" s="29" t="s">
        <v>615</v>
      </c>
      <c r="T50" s="29" t="s">
        <v>72</v>
      </c>
      <c r="U50" s="29" t="s">
        <v>72</v>
      </c>
      <c r="V50" s="29" t="s">
        <v>544</v>
      </c>
      <c r="W50" s="29"/>
      <c r="X50" s="29" t="s">
        <v>616</v>
      </c>
      <c r="Y50" s="34">
        <v>46135.12049768519</v>
      </c>
      <c r="Z50" s="29" t="s">
        <v>617</v>
      </c>
      <c r="AA50" s="6">
        <v>1.0</v>
      </c>
      <c r="AB50" s="27"/>
      <c r="AC50" s="27"/>
      <c r="AD50" s="27"/>
      <c r="AE50" s="27"/>
      <c r="AF50" s="27"/>
      <c r="AG50" s="27"/>
      <c r="AH50" s="27"/>
      <c r="AI50" s="27"/>
      <c r="AJ50" s="27"/>
      <c r="AK50" s="27"/>
      <c r="AL50" s="27"/>
      <c r="AM50" s="27"/>
      <c r="AN50" s="27"/>
      <c r="AO50" s="27"/>
      <c r="AP50" s="27"/>
      <c r="AQ50" s="27"/>
      <c r="AR50" s="27"/>
      <c r="AS50" s="27"/>
      <c r="AT50" s="27"/>
      <c r="AU50" s="27"/>
      <c r="AV50" s="27"/>
      <c r="AW50" s="27"/>
      <c r="AX50" s="27"/>
    </row>
    <row r="51" ht="22.5" hidden="1" customHeight="1">
      <c r="A51" s="29" t="s">
        <v>618</v>
      </c>
      <c r="B51" s="30">
        <v>37657.0</v>
      </c>
      <c r="C51" s="29" t="s">
        <v>619</v>
      </c>
      <c r="D51" s="31" t="s">
        <v>620</v>
      </c>
      <c r="E51" s="29" t="s">
        <v>62</v>
      </c>
      <c r="F51" s="29" t="s">
        <v>82</v>
      </c>
      <c r="G51" s="32" t="str">
        <f>HYPERLINK("https://api.typeform.com/responses/files/1216a8acc2c4d79fe949167e880b1faabf4615e4c4dc0cf49ba35b1fd1b31ccf/CV___AI_Engineer_Intern___Phạm_Anh_Huy.pdf")</f>
        <v>https://api.typeform.com/responses/files/1216a8acc2c4d79fe949167e880b1faabf4615e4c4dc0cf49ba35b1fd1b31ccf/CV___AI_Engineer_Intern___Phạm_Anh_Huy.pdf</v>
      </c>
      <c r="H51" s="29" t="s">
        <v>621</v>
      </c>
      <c r="I51" s="29" t="s">
        <v>622</v>
      </c>
      <c r="J51" s="29" t="s">
        <v>65</v>
      </c>
      <c r="K51" s="29" t="s">
        <v>623</v>
      </c>
      <c r="L51" s="29" t="s">
        <v>103</v>
      </c>
      <c r="M51" s="29" t="s">
        <v>624</v>
      </c>
      <c r="N51" s="33">
        <v>45725.0</v>
      </c>
      <c r="O51" s="31" t="s">
        <v>625</v>
      </c>
      <c r="P51" s="32" t="str">
        <f>HYPERLINK("https://api.typeform.com/responses/files/9d47e4f46d61402926c063f8e0d09d93e0f77118744e616f520d5946d84a6dfa/transcript___AI_Engineer_Intern___Phạm_Anh_Huy.pdf")</f>
        <v>https://api.typeform.com/responses/files/9d47e4f46d61402926c063f8e0d09d93e0f77118744e616f520d5946d84a6dfa/transcript___AI_Engineer_Intern___Phạm_Anh_Huy.pdf</v>
      </c>
      <c r="Q51" s="29" t="b">
        <v>1</v>
      </c>
      <c r="R51" s="29" t="s">
        <v>626</v>
      </c>
      <c r="S51" s="29" t="s">
        <v>627</v>
      </c>
      <c r="T51" s="29" t="s">
        <v>72</v>
      </c>
      <c r="U51" s="29" t="s">
        <v>72</v>
      </c>
      <c r="V51" s="29" t="s">
        <v>73</v>
      </c>
      <c r="W51" s="29"/>
      <c r="X51" s="29" t="s">
        <v>628</v>
      </c>
      <c r="Y51" s="34">
        <v>46135.126759259256</v>
      </c>
      <c r="Z51" s="29" t="s">
        <v>629</v>
      </c>
      <c r="AA51" s="6">
        <v>1.0</v>
      </c>
      <c r="AB51" s="27"/>
      <c r="AC51" s="27"/>
      <c r="AD51" s="27"/>
      <c r="AE51" s="27"/>
      <c r="AF51" s="27"/>
      <c r="AG51" s="27"/>
      <c r="AH51" s="27"/>
      <c r="AI51" s="27"/>
      <c r="AJ51" s="27"/>
      <c r="AK51" s="27"/>
      <c r="AL51" s="27"/>
      <c r="AM51" s="27"/>
      <c r="AN51" s="27"/>
      <c r="AO51" s="27"/>
      <c r="AP51" s="27"/>
      <c r="AQ51" s="27"/>
      <c r="AR51" s="27"/>
      <c r="AS51" s="27"/>
      <c r="AT51" s="27"/>
      <c r="AU51" s="27"/>
      <c r="AV51" s="27"/>
      <c r="AW51" s="27"/>
      <c r="AX51" s="27"/>
    </row>
    <row r="52" ht="22.5" hidden="1" customHeight="1">
      <c r="A52" s="29" t="s">
        <v>630</v>
      </c>
      <c r="B52" s="30">
        <v>38600.0</v>
      </c>
      <c r="C52" s="29" t="s">
        <v>631</v>
      </c>
      <c r="D52" s="31" t="s">
        <v>632</v>
      </c>
      <c r="E52" s="29" t="s">
        <v>633</v>
      </c>
      <c r="F52" s="29" t="s">
        <v>127</v>
      </c>
      <c r="G52" s="32" t="str">
        <f>HYPERLINK("https://api.typeform.com/responses/files/1a18997f6512b37b45535bdc5867b79369906360da49e91633221911cf34e1d8/Tran_Tuong_Vi___Human_Resources_Intern.pdf")</f>
        <v>https://api.typeform.com/responses/files/1a18997f6512b37b45535bdc5867b79369906360da49e91633221911cf34e1d8/Tran_Tuong_Vi___Human_Resources_Intern.pdf</v>
      </c>
      <c r="H52" s="29" t="s">
        <v>634</v>
      </c>
      <c r="I52" s="29" t="s">
        <v>635</v>
      </c>
      <c r="J52" s="29" t="s">
        <v>636</v>
      </c>
      <c r="K52" s="29"/>
      <c r="L52" s="29" t="s">
        <v>219</v>
      </c>
      <c r="M52" s="29" t="s">
        <v>637</v>
      </c>
      <c r="N52" s="33">
        <v>46086.0</v>
      </c>
      <c r="O52" s="31" t="s">
        <v>309</v>
      </c>
      <c r="P52" s="32" t="str">
        <f>HYPERLINK("https://api.typeform.com/responses/files/0ea850431ceb5b9a26ed5ccb490aae0d55864847201071b13440eed1bf6ad7f3/IMG_1942.png")</f>
        <v>https://api.typeform.com/responses/files/0ea850431ceb5b9a26ed5ccb490aae0d55864847201071b13440eed1bf6ad7f3/IMG_1942.png</v>
      </c>
      <c r="Q52" s="29" t="b">
        <v>0</v>
      </c>
      <c r="R52" s="29" t="s">
        <v>375</v>
      </c>
      <c r="S52" s="29" t="s">
        <v>375</v>
      </c>
      <c r="T52" s="29" t="s">
        <v>72</v>
      </c>
      <c r="U52" s="29" t="s">
        <v>72</v>
      </c>
      <c r="V52" s="29" t="s">
        <v>73</v>
      </c>
      <c r="W52" s="29"/>
      <c r="X52" s="29"/>
      <c r="Y52" s="34">
        <v>46135.13041666667</v>
      </c>
      <c r="Z52" s="29" t="s">
        <v>638</v>
      </c>
      <c r="AA52" s="6">
        <v>1.0</v>
      </c>
      <c r="AB52" s="27"/>
      <c r="AC52" s="27"/>
      <c r="AD52" s="27"/>
      <c r="AE52" s="27"/>
      <c r="AF52" s="27"/>
      <c r="AG52" s="27"/>
      <c r="AH52" s="27"/>
      <c r="AI52" s="27"/>
      <c r="AJ52" s="27"/>
      <c r="AK52" s="27"/>
      <c r="AL52" s="27"/>
      <c r="AM52" s="27"/>
      <c r="AN52" s="27"/>
      <c r="AO52" s="27"/>
      <c r="AP52" s="27"/>
      <c r="AQ52" s="27"/>
      <c r="AR52" s="27"/>
      <c r="AS52" s="27"/>
      <c r="AT52" s="27"/>
      <c r="AU52" s="27"/>
      <c r="AV52" s="27"/>
      <c r="AW52" s="27"/>
      <c r="AX52" s="27"/>
    </row>
    <row r="53" ht="22.5" hidden="1" customHeight="1">
      <c r="A53" s="29" t="s">
        <v>639</v>
      </c>
      <c r="B53" s="30">
        <v>37670.0</v>
      </c>
      <c r="C53" s="29" t="s">
        <v>640</v>
      </c>
      <c r="D53" s="31" t="s">
        <v>641</v>
      </c>
      <c r="E53" s="29" t="s">
        <v>62</v>
      </c>
      <c r="F53" s="29" t="s">
        <v>82</v>
      </c>
      <c r="G53" s="32" t="str">
        <f>HYPERLINK("https://api.typeform.com/responses/files/e9c62ce0a86826510e7d79f55ca1d628853b21a1e1c710ea3f51667d73b90ac1/CV___AI_Engineering__Data_Analysis___Trần_Bảo_Phúc.pdf")</f>
        <v>https://api.typeform.com/responses/files/e9c62ce0a86826510e7d79f55ca1d628853b21a1e1c710ea3f51667d73b90ac1/CV___AI_Engineering__Data_Analysis___Trần_Bảo_Phúc.pdf</v>
      </c>
      <c r="H53" s="29" t="s">
        <v>642</v>
      </c>
      <c r="I53" s="29" t="s">
        <v>643</v>
      </c>
      <c r="J53" s="29" t="s">
        <v>644</v>
      </c>
      <c r="K53" s="29"/>
      <c r="L53" s="29" t="s">
        <v>103</v>
      </c>
      <c r="M53" s="29" t="s">
        <v>384</v>
      </c>
      <c r="N53" s="33">
        <v>46047.0</v>
      </c>
      <c r="O53" s="31" t="s">
        <v>233</v>
      </c>
      <c r="P53" s="32" t="str">
        <f>HYPERLINK("https://api.typeform.com/responses/files/c6a47ea234d93a0daec54aa138027b68233d9821de626a723d4d3ddb0e52fffc/Transcript___AI_Engineering__Data_Analysis___Trần_Bảo_Phúc.pdf")</f>
        <v>https://api.typeform.com/responses/files/c6a47ea234d93a0daec54aa138027b68233d9821de626a723d4d3ddb0e52fffc/Transcript___AI_Engineering__Data_Analysis___Trần_Bảo_Phúc.pdf</v>
      </c>
      <c r="Q53" s="29" t="b">
        <v>1</v>
      </c>
      <c r="R53" s="29" t="s">
        <v>645</v>
      </c>
      <c r="S53" s="29" t="s">
        <v>646</v>
      </c>
      <c r="T53" s="29" t="s">
        <v>72</v>
      </c>
      <c r="U53" s="29" t="s">
        <v>72</v>
      </c>
      <c r="V53" s="29" t="s">
        <v>647</v>
      </c>
      <c r="W53" s="29"/>
      <c r="X53" s="29" t="s">
        <v>648</v>
      </c>
      <c r="Y53" s="34">
        <v>46135.13636574074</v>
      </c>
      <c r="Z53" s="29" t="s">
        <v>649</v>
      </c>
      <c r="AA53" s="6">
        <v>1.0</v>
      </c>
      <c r="AB53" s="27"/>
      <c r="AC53" s="27"/>
      <c r="AD53" s="27"/>
      <c r="AE53" s="27"/>
      <c r="AF53" s="27"/>
      <c r="AG53" s="27"/>
      <c r="AH53" s="27"/>
      <c r="AI53" s="27"/>
      <c r="AJ53" s="27"/>
      <c r="AK53" s="27"/>
      <c r="AL53" s="27"/>
      <c r="AM53" s="27"/>
      <c r="AN53" s="27"/>
      <c r="AO53" s="27"/>
      <c r="AP53" s="27"/>
      <c r="AQ53" s="27"/>
      <c r="AR53" s="27"/>
      <c r="AS53" s="27"/>
      <c r="AT53" s="27"/>
      <c r="AU53" s="27"/>
      <c r="AV53" s="27"/>
      <c r="AW53" s="27"/>
      <c r="AX53" s="27"/>
    </row>
    <row r="54" ht="22.5" hidden="1" customHeight="1">
      <c r="A54" s="29" t="s">
        <v>650</v>
      </c>
      <c r="B54" s="30">
        <v>38068.0</v>
      </c>
      <c r="C54" s="29" t="s">
        <v>651</v>
      </c>
      <c r="D54" s="31" t="s">
        <v>652</v>
      </c>
      <c r="E54" s="29" t="s">
        <v>62</v>
      </c>
      <c r="F54" s="29" t="s">
        <v>82</v>
      </c>
      <c r="G54" s="32" t="str">
        <f>HYPERLINK("https://api.typeform.com/responses/files/a7e5e7ee3c242d865764ce22dd88e380b32805a768acefe8d8dc49374de3b09b/CV__AI_Engineering_Intern___Tran_Chau_Phu.pdf")</f>
        <v>https://api.typeform.com/responses/files/a7e5e7ee3c242d865764ce22dd88e380b32805a768acefe8d8dc49374de3b09b/CV__AI_Engineering_Intern___Tran_Chau_Phu.pdf</v>
      </c>
      <c r="H54" s="29" t="s">
        <v>653</v>
      </c>
      <c r="I54" s="29" t="s">
        <v>654</v>
      </c>
      <c r="J54" s="29" t="s">
        <v>326</v>
      </c>
      <c r="K54" s="29"/>
      <c r="L54" s="29" t="s">
        <v>67</v>
      </c>
      <c r="M54" s="29" t="s">
        <v>384</v>
      </c>
      <c r="N54" s="33">
        <v>46174.0</v>
      </c>
      <c r="O54" s="31" t="s">
        <v>147</v>
      </c>
      <c r="P54" s="32" t="str">
        <f>HYPERLINK("https://api.typeform.com/responses/files/aac96dbdaaf92b5934979f569ef4f49b1794ad7943a8a2a99f471154050e9776/CV__AI_Engineering_Intern___Tran_Chau_Phu.pdf")</f>
        <v>https://api.typeform.com/responses/files/aac96dbdaaf92b5934979f569ef4f49b1794ad7943a8a2a99f471154050e9776/CV__AI_Engineering_Intern___Tran_Chau_Phu.pdf</v>
      </c>
      <c r="Q54" s="29" t="b">
        <v>1</v>
      </c>
      <c r="R54" s="29" t="s">
        <v>655</v>
      </c>
      <c r="S54" s="29" t="s">
        <v>656</v>
      </c>
      <c r="T54" s="29" t="s">
        <v>72</v>
      </c>
      <c r="U54" s="29" t="s">
        <v>72</v>
      </c>
      <c r="V54" s="29" t="s">
        <v>269</v>
      </c>
      <c r="W54" s="29"/>
      <c r="X54" s="29"/>
      <c r="Y54" s="34">
        <v>46135.13667824074</v>
      </c>
      <c r="Z54" s="29" t="s">
        <v>657</v>
      </c>
      <c r="AA54" s="6">
        <v>1.0</v>
      </c>
      <c r="AB54" s="27"/>
      <c r="AC54" s="27"/>
      <c r="AD54" s="27"/>
      <c r="AE54" s="27"/>
      <c r="AF54" s="27"/>
      <c r="AG54" s="27"/>
      <c r="AH54" s="27"/>
      <c r="AI54" s="27"/>
      <c r="AJ54" s="27"/>
      <c r="AK54" s="27"/>
      <c r="AL54" s="27"/>
      <c r="AM54" s="27"/>
      <c r="AN54" s="27"/>
      <c r="AO54" s="27"/>
      <c r="AP54" s="27"/>
      <c r="AQ54" s="27"/>
      <c r="AR54" s="27"/>
      <c r="AS54" s="27"/>
      <c r="AT54" s="27"/>
      <c r="AU54" s="27"/>
      <c r="AV54" s="27"/>
      <c r="AW54" s="27"/>
      <c r="AX54" s="27"/>
    </row>
    <row r="55" ht="22.5" hidden="1" customHeight="1">
      <c r="A55" s="29" t="s">
        <v>658</v>
      </c>
      <c r="B55" s="30">
        <v>37682.0</v>
      </c>
      <c r="C55" s="29" t="s">
        <v>659</v>
      </c>
      <c r="D55" s="31" t="s">
        <v>660</v>
      </c>
      <c r="E55" s="29" t="s">
        <v>62</v>
      </c>
      <c r="F55" s="29" t="s">
        <v>62</v>
      </c>
      <c r="G55" s="32" t="str">
        <f>HYPERLINK("https://api.typeform.com/responses/files/41b9c362b3d996aa30d0cf4ff590953b4043814d32686707123ee5677c3bb46e/CV___AI_Engineer_Intern___Nguyễn_Bích_Khuê.pdf")</f>
        <v>https://api.typeform.com/responses/files/41b9c362b3d996aa30d0cf4ff590953b4043814d32686707123ee5677c3bb46e/CV___AI_Engineer_Intern___Nguyễn_Bích_Khuê.pdf</v>
      </c>
      <c r="H55" s="29" t="s">
        <v>661</v>
      </c>
      <c r="I55" s="29" t="s">
        <v>662</v>
      </c>
      <c r="J55" s="29" t="s">
        <v>326</v>
      </c>
      <c r="K55" s="29"/>
      <c r="L55" s="29" t="s">
        <v>103</v>
      </c>
      <c r="M55" s="29" t="s">
        <v>412</v>
      </c>
      <c r="N55" s="33">
        <v>45990.0</v>
      </c>
      <c r="O55" s="31" t="s">
        <v>663</v>
      </c>
      <c r="P55" s="32" t="str">
        <f>HYPERLINK("https://api.typeform.com/responses/files/3ce1249212233c7d69981dd589f5f573ffd57263db14e8b653dd72b32a185134/AcademicTranscript_KhueNguyenBich.pdf")</f>
        <v>https://api.typeform.com/responses/files/3ce1249212233c7d69981dd589f5f573ffd57263db14e8b653dd72b32a185134/AcademicTranscript_KhueNguyenBich.pdf</v>
      </c>
      <c r="Q55" s="29" t="b">
        <v>0</v>
      </c>
      <c r="R55" s="29" t="s">
        <v>300</v>
      </c>
      <c r="S55" s="29" t="s">
        <v>664</v>
      </c>
      <c r="T55" s="29" t="s">
        <v>72</v>
      </c>
      <c r="U55" s="29" t="s">
        <v>72</v>
      </c>
      <c r="V55" s="29" t="s">
        <v>269</v>
      </c>
      <c r="W55" s="29"/>
      <c r="X55" s="29" t="s">
        <v>665</v>
      </c>
      <c r="Y55" s="34">
        <v>46135.14042824074</v>
      </c>
      <c r="Z55" s="29" t="s">
        <v>666</v>
      </c>
      <c r="AA55" s="6">
        <v>1.0</v>
      </c>
      <c r="AB55" s="27"/>
      <c r="AC55" s="27"/>
      <c r="AD55" s="27"/>
      <c r="AE55" s="27"/>
      <c r="AF55" s="27"/>
      <c r="AG55" s="27"/>
      <c r="AH55" s="27"/>
      <c r="AI55" s="27"/>
      <c r="AJ55" s="27"/>
      <c r="AK55" s="27"/>
      <c r="AL55" s="27"/>
      <c r="AM55" s="27"/>
      <c r="AN55" s="27"/>
      <c r="AO55" s="27"/>
      <c r="AP55" s="27"/>
      <c r="AQ55" s="27"/>
      <c r="AR55" s="27"/>
      <c r="AS55" s="27"/>
      <c r="AT55" s="27"/>
      <c r="AU55" s="27"/>
      <c r="AV55" s="27"/>
      <c r="AW55" s="27"/>
      <c r="AX55" s="27"/>
    </row>
    <row r="56" ht="22.5" hidden="1" customHeight="1">
      <c r="A56" s="29" t="s">
        <v>667</v>
      </c>
      <c r="B56" s="30">
        <v>38097.0</v>
      </c>
      <c r="C56" s="29" t="s">
        <v>668</v>
      </c>
      <c r="D56" s="31" t="s">
        <v>669</v>
      </c>
      <c r="E56" s="29" t="s">
        <v>61</v>
      </c>
      <c r="F56" s="29" t="s">
        <v>61</v>
      </c>
      <c r="G56" s="32" t="str">
        <f>HYPERLINK("https://api.typeform.com/responses/files/49995bdf4a8f02ba96d24d8f7be9e294d1ed22a4fb142cc0b2e3ad38e792268e/CV__Unity_Development_Intern_Nguyen_Duy_Tam.pdf")</f>
        <v>https://api.typeform.com/responses/files/49995bdf4a8f02ba96d24d8f7be9e294d1ed22a4fb142cc0b2e3ad38e792268e/CV__Unity_Development_Intern_Nguyen_Duy_Tam.pdf</v>
      </c>
      <c r="H56" s="29" t="s">
        <v>670</v>
      </c>
      <c r="I56" s="29" t="s">
        <v>671</v>
      </c>
      <c r="J56" s="29" t="s">
        <v>144</v>
      </c>
      <c r="K56" s="29"/>
      <c r="L56" s="29" t="s">
        <v>672</v>
      </c>
      <c r="M56" s="29" t="s">
        <v>673</v>
      </c>
      <c r="N56" s="33">
        <v>45657.0</v>
      </c>
      <c r="O56" s="31" t="s">
        <v>118</v>
      </c>
      <c r="P56" s="32" t="str">
        <f>HYPERLINK("https://api.typeform.com/responses/files/7ae42e6d8a81297a50072a37bad597d80a492b231111de564534e8deb8486d49/Transcript__Unity_Development_Intern_Nguyen_Duy_Tam.jpg")</f>
        <v>https://api.typeform.com/responses/files/7ae42e6d8a81297a50072a37bad597d80a492b231111de564534e8deb8486d49/Transcript__Unity_Development_Intern_Nguyen_Duy_Tam.jpg</v>
      </c>
      <c r="Q56" s="29" t="b">
        <v>1</v>
      </c>
      <c r="R56" s="29" t="s">
        <v>674</v>
      </c>
      <c r="S56" s="29" t="s">
        <v>675</v>
      </c>
      <c r="T56" s="29" t="s">
        <v>72</v>
      </c>
      <c r="U56" s="29" t="s">
        <v>72</v>
      </c>
      <c r="V56" s="29" t="s">
        <v>403</v>
      </c>
      <c r="W56" s="29" t="s">
        <v>676</v>
      </c>
      <c r="X56" s="29" t="s">
        <v>677</v>
      </c>
      <c r="Y56" s="34">
        <v>46135.149560185186</v>
      </c>
      <c r="Z56" s="29" t="s">
        <v>678</v>
      </c>
      <c r="AA56" s="6">
        <v>1.0</v>
      </c>
      <c r="AB56" s="27"/>
      <c r="AC56" s="27"/>
      <c r="AD56" s="27"/>
      <c r="AE56" s="27"/>
      <c r="AF56" s="27"/>
      <c r="AG56" s="27"/>
      <c r="AH56" s="27"/>
      <c r="AI56" s="27"/>
      <c r="AJ56" s="27"/>
      <c r="AK56" s="27"/>
      <c r="AL56" s="27"/>
      <c r="AM56" s="27"/>
      <c r="AN56" s="27"/>
      <c r="AO56" s="27"/>
      <c r="AP56" s="27"/>
      <c r="AQ56" s="27"/>
      <c r="AR56" s="27"/>
      <c r="AS56" s="27"/>
      <c r="AT56" s="27"/>
      <c r="AU56" s="27"/>
      <c r="AV56" s="27"/>
      <c r="AW56" s="27"/>
      <c r="AX56" s="27"/>
    </row>
    <row r="57" ht="22.5" hidden="1" customHeight="1">
      <c r="A57" s="29" t="s">
        <v>679</v>
      </c>
      <c r="B57" s="30">
        <v>37651.0</v>
      </c>
      <c r="C57" s="29" t="s">
        <v>680</v>
      </c>
      <c r="D57" s="31" t="s">
        <v>681</v>
      </c>
      <c r="E57" s="29" t="s">
        <v>127</v>
      </c>
      <c r="F57" s="29" t="s">
        <v>99</v>
      </c>
      <c r="G57" s="32" t="str">
        <f>HYPERLINK("https://api.typeform.com/responses/files/466950a48ead7c1cebe67525b70331b25c7084c3d9d9bf7a330f04c8965dea56/NguyenThanhDat_CV_FE.pdf")</f>
        <v>https://api.typeform.com/responses/files/466950a48ead7c1cebe67525b70331b25c7084c3d9d9bf7a330f04c8965dea56/NguyenThanhDat_CV_FE.pdf</v>
      </c>
      <c r="H57" s="29" t="s">
        <v>682</v>
      </c>
      <c r="I57" s="29" t="s">
        <v>683</v>
      </c>
      <c r="J57" s="29" t="s">
        <v>85</v>
      </c>
      <c r="K57" s="29"/>
      <c r="L57" s="29" t="s">
        <v>103</v>
      </c>
      <c r="M57" s="29" t="s">
        <v>684</v>
      </c>
      <c r="N57" s="33">
        <v>46193.0</v>
      </c>
      <c r="O57" s="31" t="s">
        <v>685</v>
      </c>
      <c r="P57" s="32" t="str">
        <f>HYPERLINK("https://api.typeform.com/responses/files/8524f2a023060951d3bdda3c6f37a9bf3dbd5dfec973dc787006b830dcde7251/Kết_quả_học_tập.pdf")</f>
        <v>https://api.typeform.com/responses/files/8524f2a023060951d3bdda3c6f37a9bf3dbd5dfec973dc787006b830dcde7251/Kết_quả_học_tập.pdf</v>
      </c>
      <c r="Q57" s="29" t="b">
        <v>0</v>
      </c>
      <c r="R57" s="29" t="s">
        <v>376</v>
      </c>
      <c r="S57" s="29" t="s">
        <v>686</v>
      </c>
      <c r="T57" s="29" t="s">
        <v>72</v>
      </c>
      <c r="U57" s="29" t="s">
        <v>72</v>
      </c>
      <c r="V57" s="29" t="s">
        <v>687</v>
      </c>
      <c r="W57" s="29"/>
      <c r="X57" s="29" t="s">
        <v>688</v>
      </c>
      <c r="Y57" s="34">
        <v>46135.154502314814</v>
      </c>
      <c r="Z57" s="29" t="s">
        <v>689</v>
      </c>
      <c r="AA57" s="6">
        <v>1.0</v>
      </c>
      <c r="AB57" s="27"/>
      <c r="AC57" s="27"/>
      <c r="AD57" s="27"/>
      <c r="AE57" s="27"/>
      <c r="AF57" s="27"/>
      <c r="AG57" s="27"/>
      <c r="AH57" s="27"/>
      <c r="AI57" s="27"/>
      <c r="AJ57" s="27"/>
      <c r="AK57" s="27"/>
      <c r="AL57" s="27"/>
      <c r="AM57" s="27"/>
      <c r="AN57" s="27"/>
      <c r="AO57" s="27"/>
      <c r="AP57" s="27"/>
      <c r="AQ57" s="27"/>
      <c r="AR57" s="27"/>
      <c r="AS57" s="27"/>
      <c r="AT57" s="27"/>
      <c r="AU57" s="27"/>
      <c r="AV57" s="27"/>
      <c r="AW57" s="27"/>
      <c r="AX57" s="27"/>
    </row>
    <row r="58" ht="22.5" hidden="1" customHeight="1">
      <c r="A58" s="29" t="s">
        <v>690</v>
      </c>
      <c r="B58" s="30">
        <v>37591.0</v>
      </c>
      <c r="C58" s="29" t="s">
        <v>691</v>
      </c>
      <c r="D58" s="31" t="s">
        <v>692</v>
      </c>
      <c r="E58" s="29" t="s">
        <v>61</v>
      </c>
      <c r="F58" s="29" t="s">
        <v>99</v>
      </c>
      <c r="G58" s="32" t="str">
        <f>HYPERLINK("https://api.typeform.com/responses/files/913a9844eb0d0cfb1ae0c26fd6a1caf74a015ab7792709f4b3311cd20d6c6050/CV___Unity_Development_Intern___Hoàng_Đình_Ngọc_Quang.pdf")</f>
        <v>https://api.typeform.com/responses/files/913a9844eb0d0cfb1ae0c26fd6a1caf74a015ab7792709f4b3311cd20d6c6050/CV___Unity_Development_Intern___Hoàng_Đình_Ngọc_Quang.pdf</v>
      </c>
      <c r="H58" s="29" t="s">
        <v>693</v>
      </c>
      <c r="I58" s="29" t="s">
        <v>694</v>
      </c>
      <c r="J58" s="29" t="s">
        <v>326</v>
      </c>
      <c r="K58" s="29"/>
      <c r="L58" s="29" t="s">
        <v>103</v>
      </c>
      <c r="M58" s="29" t="s">
        <v>695</v>
      </c>
      <c r="N58" s="33">
        <v>45627.0</v>
      </c>
      <c r="O58" s="31" t="s">
        <v>696</v>
      </c>
      <c r="P58" s="32" t="str">
        <f>HYPERLINK("https://api.typeform.com/responses/files/a5f42e616ee77c13476ef7ddc8a8224262b0fc45d3abfa80e8c35e52b2c1a743/Transcript___Unity_Development_Intern___Hoàng_Đình_Ngọc_Quang.pdf")</f>
        <v>https://api.typeform.com/responses/files/a5f42e616ee77c13476ef7ddc8a8224262b0fc45d3abfa80e8c35e52b2c1a743/Transcript___Unity_Development_Intern___Hoàng_Đình_Ngọc_Quang.pdf</v>
      </c>
      <c r="Q58" s="29" t="b">
        <v>0</v>
      </c>
      <c r="R58" s="29" t="s">
        <v>697</v>
      </c>
      <c r="S58" s="29" t="s">
        <v>698</v>
      </c>
      <c r="T58" s="29" t="s">
        <v>72</v>
      </c>
      <c r="U58" s="29" t="s">
        <v>72</v>
      </c>
      <c r="V58" s="29" t="s">
        <v>269</v>
      </c>
      <c r="W58" s="29"/>
      <c r="X58" s="29" t="s">
        <v>699</v>
      </c>
      <c r="Y58" s="34">
        <v>46135.162083333336</v>
      </c>
      <c r="Z58" s="29" t="s">
        <v>700</v>
      </c>
      <c r="AA58" s="6">
        <v>1.0</v>
      </c>
      <c r="AB58" s="27"/>
      <c r="AC58" s="27"/>
      <c r="AD58" s="27"/>
      <c r="AE58" s="27"/>
      <c r="AF58" s="27"/>
      <c r="AG58" s="27"/>
      <c r="AH58" s="27"/>
      <c r="AI58" s="27"/>
      <c r="AJ58" s="27"/>
      <c r="AK58" s="27"/>
      <c r="AL58" s="27"/>
      <c r="AM58" s="27"/>
      <c r="AN58" s="27"/>
      <c r="AO58" s="27"/>
      <c r="AP58" s="27"/>
      <c r="AQ58" s="27"/>
      <c r="AR58" s="27"/>
      <c r="AS58" s="27"/>
      <c r="AT58" s="27"/>
      <c r="AU58" s="27"/>
      <c r="AV58" s="27"/>
      <c r="AW58" s="27"/>
      <c r="AX58" s="27"/>
    </row>
    <row r="59" ht="22.5" hidden="1" customHeight="1">
      <c r="A59" s="29" t="s">
        <v>701</v>
      </c>
      <c r="B59" s="30">
        <v>38173.0</v>
      </c>
      <c r="C59" s="29" t="s">
        <v>702</v>
      </c>
      <c r="D59" s="31" t="s">
        <v>703</v>
      </c>
      <c r="E59" s="29" t="s">
        <v>62</v>
      </c>
      <c r="F59" s="29" t="s">
        <v>62</v>
      </c>
      <c r="G59" s="32" t="str">
        <f>HYPERLINK("https://api.typeform.com/responses/files/c082a25d5847ac6afe84941809691831cec07785b03ed5814f9f567dac054704/CV___AI_Engineering_Intern___Lê_Huỳnh_Nhật_Hưng_.pdf")</f>
        <v>https://api.typeform.com/responses/files/c082a25d5847ac6afe84941809691831cec07785b03ed5814f9f567dac054704/CV___AI_Engineering_Intern___Lê_Huỳnh_Nhật_Hưng_.pdf</v>
      </c>
      <c r="H59" s="29" t="s">
        <v>704</v>
      </c>
      <c r="I59" s="29" t="s">
        <v>705</v>
      </c>
      <c r="J59" s="29" t="s">
        <v>326</v>
      </c>
      <c r="K59" s="29"/>
      <c r="L59" s="29" t="s">
        <v>67</v>
      </c>
      <c r="M59" s="29" t="s">
        <v>86</v>
      </c>
      <c r="N59" s="33">
        <v>46356.0</v>
      </c>
      <c r="O59" s="31" t="s">
        <v>613</v>
      </c>
      <c r="P59" s="32" t="str">
        <f>HYPERLINK("https://api.typeform.com/responses/files/c37dda3f7ac2ab76a79f0b4b5395822734fd96dd2fe50a2d3c7af6c3ac6b13d9/Bảng_Điểm.png")</f>
        <v>https://api.typeform.com/responses/files/c37dda3f7ac2ab76a79f0b4b5395822734fd96dd2fe50a2d3c7af6c3ac6b13d9/Bảng_Điểm.png</v>
      </c>
      <c r="Q59" s="29" t="b">
        <v>1</v>
      </c>
      <c r="R59" s="29" t="s">
        <v>706</v>
      </c>
      <c r="S59" s="29" t="s">
        <v>707</v>
      </c>
      <c r="T59" s="29" t="s">
        <v>72</v>
      </c>
      <c r="U59" s="29" t="s">
        <v>72</v>
      </c>
      <c r="V59" s="29" t="s">
        <v>269</v>
      </c>
      <c r="W59" s="29"/>
      <c r="X59" s="29" t="s">
        <v>708</v>
      </c>
      <c r="Y59" s="34">
        <v>46135.16306712963</v>
      </c>
      <c r="Z59" s="29" t="s">
        <v>709</v>
      </c>
      <c r="AA59" s="6">
        <v>1.0</v>
      </c>
      <c r="AB59" s="27"/>
      <c r="AC59" s="27"/>
      <c r="AD59" s="27"/>
      <c r="AE59" s="27"/>
      <c r="AF59" s="27"/>
      <c r="AG59" s="27"/>
      <c r="AH59" s="27"/>
      <c r="AI59" s="27"/>
      <c r="AJ59" s="27"/>
      <c r="AK59" s="27"/>
      <c r="AL59" s="27"/>
      <c r="AM59" s="27"/>
      <c r="AN59" s="27"/>
      <c r="AO59" s="27"/>
      <c r="AP59" s="27"/>
      <c r="AQ59" s="27"/>
      <c r="AR59" s="27"/>
      <c r="AS59" s="27"/>
      <c r="AT59" s="27"/>
      <c r="AU59" s="27"/>
      <c r="AV59" s="27"/>
      <c r="AW59" s="27"/>
      <c r="AX59" s="27"/>
    </row>
    <row r="60" ht="22.5" hidden="1" customHeight="1">
      <c r="A60" s="29" t="s">
        <v>710</v>
      </c>
      <c r="B60" s="30">
        <v>37212.0</v>
      </c>
      <c r="C60" s="29" t="s">
        <v>711</v>
      </c>
      <c r="D60" s="31" t="s">
        <v>712</v>
      </c>
      <c r="E60" s="29" t="s">
        <v>61</v>
      </c>
      <c r="F60" s="29" t="s">
        <v>99</v>
      </c>
      <c r="G60" s="32" t="str">
        <f>HYPERLINK("https://api.typeform.com/responses/files/f450780c1f800b2a08270cda5b1a49e500431947ff5903b2ef01d3c000e5a2c2/CV___Unity_Development_Intern___Trần_Thiện_Thuật.pdf")</f>
        <v>https://api.typeform.com/responses/files/f450780c1f800b2a08270cda5b1a49e500431947ff5903b2ef01d3c000e5a2c2/CV___Unity_Development_Intern___Trần_Thiện_Thuật.pdf</v>
      </c>
      <c r="H60" s="29" t="s">
        <v>713</v>
      </c>
      <c r="I60" s="29" t="s">
        <v>714</v>
      </c>
      <c r="J60" s="29" t="s">
        <v>715</v>
      </c>
      <c r="K60" s="29"/>
      <c r="L60" s="29" t="s">
        <v>103</v>
      </c>
      <c r="M60" s="29" t="s">
        <v>716</v>
      </c>
      <c r="N60" s="33">
        <v>45407.0</v>
      </c>
      <c r="O60" s="31" t="s">
        <v>717</v>
      </c>
      <c r="P60" s="32" t="str">
        <f>HYPERLINK("https://api.typeform.com/responses/files/ea3f40e92803b5df1a0c80e8c0b8aeae965b4f281c3236461cc115cbe5d7aad5/Transcript___Unity_Development_Intern___Trần_Thiện_Thuật.pdf")</f>
        <v>https://api.typeform.com/responses/files/ea3f40e92803b5df1a0c80e8c0b8aeae965b4f281c3236461cc115cbe5d7aad5/Transcript___Unity_Development_Intern___Trần_Thiện_Thuật.pdf</v>
      </c>
      <c r="Q60" s="29" t="b">
        <v>1</v>
      </c>
      <c r="R60" s="29" t="s">
        <v>718</v>
      </c>
      <c r="S60" s="29" t="s">
        <v>719</v>
      </c>
      <c r="T60" s="29" t="s">
        <v>72</v>
      </c>
      <c r="U60" s="29" t="s">
        <v>72</v>
      </c>
      <c r="V60" s="29" t="s">
        <v>90</v>
      </c>
      <c r="W60" s="29"/>
      <c r="X60" s="29"/>
      <c r="Y60" s="34">
        <v>46135.16575231482</v>
      </c>
      <c r="Z60" s="29" t="s">
        <v>720</v>
      </c>
      <c r="AA60" s="6">
        <v>1.0</v>
      </c>
      <c r="AB60" s="27"/>
      <c r="AC60" s="27"/>
      <c r="AD60" s="27"/>
      <c r="AE60" s="27"/>
      <c r="AF60" s="27"/>
      <c r="AG60" s="27"/>
      <c r="AH60" s="27"/>
      <c r="AI60" s="27"/>
      <c r="AJ60" s="27"/>
      <c r="AK60" s="27"/>
      <c r="AL60" s="27"/>
      <c r="AM60" s="27"/>
      <c r="AN60" s="27"/>
      <c r="AO60" s="27"/>
      <c r="AP60" s="27"/>
      <c r="AQ60" s="27"/>
      <c r="AR60" s="27"/>
      <c r="AS60" s="27"/>
      <c r="AT60" s="27"/>
      <c r="AU60" s="27"/>
      <c r="AV60" s="27"/>
      <c r="AW60" s="27"/>
      <c r="AX60" s="27"/>
    </row>
    <row r="61" ht="22.5" hidden="1" customHeight="1">
      <c r="A61" s="29" t="s">
        <v>721</v>
      </c>
      <c r="B61" s="30">
        <v>37345.0</v>
      </c>
      <c r="C61" s="29" t="s">
        <v>722</v>
      </c>
      <c r="D61" s="31" t="s">
        <v>723</v>
      </c>
      <c r="E61" s="29" t="s">
        <v>82</v>
      </c>
      <c r="F61" s="29" t="s">
        <v>127</v>
      </c>
      <c r="G61" s="32" t="str">
        <f>HYPERLINK("https://api.typeform.com/responses/files/55ae2bf19e92aba997f01186ab6d7c0afbc476e5d9e3e02a13fdc450c74e3666/CV___Data_Analysis_Intern___Bui_Thi_Thanh.pdf")</f>
        <v>https://api.typeform.com/responses/files/55ae2bf19e92aba997f01186ab6d7c0afbc476e5d9e3e02a13fdc450c74e3666/CV___Data_Analysis_Intern___Bui_Thi_Thanh.pdf</v>
      </c>
      <c r="H61" s="29" t="s">
        <v>724</v>
      </c>
      <c r="I61" s="29" t="s">
        <v>725</v>
      </c>
      <c r="J61" s="29" t="s">
        <v>85</v>
      </c>
      <c r="K61" s="29"/>
      <c r="L61" s="29" t="s">
        <v>103</v>
      </c>
      <c r="M61" s="29" t="s">
        <v>726</v>
      </c>
      <c r="N61" s="33">
        <v>45834.0</v>
      </c>
      <c r="O61" s="31" t="s">
        <v>727</v>
      </c>
      <c r="P61" s="32" t="str">
        <f>HYPERLINK("https://api.typeform.com/responses/files/742bdce06f532f229d7c7fa2980f58d3c871ad4c3d30450c36582c089668905e/Transcript___Data_Analysis_Intern___Bui_Thi_Thanh.pdf")</f>
        <v>https://api.typeform.com/responses/files/742bdce06f532f229d7c7fa2980f58d3c871ad4c3d30450c36582c089668905e/Transcript___Data_Analysis_Intern___Bui_Thi_Thanh.pdf</v>
      </c>
      <c r="Q61" s="29" t="b">
        <v>1</v>
      </c>
      <c r="R61" s="29" t="s">
        <v>728</v>
      </c>
      <c r="S61" s="29" t="s">
        <v>729</v>
      </c>
      <c r="T61" s="29" t="s">
        <v>72</v>
      </c>
      <c r="U61" s="29" t="s">
        <v>72</v>
      </c>
      <c r="V61" s="29" t="s">
        <v>269</v>
      </c>
      <c r="W61" s="29"/>
      <c r="X61" s="29" t="s">
        <v>730</v>
      </c>
      <c r="Y61" s="34">
        <v>46135.18096064815</v>
      </c>
      <c r="Z61" s="29" t="s">
        <v>731</v>
      </c>
      <c r="AA61" s="6">
        <v>1.0</v>
      </c>
      <c r="AB61" s="27"/>
      <c r="AC61" s="27"/>
      <c r="AD61" s="27"/>
      <c r="AE61" s="27"/>
      <c r="AF61" s="27"/>
      <c r="AG61" s="27"/>
      <c r="AH61" s="27"/>
      <c r="AI61" s="27"/>
      <c r="AJ61" s="27"/>
      <c r="AK61" s="27"/>
      <c r="AL61" s="27"/>
      <c r="AM61" s="27"/>
      <c r="AN61" s="27"/>
      <c r="AO61" s="27"/>
      <c r="AP61" s="27"/>
      <c r="AQ61" s="27"/>
      <c r="AR61" s="27"/>
      <c r="AS61" s="27"/>
      <c r="AT61" s="27"/>
      <c r="AU61" s="27"/>
      <c r="AV61" s="27"/>
      <c r="AW61" s="27"/>
      <c r="AX61" s="27"/>
    </row>
    <row r="62" ht="22.5" hidden="1" customHeight="1">
      <c r="A62" s="29" t="s">
        <v>732</v>
      </c>
      <c r="B62" s="30">
        <v>38186.0</v>
      </c>
      <c r="C62" s="29" t="s">
        <v>733</v>
      </c>
      <c r="D62" s="31" t="s">
        <v>734</v>
      </c>
      <c r="E62" s="29" t="s">
        <v>82</v>
      </c>
      <c r="F62" s="29" t="s">
        <v>62</v>
      </c>
      <c r="G62" s="32" t="str">
        <f>HYPERLINK("https://api.typeform.com/responses/files/e436ba5505db080cded0e76331bb1219c9c3eb09ec21cf048a1d4581fd4dfb15/CV___Data_Analysis_Intern___Phan_Thị_Ngọc_Linh.pdf")</f>
        <v>https://api.typeform.com/responses/files/e436ba5505db080cded0e76331bb1219c9c3eb09ec21cf048a1d4581fd4dfb15/CV___Data_Analysis_Intern___Phan_Thị_Ngọc_Linh.pdf</v>
      </c>
      <c r="H62" s="29" t="s">
        <v>735</v>
      </c>
      <c r="I62" s="29" t="s">
        <v>736</v>
      </c>
      <c r="J62" s="29" t="s">
        <v>326</v>
      </c>
      <c r="K62" s="29"/>
      <c r="L62" s="29" t="s">
        <v>67</v>
      </c>
      <c r="M62" s="29" t="s">
        <v>737</v>
      </c>
      <c r="N62" s="33">
        <v>46368.0</v>
      </c>
      <c r="O62" s="31" t="s">
        <v>738</v>
      </c>
      <c r="P62" s="32" t="str">
        <f>HYPERLINK("https://api.typeform.com/responses/files/7cc242f46afc8d4374e5851201271a718ddae19ff7d4e3d0727890cab63e4ac3/Transcript___Data_Analysis_Intern___Phan_Thị_Ngọc_Linh.docx")</f>
        <v>https://api.typeform.com/responses/files/7cc242f46afc8d4374e5851201271a718ddae19ff7d4e3d0727890cab63e4ac3/Transcript___Data_Analysis_Intern___Phan_Thị_Ngọc_Linh.docx</v>
      </c>
      <c r="Q62" s="29" t="b">
        <v>0</v>
      </c>
      <c r="R62" s="29" t="s">
        <v>739</v>
      </c>
      <c r="S62" s="29" t="s">
        <v>740</v>
      </c>
      <c r="T62" s="29" t="s">
        <v>72</v>
      </c>
      <c r="U62" s="29" t="s">
        <v>72</v>
      </c>
      <c r="V62" s="29" t="s">
        <v>269</v>
      </c>
      <c r="W62" s="29"/>
      <c r="X62" s="29"/>
      <c r="Y62" s="34">
        <v>46135.19243055556</v>
      </c>
      <c r="Z62" s="29" t="s">
        <v>741</v>
      </c>
      <c r="AA62" s="6">
        <v>1.0</v>
      </c>
      <c r="AB62" s="27"/>
      <c r="AC62" s="27"/>
      <c r="AD62" s="27"/>
      <c r="AE62" s="27"/>
      <c r="AF62" s="27"/>
      <c r="AG62" s="27"/>
      <c r="AH62" s="27"/>
      <c r="AI62" s="27"/>
      <c r="AJ62" s="27"/>
      <c r="AK62" s="27"/>
      <c r="AL62" s="27"/>
      <c r="AM62" s="27"/>
      <c r="AN62" s="27"/>
      <c r="AO62" s="27"/>
      <c r="AP62" s="27"/>
      <c r="AQ62" s="27"/>
      <c r="AR62" s="27"/>
      <c r="AS62" s="27"/>
      <c r="AT62" s="27"/>
      <c r="AU62" s="27"/>
      <c r="AV62" s="27"/>
      <c r="AW62" s="27"/>
      <c r="AX62" s="27"/>
    </row>
    <row r="63" ht="22.5" hidden="1" customHeight="1">
      <c r="A63" s="29" t="s">
        <v>742</v>
      </c>
      <c r="B63" s="30">
        <v>37866.0</v>
      </c>
      <c r="C63" s="29" t="s">
        <v>743</v>
      </c>
      <c r="D63" s="31" t="s">
        <v>744</v>
      </c>
      <c r="E63" s="29" t="s">
        <v>61</v>
      </c>
      <c r="F63" s="29" t="s">
        <v>99</v>
      </c>
      <c r="G63" s="32" t="str">
        <f>HYPERLINK("https://api.typeform.com/responses/files/2756897ff35cc01e54ccd247a332af1cd4936df8a9f5649a2575ae0b17318ebd/CV_UnityDevelopmentIntern_TrầnQuangAnhThuận.pdf")</f>
        <v>https://api.typeform.com/responses/files/2756897ff35cc01e54ccd247a332af1cd4936df8a9f5649a2575ae0b17318ebd/CV_UnityDevelopmentIntern_TrầnQuangAnhThuận.pdf</v>
      </c>
      <c r="H63" s="29" t="s">
        <v>745</v>
      </c>
      <c r="I63" s="29" t="s">
        <v>746</v>
      </c>
      <c r="J63" s="29" t="s">
        <v>65</v>
      </c>
      <c r="K63" s="29" t="s">
        <v>747</v>
      </c>
      <c r="L63" s="29" t="s">
        <v>103</v>
      </c>
      <c r="M63" s="29" t="s">
        <v>184</v>
      </c>
      <c r="N63" s="33">
        <v>46123.0</v>
      </c>
      <c r="O63" s="31" t="s">
        <v>663</v>
      </c>
      <c r="P63" s="32" t="str">
        <f>HYPERLINK("https://api.typeform.com/responses/files/a20de7771c582238d74667cb90ea1872f8f66173172eec28ab52f844061dfdae/Transcript_UnityDevelopmentIntern_TranQuangAnhThuan.pdf")</f>
        <v>https://api.typeform.com/responses/files/a20de7771c582238d74667cb90ea1872f8f66173172eec28ab52f844061dfdae/Transcript_UnityDevelopmentIntern_TranQuangAnhThuan.pdf</v>
      </c>
      <c r="Q63" s="29" t="b">
        <v>1</v>
      </c>
      <c r="R63" s="29" t="s">
        <v>748</v>
      </c>
      <c r="S63" s="29" t="s">
        <v>749</v>
      </c>
      <c r="T63" s="29" t="s">
        <v>72</v>
      </c>
      <c r="U63" s="29" t="s">
        <v>72</v>
      </c>
      <c r="V63" s="29" t="s">
        <v>73</v>
      </c>
      <c r="W63" s="29"/>
      <c r="X63" s="29" t="s">
        <v>750</v>
      </c>
      <c r="Y63" s="34">
        <v>46135.193090277775</v>
      </c>
      <c r="Z63" s="29" t="s">
        <v>751</v>
      </c>
      <c r="AA63" s="6">
        <v>1.0</v>
      </c>
      <c r="AB63" s="27"/>
      <c r="AC63" s="27"/>
      <c r="AD63" s="27"/>
      <c r="AE63" s="27"/>
      <c r="AF63" s="27"/>
      <c r="AG63" s="27"/>
      <c r="AH63" s="27"/>
      <c r="AI63" s="27"/>
      <c r="AJ63" s="27"/>
      <c r="AK63" s="27"/>
      <c r="AL63" s="27"/>
      <c r="AM63" s="27"/>
      <c r="AN63" s="27"/>
      <c r="AO63" s="27"/>
      <c r="AP63" s="27"/>
      <c r="AQ63" s="27"/>
      <c r="AR63" s="27"/>
      <c r="AS63" s="27"/>
      <c r="AT63" s="27"/>
      <c r="AU63" s="27"/>
      <c r="AV63" s="27"/>
      <c r="AW63" s="27"/>
      <c r="AX63" s="27"/>
    </row>
    <row r="64" ht="22.5" hidden="1" customHeight="1">
      <c r="A64" s="29" t="s">
        <v>742</v>
      </c>
      <c r="B64" s="30">
        <v>37866.0</v>
      </c>
      <c r="C64" s="29" t="s">
        <v>743</v>
      </c>
      <c r="D64" s="31" t="s">
        <v>744</v>
      </c>
      <c r="E64" s="29" t="s">
        <v>61</v>
      </c>
      <c r="F64" s="29" t="s">
        <v>99</v>
      </c>
      <c r="G64" s="32" t="str">
        <f>HYPERLINK("https://api.typeform.com/responses/files/d7ccb550fb196ca2f07156fea9eee62a8523a116e7634b54c1cf1e26839ae92a/CV_UnityDevelopmentIntern_TrầnQuangAnhThuận.pdf")</f>
        <v>https://api.typeform.com/responses/files/d7ccb550fb196ca2f07156fea9eee62a8523a116e7634b54c1cf1e26839ae92a/CV_UnityDevelopmentIntern_TrầnQuangAnhThuận.pdf</v>
      </c>
      <c r="H64" s="29" t="s">
        <v>745</v>
      </c>
      <c r="I64" s="29" t="s">
        <v>752</v>
      </c>
      <c r="J64" s="29" t="s">
        <v>65</v>
      </c>
      <c r="K64" s="29" t="s">
        <v>747</v>
      </c>
      <c r="L64" s="29" t="s">
        <v>103</v>
      </c>
      <c r="M64" s="29" t="s">
        <v>184</v>
      </c>
      <c r="N64" s="33">
        <v>46123.0</v>
      </c>
      <c r="O64" s="31" t="s">
        <v>663</v>
      </c>
      <c r="P64" s="32" t="str">
        <f>HYPERLINK("https://api.typeform.com/responses/files/9f1b39690d0baaea4fb9a7bf6375fd7c6a3965b2023dde4aeac1deb514b49151/Transcript_UnityDevelopmentIntern_TranQuangAnhThuan.pdf")</f>
        <v>https://api.typeform.com/responses/files/9f1b39690d0baaea4fb9a7bf6375fd7c6a3965b2023dde4aeac1deb514b49151/Transcript_UnityDevelopmentIntern_TranQuangAnhThuan.pdf</v>
      </c>
      <c r="Q64" s="29" t="b">
        <v>1</v>
      </c>
      <c r="R64" s="29" t="s">
        <v>753</v>
      </c>
      <c r="S64" s="29" t="s">
        <v>749</v>
      </c>
      <c r="T64" s="29" t="s">
        <v>72</v>
      </c>
      <c r="U64" s="29" t="s">
        <v>72</v>
      </c>
      <c r="V64" s="29" t="s">
        <v>73</v>
      </c>
      <c r="W64" s="29"/>
      <c r="X64" s="29" t="s">
        <v>750</v>
      </c>
      <c r="Y64" s="34">
        <v>46135.19641203704</v>
      </c>
      <c r="Z64" s="29" t="s">
        <v>754</v>
      </c>
      <c r="AA64" s="6">
        <v>1.0</v>
      </c>
      <c r="AB64" s="27"/>
      <c r="AC64" s="27"/>
      <c r="AD64" s="27"/>
      <c r="AE64" s="27"/>
      <c r="AF64" s="27"/>
      <c r="AG64" s="27"/>
      <c r="AH64" s="27"/>
      <c r="AI64" s="27"/>
      <c r="AJ64" s="27"/>
      <c r="AK64" s="27"/>
      <c r="AL64" s="27"/>
      <c r="AM64" s="27"/>
      <c r="AN64" s="27"/>
      <c r="AO64" s="27"/>
      <c r="AP64" s="27"/>
      <c r="AQ64" s="27"/>
      <c r="AR64" s="27"/>
      <c r="AS64" s="27"/>
      <c r="AT64" s="27"/>
      <c r="AU64" s="27"/>
      <c r="AV64" s="27"/>
      <c r="AW64" s="27"/>
      <c r="AX64" s="27"/>
    </row>
    <row r="65" ht="22.5" hidden="1" customHeight="1">
      <c r="A65" s="29" t="s">
        <v>755</v>
      </c>
      <c r="B65" s="30">
        <v>38092.0</v>
      </c>
      <c r="C65" s="29" t="s">
        <v>756</v>
      </c>
      <c r="D65" s="31" t="s">
        <v>757</v>
      </c>
      <c r="E65" s="29" t="s">
        <v>127</v>
      </c>
      <c r="F65" s="29"/>
      <c r="G65" s="32" t="str">
        <f>HYPERLINK("https://api.typeform.com/responses/files/ab0fcb15ceb6a2d22635d729a28cba208409937025a6f2014006d56079d8e6ec/CV___Game_Quality_Assurance_Intern___Nguyễn_Lâm_Nhã_Uyên.pdf")</f>
        <v>https://api.typeform.com/responses/files/ab0fcb15ceb6a2d22635d729a28cba208409937025a6f2014006d56079d8e6ec/CV___Game_Quality_Assurance_Intern___Nguyễn_Lâm_Nhã_Uyên.pdf</v>
      </c>
      <c r="H65" s="29" t="s">
        <v>758</v>
      </c>
      <c r="I65" s="29" t="s">
        <v>759</v>
      </c>
      <c r="J65" s="29" t="s">
        <v>326</v>
      </c>
      <c r="K65" s="29"/>
      <c r="L65" s="29" t="s">
        <v>67</v>
      </c>
      <c r="M65" s="29" t="s">
        <v>220</v>
      </c>
      <c r="N65" s="33">
        <v>46265.0</v>
      </c>
      <c r="O65" s="31" t="s">
        <v>171</v>
      </c>
      <c r="P65" s="32" t="str">
        <f>HYPERLINK("https://api.typeform.com/responses/files/90d63a782e6397b673cf1e2d10e27d42283c3b4eb11c513cd110885f995ba336/Transcript___Game_Quality_Assurance_Intern___Nguyễn_Lâm_Nhã_Uyên.pdf")</f>
        <v>https://api.typeform.com/responses/files/90d63a782e6397b673cf1e2d10e27d42283c3b4eb11c513cd110885f995ba336/Transcript___Game_Quality_Assurance_Intern___Nguyễn_Lâm_Nhã_Uyên.pdf</v>
      </c>
      <c r="Q65" s="29" t="b">
        <v>0</v>
      </c>
      <c r="R65" s="29" t="s">
        <v>222</v>
      </c>
      <c r="S65" s="29" t="s">
        <v>222</v>
      </c>
      <c r="T65" s="29" t="s">
        <v>72</v>
      </c>
      <c r="U65" s="29" t="s">
        <v>72</v>
      </c>
      <c r="V65" s="29" t="s">
        <v>269</v>
      </c>
      <c r="W65" s="29"/>
      <c r="X65" s="29"/>
      <c r="Y65" s="34">
        <v>46135.197291666664</v>
      </c>
      <c r="Z65" s="29" t="s">
        <v>760</v>
      </c>
      <c r="AA65" s="6">
        <v>1.0</v>
      </c>
      <c r="AB65" s="27"/>
      <c r="AC65" s="27"/>
      <c r="AD65" s="27"/>
      <c r="AE65" s="27"/>
      <c r="AF65" s="27"/>
      <c r="AG65" s="27"/>
      <c r="AH65" s="27"/>
      <c r="AI65" s="27"/>
      <c r="AJ65" s="27"/>
      <c r="AK65" s="27"/>
      <c r="AL65" s="27"/>
      <c r="AM65" s="27"/>
      <c r="AN65" s="27"/>
      <c r="AO65" s="27"/>
      <c r="AP65" s="27"/>
      <c r="AQ65" s="27"/>
      <c r="AR65" s="27"/>
      <c r="AS65" s="27"/>
      <c r="AT65" s="27"/>
      <c r="AU65" s="27"/>
      <c r="AV65" s="27"/>
      <c r="AW65" s="27"/>
      <c r="AX65" s="27"/>
    </row>
    <row r="66" ht="22.5" hidden="1" customHeight="1">
      <c r="A66" s="29" t="s">
        <v>761</v>
      </c>
      <c r="B66" s="30">
        <v>38485.0</v>
      </c>
      <c r="C66" s="29" t="s">
        <v>762</v>
      </c>
      <c r="D66" s="31" t="s">
        <v>763</v>
      </c>
      <c r="E66" s="29" t="s">
        <v>62</v>
      </c>
      <c r="F66" s="29" t="s">
        <v>82</v>
      </c>
      <c r="G66" s="32" t="str">
        <f>HYPERLINK("https://api.typeform.com/responses/files/33b5ec23244c33f18529037b24f433283cb2fcee03255e79ae604e6862b5fff9/CV___AI_Engineering_Intern___Bùi_Trương_Thái_Sơn.pdf")</f>
        <v>https://api.typeform.com/responses/files/33b5ec23244c33f18529037b24f433283cb2fcee03255e79ae604e6862b5fff9/CV___AI_Engineering_Intern___Bùi_Trương_Thái_Sơn.pdf</v>
      </c>
      <c r="H66" s="29" t="s">
        <v>764</v>
      </c>
      <c r="I66" s="29" t="s">
        <v>765</v>
      </c>
      <c r="J66" s="29" t="s">
        <v>85</v>
      </c>
      <c r="K66" s="29"/>
      <c r="L66" s="29" t="s">
        <v>219</v>
      </c>
      <c r="M66" s="29" t="s">
        <v>384</v>
      </c>
      <c r="N66" s="33">
        <v>46539.0</v>
      </c>
      <c r="O66" s="31" t="s">
        <v>766</v>
      </c>
      <c r="P66" s="32" t="str">
        <f>HYPERLINK("https://api.typeform.com/responses/files/899742377a5f04d68b90cd45c2aad6c3cb54bd4f05d76d291582c21590cbaa2a/Transcript__AI_Engineering_Intern___Bùi_Trương_Thái_Sơn.pdf")</f>
        <v>https://api.typeform.com/responses/files/899742377a5f04d68b90cd45c2aad6c3cb54bd4f05d76d291582c21590cbaa2a/Transcript__AI_Engineering_Intern___Bùi_Trương_Thái_Sơn.pdf</v>
      </c>
      <c r="Q66" s="29" t="b">
        <v>1</v>
      </c>
      <c r="R66" s="29" t="s">
        <v>767</v>
      </c>
      <c r="S66" s="29" t="s">
        <v>768</v>
      </c>
      <c r="T66" s="29" t="s">
        <v>72</v>
      </c>
      <c r="U66" s="29" t="s">
        <v>72</v>
      </c>
      <c r="V66" s="29" t="s">
        <v>269</v>
      </c>
      <c r="W66" s="29"/>
      <c r="X66" s="29" t="s">
        <v>769</v>
      </c>
      <c r="Y66" s="34">
        <v>46135.204664351855</v>
      </c>
      <c r="Z66" s="29" t="s">
        <v>770</v>
      </c>
      <c r="AA66" s="6">
        <v>1.0</v>
      </c>
      <c r="AB66" s="27"/>
      <c r="AC66" s="27"/>
      <c r="AD66" s="27"/>
      <c r="AE66" s="27"/>
      <c r="AF66" s="27"/>
      <c r="AG66" s="27"/>
      <c r="AH66" s="27"/>
      <c r="AI66" s="27"/>
      <c r="AJ66" s="27"/>
      <c r="AK66" s="27"/>
      <c r="AL66" s="27"/>
      <c r="AM66" s="27"/>
      <c r="AN66" s="27"/>
      <c r="AO66" s="27"/>
      <c r="AP66" s="27"/>
      <c r="AQ66" s="27"/>
      <c r="AR66" s="27"/>
      <c r="AS66" s="27"/>
      <c r="AT66" s="27"/>
      <c r="AU66" s="27"/>
      <c r="AV66" s="27"/>
      <c r="AW66" s="27"/>
      <c r="AX66" s="27"/>
    </row>
    <row r="67" ht="22.5" hidden="1" customHeight="1">
      <c r="A67" s="29" t="s">
        <v>771</v>
      </c>
      <c r="B67" s="30">
        <v>36984.0</v>
      </c>
      <c r="C67" s="29" t="s">
        <v>772</v>
      </c>
      <c r="D67" s="31" t="s">
        <v>773</v>
      </c>
      <c r="E67" s="29" t="s">
        <v>774</v>
      </c>
      <c r="F67" s="29" t="s">
        <v>99</v>
      </c>
      <c r="G67" s="32" t="str">
        <f>HYPERLINK("https://api.typeform.com/responses/files/9db784c49df225d52ff3b4115379a148cd369806c5636ecc49aa8eb1a0dbe8f5/CV___UA_Intern___Trần_Minh_Tâm.pdf")</f>
        <v>https://api.typeform.com/responses/files/9db784c49df225d52ff3b4115379a148cd369806c5636ecc49aa8eb1a0dbe8f5/CV___UA_Intern___Trần_Minh_Tâm.pdf</v>
      </c>
      <c r="H67" s="29" t="s">
        <v>775</v>
      </c>
      <c r="I67" s="29" t="s">
        <v>776</v>
      </c>
      <c r="J67" s="29" t="s">
        <v>777</v>
      </c>
      <c r="K67" s="29"/>
      <c r="L67" s="29" t="s">
        <v>778</v>
      </c>
      <c r="M67" s="29" t="s">
        <v>779</v>
      </c>
      <c r="N67" s="33">
        <v>45392.0</v>
      </c>
      <c r="O67" s="31" t="s">
        <v>780</v>
      </c>
      <c r="P67" s="32" t="str">
        <f>HYPERLINK("https://api.typeform.com/responses/files/9298ff89a07630e37ebb90de7b7a7ae5bc365a31e1f1cd8f601324eb8835fccb/Transcript_User_Acquisition_Intern_Tran_Minh_Tam.pdf")</f>
        <v>https://api.typeform.com/responses/files/9298ff89a07630e37ebb90de7b7a7ae5bc365a31e1f1cd8f601324eb8835fccb/Transcript_User_Acquisition_Intern_Tran_Minh_Tam.pdf</v>
      </c>
      <c r="Q67" s="29" t="b">
        <v>1</v>
      </c>
      <c r="R67" s="29" t="s">
        <v>781</v>
      </c>
      <c r="S67" s="29" t="s">
        <v>782</v>
      </c>
      <c r="T67" s="29" t="s">
        <v>72</v>
      </c>
      <c r="U67" s="29" t="s">
        <v>72</v>
      </c>
      <c r="V67" s="29" t="s">
        <v>90</v>
      </c>
      <c r="W67" s="29"/>
      <c r="X67" s="29" t="s">
        <v>783</v>
      </c>
      <c r="Y67" s="34">
        <v>46135.22119212963</v>
      </c>
      <c r="Z67" s="29" t="s">
        <v>784</v>
      </c>
      <c r="AA67" s="6">
        <v>1.0</v>
      </c>
      <c r="AB67" s="27"/>
      <c r="AC67" s="27"/>
      <c r="AD67" s="27"/>
      <c r="AE67" s="27"/>
      <c r="AF67" s="27"/>
      <c r="AG67" s="27"/>
      <c r="AH67" s="27"/>
      <c r="AI67" s="27"/>
      <c r="AJ67" s="27"/>
      <c r="AK67" s="27"/>
      <c r="AL67" s="27"/>
      <c r="AM67" s="27"/>
      <c r="AN67" s="27"/>
      <c r="AO67" s="27"/>
      <c r="AP67" s="27"/>
      <c r="AQ67" s="27"/>
      <c r="AR67" s="27"/>
      <c r="AS67" s="27"/>
      <c r="AT67" s="27"/>
      <c r="AU67" s="27"/>
      <c r="AV67" s="27"/>
      <c r="AW67" s="27"/>
      <c r="AX67" s="27"/>
    </row>
    <row r="68" ht="22.5" hidden="1" customHeight="1">
      <c r="A68" s="29" t="s">
        <v>785</v>
      </c>
      <c r="B68" s="30">
        <v>37874.0</v>
      </c>
      <c r="C68" s="29" t="s">
        <v>786</v>
      </c>
      <c r="D68" s="31" t="s">
        <v>787</v>
      </c>
      <c r="E68" s="29" t="s">
        <v>62</v>
      </c>
      <c r="F68" s="29" t="s">
        <v>82</v>
      </c>
      <c r="G68" s="32" t="str">
        <f>HYPERLINK("https://api.typeform.com/responses/files/3e5433edeb53e30a22b0325115766c61021b3610b1091288709f9335eed5e2fb/resume.pdf")</f>
        <v>https://api.typeform.com/responses/files/3e5433edeb53e30a22b0325115766c61021b3610b1091288709f9335eed5e2fb/resume.pdf</v>
      </c>
      <c r="H68" s="29" t="s">
        <v>788</v>
      </c>
      <c r="I68" s="29" t="s">
        <v>789</v>
      </c>
      <c r="J68" s="29" t="s">
        <v>130</v>
      </c>
      <c r="K68" s="29"/>
      <c r="L68" s="29" t="s">
        <v>103</v>
      </c>
      <c r="M68" s="29" t="s">
        <v>446</v>
      </c>
      <c r="N68" s="33">
        <v>46095.0</v>
      </c>
      <c r="O68" s="29" t="s">
        <v>790</v>
      </c>
      <c r="P68" s="32" t="str">
        <f>HYPERLINK("https://api.typeform.com/responses/files/7ad1ccd86e7e758cf60802d137c2e843f679ab855928239a7616187eff95b299/VoThanhTrong_DEV_TR.pdf")</f>
        <v>https://api.typeform.com/responses/files/7ad1ccd86e7e758cf60802d137c2e843f679ab855928239a7616187eff95b299/VoThanhTrong_DEV_TR.pdf</v>
      </c>
      <c r="Q68" s="29" t="b">
        <v>0</v>
      </c>
      <c r="R68" s="29" t="s">
        <v>791</v>
      </c>
      <c r="S68" s="29" t="s">
        <v>792</v>
      </c>
      <c r="T68" s="29" t="s">
        <v>72</v>
      </c>
      <c r="U68" s="29" t="s">
        <v>72</v>
      </c>
      <c r="V68" s="29" t="s">
        <v>793</v>
      </c>
      <c r="W68" s="29"/>
      <c r="X68" s="29" t="s">
        <v>794</v>
      </c>
      <c r="Y68" s="34">
        <v>46135.25796296296</v>
      </c>
      <c r="Z68" s="29" t="s">
        <v>795</v>
      </c>
      <c r="AA68" s="6">
        <v>1.0</v>
      </c>
      <c r="AB68" s="27"/>
      <c r="AC68" s="27"/>
      <c r="AD68" s="27"/>
      <c r="AE68" s="27"/>
      <c r="AF68" s="27"/>
      <c r="AG68" s="27"/>
      <c r="AH68" s="27"/>
      <c r="AI68" s="27"/>
      <c r="AJ68" s="27"/>
      <c r="AK68" s="27"/>
      <c r="AL68" s="27"/>
      <c r="AM68" s="27"/>
      <c r="AN68" s="27"/>
      <c r="AO68" s="27"/>
      <c r="AP68" s="27"/>
      <c r="AQ68" s="27"/>
      <c r="AR68" s="27"/>
      <c r="AS68" s="27"/>
      <c r="AT68" s="27"/>
      <c r="AU68" s="27"/>
      <c r="AV68" s="27"/>
      <c r="AW68" s="27"/>
      <c r="AX68" s="27"/>
    </row>
    <row r="69" ht="22.5" hidden="1" customHeight="1">
      <c r="A69" s="29" t="s">
        <v>796</v>
      </c>
      <c r="B69" s="30">
        <v>38086.0</v>
      </c>
      <c r="C69" s="29" t="s">
        <v>797</v>
      </c>
      <c r="D69" s="31" t="s">
        <v>798</v>
      </c>
      <c r="E69" s="29" t="s">
        <v>82</v>
      </c>
      <c r="F69" s="29" t="s">
        <v>82</v>
      </c>
      <c r="G69" s="32" t="str">
        <f>HYPERLINK("https://api.typeform.com/responses/files/1a94eb35f04f92e9c435cd2b3226af21c8d29d300e63893f531e986985a407f8/CV___Data_Analysis_Intern___Nguyễn_Như_Hoàng_Tiến.pdf")</f>
        <v>https://api.typeform.com/responses/files/1a94eb35f04f92e9c435cd2b3226af21c8d29d300e63893f531e986985a407f8/CV___Data_Analysis_Intern___Nguyễn_Như_Hoàng_Tiến.pdf</v>
      </c>
      <c r="H69" s="29" t="s">
        <v>799</v>
      </c>
      <c r="I69" s="29" t="s">
        <v>800</v>
      </c>
      <c r="J69" s="29" t="s">
        <v>372</v>
      </c>
      <c r="K69" s="29"/>
      <c r="L69" s="29" t="s">
        <v>67</v>
      </c>
      <c r="M69" s="29" t="s">
        <v>801</v>
      </c>
      <c r="N69" s="33">
        <v>46235.0</v>
      </c>
      <c r="O69" s="31" t="s">
        <v>802</v>
      </c>
      <c r="P69" s="32" t="str">
        <f>HYPERLINK("https://api.typeform.com/responses/files/197754f93cca9713ea6c19e48a2c22a02674834c05d8eab9823833874ec792ca/Transcript___Data_Analysis_Intern___Nguyễn_Như_Hoàng_Tiến.pdf")</f>
        <v>https://api.typeform.com/responses/files/197754f93cca9713ea6c19e48a2c22a02674834c05d8eab9823833874ec792ca/Transcript___Data_Analysis_Intern___Nguyễn_Như_Hoàng_Tiến.pdf</v>
      </c>
      <c r="Q69" s="29" t="b">
        <v>1</v>
      </c>
      <c r="R69" s="29" t="s">
        <v>803</v>
      </c>
      <c r="S69" s="29" t="s">
        <v>804</v>
      </c>
      <c r="T69" s="29" t="s">
        <v>72</v>
      </c>
      <c r="U69" s="29" t="s">
        <v>72</v>
      </c>
      <c r="V69" s="29" t="s">
        <v>73</v>
      </c>
      <c r="W69" s="29"/>
      <c r="X69" s="29" t="s">
        <v>805</v>
      </c>
      <c r="Y69" s="34">
        <v>46135.27307870371</v>
      </c>
      <c r="Z69" s="29" t="s">
        <v>806</v>
      </c>
      <c r="AA69" s="6">
        <v>1.0</v>
      </c>
      <c r="AB69" s="27"/>
      <c r="AC69" s="27"/>
      <c r="AD69" s="27"/>
      <c r="AE69" s="27"/>
      <c r="AF69" s="27"/>
      <c r="AG69" s="27"/>
      <c r="AH69" s="27"/>
      <c r="AI69" s="27"/>
      <c r="AJ69" s="27"/>
      <c r="AK69" s="27"/>
      <c r="AL69" s="27"/>
      <c r="AM69" s="27"/>
      <c r="AN69" s="27"/>
      <c r="AO69" s="27"/>
      <c r="AP69" s="27"/>
      <c r="AQ69" s="27"/>
      <c r="AR69" s="27"/>
      <c r="AS69" s="27"/>
      <c r="AT69" s="27"/>
      <c r="AU69" s="27"/>
      <c r="AV69" s="27"/>
      <c r="AW69" s="27"/>
      <c r="AX69" s="27"/>
    </row>
    <row r="70" ht="22.5" hidden="1" customHeight="1">
      <c r="A70" s="29" t="s">
        <v>807</v>
      </c>
      <c r="B70" s="30">
        <v>38376.0</v>
      </c>
      <c r="C70" s="29" t="s">
        <v>808</v>
      </c>
      <c r="D70" s="31" t="s">
        <v>809</v>
      </c>
      <c r="E70" s="29" t="s">
        <v>62</v>
      </c>
      <c r="F70" s="29" t="s">
        <v>82</v>
      </c>
      <c r="G70" s="32" t="str">
        <f>HYPERLINK("https://api.typeform.com/responses/files/9986ed293f7f1a8879e63037690e6095c8e4bb60a0abd1364d5d0db64835031e/CV___AI_Engineer_Intern___Trương_Trí_Khải.pdf")</f>
        <v>https://api.typeform.com/responses/files/9986ed293f7f1a8879e63037690e6095c8e4bb60a0abd1364d5d0db64835031e/CV___AI_Engineer_Intern___Trương_Trí_Khải.pdf</v>
      </c>
      <c r="H70" s="29" t="s">
        <v>810</v>
      </c>
      <c r="I70" s="29" t="s">
        <v>811</v>
      </c>
      <c r="J70" s="29" t="s">
        <v>65</v>
      </c>
      <c r="K70" s="29" t="s">
        <v>812</v>
      </c>
      <c r="L70" s="29" t="s">
        <v>219</v>
      </c>
      <c r="M70" s="29" t="s">
        <v>86</v>
      </c>
      <c r="N70" s="33">
        <v>46357.0</v>
      </c>
      <c r="O70" s="31" t="s">
        <v>813</v>
      </c>
      <c r="P70" s="32" t="str">
        <f>HYPERLINK("https://api.typeform.com/responses/files/7fcaa11cf3266082eb0e529d1bb8b29b128b18bee045c6eebefb260659db794e/Academic_Transcripts___AI_Engineer_Intern___Trương_Trí_Khải.pdf")</f>
        <v>https://api.typeform.com/responses/files/7fcaa11cf3266082eb0e529d1bb8b29b128b18bee045c6eebefb260659db794e/Academic_Transcripts___AI_Engineer_Intern___Trương_Trí_Khải.pdf</v>
      </c>
      <c r="Q70" s="29" t="b">
        <v>0</v>
      </c>
      <c r="R70" s="29" t="s">
        <v>814</v>
      </c>
      <c r="S70" s="29" t="s">
        <v>815</v>
      </c>
      <c r="T70" s="29" t="s">
        <v>72</v>
      </c>
      <c r="U70" s="29" t="s">
        <v>72</v>
      </c>
      <c r="V70" s="29" t="s">
        <v>269</v>
      </c>
      <c r="W70" s="29"/>
      <c r="X70" s="29"/>
      <c r="Y70" s="34">
        <v>46135.2878125</v>
      </c>
      <c r="Z70" s="29" t="s">
        <v>816</v>
      </c>
      <c r="AA70" s="6">
        <v>1.0</v>
      </c>
      <c r="AB70" s="27"/>
      <c r="AC70" s="27"/>
      <c r="AD70" s="27"/>
      <c r="AE70" s="27"/>
      <c r="AF70" s="27"/>
      <c r="AG70" s="27"/>
      <c r="AH70" s="27"/>
      <c r="AI70" s="27"/>
      <c r="AJ70" s="27"/>
      <c r="AK70" s="27"/>
      <c r="AL70" s="27"/>
      <c r="AM70" s="27"/>
      <c r="AN70" s="27"/>
      <c r="AO70" s="27"/>
      <c r="AP70" s="27"/>
      <c r="AQ70" s="27"/>
      <c r="AR70" s="27"/>
      <c r="AS70" s="27"/>
      <c r="AT70" s="27"/>
      <c r="AU70" s="27"/>
      <c r="AV70" s="27"/>
      <c r="AW70" s="27"/>
      <c r="AX70" s="27"/>
    </row>
    <row r="71" ht="22.5" hidden="1" customHeight="1">
      <c r="A71" s="29" t="s">
        <v>817</v>
      </c>
      <c r="B71" s="30">
        <v>38327.0</v>
      </c>
      <c r="C71" s="29" t="s">
        <v>818</v>
      </c>
      <c r="D71" s="31" t="s">
        <v>819</v>
      </c>
      <c r="E71" s="29" t="s">
        <v>82</v>
      </c>
      <c r="F71" s="29" t="s">
        <v>62</v>
      </c>
      <c r="G71" s="32" t="str">
        <f>HYPERLINK("https://api.typeform.com/responses/files/2fffe136de9f5b906fd23d09092e8d4567853ffa591c1ce3f988f7fce539c937/CV___Data_Analysis_Intern___Nguyễn_Ngọc_Anh_.pdf")</f>
        <v>https://api.typeform.com/responses/files/2fffe136de9f5b906fd23d09092e8d4567853ffa591c1ce3f988f7fce539c937/CV___Data_Analysis_Intern___Nguyễn_Ngọc_Anh_.pdf</v>
      </c>
      <c r="H71" s="29" t="s">
        <v>820</v>
      </c>
      <c r="I71" s="29" t="s">
        <v>821</v>
      </c>
      <c r="J71" s="29" t="s">
        <v>372</v>
      </c>
      <c r="K71" s="29"/>
      <c r="L71" s="29" t="s">
        <v>67</v>
      </c>
      <c r="M71" s="29" t="s">
        <v>801</v>
      </c>
      <c r="N71" s="33">
        <v>46233.0</v>
      </c>
      <c r="O71" s="31" t="s">
        <v>822</v>
      </c>
      <c r="P71" s="32" t="str">
        <f>HYPERLINK("https://api.typeform.com/responses/files/f613be3ab695b944a64e4885f32e0f81645b190b585c14ee85e928d5e83caada/Transcript___Data_Analysis_Intern___Nguyễn_Ngọc_Anh_Thư.pdf")</f>
        <v>https://api.typeform.com/responses/files/f613be3ab695b944a64e4885f32e0f81645b190b585c14ee85e928d5e83caada/Transcript___Data_Analysis_Intern___Nguyễn_Ngọc_Anh_Thư.pdf</v>
      </c>
      <c r="Q71" s="29" t="b">
        <v>1</v>
      </c>
      <c r="R71" s="29" t="s">
        <v>823</v>
      </c>
      <c r="S71" s="29" t="s">
        <v>824</v>
      </c>
      <c r="T71" s="29" t="s">
        <v>72</v>
      </c>
      <c r="U71" s="29" t="s">
        <v>72</v>
      </c>
      <c r="V71" s="29" t="s">
        <v>269</v>
      </c>
      <c r="W71" s="29"/>
      <c r="X71" s="29" t="s">
        <v>825</v>
      </c>
      <c r="Y71" s="34">
        <v>46135.28873842592</v>
      </c>
      <c r="Z71" s="29" t="s">
        <v>826</v>
      </c>
      <c r="AA71" s="6">
        <v>1.0</v>
      </c>
      <c r="AB71" s="27"/>
      <c r="AC71" s="27"/>
      <c r="AD71" s="27"/>
      <c r="AE71" s="27"/>
      <c r="AF71" s="27"/>
      <c r="AG71" s="27"/>
      <c r="AH71" s="27"/>
      <c r="AI71" s="27"/>
      <c r="AJ71" s="27"/>
      <c r="AK71" s="27"/>
      <c r="AL71" s="27"/>
      <c r="AM71" s="27"/>
      <c r="AN71" s="27"/>
      <c r="AO71" s="27"/>
      <c r="AP71" s="27"/>
      <c r="AQ71" s="27"/>
      <c r="AR71" s="27"/>
      <c r="AS71" s="27"/>
      <c r="AT71" s="27"/>
      <c r="AU71" s="27"/>
      <c r="AV71" s="27"/>
      <c r="AW71" s="27"/>
      <c r="AX71" s="27"/>
    </row>
    <row r="72" ht="22.5" hidden="1" customHeight="1">
      <c r="A72" s="29" t="s">
        <v>827</v>
      </c>
      <c r="B72" s="30">
        <v>38383.0</v>
      </c>
      <c r="C72" s="29" t="s">
        <v>828</v>
      </c>
      <c r="D72" s="31" t="s">
        <v>829</v>
      </c>
      <c r="E72" s="29" t="s">
        <v>62</v>
      </c>
      <c r="F72" s="29"/>
      <c r="G72" s="32" t="str">
        <f>HYPERLINK("https://api.typeform.com/responses/files/0e80c5146b919565afa7a640844aac47e7324536f9bec95713427c5909165e0d/CV___AI_Engineering_Intern___Lê_Hoàng_Minh_Huy.pdf")</f>
        <v>https://api.typeform.com/responses/files/0e80c5146b919565afa7a640844aac47e7324536f9bec95713427c5909165e0d/CV___AI_Engineering_Intern___Lê_Hoàng_Minh_Huy.pdf</v>
      </c>
      <c r="H72" s="29" t="s">
        <v>830</v>
      </c>
      <c r="I72" s="29" t="s">
        <v>831</v>
      </c>
      <c r="J72" s="29" t="s">
        <v>326</v>
      </c>
      <c r="K72" s="29"/>
      <c r="L72" s="29" t="s">
        <v>219</v>
      </c>
      <c r="M72" s="29" t="s">
        <v>412</v>
      </c>
      <c r="N72" s="33">
        <v>46534.0</v>
      </c>
      <c r="O72" s="31" t="s">
        <v>832</v>
      </c>
      <c r="P72" s="32" t="str">
        <f>HYPERLINK("https://api.typeform.com/responses/files/7c36e3eaab3e7620de0cee3e622097d1fb6d6164ece519f63c19c7c90ff18a84/Transcript___AI_Engineering_Intern___Lê_Hoàng_Minh_Huy.pdf")</f>
        <v>https://api.typeform.com/responses/files/7c36e3eaab3e7620de0cee3e622097d1fb6d6164ece519f63c19c7c90ff18a84/Transcript___AI_Engineering_Intern___Lê_Hoàng_Minh_Huy.pdf</v>
      </c>
      <c r="Q72" s="29" t="b">
        <v>1</v>
      </c>
      <c r="R72" s="29" t="s">
        <v>833</v>
      </c>
      <c r="S72" s="29" t="s">
        <v>834</v>
      </c>
      <c r="T72" s="29" t="s">
        <v>72</v>
      </c>
      <c r="U72" s="29" t="s">
        <v>72</v>
      </c>
      <c r="V72" s="29" t="s">
        <v>269</v>
      </c>
      <c r="W72" s="29"/>
      <c r="X72" s="29" t="s">
        <v>835</v>
      </c>
      <c r="Y72" s="34">
        <v>46135.29078703704</v>
      </c>
      <c r="Z72" s="29" t="s">
        <v>836</v>
      </c>
      <c r="AA72" s="6">
        <v>1.0</v>
      </c>
      <c r="AB72" s="27"/>
      <c r="AC72" s="27"/>
      <c r="AD72" s="27"/>
      <c r="AE72" s="27"/>
      <c r="AF72" s="27"/>
      <c r="AG72" s="27"/>
      <c r="AH72" s="27"/>
      <c r="AI72" s="27"/>
      <c r="AJ72" s="27"/>
      <c r="AK72" s="27"/>
      <c r="AL72" s="27"/>
      <c r="AM72" s="27"/>
      <c r="AN72" s="27"/>
      <c r="AO72" s="27"/>
      <c r="AP72" s="27"/>
      <c r="AQ72" s="27"/>
      <c r="AR72" s="27"/>
      <c r="AS72" s="27"/>
      <c r="AT72" s="27"/>
      <c r="AU72" s="27"/>
      <c r="AV72" s="27"/>
      <c r="AW72" s="27"/>
      <c r="AX72" s="27"/>
    </row>
    <row r="73" ht="22.5" hidden="1" customHeight="1">
      <c r="A73" s="29" t="s">
        <v>837</v>
      </c>
      <c r="B73" s="30">
        <v>37659.0</v>
      </c>
      <c r="C73" s="29" t="s">
        <v>838</v>
      </c>
      <c r="D73" s="31" t="s">
        <v>839</v>
      </c>
      <c r="E73" s="29" t="s">
        <v>82</v>
      </c>
      <c r="F73" s="29" t="s">
        <v>62</v>
      </c>
      <c r="G73" s="32" t="str">
        <f>HYPERLINK("https://api.typeform.com/responses/files/e585125ecfd69f5a7e95eb54452bea045138b07b338bd298099ccf75a6dcda62/CV___Data_Analysis_Intern___Nguyễn_Tân_Niên.pdf")</f>
        <v>https://api.typeform.com/responses/files/e585125ecfd69f5a7e95eb54452bea045138b07b338bd298099ccf75a6dcda62/CV___Data_Analysis_Intern___Nguyễn_Tân_Niên.pdf</v>
      </c>
      <c r="H73" s="29" t="s">
        <v>840</v>
      </c>
      <c r="I73" s="29" t="s">
        <v>841</v>
      </c>
      <c r="J73" s="29" t="s">
        <v>842</v>
      </c>
      <c r="K73" s="29"/>
      <c r="L73" s="29" t="s">
        <v>103</v>
      </c>
      <c r="M73" s="29" t="s">
        <v>384</v>
      </c>
      <c r="N73" s="33">
        <v>45741.0</v>
      </c>
      <c r="O73" s="31" t="s">
        <v>317</v>
      </c>
      <c r="P73" s="32" t="str">
        <f>HYPERLINK("https://api.typeform.com/responses/files/b67f04fc03f821214d8192accd9134ded95094e00bbbf2d1fb2aafbe33bb8ec5/Transcript___Data_Analysis_Intern___Nguyễn_Tân_Niên.pdf")</f>
        <v>https://api.typeform.com/responses/files/b67f04fc03f821214d8192accd9134ded95094e00bbbf2d1fb2aafbe33bb8ec5/Transcript___Data_Analysis_Intern___Nguyễn_Tân_Niên.pdf</v>
      </c>
      <c r="Q73" s="29" t="b">
        <v>0</v>
      </c>
      <c r="R73" s="29" t="s">
        <v>222</v>
      </c>
      <c r="S73" s="29" t="s">
        <v>843</v>
      </c>
      <c r="T73" s="29" t="s">
        <v>72</v>
      </c>
      <c r="U73" s="29" t="s">
        <v>72</v>
      </c>
      <c r="V73" s="29" t="s">
        <v>90</v>
      </c>
      <c r="W73" s="29"/>
      <c r="X73" s="29"/>
      <c r="Y73" s="34">
        <v>46135.29311342593</v>
      </c>
      <c r="Z73" s="29" t="s">
        <v>844</v>
      </c>
      <c r="AA73" s="6">
        <v>1.0</v>
      </c>
      <c r="AB73" s="27"/>
      <c r="AC73" s="27"/>
      <c r="AD73" s="27"/>
      <c r="AE73" s="27"/>
      <c r="AF73" s="27"/>
      <c r="AG73" s="27"/>
      <c r="AH73" s="27"/>
      <c r="AI73" s="27"/>
      <c r="AJ73" s="27"/>
      <c r="AK73" s="27"/>
      <c r="AL73" s="27"/>
      <c r="AM73" s="27"/>
      <c r="AN73" s="27"/>
      <c r="AO73" s="27"/>
      <c r="AP73" s="27"/>
      <c r="AQ73" s="27"/>
      <c r="AR73" s="27"/>
      <c r="AS73" s="27"/>
      <c r="AT73" s="27"/>
      <c r="AU73" s="27"/>
      <c r="AV73" s="27"/>
      <c r="AW73" s="27"/>
      <c r="AX73" s="27"/>
    </row>
    <row r="74" ht="22.5" hidden="1" customHeight="1">
      <c r="A74" s="29" t="s">
        <v>845</v>
      </c>
      <c r="B74" s="30">
        <v>37916.0</v>
      </c>
      <c r="C74" s="29" t="s">
        <v>846</v>
      </c>
      <c r="D74" s="31" t="s">
        <v>847</v>
      </c>
      <c r="E74" s="29" t="s">
        <v>82</v>
      </c>
      <c r="F74" s="29" t="s">
        <v>62</v>
      </c>
      <c r="G74" s="32" t="str">
        <f>HYPERLINK("https://api.typeform.com/responses/files/1f736557a29312c6c137020feae6d2f476cd583cf46334a419b7b0f27358df7c/CV___Data_Analysis_Intern___Lê_Quốc_Đạt.pdf")</f>
        <v>https://api.typeform.com/responses/files/1f736557a29312c6c137020feae6d2f476cd583cf46334a419b7b0f27358df7c/CV___Data_Analysis_Intern___Lê_Quốc_Đạt.pdf</v>
      </c>
      <c r="H74" s="29" t="s">
        <v>848</v>
      </c>
      <c r="I74" s="29" t="s">
        <v>849</v>
      </c>
      <c r="J74" s="29" t="s">
        <v>65</v>
      </c>
      <c r="K74" s="29" t="s">
        <v>850</v>
      </c>
      <c r="L74" s="29" t="s">
        <v>103</v>
      </c>
      <c r="M74" s="29" t="s">
        <v>851</v>
      </c>
      <c r="N74" s="33">
        <v>45840.0</v>
      </c>
      <c r="O74" s="29" t="s">
        <v>852</v>
      </c>
      <c r="P74" s="32" t="str">
        <f>HYPERLINK("https://api.typeform.com/responses/files/d43d6618e5631e482db10f51767dc7c5dc6e44fb8cc711c6083ca05c6bec3089/Transcript___Data_Analysis_Intern___Lê_Quốc_Đạt.png")</f>
        <v>https://api.typeform.com/responses/files/d43d6618e5631e482db10f51767dc7c5dc6e44fb8cc711c6083ca05c6bec3089/Transcript___Data_Analysis_Intern___Lê_Quốc_Đạt.png</v>
      </c>
      <c r="Q74" s="29" t="b">
        <v>1</v>
      </c>
      <c r="R74" s="29" t="s">
        <v>853</v>
      </c>
      <c r="S74" s="29" t="s">
        <v>854</v>
      </c>
      <c r="T74" s="29" t="s">
        <v>72</v>
      </c>
      <c r="U74" s="29" t="s">
        <v>72</v>
      </c>
      <c r="V74" s="29" t="s">
        <v>73</v>
      </c>
      <c r="W74" s="29"/>
      <c r="X74" s="29" t="s">
        <v>855</v>
      </c>
      <c r="Y74" s="34">
        <v>46135.2959837963</v>
      </c>
      <c r="Z74" s="29" t="s">
        <v>856</v>
      </c>
      <c r="AA74" s="6">
        <v>1.0</v>
      </c>
      <c r="AB74" s="27"/>
      <c r="AC74" s="27"/>
      <c r="AD74" s="27"/>
      <c r="AE74" s="27"/>
      <c r="AF74" s="27"/>
      <c r="AG74" s="27"/>
      <c r="AH74" s="27"/>
      <c r="AI74" s="27"/>
      <c r="AJ74" s="27"/>
      <c r="AK74" s="27"/>
      <c r="AL74" s="27"/>
      <c r="AM74" s="27"/>
      <c r="AN74" s="27"/>
      <c r="AO74" s="27"/>
      <c r="AP74" s="27"/>
      <c r="AQ74" s="27"/>
      <c r="AR74" s="27"/>
      <c r="AS74" s="27"/>
      <c r="AT74" s="27"/>
      <c r="AU74" s="27"/>
      <c r="AV74" s="27"/>
      <c r="AW74" s="27"/>
      <c r="AX74" s="27"/>
    </row>
    <row r="75" ht="22.5" hidden="1" customHeight="1">
      <c r="A75" s="29" t="s">
        <v>857</v>
      </c>
      <c r="B75" s="30">
        <v>37742.0</v>
      </c>
      <c r="C75" s="29" t="s">
        <v>858</v>
      </c>
      <c r="D75" s="31" t="s">
        <v>859</v>
      </c>
      <c r="E75" s="29" t="s">
        <v>99</v>
      </c>
      <c r="F75" s="29" t="s">
        <v>774</v>
      </c>
      <c r="G75" s="32" t="str">
        <f>HYPERLINK("https://api.typeform.com/responses/files/2de0c188b99fb08f9574efd35b5a69d718f391ff738650e8490d6cc642170ffb/CV_BuiHuuHoang_GameDesignerIntern.pdf")</f>
        <v>https://api.typeform.com/responses/files/2de0c188b99fb08f9574efd35b5a69d718f391ff738650e8490d6cc642170ffb/CV_BuiHuuHoang_GameDesignerIntern.pdf</v>
      </c>
      <c r="H75" s="29" t="s">
        <v>860</v>
      </c>
      <c r="I75" s="29" t="s">
        <v>861</v>
      </c>
      <c r="J75" s="29" t="s">
        <v>65</v>
      </c>
      <c r="K75" s="29" t="s">
        <v>862</v>
      </c>
      <c r="L75" s="29" t="s">
        <v>103</v>
      </c>
      <c r="M75" s="29" t="s">
        <v>256</v>
      </c>
      <c r="N75" s="33">
        <v>46258.0</v>
      </c>
      <c r="O75" s="31" t="s">
        <v>233</v>
      </c>
      <c r="P75" s="32" t="str">
        <f>HYPERLINK("https://api.typeform.com/responses/files/2f8b61f84bfc34b01fc0cf2cd47a80a9a291f1fc97bf4a7dc3063b41b959fa3d/Bảng_điểm__FPT_Polytechnic.pdf")</f>
        <v>https://api.typeform.com/responses/files/2f8b61f84bfc34b01fc0cf2cd47a80a9a291f1fc97bf4a7dc3063b41b959fa3d/Bảng_điểm__FPT_Polytechnic.pdf</v>
      </c>
      <c r="Q75" s="29" t="b">
        <v>1</v>
      </c>
      <c r="R75" s="29" t="s">
        <v>863</v>
      </c>
      <c r="S75" s="29" t="s">
        <v>864</v>
      </c>
      <c r="T75" s="29" t="s">
        <v>72</v>
      </c>
      <c r="U75" s="29" t="s">
        <v>72</v>
      </c>
      <c r="V75" s="29" t="s">
        <v>90</v>
      </c>
      <c r="W75" s="29"/>
      <c r="X75" s="29" t="s">
        <v>865</v>
      </c>
      <c r="Y75" s="34">
        <v>46135.296585648146</v>
      </c>
      <c r="Z75" s="29" t="s">
        <v>866</v>
      </c>
      <c r="AA75" s="6">
        <v>1.0</v>
      </c>
      <c r="AB75" s="27"/>
      <c r="AC75" s="27"/>
      <c r="AD75" s="27"/>
      <c r="AE75" s="27"/>
      <c r="AF75" s="27"/>
      <c r="AG75" s="27"/>
      <c r="AH75" s="27"/>
      <c r="AI75" s="27"/>
      <c r="AJ75" s="27"/>
      <c r="AK75" s="27"/>
      <c r="AL75" s="27"/>
      <c r="AM75" s="27"/>
      <c r="AN75" s="27"/>
      <c r="AO75" s="27"/>
      <c r="AP75" s="27"/>
      <c r="AQ75" s="27"/>
      <c r="AR75" s="27"/>
      <c r="AS75" s="27"/>
      <c r="AT75" s="27"/>
      <c r="AU75" s="27"/>
      <c r="AV75" s="27"/>
      <c r="AW75" s="27"/>
      <c r="AX75" s="27"/>
    </row>
    <row r="76" ht="22.5" hidden="1" customHeight="1">
      <c r="A76" s="29" t="s">
        <v>867</v>
      </c>
      <c r="B76" s="30">
        <v>38156.0</v>
      </c>
      <c r="C76" s="29" t="s">
        <v>868</v>
      </c>
      <c r="D76" s="31" t="s">
        <v>869</v>
      </c>
      <c r="E76" s="29" t="s">
        <v>62</v>
      </c>
      <c r="F76" s="29" t="s">
        <v>82</v>
      </c>
      <c r="G76" s="32" t="str">
        <f>HYPERLINK("https://api.typeform.com/responses/files/f91e2e00e580532c8fb45251c8b78b51291a7f010a3005381ee1b15e7b59eba5/inbound5323035336007774194.pdf")</f>
        <v>https://api.typeform.com/responses/files/f91e2e00e580532c8fb45251c8b78b51291a7f010a3005381ee1b15e7b59eba5/inbound5323035336007774194.pdf</v>
      </c>
      <c r="H76" s="29" t="s">
        <v>870</v>
      </c>
      <c r="I76" s="29" t="s">
        <v>871</v>
      </c>
      <c r="J76" s="29" t="s">
        <v>326</v>
      </c>
      <c r="K76" s="29"/>
      <c r="L76" s="29" t="s">
        <v>67</v>
      </c>
      <c r="M76" s="29" t="s">
        <v>86</v>
      </c>
      <c r="N76" s="33">
        <v>46310.0</v>
      </c>
      <c r="O76" s="31" t="s">
        <v>872</v>
      </c>
      <c r="P76" s="32" t="str">
        <f>HYPERLINK("https://api.typeform.com/responses/files/829189505b46f30fe22953c4f239e2dc0d5fe5289cb642fc4501ea50456e5d77/inbound7099643817910465525.pdf")</f>
        <v>https://api.typeform.com/responses/files/829189505b46f30fe22953c4f239e2dc0d5fe5289cb642fc4501ea50456e5d77/inbound7099643817910465525.pdf</v>
      </c>
      <c r="Q76" s="29" t="b">
        <v>0</v>
      </c>
      <c r="R76" s="29" t="s">
        <v>268</v>
      </c>
      <c r="S76" s="29" t="s">
        <v>873</v>
      </c>
      <c r="T76" s="29" t="s">
        <v>72</v>
      </c>
      <c r="U76" s="29" t="s">
        <v>72</v>
      </c>
      <c r="V76" s="29" t="s">
        <v>73</v>
      </c>
      <c r="W76" s="29"/>
      <c r="X76" s="29"/>
      <c r="Y76" s="34">
        <v>46135.32052083333</v>
      </c>
      <c r="Z76" s="29" t="s">
        <v>874</v>
      </c>
      <c r="AA76" s="6">
        <v>1.0</v>
      </c>
      <c r="AB76" s="27"/>
      <c r="AC76" s="27"/>
      <c r="AD76" s="27"/>
      <c r="AE76" s="27"/>
      <c r="AF76" s="27"/>
      <c r="AG76" s="27"/>
      <c r="AH76" s="27"/>
      <c r="AI76" s="27"/>
      <c r="AJ76" s="27"/>
      <c r="AK76" s="27"/>
      <c r="AL76" s="27"/>
      <c r="AM76" s="27"/>
      <c r="AN76" s="27"/>
      <c r="AO76" s="27"/>
      <c r="AP76" s="27"/>
      <c r="AQ76" s="27"/>
      <c r="AR76" s="27"/>
      <c r="AS76" s="27"/>
      <c r="AT76" s="27"/>
      <c r="AU76" s="27"/>
      <c r="AV76" s="27"/>
      <c r="AW76" s="27"/>
      <c r="AX76" s="27"/>
    </row>
    <row r="77" ht="22.5" hidden="1" customHeight="1">
      <c r="A77" s="29" t="s">
        <v>875</v>
      </c>
      <c r="B77" s="30">
        <v>38674.0</v>
      </c>
      <c r="C77" s="29" t="s">
        <v>876</v>
      </c>
      <c r="D77" s="31" t="s">
        <v>877</v>
      </c>
      <c r="E77" s="29" t="s">
        <v>62</v>
      </c>
      <c r="F77" s="29" t="s">
        <v>82</v>
      </c>
      <c r="G77" s="32" t="str">
        <f>HYPERLINK("https://api.typeform.com/responses/files/d33197ef617e2a04f5469121f98f7c529a7fafd018233673286bf2c57eeafb62/Ngo_Quang_Thang___AI_Intern_CV.pdf")</f>
        <v>https://api.typeform.com/responses/files/d33197ef617e2a04f5469121f98f7c529a7fafd018233673286bf2c57eeafb62/Ngo_Quang_Thang___AI_Intern_CV.pdf</v>
      </c>
      <c r="H77" s="29" t="s">
        <v>878</v>
      </c>
      <c r="I77" s="29" t="s">
        <v>879</v>
      </c>
      <c r="J77" s="29" t="s">
        <v>326</v>
      </c>
      <c r="K77" s="29"/>
      <c r="L77" s="29" t="s">
        <v>219</v>
      </c>
      <c r="M77" s="29" t="s">
        <v>880</v>
      </c>
      <c r="N77" s="33">
        <v>46588.0</v>
      </c>
      <c r="O77" s="31" t="s">
        <v>881</v>
      </c>
      <c r="P77" s="32" t="str">
        <f>HYPERLINK("https://api.typeform.com/responses/files/521c6eee80b0ccf39cc417ed4510ee7eb317aee0a5283cad201c95971306cc1a/Transcript___AI_Engineer_Intern___Ngô_Quang_Thắng.png")</f>
        <v>https://api.typeform.com/responses/files/521c6eee80b0ccf39cc417ed4510ee7eb317aee0a5283cad201c95971306cc1a/Transcript___AI_Engineer_Intern___Ngô_Quang_Thắng.png</v>
      </c>
      <c r="Q77" s="29" t="b">
        <v>1</v>
      </c>
      <c r="R77" s="29" t="s">
        <v>882</v>
      </c>
      <c r="S77" s="29" t="s">
        <v>883</v>
      </c>
      <c r="T77" s="29" t="s">
        <v>72</v>
      </c>
      <c r="U77" s="29" t="s">
        <v>72</v>
      </c>
      <c r="V77" s="29" t="s">
        <v>269</v>
      </c>
      <c r="W77" s="29"/>
      <c r="X77" s="29"/>
      <c r="Y77" s="34">
        <v>46135.32100694445</v>
      </c>
      <c r="Z77" s="29" t="s">
        <v>884</v>
      </c>
      <c r="AA77" s="6">
        <v>1.0</v>
      </c>
      <c r="AB77" s="27"/>
      <c r="AC77" s="27"/>
      <c r="AD77" s="27"/>
      <c r="AE77" s="27"/>
      <c r="AF77" s="27"/>
      <c r="AG77" s="27"/>
      <c r="AH77" s="27"/>
      <c r="AI77" s="27"/>
      <c r="AJ77" s="27"/>
      <c r="AK77" s="27"/>
      <c r="AL77" s="27"/>
      <c r="AM77" s="27"/>
      <c r="AN77" s="27"/>
      <c r="AO77" s="27"/>
      <c r="AP77" s="27"/>
      <c r="AQ77" s="27"/>
      <c r="AR77" s="27"/>
      <c r="AS77" s="27"/>
      <c r="AT77" s="27"/>
      <c r="AU77" s="27"/>
      <c r="AV77" s="27"/>
      <c r="AW77" s="27"/>
      <c r="AX77" s="27"/>
    </row>
    <row r="78" ht="22.5" hidden="1" customHeight="1">
      <c r="A78" s="29" t="s">
        <v>885</v>
      </c>
      <c r="B78" s="30">
        <v>38442.0</v>
      </c>
      <c r="C78" s="29" t="s">
        <v>886</v>
      </c>
      <c r="D78" s="31" t="s">
        <v>887</v>
      </c>
      <c r="E78" s="29" t="s">
        <v>61</v>
      </c>
      <c r="F78" s="29" t="s">
        <v>99</v>
      </c>
      <c r="G78" s="32" t="str">
        <f>HYPERLINK("https://api.typeform.com/responses/files/d914454b06e295b1494f5751301f86f65c896e259443a1516a3df3f18cf4b925/CV___Game_Development_Intern___Nguyễn_Hoàng_Nhựt_Minh.pdf")</f>
        <v>https://api.typeform.com/responses/files/d914454b06e295b1494f5751301f86f65c896e259443a1516a3df3f18cf4b925/CV___Game_Development_Intern___Nguyễn_Hoàng_Nhựt_Minh.pdf</v>
      </c>
      <c r="H78" s="29" t="s">
        <v>888</v>
      </c>
      <c r="I78" s="29" t="s">
        <v>889</v>
      </c>
      <c r="J78" s="29" t="s">
        <v>85</v>
      </c>
      <c r="K78" s="29"/>
      <c r="L78" s="29" t="s">
        <v>219</v>
      </c>
      <c r="M78" s="29" t="s">
        <v>624</v>
      </c>
      <c r="N78" s="33">
        <v>46539.0</v>
      </c>
      <c r="O78" s="31" t="s">
        <v>890</v>
      </c>
      <c r="P78" s="32" t="str">
        <f>HYPERLINK("https://api.typeform.com/responses/files/47ad1bccc0d96235ea0cea7788d1a4325c308b8090bf30e67ddf6982ddd6208f/Transcript___Unity_Development_Intern___Nguyễn_Hoàng_Nhựt_Minh.pdf")</f>
        <v>https://api.typeform.com/responses/files/47ad1bccc0d96235ea0cea7788d1a4325c308b8090bf30e67ddf6982ddd6208f/Transcript___Unity_Development_Intern___Nguyễn_Hoàng_Nhựt_Minh.pdf</v>
      </c>
      <c r="Q78" s="29" t="b">
        <v>1</v>
      </c>
      <c r="R78" s="29" t="s">
        <v>891</v>
      </c>
      <c r="S78" s="29" t="s">
        <v>892</v>
      </c>
      <c r="T78" s="29" t="s">
        <v>72</v>
      </c>
      <c r="U78" s="29" t="s">
        <v>72</v>
      </c>
      <c r="V78" s="29" t="s">
        <v>269</v>
      </c>
      <c r="W78" s="29"/>
      <c r="X78" s="29" t="s">
        <v>893</v>
      </c>
      <c r="Y78" s="34">
        <v>46135.32344907407</v>
      </c>
      <c r="Z78" s="29" t="s">
        <v>894</v>
      </c>
      <c r="AA78" s="6">
        <v>1.0</v>
      </c>
      <c r="AB78" s="27"/>
      <c r="AC78" s="27"/>
      <c r="AD78" s="27"/>
      <c r="AE78" s="27"/>
      <c r="AF78" s="27"/>
      <c r="AG78" s="27"/>
      <c r="AH78" s="27"/>
      <c r="AI78" s="27"/>
      <c r="AJ78" s="27"/>
      <c r="AK78" s="27"/>
      <c r="AL78" s="27"/>
      <c r="AM78" s="27"/>
      <c r="AN78" s="27"/>
      <c r="AO78" s="27"/>
      <c r="AP78" s="27"/>
      <c r="AQ78" s="27"/>
      <c r="AR78" s="27"/>
      <c r="AS78" s="27"/>
      <c r="AT78" s="27"/>
      <c r="AU78" s="27"/>
      <c r="AV78" s="27"/>
      <c r="AW78" s="27"/>
      <c r="AX78" s="27"/>
    </row>
    <row r="79" ht="22.5" hidden="1" customHeight="1">
      <c r="A79" s="29" t="s">
        <v>895</v>
      </c>
      <c r="B79" s="30">
        <v>38689.0</v>
      </c>
      <c r="C79" s="29" t="s">
        <v>896</v>
      </c>
      <c r="D79" s="31" t="s">
        <v>897</v>
      </c>
      <c r="E79" s="29" t="s">
        <v>82</v>
      </c>
      <c r="F79" s="29" t="s">
        <v>62</v>
      </c>
      <c r="G79" s="32" t="str">
        <f>HYPERLINK("https://api.typeform.com/responses/files/df74df34cce58e0508bbfaf80b7b0c65b0befd6e4c7bc95b76218b1bd4320916/CV___Data_Analysis_Intern___Nguyễn_Đỗ_Bảo.pdf")</f>
        <v>https://api.typeform.com/responses/files/df74df34cce58e0508bbfaf80b7b0c65b0befd6e4c7bc95b76218b1bd4320916/CV___Data_Analysis_Intern___Nguyễn_Đỗ_Bảo.pdf</v>
      </c>
      <c r="H79" s="29" t="s">
        <v>898</v>
      </c>
      <c r="I79" s="29" t="s">
        <v>899</v>
      </c>
      <c r="J79" s="29" t="s">
        <v>326</v>
      </c>
      <c r="K79" s="29"/>
      <c r="L79" s="29" t="s">
        <v>219</v>
      </c>
      <c r="M79" s="29" t="s">
        <v>900</v>
      </c>
      <c r="N79" s="33">
        <v>46661.0</v>
      </c>
      <c r="O79" s="31" t="s">
        <v>901</v>
      </c>
      <c r="P79" s="32" t="str">
        <f>HYPERLINK("https://api.typeform.com/responses/files/b8f952efdb4391ab6c9f176cbe504e32ec4920c33540f54b8e9ae7ddbd23cfe8/Transcript___Data_Analysis_Intern___Nguyễn_Đỗ_Bảo.pdf")</f>
        <v>https://api.typeform.com/responses/files/b8f952efdb4391ab6c9f176cbe504e32ec4920c33540f54b8e9ae7ddbd23cfe8/Transcript___Data_Analysis_Intern___Nguyễn_Đỗ_Bảo.pdf</v>
      </c>
      <c r="Q79" s="29" t="b">
        <v>1</v>
      </c>
      <c r="R79" s="29" t="s">
        <v>902</v>
      </c>
      <c r="S79" s="29" t="s">
        <v>401</v>
      </c>
      <c r="T79" s="29" t="s">
        <v>72</v>
      </c>
      <c r="U79" s="29" t="s">
        <v>72</v>
      </c>
      <c r="V79" s="29" t="s">
        <v>269</v>
      </c>
      <c r="W79" s="29"/>
      <c r="X79" s="29"/>
      <c r="Y79" s="34">
        <v>46135.326365740744</v>
      </c>
      <c r="Z79" s="29" t="s">
        <v>903</v>
      </c>
      <c r="AA79" s="6">
        <v>1.0</v>
      </c>
      <c r="AB79" s="27"/>
      <c r="AC79" s="27"/>
      <c r="AD79" s="27"/>
      <c r="AE79" s="27"/>
      <c r="AF79" s="27"/>
      <c r="AG79" s="27"/>
      <c r="AH79" s="27"/>
      <c r="AI79" s="27"/>
      <c r="AJ79" s="27"/>
      <c r="AK79" s="27"/>
      <c r="AL79" s="27"/>
      <c r="AM79" s="27"/>
      <c r="AN79" s="27"/>
      <c r="AO79" s="27"/>
      <c r="AP79" s="27"/>
      <c r="AQ79" s="27"/>
      <c r="AR79" s="27"/>
      <c r="AS79" s="27"/>
      <c r="AT79" s="27"/>
      <c r="AU79" s="27"/>
      <c r="AV79" s="27"/>
      <c r="AW79" s="27"/>
      <c r="AX79" s="27"/>
    </row>
    <row r="80" ht="22.5" hidden="1" customHeight="1">
      <c r="A80" s="29" t="s">
        <v>904</v>
      </c>
      <c r="B80" s="30">
        <v>38486.0</v>
      </c>
      <c r="C80" s="29" t="s">
        <v>905</v>
      </c>
      <c r="D80" s="31" t="s">
        <v>906</v>
      </c>
      <c r="E80" s="29" t="s">
        <v>61</v>
      </c>
      <c r="F80" s="29" t="s">
        <v>99</v>
      </c>
      <c r="G80" s="32" t="str">
        <f>HYPERLINK("https://api.typeform.com/responses/files/c71055fd22a8a3aed3133a94e1fa1d02abc143b273777e1ee54743c876bfb166/CV___Unity_Development_Intern___Lê_Đức_Ngọc_Bảo.pdf")</f>
        <v>https://api.typeform.com/responses/files/c71055fd22a8a3aed3133a94e1fa1d02abc143b273777e1ee54743c876bfb166/CV___Unity_Development_Intern___Lê_Đức_Ngọc_Bảo.pdf</v>
      </c>
      <c r="H80" s="29" t="s">
        <v>907</v>
      </c>
      <c r="I80" s="29" t="s">
        <v>908</v>
      </c>
      <c r="J80" s="29" t="s">
        <v>326</v>
      </c>
      <c r="K80" s="29"/>
      <c r="L80" s="29" t="s">
        <v>219</v>
      </c>
      <c r="M80" s="29" t="s">
        <v>909</v>
      </c>
      <c r="N80" s="33">
        <v>46487.0</v>
      </c>
      <c r="O80" s="31" t="s">
        <v>171</v>
      </c>
      <c r="P80" s="32" t="str">
        <f>HYPERLINK("https://api.typeform.com/responses/files/54ddf9056a21b942eaefce0c49985ea288988b8770f9c1c9cb3f00ffb4bdd2de/Transcript___Unity_Development_Intern___Lê_Đức_Ngọc_Bảo.pdf")</f>
        <v>https://api.typeform.com/responses/files/54ddf9056a21b942eaefce0c49985ea288988b8770f9c1c9cb3f00ffb4bdd2de/Transcript___Unity_Development_Intern___Lê_Đức_Ngọc_Bảo.pdf</v>
      </c>
      <c r="Q80" s="29" t="b">
        <v>1</v>
      </c>
      <c r="R80" s="29" t="s">
        <v>910</v>
      </c>
      <c r="S80" s="29" t="s">
        <v>911</v>
      </c>
      <c r="T80" s="29" t="s">
        <v>72</v>
      </c>
      <c r="U80" s="29" t="s">
        <v>72</v>
      </c>
      <c r="V80" s="29" t="s">
        <v>269</v>
      </c>
      <c r="W80" s="29"/>
      <c r="X80" s="29" t="s">
        <v>912</v>
      </c>
      <c r="Y80" s="34">
        <v>46135.3283912037</v>
      </c>
      <c r="Z80" s="29" t="s">
        <v>913</v>
      </c>
      <c r="AA80" s="6">
        <v>1.0</v>
      </c>
      <c r="AB80" s="27"/>
      <c r="AC80" s="27"/>
      <c r="AD80" s="27"/>
      <c r="AE80" s="27"/>
      <c r="AF80" s="27"/>
      <c r="AG80" s="27"/>
      <c r="AH80" s="27"/>
      <c r="AI80" s="27"/>
      <c r="AJ80" s="27"/>
      <c r="AK80" s="27"/>
      <c r="AL80" s="27"/>
      <c r="AM80" s="27"/>
      <c r="AN80" s="27"/>
      <c r="AO80" s="27"/>
      <c r="AP80" s="27"/>
      <c r="AQ80" s="27"/>
      <c r="AR80" s="27"/>
      <c r="AS80" s="27"/>
      <c r="AT80" s="27"/>
      <c r="AU80" s="27"/>
      <c r="AV80" s="27"/>
      <c r="AW80" s="27"/>
      <c r="AX80" s="27"/>
    </row>
    <row r="81" ht="22.5" hidden="1" customHeight="1">
      <c r="A81" s="29" t="s">
        <v>914</v>
      </c>
      <c r="B81" s="30">
        <v>38366.0</v>
      </c>
      <c r="C81" s="29" t="s">
        <v>915</v>
      </c>
      <c r="D81" s="31" t="s">
        <v>916</v>
      </c>
      <c r="E81" s="29" t="s">
        <v>61</v>
      </c>
      <c r="F81" s="29" t="s">
        <v>99</v>
      </c>
      <c r="G81" s="32" t="str">
        <f>HYPERLINK("https://api.typeform.com/responses/files/83f68021392f2dfec9c4ed45da9356bea5c83c8f9d1203f1242e51e15034d923/CV___Unity_Development___Trần_Duy_Anh_Khoa.pdf")</f>
        <v>https://api.typeform.com/responses/files/83f68021392f2dfec9c4ed45da9356bea5c83c8f9d1203f1242e51e15034d923/CV___Unity_Development___Trần_Duy_Anh_Khoa.pdf</v>
      </c>
      <c r="H81" s="29" t="s">
        <v>917</v>
      </c>
      <c r="I81" s="29" t="s">
        <v>918</v>
      </c>
      <c r="J81" s="29" t="s">
        <v>65</v>
      </c>
      <c r="K81" s="29" t="s">
        <v>919</v>
      </c>
      <c r="L81" s="29" t="s">
        <v>169</v>
      </c>
      <c r="M81" s="29" t="s">
        <v>256</v>
      </c>
      <c r="N81" s="33">
        <v>46270.0</v>
      </c>
      <c r="O81" s="31" t="s">
        <v>920</v>
      </c>
      <c r="P81" s="32" t="str">
        <f>HYPERLINK("https://api.typeform.com/responses/files/550fa4c9cc9d642447388b1d66ee638c31c525971e78c3ee1eb4088c7101787e/Transcript___Unity_Development___Trần_Duy_Anh_Khoa.pdf")</f>
        <v>https://api.typeform.com/responses/files/550fa4c9cc9d642447388b1d66ee638c31c525971e78c3ee1eb4088c7101787e/Transcript___Unity_Development___Trần_Duy_Anh_Khoa.pdf</v>
      </c>
      <c r="Q81" s="29" t="b">
        <v>1</v>
      </c>
      <c r="R81" s="29" t="s">
        <v>921</v>
      </c>
      <c r="S81" s="29" t="s">
        <v>922</v>
      </c>
      <c r="T81" s="29" t="s">
        <v>72</v>
      </c>
      <c r="U81" s="29" t="s">
        <v>72</v>
      </c>
      <c r="V81" s="29" t="s">
        <v>73</v>
      </c>
      <c r="W81" s="29"/>
      <c r="X81" s="29" t="s">
        <v>923</v>
      </c>
      <c r="Y81" s="34">
        <v>46135.3290162037</v>
      </c>
      <c r="Z81" s="29" t="s">
        <v>924</v>
      </c>
      <c r="AA81" s="6">
        <v>1.0</v>
      </c>
      <c r="AB81" s="27"/>
      <c r="AC81" s="27"/>
      <c r="AD81" s="27"/>
      <c r="AE81" s="27"/>
      <c r="AF81" s="27"/>
      <c r="AG81" s="27"/>
      <c r="AH81" s="27"/>
      <c r="AI81" s="27"/>
      <c r="AJ81" s="27"/>
      <c r="AK81" s="27"/>
      <c r="AL81" s="27"/>
      <c r="AM81" s="27"/>
      <c r="AN81" s="27"/>
      <c r="AO81" s="27"/>
      <c r="AP81" s="27"/>
      <c r="AQ81" s="27"/>
      <c r="AR81" s="27"/>
      <c r="AS81" s="27"/>
      <c r="AT81" s="27"/>
      <c r="AU81" s="27"/>
      <c r="AV81" s="27"/>
      <c r="AW81" s="27"/>
      <c r="AX81" s="27"/>
    </row>
    <row r="82" ht="22.5" hidden="1" customHeight="1">
      <c r="A82" s="29" t="s">
        <v>925</v>
      </c>
      <c r="B82" s="30">
        <v>38602.0</v>
      </c>
      <c r="C82" s="29" t="s">
        <v>926</v>
      </c>
      <c r="D82" s="31" t="s">
        <v>927</v>
      </c>
      <c r="E82" s="29" t="s">
        <v>82</v>
      </c>
      <c r="F82" s="29" t="s">
        <v>62</v>
      </c>
      <c r="G82" s="32" t="str">
        <f>HYPERLINK("https://api.typeform.com/responses/files/5fbac08faa6986638bbdaa77be3362f395b7a5432f0b5f0f7dc9af7098525994/CV___Data_Analysis_Intern___Trần_Gia_Bảo_Anh.pdf")</f>
        <v>https://api.typeform.com/responses/files/5fbac08faa6986638bbdaa77be3362f395b7a5432f0b5f0f7dc9af7098525994/CV___Data_Analysis_Intern___Trần_Gia_Bảo_Anh.pdf</v>
      </c>
      <c r="H82" s="29" t="s">
        <v>928</v>
      </c>
      <c r="I82" s="29" t="s">
        <v>929</v>
      </c>
      <c r="J82" s="29" t="s">
        <v>715</v>
      </c>
      <c r="K82" s="29"/>
      <c r="L82" s="29" t="s">
        <v>219</v>
      </c>
      <c r="M82" s="29" t="s">
        <v>930</v>
      </c>
      <c r="N82" s="33">
        <v>46721.0</v>
      </c>
      <c r="O82" s="31" t="s">
        <v>881</v>
      </c>
      <c r="P82" s="32" t="str">
        <f>HYPERLINK("https://api.typeform.com/responses/files/fe7e058a2298da1de241d20580e2e35bfc3b9750bbfe7ee1ab653978d205ea3b/Transcript___Data_Analysis_Intern___Trần_Gia_Bảo_Anh.pdf")</f>
        <v>https://api.typeform.com/responses/files/fe7e058a2298da1de241d20580e2e35bfc3b9750bbfe7ee1ab653978d205ea3b/Transcript___Data_Analysis_Intern___Trần_Gia_Bảo_Anh.pdf</v>
      </c>
      <c r="Q82" s="29" t="b">
        <v>0</v>
      </c>
      <c r="R82" s="29" t="s">
        <v>931</v>
      </c>
      <c r="S82" s="29" t="s">
        <v>932</v>
      </c>
      <c r="T82" s="29" t="s">
        <v>72</v>
      </c>
      <c r="U82" s="29" t="s">
        <v>72</v>
      </c>
      <c r="V82" s="29" t="s">
        <v>933</v>
      </c>
      <c r="W82" s="29"/>
      <c r="X82" s="29" t="s">
        <v>934</v>
      </c>
      <c r="Y82" s="34">
        <v>46135.33064814815</v>
      </c>
      <c r="Z82" s="29" t="s">
        <v>935</v>
      </c>
      <c r="AA82" s="6">
        <v>1.0</v>
      </c>
      <c r="AB82" s="27"/>
      <c r="AC82" s="27"/>
      <c r="AD82" s="27"/>
      <c r="AE82" s="27"/>
      <c r="AF82" s="27"/>
      <c r="AG82" s="27"/>
      <c r="AH82" s="27"/>
      <c r="AI82" s="27"/>
      <c r="AJ82" s="27"/>
      <c r="AK82" s="27"/>
      <c r="AL82" s="27"/>
      <c r="AM82" s="27"/>
      <c r="AN82" s="27"/>
      <c r="AO82" s="27"/>
      <c r="AP82" s="27"/>
      <c r="AQ82" s="27"/>
      <c r="AR82" s="27"/>
      <c r="AS82" s="27"/>
      <c r="AT82" s="27"/>
      <c r="AU82" s="27"/>
      <c r="AV82" s="27"/>
      <c r="AW82" s="27"/>
      <c r="AX82" s="27"/>
    </row>
    <row r="83" ht="22.5" hidden="1" customHeight="1">
      <c r="A83" s="29" t="s">
        <v>936</v>
      </c>
      <c r="B83" s="30">
        <v>38590.0</v>
      </c>
      <c r="C83" s="29" t="s">
        <v>937</v>
      </c>
      <c r="D83" s="31" t="s">
        <v>938</v>
      </c>
      <c r="E83" s="29" t="s">
        <v>62</v>
      </c>
      <c r="F83" s="29" t="s">
        <v>82</v>
      </c>
      <c r="G83" s="32" t="str">
        <f>HYPERLINK("https://api.typeform.com/responses/files/c5080d11f4e19ba5fded75a8d5709c8b111aa5f0a28985b843fdcca32becb287/CV___AI_Engineer_Intern___Trần_Thị_Cẩm_Tú.pdf")</f>
        <v>https://api.typeform.com/responses/files/c5080d11f4e19ba5fded75a8d5709c8b111aa5f0a28985b843fdcca32becb287/CV___AI_Engineer_Intern___Trần_Thị_Cẩm_Tú.pdf</v>
      </c>
      <c r="H83" s="29" t="s">
        <v>939</v>
      </c>
      <c r="I83" s="29" t="s">
        <v>940</v>
      </c>
      <c r="J83" s="29" t="s">
        <v>85</v>
      </c>
      <c r="K83" s="29"/>
      <c r="L83" s="29" t="s">
        <v>219</v>
      </c>
      <c r="M83" s="29" t="s">
        <v>941</v>
      </c>
      <c r="N83" s="33">
        <v>46568.0</v>
      </c>
      <c r="O83" s="31" t="s">
        <v>942</v>
      </c>
      <c r="P83" s="32" t="str">
        <f>HYPERLINK("https://api.typeform.com/responses/files/2151f187ae006366c5499804a53fb850071e2c6fdbcd00d2edc9a3a37a4879bf/Transcript___AI_Engineer_Intern___Trần_Thị_Cẩm_Tú.pdf")</f>
        <v>https://api.typeform.com/responses/files/2151f187ae006366c5499804a53fb850071e2c6fdbcd00d2edc9a3a37a4879bf/Transcript___AI_Engineer_Intern___Trần_Thị_Cẩm_Tú.pdf</v>
      </c>
      <c r="Q83" s="29" t="b">
        <v>1</v>
      </c>
      <c r="R83" s="29" t="s">
        <v>943</v>
      </c>
      <c r="S83" s="29" t="s">
        <v>944</v>
      </c>
      <c r="T83" s="29" t="s">
        <v>72</v>
      </c>
      <c r="U83" s="29" t="s">
        <v>72</v>
      </c>
      <c r="V83" s="29" t="s">
        <v>269</v>
      </c>
      <c r="W83" s="29"/>
      <c r="X83" s="29" t="s">
        <v>945</v>
      </c>
      <c r="Y83" s="34">
        <v>46135.33482638889</v>
      </c>
      <c r="Z83" s="29" t="s">
        <v>946</v>
      </c>
      <c r="AA83" s="6">
        <v>1.0</v>
      </c>
      <c r="AB83" s="27"/>
      <c r="AC83" s="27"/>
      <c r="AD83" s="27"/>
      <c r="AE83" s="27"/>
      <c r="AF83" s="27"/>
      <c r="AG83" s="27"/>
      <c r="AH83" s="27"/>
      <c r="AI83" s="27"/>
      <c r="AJ83" s="27"/>
      <c r="AK83" s="27"/>
      <c r="AL83" s="27"/>
      <c r="AM83" s="27"/>
      <c r="AN83" s="27"/>
      <c r="AO83" s="27"/>
      <c r="AP83" s="27"/>
      <c r="AQ83" s="27"/>
      <c r="AR83" s="27"/>
      <c r="AS83" s="27"/>
      <c r="AT83" s="27"/>
      <c r="AU83" s="27"/>
      <c r="AV83" s="27"/>
      <c r="AW83" s="27"/>
      <c r="AX83" s="27"/>
    </row>
    <row r="84" ht="22.5" hidden="1" customHeight="1">
      <c r="A84" s="29" t="s">
        <v>947</v>
      </c>
      <c r="B84" s="30">
        <v>37215.0</v>
      </c>
      <c r="C84" s="29" t="s">
        <v>948</v>
      </c>
      <c r="D84" s="31" t="s">
        <v>949</v>
      </c>
      <c r="E84" s="29" t="s">
        <v>62</v>
      </c>
      <c r="F84" s="29" t="s">
        <v>82</v>
      </c>
      <c r="G84" s="32" t="str">
        <f>HYPERLINK("https://api.typeform.com/responses/files/aae55abbea7bf75350732bbe216baa464ca0009241a3fea1fb0551d4d08944d5/CV_AI_Engineer_Intern_Đào_Thiên_Phú.pdf")</f>
        <v>https://api.typeform.com/responses/files/aae55abbea7bf75350732bbe216baa464ca0009241a3fea1fb0551d4d08944d5/CV_AI_Engineer_Intern_Đào_Thiên_Phú.pdf</v>
      </c>
      <c r="H84" s="29" t="s">
        <v>950</v>
      </c>
      <c r="I84" s="29" t="s">
        <v>951</v>
      </c>
      <c r="J84" s="29" t="s">
        <v>326</v>
      </c>
      <c r="K84" s="29"/>
      <c r="L84" s="29" t="s">
        <v>103</v>
      </c>
      <c r="M84" s="29" t="s">
        <v>952</v>
      </c>
      <c r="N84" s="33">
        <v>46203.0</v>
      </c>
      <c r="O84" s="31" t="s">
        <v>727</v>
      </c>
      <c r="P84" s="32" t="str">
        <f>HYPERLINK("https://api.typeform.com/responses/files/165fbcdfb164b40d39daf9b593b24a781d230a8df9b4d54b85b2dadf34eabd82/Transcript_AI_Engineer_Intern_Đào_Thiên_Phú.pdf")</f>
        <v>https://api.typeform.com/responses/files/165fbcdfb164b40d39daf9b593b24a781d230a8df9b4d54b85b2dadf34eabd82/Transcript_AI_Engineer_Intern_Đào_Thiên_Phú.pdf</v>
      </c>
      <c r="Q84" s="29" t="b">
        <v>0</v>
      </c>
      <c r="R84" s="29" t="s">
        <v>953</v>
      </c>
      <c r="S84" s="29" t="s">
        <v>953</v>
      </c>
      <c r="T84" s="29" t="s">
        <v>72</v>
      </c>
      <c r="U84" s="29" t="s">
        <v>72</v>
      </c>
      <c r="V84" s="29" t="s">
        <v>269</v>
      </c>
      <c r="W84" s="29"/>
      <c r="X84" s="29" t="s">
        <v>954</v>
      </c>
      <c r="Y84" s="34">
        <v>46135.336388888885</v>
      </c>
      <c r="Z84" s="29" t="s">
        <v>955</v>
      </c>
      <c r="AA84" s="6">
        <v>1.0</v>
      </c>
      <c r="AB84" s="27"/>
      <c r="AC84" s="27"/>
      <c r="AD84" s="27"/>
      <c r="AE84" s="27"/>
      <c r="AF84" s="27"/>
      <c r="AG84" s="27"/>
      <c r="AH84" s="27"/>
      <c r="AI84" s="27"/>
      <c r="AJ84" s="27"/>
      <c r="AK84" s="27"/>
      <c r="AL84" s="27"/>
      <c r="AM84" s="27"/>
      <c r="AN84" s="27"/>
      <c r="AO84" s="27"/>
      <c r="AP84" s="27"/>
      <c r="AQ84" s="27"/>
      <c r="AR84" s="27"/>
      <c r="AS84" s="27"/>
      <c r="AT84" s="27"/>
      <c r="AU84" s="27"/>
      <c r="AV84" s="27"/>
      <c r="AW84" s="27"/>
      <c r="AX84" s="27"/>
    </row>
    <row r="85" ht="22.5" hidden="1" customHeight="1">
      <c r="A85" s="29" t="s">
        <v>956</v>
      </c>
      <c r="B85" s="30">
        <v>37442.0</v>
      </c>
      <c r="C85" s="29" t="s">
        <v>957</v>
      </c>
      <c r="D85" s="31" t="s">
        <v>958</v>
      </c>
      <c r="E85" s="29" t="s">
        <v>62</v>
      </c>
      <c r="F85" s="29"/>
      <c r="G85" s="32" t="str">
        <f>HYPERLINK("https://api.typeform.com/responses/files/2f89cded93fd97744b80dd6ac511ca22cfd52eda910d93696bcb30beb2f11a1d/CV___AI_Engineering_Intern___Nguyễn_Hoàng_Anh_Tuấn.pdf")</f>
        <v>https://api.typeform.com/responses/files/2f89cded93fd97744b80dd6ac511ca22cfd52eda910d93696bcb30beb2f11a1d/CV___AI_Engineering_Intern___Nguyễn_Hoàng_Anh_Tuấn.pdf</v>
      </c>
      <c r="H85" s="29" t="s">
        <v>959</v>
      </c>
      <c r="I85" s="29" t="s">
        <v>960</v>
      </c>
      <c r="J85" s="29" t="s">
        <v>65</v>
      </c>
      <c r="K85" s="29" t="s">
        <v>961</v>
      </c>
      <c r="L85" s="29" t="s">
        <v>103</v>
      </c>
      <c r="M85" s="29" t="s">
        <v>570</v>
      </c>
      <c r="N85" s="33">
        <v>45838.0</v>
      </c>
      <c r="O85" s="31" t="s">
        <v>962</v>
      </c>
      <c r="P85" s="32" t="str">
        <f>HYPERLINK("https://api.typeform.com/responses/files/f45b99150e6efe4fea979401ceddf1ffadcb0ae92e9b36c1337bd498bc1c231c/Transcript___AI_Engineering_Intern___Nguyễn_Hoàng_Anh_Tuấn.jpg")</f>
        <v>https://api.typeform.com/responses/files/f45b99150e6efe4fea979401ceddf1ffadcb0ae92e9b36c1337bd498bc1c231c/Transcript___AI_Engineering_Intern___Nguyễn_Hoàng_Anh_Tuấn.jpg</v>
      </c>
      <c r="Q85" s="29" t="b">
        <v>1</v>
      </c>
      <c r="R85" s="29" t="s">
        <v>963</v>
      </c>
      <c r="S85" s="29" t="s">
        <v>964</v>
      </c>
      <c r="T85" s="29" t="s">
        <v>72</v>
      </c>
      <c r="U85" s="29" t="s">
        <v>72</v>
      </c>
      <c r="V85" s="29" t="s">
        <v>224</v>
      </c>
      <c r="W85" s="29"/>
      <c r="X85" s="29" t="s">
        <v>965</v>
      </c>
      <c r="Y85" s="34">
        <v>46135.34069444444</v>
      </c>
      <c r="Z85" s="29" t="s">
        <v>966</v>
      </c>
      <c r="AA85" s="6">
        <v>1.0</v>
      </c>
      <c r="AB85" s="27"/>
      <c r="AC85" s="27"/>
      <c r="AD85" s="27"/>
      <c r="AE85" s="27"/>
      <c r="AF85" s="27"/>
      <c r="AG85" s="27"/>
      <c r="AH85" s="27"/>
      <c r="AI85" s="27"/>
      <c r="AJ85" s="27"/>
      <c r="AK85" s="27"/>
      <c r="AL85" s="27"/>
      <c r="AM85" s="27"/>
      <c r="AN85" s="27"/>
      <c r="AO85" s="27"/>
      <c r="AP85" s="27"/>
      <c r="AQ85" s="27"/>
      <c r="AR85" s="27"/>
      <c r="AS85" s="27"/>
      <c r="AT85" s="27"/>
      <c r="AU85" s="27"/>
      <c r="AV85" s="27"/>
      <c r="AW85" s="27"/>
      <c r="AX85" s="27"/>
    </row>
    <row r="86" ht="22.5" hidden="1" customHeight="1">
      <c r="A86" s="29" t="s">
        <v>967</v>
      </c>
      <c r="B86" s="30">
        <v>38656.0</v>
      </c>
      <c r="C86" s="29" t="s">
        <v>968</v>
      </c>
      <c r="D86" s="31" t="s">
        <v>969</v>
      </c>
      <c r="E86" s="29" t="s">
        <v>61</v>
      </c>
      <c r="F86" s="29" t="s">
        <v>99</v>
      </c>
      <c r="G86" s="32" t="str">
        <f>HYPERLINK("https://api.typeform.com/responses/files/13ce1c138308c19e310ea2f0e1b72e024da1faca71de2034d5f5855655e7f4de/CV___Unity_Development_Intern___Nguyễn_Hiếu_Thuận.pdf")</f>
        <v>https://api.typeform.com/responses/files/13ce1c138308c19e310ea2f0e1b72e024da1faca71de2034d5f5855655e7f4de/CV___Unity_Development_Intern___Nguyễn_Hiếu_Thuận.pdf</v>
      </c>
      <c r="H86" s="29" t="s">
        <v>970</v>
      </c>
      <c r="I86" s="29" t="s">
        <v>971</v>
      </c>
      <c r="J86" s="29" t="s">
        <v>326</v>
      </c>
      <c r="K86" s="29"/>
      <c r="L86" s="29" t="s">
        <v>219</v>
      </c>
      <c r="M86" s="29" t="s">
        <v>972</v>
      </c>
      <c r="N86" s="33">
        <v>46599.0</v>
      </c>
      <c r="O86" s="31" t="s">
        <v>973</v>
      </c>
      <c r="P86" s="32" t="str">
        <f>HYPERLINK("https://api.typeform.com/responses/files/87a3aff02bcaebfc6e087ffad7f8fb10719c4c0a29df83bb9e54e59330e51c9e/Transcript___Unity_Development_Intern___Nguyễn_Hiếu_Thuận.pdf")</f>
        <v>https://api.typeform.com/responses/files/87a3aff02bcaebfc6e087ffad7f8fb10719c4c0a29df83bb9e54e59330e51c9e/Transcript___Unity_Development_Intern___Nguyễn_Hiếu_Thuận.pdf</v>
      </c>
      <c r="Q86" s="29" t="b">
        <v>1</v>
      </c>
      <c r="R86" s="29" t="s">
        <v>974</v>
      </c>
      <c r="S86" s="29" t="s">
        <v>975</v>
      </c>
      <c r="T86" s="29" t="s">
        <v>72</v>
      </c>
      <c r="U86" s="29" t="s">
        <v>72</v>
      </c>
      <c r="V86" s="29" t="s">
        <v>976</v>
      </c>
      <c r="W86" s="29"/>
      <c r="X86" s="29" t="s">
        <v>977</v>
      </c>
      <c r="Y86" s="34">
        <v>46135.342094907406</v>
      </c>
      <c r="Z86" s="29" t="s">
        <v>978</v>
      </c>
      <c r="AA86" s="6">
        <v>1.0</v>
      </c>
      <c r="AB86" s="27"/>
      <c r="AC86" s="27"/>
      <c r="AD86" s="27"/>
      <c r="AE86" s="27"/>
      <c r="AF86" s="27"/>
      <c r="AG86" s="27"/>
      <c r="AH86" s="27"/>
      <c r="AI86" s="27"/>
      <c r="AJ86" s="27"/>
      <c r="AK86" s="27"/>
      <c r="AL86" s="27"/>
      <c r="AM86" s="27"/>
      <c r="AN86" s="27"/>
      <c r="AO86" s="27"/>
      <c r="AP86" s="27"/>
      <c r="AQ86" s="27"/>
      <c r="AR86" s="27"/>
      <c r="AS86" s="27"/>
      <c r="AT86" s="27"/>
      <c r="AU86" s="27"/>
      <c r="AV86" s="27"/>
      <c r="AW86" s="27"/>
      <c r="AX86" s="27"/>
    </row>
    <row r="87" ht="22.5" hidden="1" customHeight="1">
      <c r="A87" s="29" t="s">
        <v>979</v>
      </c>
      <c r="B87" s="30">
        <v>38303.0</v>
      </c>
      <c r="C87" s="29" t="s">
        <v>980</v>
      </c>
      <c r="D87" s="31" t="s">
        <v>981</v>
      </c>
      <c r="E87" s="29" t="s">
        <v>99</v>
      </c>
      <c r="F87" s="29" t="s">
        <v>633</v>
      </c>
      <c r="G87" s="32" t="str">
        <f>HYPERLINK("https://api.typeform.com/responses/files/315a712f04491fb9709779bd6bbd3d94d46fb1bfc745cb8d9ba733cad569c785/cv.pdf")</f>
        <v>https://api.typeform.com/responses/files/315a712f04491fb9709779bd6bbd3d94d46fb1bfc745cb8d9ba733cad569c785/cv.pdf</v>
      </c>
      <c r="H87" s="29" t="s">
        <v>982</v>
      </c>
      <c r="I87" s="29" t="s">
        <v>983</v>
      </c>
      <c r="J87" s="29" t="s">
        <v>338</v>
      </c>
      <c r="K87" s="29"/>
      <c r="L87" s="29" t="s">
        <v>67</v>
      </c>
      <c r="M87" s="29" t="s">
        <v>984</v>
      </c>
      <c r="N87" s="33">
        <v>46264.0</v>
      </c>
      <c r="O87" s="31" t="s">
        <v>780</v>
      </c>
      <c r="P87" s="32" t="str">
        <f>HYPERLINK("https://api.typeform.com/responses/files/5613931a0bdc98fdc21b76b3f228a064f1d2e732917696f89c19f5b8b659fefc/IMG_1543.jpeg")</f>
        <v>https://api.typeform.com/responses/files/5613931a0bdc98fdc21b76b3f228a064f1d2e732917696f89c19f5b8b659fefc/IMG_1543.jpeg</v>
      </c>
      <c r="Q87" s="29" t="b">
        <v>1</v>
      </c>
      <c r="R87" s="29" t="s">
        <v>985</v>
      </c>
      <c r="S87" s="29" t="s">
        <v>986</v>
      </c>
      <c r="T87" s="29" t="s">
        <v>72</v>
      </c>
      <c r="U87" s="29" t="s">
        <v>72</v>
      </c>
      <c r="V87" s="29" t="s">
        <v>73</v>
      </c>
      <c r="W87" s="29"/>
      <c r="X87" s="29" t="s">
        <v>987</v>
      </c>
      <c r="Y87" s="34">
        <v>46135.345046296294</v>
      </c>
      <c r="Z87" s="29" t="s">
        <v>988</v>
      </c>
      <c r="AA87" s="6">
        <v>1.0</v>
      </c>
      <c r="AB87" s="27"/>
      <c r="AC87" s="27"/>
      <c r="AD87" s="27"/>
      <c r="AE87" s="27"/>
      <c r="AF87" s="27"/>
      <c r="AG87" s="27"/>
      <c r="AH87" s="27"/>
      <c r="AI87" s="27"/>
      <c r="AJ87" s="27"/>
      <c r="AK87" s="27"/>
      <c r="AL87" s="27"/>
      <c r="AM87" s="27"/>
      <c r="AN87" s="27"/>
      <c r="AO87" s="27"/>
      <c r="AP87" s="27"/>
      <c r="AQ87" s="27"/>
      <c r="AR87" s="27"/>
      <c r="AS87" s="27"/>
      <c r="AT87" s="27"/>
      <c r="AU87" s="27"/>
      <c r="AV87" s="27"/>
      <c r="AW87" s="27"/>
      <c r="AX87" s="27"/>
    </row>
    <row r="88" ht="22.5" hidden="1" customHeight="1">
      <c r="A88" s="29" t="s">
        <v>989</v>
      </c>
      <c r="B88" s="30">
        <v>38532.0</v>
      </c>
      <c r="C88" s="29" t="s">
        <v>990</v>
      </c>
      <c r="D88" s="31" t="s">
        <v>991</v>
      </c>
      <c r="E88" s="29" t="s">
        <v>62</v>
      </c>
      <c r="F88" s="29" t="s">
        <v>82</v>
      </c>
      <c r="G88" s="32" t="str">
        <f>HYPERLINK("https://api.typeform.com/responses/files/47e336659677080dc6b9ac08aca17651a8d5ce4b2229b649c0e781e8dae0e234/CV___AI_Engineering_Intern___Lê_Thượng_Đế.pdf")</f>
        <v>https://api.typeform.com/responses/files/47e336659677080dc6b9ac08aca17651a8d5ce4b2229b649c0e781e8dae0e234/CV___AI_Engineering_Intern___Lê_Thượng_Đế.pdf</v>
      </c>
      <c r="H88" s="29" t="s">
        <v>992</v>
      </c>
      <c r="I88" s="29" t="s">
        <v>993</v>
      </c>
      <c r="J88" s="29" t="s">
        <v>326</v>
      </c>
      <c r="K88" s="29"/>
      <c r="L88" s="29" t="s">
        <v>219</v>
      </c>
      <c r="M88" s="29" t="s">
        <v>930</v>
      </c>
      <c r="N88" s="33">
        <v>46631.0</v>
      </c>
      <c r="O88" s="31" t="s">
        <v>533</v>
      </c>
      <c r="P88" s="32" t="str">
        <f>HYPERLINK("https://api.typeform.com/responses/files/77b1059b80948ab001a9c15facb8f4f6ea9b752d9c6db050777affe6b065370e/Transcript___AI_Engineering_Intern___Lê_Thượng_Đế.pdf")</f>
        <v>https://api.typeform.com/responses/files/77b1059b80948ab001a9c15facb8f4f6ea9b752d9c6db050777affe6b065370e/Transcript___AI_Engineering_Intern___Lê_Thượng_Đế.pdf</v>
      </c>
      <c r="Q88" s="29" t="b">
        <v>1</v>
      </c>
      <c r="R88" s="29" t="s">
        <v>994</v>
      </c>
      <c r="S88" s="29" t="s">
        <v>995</v>
      </c>
      <c r="T88" s="29" t="s">
        <v>72</v>
      </c>
      <c r="U88" s="29" t="s">
        <v>72</v>
      </c>
      <c r="V88" s="29" t="s">
        <v>269</v>
      </c>
      <c r="W88" s="29"/>
      <c r="X88" s="29" t="s">
        <v>996</v>
      </c>
      <c r="Y88" s="34">
        <v>46135.34982638889</v>
      </c>
      <c r="Z88" s="29" t="s">
        <v>997</v>
      </c>
      <c r="AA88" s="6">
        <v>1.0</v>
      </c>
      <c r="AB88" s="27"/>
      <c r="AC88" s="27"/>
      <c r="AD88" s="27"/>
      <c r="AE88" s="27"/>
      <c r="AF88" s="27"/>
      <c r="AG88" s="27"/>
      <c r="AH88" s="27"/>
      <c r="AI88" s="27"/>
      <c r="AJ88" s="27"/>
      <c r="AK88" s="27"/>
      <c r="AL88" s="27"/>
      <c r="AM88" s="27"/>
      <c r="AN88" s="27"/>
      <c r="AO88" s="27"/>
      <c r="AP88" s="27"/>
      <c r="AQ88" s="27"/>
      <c r="AR88" s="27"/>
      <c r="AS88" s="27"/>
      <c r="AT88" s="27"/>
      <c r="AU88" s="27"/>
      <c r="AV88" s="27"/>
      <c r="AW88" s="27"/>
      <c r="AX88" s="27"/>
    </row>
    <row r="89" ht="22.5" hidden="1" customHeight="1">
      <c r="A89" s="29" t="s">
        <v>998</v>
      </c>
      <c r="B89" s="30">
        <v>38373.0</v>
      </c>
      <c r="C89" s="29" t="s">
        <v>999</v>
      </c>
      <c r="D89" s="31" t="s">
        <v>1000</v>
      </c>
      <c r="E89" s="29" t="s">
        <v>62</v>
      </c>
      <c r="F89" s="29" t="s">
        <v>82</v>
      </c>
      <c r="G89" s="32" t="str">
        <f>HYPERLINK("https://api.typeform.com/responses/files/c20af2aa1fd8654cb219f60432c95ae7b4c156b0c8d51e699155027729d80177/CV___AI_Engineer_Intern___Nguyễn_Tấn_Lộc.pdf")</f>
        <v>https://api.typeform.com/responses/files/c20af2aa1fd8654cb219f60432c95ae7b4c156b0c8d51e699155027729d80177/CV___AI_Engineer_Intern___Nguyễn_Tấn_Lộc.pdf</v>
      </c>
      <c r="H89" s="29" t="s">
        <v>1001</v>
      </c>
      <c r="I89" s="29" t="s">
        <v>1002</v>
      </c>
      <c r="J89" s="29" t="s">
        <v>715</v>
      </c>
      <c r="K89" s="29"/>
      <c r="L89" s="29" t="s">
        <v>219</v>
      </c>
      <c r="M89" s="29" t="s">
        <v>399</v>
      </c>
      <c r="N89" s="33">
        <v>46559.0</v>
      </c>
      <c r="O89" s="31" t="s">
        <v>1003</v>
      </c>
      <c r="P89" s="32" t="str">
        <f>HYPERLINK("https://api.typeform.com/responses/files/4a6be9bb88c7b60a0910532c6a3914e20d8329cdd34d6e55949611f4f40761d5/Transcript___AI_Engineer_Intern___Nguyễn_Tấn_Lộc.pdf")</f>
        <v>https://api.typeform.com/responses/files/4a6be9bb88c7b60a0910532c6a3914e20d8329cdd34d6e55949611f4f40761d5/Transcript___AI_Engineer_Intern___Nguyễn_Tấn_Lộc.pdf</v>
      </c>
      <c r="Q89" s="29" t="b">
        <v>0</v>
      </c>
      <c r="R89" s="29" t="s">
        <v>1004</v>
      </c>
      <c r="S89" s="29" t="s">
        <v>1005</v>
      </c>
      <c r="T89" s="29" t="s">
        <v>72</v>
      </c>
      <c r="U89" s="29" t="s">
        <v>72</v>
      </c>
      <c r="V89" s="29" t="s">
        <v>544</v>
      </c>
      <c r="W89" s="29"/>
      <c r="X89" s="29" t="s">
        <v>1006</v>
      </c>
      <c r="Y89" s="34">
        <v>46135.35532407407</v>
      </c>
      <c r="Z89" s="29" t="s">
        <v>1007</v>
      </c>
      <c r="AA89" s="6">
        <v>1.0</v>
      </c>
      <c r="AB89" s="27"/>
      <c r="AC89" s="27"/>
      <c r="AD89" s="27"/>
      <c r="AE89" s="27"/>
      <c r="AF89" s="27"/>
      <c r="AG89" s="27"/>
      <c r="AH89" s="27"/>
      <c r="AI89" s="27"/>
      <c r="AJ89" s="27"/>
      <c r="AK89" s="27"/>
      <c r="AL89" s="27"/>
      <c r="AM89" s="27"/>
      <c r="AN89" s="27"/>
      <c r="AO89" s="27"/>
      <c r="AP89" s="27"/>
      <c r="AQ89" s="27"/>
      <c r="AR89" s="27"/>
      <c r="AS89" s="27"/>
      <c r="AT89" s="27"/>
      <c r="AU89" s="27"/>
      <c r="AV89" s="27"/>
      <c r="AW89" s="27"/>
      <c r="AX89" s="27"/>
    </row>
    <row r="90" ht="22.5" hidden="1" customHeight="1">
      <c r="A90" s="29" t="s">
        <v>1008</v>
      </c>
      <c r="B90" s="30">
        <v>38547.0</v>
      </c>
      <c r="C90" s="29" t="s">
        <v>1009</v>
      </c>
      <c r="D90" s="31" t="s">
        <v>1010</v>
      </c>
      <c r="E90" s="29" t="s">
        <v>127</v>
      </c>
      <c r="F90" s="29" t="s">
        <v>99</v>
      </c>
      <c r="G90" s="32" t="str">
        <f>HYPERLINK("https://api.typeform.com/responses/files/595deea966c478bd9aa0278e4b89a07d0d466ff734da064ecc46364c044d03e3/CV___Quality_Assurance_Intern___Ngô_Thế_Đạt.pdf")</f>
        <v>https://api.typeform.com/responses/files/595deea966c478bd9aa0278e4b89a07d0d466ff734da064ecc46364c044d03e3/CV___Quality_Assurance_Intern___Ngô_Thế_Đạt.pdf</v>
      </c>
      <c r="H90" s="29" t="s">
        <v>1011</v>
      </c>
      <c r="I90" s="29" t="s">
        <v>1012</v>
      </c>
      <c r="J90" s="29" t="s">
        <v>326</v>
      </c>
      <c r="K90" s="29"/>
      <c r="L90" s="29" t="s">
        <v>219</v>
      </c>
      <c r="M90" s="29" t="s">
        <v>298</v>
      </c>
      <c r="N90" s="33">
        <v>46690.0</v>
      </c>
      <c r="O90" s="31" t="s">
        <v>1013</v>
      </c>
      <c r="P90" s="32" t="str">
        <f>HYPERLINK("https://api.typeform.com/responses/files/d2fb59e96097f4cbcb9aea592b0050d4cbf111b712534a2d71cf235e92dc1a72/Transcript___Quality_Assurance_Intern___Ngô_Thế_Đạt.pdf")</f>
        <v>https://api.typeform.com/responses/files/d2fb59e96097f4cbcb9aea592b0050d4cbf111b712534a2d71cf235e92dc1a72/Transcript___Quality_Assurance_Intern___Ngô_Thế_Đạt.pdf</v>
      </c>
      <c r="Q90" s="29" t="b">
        <v>0</v>
      </c>
      <c r="R90" s="29" t="s">
        <v>1014</v>
      </c>
      <c r="S90" s="29" t="s">
        <v>1015</v>
      </c>
      <c r="T90" s="29" t="s">
        <v>72</v>
      </c>
      <c r="U90" s="29" t="s">
        <v>72</v>
      </c>
      <c r="V90" s="29" t="s">
        <v>269</v>
      </c>
      <c r="W90" s="29"/>
      <c r="X90" s="29" t="s">
        <v>1016</v>
      </c>
      <c r="Y90" s="34">
        <v>46135.356886574074</v>
      </c>
      <c r="Z90" s="29" t="s">
        <v>1017</v>
      </c>
      <c r="AA90" s="6">
        <v>1.0</v>
      </c>
      <c r="AB90" s="27"/>
      <c r="AC90" s="27"/>
      <c r="AD90" s="27"/>
      <c r="AE90" s="27"/>
      <c r="AF90" s="27"/>
      <c r="AG90" s="27"/>
      <c r="AH90" s="27"/>
      <c r="AI90" s="27"/>
      <c r="AJ90" s="27"/>
      <c r="AK90" s="27"/>
      <c r="AL90" s="27"/>
      <c r="AM90" s="27"/>
      <c r="AN90" s="27"/>
      <c r="AO90" s="27"/>
      <c r="AP90" s="27"/>
      <c r="AQ90" s="27"/>
      <c r="AR90" s="27"/>
      <c r="AS90" s="27"/>
      <c r="AT90" s="27"/>
      <c r="AU90" s="27"/>
      <c r="AV90" s="27"/>
      <c r="AW90" s="27"/>
      <c r="AX90" s="27"/>
    </row>
    <row r="91" ht="22.5" hidden="1" customHeight="1">
      <c r="A91" s="29" t="s">
        <v>1018</v>
      </c>
      <c r="B91" s="30">
        <v>38581.0</v>
      </c>
      <c r="C91" s="29" t="s">
        <v>1019</v>
      </c>
      <c r="D91" s="31" t="s">
        <v>1020</v>
      </c>
      <c r="E91" s="29" t="s">
        <v>61</v>
      </c>
      <c r="F91" s="29" t="s">
        <v>99</v>
      </c>
      <c r="G91" s="32" t="str">
        <f>HYPERLINK("https://api.typeform.com/responses/files/842c0863455320e109ac433218682c262ea07b21c249d8e0f2330ad5bab3d5c1/CV___Unity_Devolopment_Intern___Âu_Gia_Quốc.pdf")</f>
        <v>https://api.typeform.com/responses/files/842c0863455320e109ac433218682c262ea07b21c249d8e0f2330ad5bab3d5c1/CV___Unity_Devolopment_Intern___Âu_Gia_Quốc.pdf</v>
      </c>
      <c r="H91" s="29" t="s">
        <v>1021</v>
      </c>
      <c r="I91" s="29" t="s">
        <v>1022</v>
      </c>
      <c r="J91" s="29" t="s">
        <v>1023</v>
      </c>
      <c r="K91" s="29"/>
      <c r="L91" s="29" t="s">
        <v>219</v>
      </c>
      <c r="M91" s="29" t="s">
        <v>132</v>
      </c>
      <c r="N91" s="33">
        <v>46497.0</v>
      </c>
      <c r="O91" s="31" t="s">
        <v>221</v>
      </c>
      <c r="P91" s="32" t="str">
        <f>HYPERLINK("https://api.typeform.com/responses/files/dc696662f8d3c56da2eb98a90c6777b9992dbdb528117317daab4cc22e00f60f/Transcript___Unity_Development_Intern___Âu_Gia_Quốc.html")</f>
        <v>https://api.typeform.com/responses/files/dc696662f8d3c56da2eb98a90c6777b9992dbdb528117317daab4cc22e00f60f/Transcript___Unity_Development_Intern___Âu_Gia_Quốc.html</v>
      </c>
      <c r="Q91" s="29" t="b">
        <v>1</v>
      </c>
      <c r="R91" s="29" t="s">
        <v>1024</v>
      </c>
      <c r="S91" s="29" t="s">
        <v>1025</v>
      </c>
      <c r="T91" s="29" t="s">
        <v>72</v>
      </c>
      <c r="U91" s="29" t="s">
        <v>72</v>
      </c>
      <c r="V91" s="29" t="s">
        <v>1026</v>
      </c>
      <c r="W91" s="29"/>
      <c r="X91" s="29" t="s">
        <v>1027</v>
      </c>
      <c r="Y91" s="34">
        <v>46135.36101851852</v>
      </c>
      <c r="Z91" s="29" t="s">
        <v>1028</v>
      </c>
      <c r="AA91" s="6">
        <v>1.0</v>
      </c>
      <c r="AB91" s="27"/>
      <c r="AC91" s="27"/>
      <c r="AD91" s="27"/>
      <c r="AE91" s="27"/>
      <c r="AF91" s="27"/>
      <c r="AG91" s="27"/>
      <c r="AH91" s="27"/>
      <c r="AI91" s="27"/>
      <c r="AJ91" s="27"/>
      <c r="AK91" s="27"/>
      <c r="AL91" s="27"/>
      <c r="AM91" s="27"/>
      <c r="AN91" s="27"/>
      <c r="AO91" s="27"/>
      <c r="AP91" s="27"/>
      <c r="AQ91" s="27"/>
      <c r="AR91" s="27"/>
      <c r="AS91" s="27"/>
      <c r="AT91" s="27"/>
      <c r="AU91" s="27"/>
      <c r="AV91" s="27"/>
      <c r="AW91" s="27"/>
      <c r="AX91" s="27"/>
    </row>
    <row r="92" ht="22.5" hidden="1" customHeight="1">
      <c r="A92" s="29" t="s">
        <v>1029</v>
      </c>
      <c r="B92" s="30">
        <v>37774.0</v>
      </c>
      <c r="C92" s="29" t="s">
        <v>1030</v>
      </c>
      <c r="D92" s="31" t="s">
        <v>1031</v>
      </c>
      <c r="E92" s="29" t="s">
        <v>82</v>
      </c>
      <c r="F92" s="29" t="s">
        <v>774</v>
      </c>
      <c r="G92" s="32" t="str">
        <f>HYPERLINK("https://api.typeform.com/responses/files/0d4d5686a239a28813bcfe7058dbab979db88faf416caae9a78d2262ff2b4420/CV___Data_Analysis_Intern___Hồ_Sỹ_Kiên.pdf")</f>
        <v>https://api.typeform.com/responses/files/0d4d5686a239a28813bcfe7058dbab979db88faf416caae9a78d2262ff2b4420/CV___Data_Analysis_Intern___Hồ_Sỹ_Kiên.pdf</v>
      </c>
      <c r="H92" s="29" t="s">
        <v>1032</v>
      </c>
      <c r="I92" s="29" t="s">
        <v>1033</v>
      </c>
      <c r="J92" s="29" t="s">
        <v>326</v>
      </c>
      <c r="K92" s="29"/>
      <c r="L92" s="29" t="s">
        <v>103</v>
      </c>
      <c r="M92" s="29" t="s">
        <v>384</v>
      </c>
      <c r="N92" s="33">
        <v>46004.0</v>
      </c>
      <c r="O92" s="31" t="s">
        <v>1034</v>
      </c>
      <c r="P92" s="32" t="str">
        <f>HYPERLINK("https://api.typeform.com/responses/files/5352a89c3743e0d2f3725ba577d2859171a2860d5aa98a7f06bb8a861c505249/Transcript___Data_Analysis_Intern___Hồ_Sỹ_Kiên.pdf")</f>
        <v>https://api.typeform.com/responses/files/5352a89c3743e0d2f3725ba577d2859171a2860d5aa98a7f06bb8a861c505249/Transcript___Data_Analysis_Intern___Hồ_Sỹ_Kiên.pdf</v>
      </c>
      <c r="Q92" s="29" t="b">
        <v>1</v>
      </c>
      <c r="R92" s="29" t="s">
        <v>1035</v>
      </c>
      <c r="S92" s="29" t="s">
        <v>1036</v>
      </c>
      <c r="T92" s="29" t="s">
        <v>72</v>
      </c>
      <c r="U92" s="29" t="s">
        <v>72</v>
      </c>
      <c r="V92" s="29" t="s">
        <v>269</v>
      </c>
      <c r="W92" s="29"/>
      <c r="X92" s="29"/>
      <c r="Y92" s="34">
        <v>46135.36241898148</v>
      </c>
      <c r="Z92" s="29" t="s">
        <v>1037</v>
      </c>
      <c r="AA92" s="6">
        <v>1.0</v>
      </c>
      <c r="AB92" s="27"/>
      <c r="AC92" s="27"/>
      <c r="AD92" s="27"/>
      <c r="AE92" s="27"/>
      <c r="AF92" s="27"/>
      <c r="AG92" s="27"/>
      <c r="AH92" s="27"/>
      <c r="AI92" s="27"/>
      <c r="AJ92" s="27"/>
      <c r="AK92" s="27"/>
      <c r="AL92" s="27"/>
      <c r="AM92" s="27"/>
      <c r="AN92" s="27"/>
      <c r="AO92" s="27"/>
      <c r="AP92" s="27"/>
      <c r="AQ92" s="27"/>
      <c r="AR92" s="27"/>
      <c r="AS92" s="27"/>
      <c r="AT92" s="27"/>
      <c r="AU92" s="27"/>
      <c r="AV92" s="27"/>
      <c r="AW92" s="27"/>
      <c r="AX92" s="27"/>
    </row>
    <row r="93" ht="22.5" hidden="1" customHeight="1">
      <c r="A93" s="29" t="s">
        <v>1038</v>
      </c>
      <c r="B93" s="30">
        <v>38510.0</v>
      </c>
      <c r="C93" s="29" t="s">
        <v>1039</v>
      </c>
      <c r="D93" s="31" t="s">
        <v>1040</v>
      </c>
      <c r="E93" s="29" t="s">
        <v>99</v>
      </c>
      <c r="F93" s="29" t="s">
        <v>127</v>
      </c>
      <c r="G93" s="32" t="str">
        <f>HYPERLINK("https://api.typeform.com/responses/files/e6571cb60e20ddab94c5b18644fb3f3d9665fc71536be8324341e07f09873f2b/CV___Game_Design_Intern___Nguyễn_Trọng_Tín.pdf")</f>
        <v>https://api.typeform.com/responses/files/e6571cb60e20ddab94c5b18644fb3f3d9665fc71536be8324341e07f09873f2b/CV___Game_Design_Intern___Nguyễn_Trọng_Tín.pdf</v>
      </c>
      <c r="H93" s="29" t="s">
        <v>1041</v>
      </c>
      <c r="I93" s="29" t="s">
        <v>1042</v>
      </c>
      <c r="J93" s="29" t="s">
        <v>326</v>
      </c>
      <c r="K93" s="29"/>
      <c r="L93" s="29" t="s">
        <v>219</v>
      </c>
      <c r="M93" s="29" t="s">
        <v>581</v>
      </c>
      <c r="N93" s="33">
        <v>46569.0</v>
      </c>
      <c r="O93" s="31" t="s">
        <v>738</v>
      </c>
      <c r="P93" s="32" t="str">
        <f>HYPERLINK("https://api.typeform.com/responses/files/9d8f722770ab7e9e7658e3298b03ffc1f2f0765545b34d517d7d18a085d48a28/Transcript___Game_Design_Intern___Nguyễn_Trọng_Tín.pdf")</f>
        <v>https://api.typeform.com/responses/files/9d8f722770ab7e9e7658e3298b03ffc1f2f0765545b34d517d7d18a085d48a28/Transcript___Game_Design_Intern___Nguyễn_Trọng_Tín.pdf</v>
      </c>
      <c r="Q93" s="29" t="b">
        <v>1</v>
      </c>
      <c r="R93" s="29" t="s">
        <v>1043</v>
      </c>
      <c r="S93" s="29" t="s">
        <v>1044</v>
      </c>
      <c r="T93" s="29" t="s">
        <v>72</v>
      </c>
      <c r="U93" s="29" t="s">
        <v>72</v>
      </c>
      <c r="V93" s="29" t="s">
        <v>269</v>
      </c>
      <c r="W93" s="29"/>
      <c r="X93" s="29"/>
      <c r="Y93" s="34">
        <v>46135.3640625</v>
      </c>
      <c r="Z93" s="29" t="s">
        <v>1045</v>
      </c>
      <c r="AA93" s="6">
        <v>1.0</v>
      </c>
      <c r="AB93" s="27"/>
      <c r="AC93" s="27"/>
      <c r="AD93" s="27"/>
      <c r="AE93" s="27"/>
      <c r="AF93" s="27"/>
      <c r="AG93" s="27"/>
      <c r="AH93" s="27"/>
      <c r="AI93" s="27"/>
      <c r="AJ93" s="27"/>
      <c r="AK93" s="27"/>
      <c r="AL93" s="27"/>
      <c r="AM93" s="27"/>
      <c r="AN93" s="27"/>
      <c r="AO93" s="27"/>
      <c r="AP93" s="27"/>
      <c r="AQ93" s="27"/>
      <c r="AR93" s="27"/>
      <c r="AS93" s="27"/>
      <c r="AT93" s="27"/>
      <c r="AU93" s="27"/>
      <c r="AV93" s="27"/>
      <c r="AW93" s="27"/>
      <c r="AX93" s="27"/>
    </row>
    <row r="94" ht="22.5" hidden="1" customHeight="1">
      <c r="A94" s="29" t="s">
        <v>904</v>
      </c>
      <c r="B94" s="30">
        <v>38486.0</v>
      </c>
      <c r="C94" s="29" t="s">
        <v>905</v>
      </c>
      <c r="D94" s="31" t="s">
        <v>906</v>
      </c>
      <c r="E94" s="29" t="s">
        <v>99</v>
      </c>
      <c r="F94" s="29" t="s">
        <v>61</v>
      </c>
      <c r="G94" s="32" t="str">
        <f>HYPERLINK("https://api.typeform.com/responses/files/9145a98dbead25c9c7392f20b4dceb14aebe27481534db4732d8e5e54ec4ea07/CV___Game_Design_Intern___Lê_Đức_Ngọc_Bảo.pdf")</f>
        <v>https://api.typeform.com/responses/files/9145a98dbead25c9c7392f20b4dceb14aebe27481534db4732d8e5e54ec4ea07/CV___Game_Design_Intern___Lê_Đức_Ngọc_Bảo.pdf</v>
      </c>
      <c r="H94" s="29" t="s">
        <v>1046</v>
      </c>
      <c r="I94" s="29" t="s">
        <v>1047</v>
      </c>
      <c r="J94" s="29" t="s">
        <v>326</v>
      </c>
      <c r="K94" s="29"/>
      <c r="L94" s="29" t="s">
        <v>219</v>
      </c>
      <c r="M94" s="29" t="s">
        <v>909</v>
      </c>
      <c r="N94" s="33">
        <v>46487.0</v>
      </c>
      <c r="O94" s="31" t="s">
        <v>171</v>
      </c>
      <c r="P94" s="32" t="str">
        <f>HYPERLINK("https://api.typeform.com/responses/files/5358e3fde437753098e705cbbb88ec8a2e702bf7aa294d246d619535854da0b5/Transcript___Game_Design_Intern___Lê_Đức_Ngọc_Bảo.pdf")</f>
        <v>https://api.typeform.com/responses/files/5358e3fde437753098e705cbbb88ec8a2e702bf7aa294d246d619535854da0b5/Transcript___Game_Design_Intern___Lê_Đức_Ngọc_Bảo.pdf</v>
      </c>
      <c r="Q94" s="29" t="b">
        <v>1</v>
      </c>
      <c r="R94" s="29" t="s">
        <v>1048</v>
      </c>
      <c r="S94" s="29" t="s">
        <v>1049</v>
      </c>
      <c r="T94" s="29" t="s">
        <v>72</v>
      </c>
      <c r="U94" s="29" t="s">
        <v>72</v>
      </c>
      <c r="V94" s="29" t="s">
        <v>269</v>
      </c>
      <c r="W94" s="29"/>
      <c r="X94" s="29" t="s">
        <v>1050</v>
      </c>
      <c r="Y94" s="34">
        <v>46135.37412037037</v>
      </c>
      <c r="Z94" s="29" t="s">
        <v>1051</v>
      </c>
      <c r="AA94" s="6">
        <v>1.0</v>
      </c>
      <c r="AB94" s="27"/>
      <c r="AC94" s="27"/>
      <c r="AD94" s="27"/>
      <c r="AE94" s="27"/>
      <c r="AF94" s="27"/>
      <c r="AG94" s="27"/>
      <c r="AH94" s="27"/>
      <c r="AI94" s="27"/>
      <c r="AJ94" s="27"/>
      <c r="AK94" s="27"/>
      <c r="AL94" s="27"/>
      <c r="AM94" s="27"/>
      <c r="AN94" s="27"/>
      <c r="AO94" s="27"/>
      <c r="AP94" s="27"/>
      <c r="AQ94" s="27"/>
      <c r="AR94" s="27"/>
      <c r="AS94" s="27"/>
      <c r="AT94" s="27"/>
      <c r="AU94" s="27"/>
      <c r="AV94" s="27"/>
      <c r="AW94" s="27"/>
      <c r="AX94" s="27"/>
    </row>
    <row r="95" ht="22.5" hidden="1" customHeight="1">
      <c r="A95" s="29" t="s">
        <v>1052</v>
      </c>
      <c r="B95" s="30">
        <v>38509.0</v>
      </c>
      <c r="C95" s="29" t="s">
        <v>1053</v>
      </c>
      <c r="D95" s="31" t="s">
        <v>1054</v>
      </c>
      <c r="E95" s="29" t="s">
        <v>61</v>
      </c>
      <c r="F95" s="29" t="s">
        <v>99</v>
      </c>
      <c r="G95" s="32" t="str">
        <f>HYPERLINK("https://api.typeform.com/responses/files/b22b62d34cf4248ceb57a2c17b614e85489e4e40a05eb76403846505e5e5364f/CV___Unity_Development_Intern___Dương_Gia_Huy.pdf")</f>
        <v>https://api.typeform.com/responses/files/b22b62d34cf4248ceb57a2c17b614e85489e4e40a05eb76403846505e5e5364f/CV___Unity_Development_Intern___Dương_Gia_Huy.pdf</v>
      </c>
      <c r="H95" s="29" t="s">
        <v>1055</v>
      </c>
      <c r="I95" s="29" t="s">
        <v>1056</v>
      </c>
      <c r="J95" s="29" t="s">
        <v>326</v>
      </c>
      <c r="K95" s="29"/>
      <c r="L95" s="29" t="s">
        <v>219</v>
      </c>
      <c r="M95" s="29" t="s">
        <v>1057</v>
      </c>
      <c r="N95" s="33">
        <v>46599.0</v>
      </c>
      <c r="O95" s="31" t="s">
        <v>1058</v>
      </c>
      <c r="P95" s="32" t="str">
        <f>HYPERLINK("https://api.typeform.com/responses/files/637adfdcf93d4883a6bdfe068955bf91165fb75068794f639548b124baa11c1f/Transcript___Unity_Development_Intern___Dương_Gia_Huy.pdf")</f>
        <v>https://api.typeform.com/responses/files/637adfdcf93d4883a6bdfe068955bf91165fb75068794f639548b124baa11c1f/Transcript___Unity_Development_Intern___Dương_Gia_Huy.pdf</v>
      </c>
      <c r="Q95" s="29" t="b">
        <v>1</v>
      </c>
      <c r="R95" s="29" t="s">
        <v>1059</v>
      </c>
      <c r="S95" s="29" t="s">
        <v>1060</v>
      </c>
      <c r="T95" s="29" t="s">
        <v>72</v>
      </c>
      <c r="U95" s="29" t="s">
        <v>72</v>
      </c>
      <c r="V95" s="29" t="s">
        <v>1061</v>
      </c>
      <c r="W95" s="29"/>
      <c r="X95" s="29" t="s">
        <v>1062</v>
      </c>
      <c r="Y95" s="34">
        <v>46135.378969907404</v>
      </c>
      <c r="Z95" s="29" t="s">
        <v>1063</v>
      </c>
      <c r="AA95" s="6">
        <v>1.0</v>
      </c>
      <c r="AB95" s="27"/>
      <c r="AC95" s="27"/>
      <c r="AD95" s="27"/>
      <c r="AE95" s="27"/>
      <c r="AF95" s="27"/>
      <c r="AG95" s="27"/>
      <c r="AH95" s="27"/>
      <c r="AI95" s="27"/>
      <c r="AJ95" s="27"/>
      <c r="AK95" s="27"/>
      <c r="AL95" s="27"/>
      <c r="AM95" s="27"/>
      <c r="AN95" s="27"/>
      <c r="AO95" s="27"/>
      <c r="AP95" s="27"/>
      <c r="AQ95" s="27"/>
      <c r="AR95" s="27"/>
      <c r="AS95" s="27"/>
      <c r="AT95" s="27"/>
      <c r="AU95" s="27"/>
      <c r="AV95" s="27"/>
      <c r="AW95" s="27"/>
      <c r="AX95" s="27"/>
    </row>
    <row r="96" ht="22.5" hidden="1" customHeight="1">
      <c r="A96" s="29" t="s">
        <v>1064</v>
      </c>
      <c r="B96" s="30">
        <v>38132.0</v>
      </c>
      <c r="C96" s="29" t="s">
        <v>1065</v>
      </c>
      <c r="D96" s="31" t="s">
        <v>1066</v>
      </c>
      <c r="E96" s="29" t="s">
        <v>127</v>
      </c>
      <c r="F96" s="29" t="s">
        <v>61</v>
      </c>
      <c r="G96" s="32" t="str">
        <f>HYPERLINK("https://api.typeform.com/responses/files/2f23e7ae5d672b69707c0992cb576fbac8809937fc2b281696a9df38d70b0522/CV_Tester_game_Tô_Duy_Hào.pdf")</f>
        <v>https://api.typeform.com/responses/files/2f23e7ae5d672b69707c0992cb576fbac8809937fc2b281696a9df38d70b0522/CV_Tester_game_Tô_Duy_Hào.pdf</v>
      </c>
      <c r="H96" s="29" t="s">
        <v>1067</v>
      </c>
      <c r="I96" s="29" t="s">
        <v>1068</v>
      </c>
      <c r="J96" s="29" t="s">
        <v>1069</v>
      </c>
      <c r="K96" s="29"/>
      <c r="L96" s="29" t="s">
        <v>67</v>
      </c>
      <c r="M96" s="29" t="s">
        <v>1070</v>
      </c>
      <c r="N96" s="33">
        <v>46478.0</v>
      </c>
      <c r="O96" s="31" t="s">
        <v>147</v>
      </c>
      <c r="P96" s="32" t="str">
        <f>HYPERLINK("https://api.typeform.com/responses/files/07fa7e9427a4a1a7e897996fd548bab714719251e83863e62d46d15088dc7b62/Transcript_Game_QA_Tô_Duy_Hào.xlsx")</f>
        <v>https://api.typeform.com/responses/files/07fa7e9427a4a1a7e897996fd548bab714719251e83863e62d46d15088dc7b62/Transcript_Game_QA_Tô_Duy_Hào.xlsx</v>
      </c>
      <c r="Q96" s="29" t="b">
        <v>1</v>
      </c>
      <c r="R96" s="29" t="s">
        <v>1071</v>
      </c>
      <c r="S96" s="29" t="s">
        <v>1072</v>
      </c>
      <c r="T96" s="29" t="s">
        <v>72</v>
      </c>
      <c r="U96" s="29" t="s">
        <v>72</v>
      </c>
      <c r="V96" s="29" t="s">
        <v>73</v>
      </c>
      <c r="W96" s="29"/>
      <c r="X96" s="29" t="s">
        <v>1073</v>
      </c>
      <c r="Y96" s="34">
        <v>46135.38055555556</v>
      </c>
      <c r="Z96" s="29" t="s">
        <v>1074</v>
      </c>
      <c r="AA96" s="6">
        <v>1.0</v>
      </c>
      <c r="AB96" s="27"/>
      <c r="AC96" s="27"/>
      <c r="AD96" s="27"/>
      <c r="AE96" s="27"/>
      <c r="AF96" s="27"/>
      <c r="AG96" s="27"/>
      <c r="AH96" s="27"/>
      <c r="AI96" s="27"/>
      <c r="AJ96" s="27"/>
      <c r="AK96" s="27"/>
      <c r="AL96" s="27"/>
      <c r="AM96" s="27"/>
      <c r="AN96" s="27"/>
      <c r="AO96" s="27"/>
      <c r="AP96" s="27"/>
      <c r="AQ96" s="27"/>
      <c r="AR96" s="27"/>
      <c r="AS96" s="27"/>
      <c r="AT96" s="27"/>
      <c r="AU96" s="27"/>
      <c r="AV96" s="27"/>
      <c r="AW96" s="27"/>
      <c r="AX96" s="27"/>
    </row>
    <row r="97" ht="22.5" hidden="1" customHeight="1">
      <c r="A97" s="29" t="s">
        <v>1075</v>
      </c>
      <c r="B97" s="30">
        <v>37848.0</v>
      </c>
      <c r="C97" s="29" t="s">
        <v>1076</v>
      </c>
      <c r="D97" s="31" t="s">
        <v>1077</v>
      </c>
      <c r="E97" s="29" t="s">
        <v>127</v>
      </c>
      <c r="F97" s="29" t="s">
        <v>61</v>
      </c>
      <c r="G97" s="32" t="str">
        <f>HYPERLINK("https://api.typeform.com/responses/files/fa66bd29b491a695e3932e14f6aaa53631a00ad5f142b7912fd101e452396121/CV___Game_Quality_Assurance_Intern___Tran_Thien_Phuc.pdf")</f>
        <v>https://api.typeform.com/responses/files/fa66bd29b491a695e3932e14f6aaa53631a00ad5f142b7912fd101e452396121/CV___Game_Quality_Assurance_Intern___Tran_Thien_Phuc.pdf</v>
      </c>
      <c r="H97" s="29" t="s">
        <v>1078</v>
      </c>
      <c r="I97" s="29" t="s">
        <v>1079</v>
      </c>
      <c r="J97" s="29" t="s">
        <v>65</v>
      </c>
      <c r="K97" s="29" t="s">
        <v>1080</v>
      </c>
      <c r="L97" s="29" t="s">
        <v>103</v>
      </c>
      <c r="M97" s="29" t="s">
        <v>624</v>
      </c>
      <c r="N97" s="33">
        <v>45991.0</v>
      </c>
      <c r="O97" s="31" t="s">
        <v>1081</v>
      </c>
      <c r="P97" s="32" t="str">
        <f>HYPERLINK("https://api.typeform.com/responses/files/a1a8f11bf017dc3d8f86e64e4976d1f22ca2d63c970f33bd1b7bef8859c25ac3/Transcript___Game_Quality_Assurance_Intern___Tran_Thien_Phuc.jpg")</f>
        <v>https://api.typeform.com/responses/files/a1a8f11bf017dc3d8f86e64e4976d1f22ca2d63c970f33bd1b7bef8859c25ac3/Transcript___Game_Quality_Assurance_Intern___Tran_Thien_Phuc.jpg</v>
      </c>
      <c r="Q97" s="29" t="b">
        <v>1</v>
      </c>
      <c r="R97" s="29" t="s">
        <v>1082</v>
      </c>
      <c r="S97" s="29" t="s">
        <v>1083</v>
      </c>
      <c r="T97" s="29" t="s">
        <v>72</v>
      </c>
      <c r="U97" s="29" t="s">
        <v>72</v>
      </c>
      <c r="V97" s="29" t="s">
        <v>544</v>
      </c>
      <c r="W97" s="29"/>
      <c r="X97" s="29"/>
      <c r="Y97" s="34">
        <v>46135.38348379629</v>
      </c>
      <c r="Z97" s="29" t="s">
        <v>1084</v>
      </c>
      <c r="AA97" s="6">
        <v>1.0</v>
      </c>
      <c r="AB97" s="27"/>
      <c r="AC97" s="27"/>
      <c r="AD97" s="27"/>
      <c r="AE97" s="27"/>
      <c r="AF97" s="27"/>
      <c r="AG97" s="27"/>
      <c r="AH97" s="27"/>
      <c r="AI97" s="27"/>
      <c r="AJ97" s="27"/>
      <c r="AK97" s="27"/>
      <c r="AL97" s="27"/>
      <c r="AM97" s="27"/>
      <c r="AN97" s="27"/>
      <c r="AO97" s="27"/>
      <c r="AP97" s="27"/>
      <c r="AQ97" s="27"/>
      <c r="AR97" s="27"/>
      <c r="AS97" s="27"/>
      <c r="AT97" s="27"/>
      <c r="AU97" s="27"/>
      <c r="AV97" s="27"/>
      <c r="AW97" s="27"/>
      <c r="AX97" s="27"/>
    </row>
    <row r="98" ht="22.5" hidden="1" customHeight="1">
      <c r="A98" s="29" t="s">
        <v>1085</v>
      </c>
      <c r="B98" s="30">
        <v>38104.0</v>
      </c>
      <c r="C98" s="29" t="s">
        <v>1086</v>
      </c>
      <c r="D98" s="31" t="s">
        <v>1087</v>
      </c>
      <c r="E98" s="29" t="s">
        <v>774</v>
      </c>
      <c r="F98" s="29" t="s">
        <v>82</v>
      </c>
      <c r="G98" s="32" t="str">
        <f>HYPERLINK("https://api.typeform.com/responses/files/64328656a3584ca322f0b5b8fd476272db2fdf18cc02663d4c57a60f8d682d1c/CV___Game_User_Acquisition_Intern___Nguyen_Hoang_Quan.pdf")</f>
        <v>https://api.typeform.com/responses/files/64328656a3584ca322f0b5b8fd476272db2fdf18cc02663d4c57a60f8d682d1c/CV___Game_User_Acquisition_Intern___Nguyen_Hoang_Quan.pdf</v>
      </c>
      <c r="H98" s="29" t="s">
        <v>1088</v>
      </c>
      <c r="I98" s="29" t="s">
        <v>1089</v>
      </c>
      <c r="J98" s="29" t="s">
        <v>65</v>
      </c>
      <c r="K98" s="29" t="s">
        <v>961</v>
      </c>
      <c r="L98" s="29" t="s">
        <v>103</v>
      </c>
      <c r="M98" s="29" t="s">
        <v>1090</v>
      </c>
      <c r="N98" s="33">
        <v>46021.0</v>
      </c>
      <c r="O98" s="29" t="s">
        <v>1091</v>
      </c>
      <c r="P98" s="32" t="str">
        <f>HYPERLINK("https://api.typeform.com/responses/files/bb7d872711fb2c4a3b9767e4c9f87c1e1c8cc0305614aa3fa461f5b71309ebf2/Transcript___Game_User_Acquisition_Intern___Nguyễn_Hoàng_Quân.pdf")</f>
        <v>https://api.typeform.com/responses/files/bb7d872711fb2c4a3b9767e4c9f87c1e1c8cc0305614aa3fa461f5b71309ebf2/Transcript___Game_User_Acquisition_Intern___Nguyễn_Hoàng_Quân.pdf</v>
      </c>
      <c r="Q98" s="29" t="b">
        <v>1</v>
      </c>
      <c r="R98" s="29" t="s">
        <v>1092</v>
      </c>
      <c r="S98" s="29" t="s">
        <v>1093</v>
      </c>
      <c r="T98" s="29" t="s">
        <v>72</v>
      </c>
      <c r="U98" s="29" t="s">
        <v>72</v>
      </c>
      <c r="V98" s="29" t="s">
        <v>73</v>
      </c>
      <c r="W98" s="29"/>
      <c r="X98" s="29" t="s">
        <v>1094</v>
      </c>
      <c r="Y98" s="34">
        <v>46135.38394675926</v>
      </c>
      <c r="Z98" s="29" t="s">
        <v>1095</v>
      </c>
      <c r="AA98" s="6">
        <v>1.0</v>
      </c>
      <c r="AB98" s="27"/>
      <c r="AC98" s="27"/>
      <c r="AD98" s="27"/>
      <c r="AE98" s="27"/>
      <c r="AF98" s="27"/>
      <c r="AG98" s="27"/>
      <c r="AH98" s="27"/>
      <c r="AI98" s="27"/>
      <c r="AJ98" s="27"/>
      <c r="AK98" s="27"/>
      <c r="AL98" s="27"/>
      <c r="AM98" s="27"/>
      <c r="AN98" s="27"/>
      <c r="AO98" s="27"/>
      <c r="AP98" s="27"/>
      <c r="AQ98" s="27"/>
      <c r="AR98" s="27"/>
      <c r="AS98" s="27"/>
      <c r="AT98" s="27"/>
      <c r="AU98" s="27"/>
      <c r="AV98" s="27"/>
      <c r="AW98" s="27"/>
      <c r="AX98" s="27"/>
    </row>
    <row r="99" ht="22.5" hidden="1" customHeight="1">
      <c r="A99" s="29" t="s">
        <v>1096</v>
      </c>
      <c r="B99" s="30">
        <v>38654.0</v>
      </c>
      <c r="C99" s="29" t="s">
        <v>1097</v>
      </c>
      <c r="D99" s="31" t="s">
        <v>1098</v>
      </c>
      <c r="E99" s="29" t="s">
        <v>62</v>
      </c>
      <c r="F99" s="29" t="s">
        <v>82</v>
      </c>
      <c r="G99" s="32" t="str">
        <f>HYPERLINK("https://api.typeform.com/responses/files/33b80cc0fce962c044c2de751057b7dc15bf5b9263d18d45f96b58cdf3ac606c/CV___AI_Engineer_Intern___Pham_Nam_Huyen.pdf")</f>
        <v>https://api.typeform.com/responses/files/33b80cc0fce962c044c2de751057b7dc15bf5b9263d18d45f96b58cdf3ac606c/CV___AI_Engineer_Intern___Pham_Nam_Huyen.pdf</v>
      </c>
      <c r="H99" s="29" t="s">
        <v>1099</v>
      </c>
      <c r="I99" s="29" t="s">
        <v>1100</v>
      </c>
      <c r="J99" s="29" t="s">
        <v>326</v>
      </c>
      <c r="K99" s="29"/>
      <c r="L99" s="29" t="s">
        <v>219</v>
      </c>
      <c r="M99" s="29" t="s">
        <v>1101</v>
      </c>
      <c r="N99" s="33">
        <v>46690.0</v>
      </c>
      <c r="O99" s="31" t="s">
        <v>1102</v>
      </c>
      <c r="P99" s="32" t="str">
        <f>HYPERLINK("https://api.typeform.com/responses/files/74aa6d908bf0188a41033aac4fa96a3de59c3cafc233d0a0c45de341df5a2254/Transcript___AI_Engineer_Intern___Pham_Nam_Huyen.pdf")</f>
        <v>https://api.typeform.com/responses/files/74aa6d908bf0188a41033aac4fa96a3de59c3cafc233d0a0c45de341df5a2254/Transcript___AI_Engineer_Intern___Pham_Nam_Huyen.pdf</v>
      </c>
      <c r="Q99" s="29" t="b">
        <v>1</v>
      </c>
      <c r="R99" s="29" t="s">
        <v>1103</v>
      </c>
      <c r="S99" s="29" t="s">
        <v>1104</v>
      </c>
      <c r="T99" s="29" t="s">
        <v>72</v>
      </c>
      <c r="U99" s="29" t="s">
        <v>72</v>
      </c>
      <c r="V99" s="29" t="s">
        <v>269</v>
      </c>
      <c r="W99" s="29"/>
      <c r="X99" s="29" t="s">
        <v>1105</v>
      </c>
      <c r="Y99" s="34">
        <v>46135.38486111111</v>
      </c>
      <c r="Z99" s="29" t="s">
        <v>1106</v>
      </c>
      <c r="AA99" s="6">
        <v>1.0</v>
      </c>
      <c r="AB99" s="27"/>
      <c r="AC99" s="27"/>
      <c r="AD99" s="27"/>
      <c r="AE99" s="27"/>
      <c r="AF99" s="27"/>
      <c r="AG99" s="27"/>
      <c r="AH99" s="27"/>
      <c r="AI99" s="27"/>
      <c r="AJ99" s="27"/>
      <c r="AK99" s="27"/>
      <c r="AL99" s="27"/>
      <c r="AM99" s="27"/>
      <c r="AN99" s="27"/>
      <c r="AO99" s="27"/>
      <c r="AP99" s="27"/>
      <c r="AQ99" s="27"/>
      <c r="AR99" s="27"/>
      <c r="AS99" s="27"/>
      <c r="AT99" s="27"/>
      <c r="AU99" s="27"/>
      <c r="AV99" s="27"/>
      <c r="AW99" s="27"/>
      <c r="AX99" s="27"/>
    </row>
    <row r="100" ht="22.5" hidden="1" customHeight="1">
      <c r="A100" s="29" t="s">
        <v>1107</v>
      </c>
      <c r="B100" s="30">
        <v>38550.0</v>
      </c>
      <c r="C100" s="29" t="s">
        <v>1108</v>
      </c>
      <c r="D100" s="31" t="s">
        <v>1109</v>
      </c>
      <c r="E100" s="29" t="s">
        <v>62</v>
      </c>
      <c r="F100" s="29" t="s">
        <v>127</v>
      </c>
      <c r="G100" s="32" t="str">
        <f>HYPERLINK("https://api.typeform.com/responses/files/39dc45b2d6992ec65df1265ec3929705877f63942dd9ffb9db922ff7f448b4cf/CV___AI_Engineering_Intern___Lê_Thanh_Hải.pdf")</f>
        <v>https://api.typeform.com/responses/files/39dc45b2d6992ec65df1265ec3929705877f63942dd9ffb9db922ff7f448b4cf/CV___AI_Engineering_Intern___Lê_Thanh_Hải.pdf</v>
      </c>
      <c r="H100" s="29" t="s">
        <v>1110</v>
      </c>
      <c r="I100" s="29" t="s">
        <v>1111</v>
      </c>
      <c r="J100" s="29" t="s">
        <v>326</v>
      </c>
      <c r="K100" s="29"/>
      <c r="L100" s="29" t="s">
        <v>219</v>
      </c>
      <c r="M100" s="29" t="s">
        <v>132</v>
      </c>
      <c r="N100" s="33">
        <v>46557.0</v>
      </c>
      <c r="O100" s="31" t="s">
        <v>1112</v>
      </c>
      <c r="P100" s="32" t="str">
        <f>HYPERLINK("https://api.typeform.com/responses/files/81406446df5c890b20817b6f7674ddd4b6da2c97c0eb1fc090db290a995c9ac4/Transcript___AI_Engineering_Intern___Lê_Thanh_Hải.pdf")</f>
        <v>https://api.typeform.com/responses/files/81406446df5c890b20817b6f7674ddd4b6da2c97c0eb1fc090db290a995c9ac4/Transcript___AI_Engineering_Intern___Lê_Thanh_Hải.pdf</v>
      </c>
      <c r="Q100" s="29" t="b">
        <v>1</v>
      </c>
      <c r="R100" s="29" t="s">
        <v>1113</v>
      </c>
      <c r="S100" s="29" t="s">
        <v>1114</v>
      </c>
      <c r="T100" s="29" t="s">
        <v>72</v>
      </c>
      <c r="U100" s="29" t="s">
        <v>72</v>
      </c>
      <c r="V100" s="29" t="s">
        <v>269</v>
      </c>
      <c r="W100" s="29"/>
      <c r="X100" s="29" t="s">
        <v>1115</v>
      </c>
      <c r="Y100" s="34">
        <v>46135.388819444444</v>
      </c>
      <c r="Z100" s="29" t="s">
        <v>1116</v>
      </c>
      <c r="AA100" s="6">
        <v>1.0</v>
      </c>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row>
    <row r="101" ht="22.5" hidden="1" customHeight="1">
      <c r="A101" s="29" t="s">
        <v>1117</v>
      </c>
      <c r="B101" s="30">
        <v>38431.0</v>
      </c>
      <c r="C101" s="29" t="s">
        <v>1118</v>
      </c>
      <c r="D101" s="31" t="s">
        <v>1119</v>
      </c>
      <c r="E101" s="29" t="s">
        <v>127</v>
      </c>
      <c r="F101" s="29" t="s">
        <v>82</v>
      </c>
      <c r="G101" s="32" t="str">
        <f>HYPERLINK("https://api.typeform.com/responses/files/fcd7000484a6deb72868beb7bc4acea848208ab3a93704720eac1f387ad9fe6d/CV_NguyenThanhKhang_Game_QA_Intern.pdf")</f>
        <v>https://api.typeform.com/responses/files/fcd7000484a6deb72868beb7bc4acea848208ab3a93704720eac1f387ad9fe6d/CV_NguyenThanhKhang_Game_QA_Intern.pdf</v>
      </c>
      <c r="H101" s="29" t="s">
        <v>1120</v>
      </c>
      <c r="I101" s="29" t="s">
        <v>1121</v>
      </c>
      <c r="J101" s="29" t="s">
        <v>85</v>
      </c>
      <c r="K101" s="29"/>
      <c r="L101" s="29" t="s">
        <v>219</v>
      </c>
      <c r="M101" s="29" t="s">
        <v>581</v>
      </c>
      <c r="N101" s="33">
        <v>46599.0</v>
      </c>
      <c r="O101" s="31" t="s">
        <v>1122</v>
      </c>
      <c r="P101" s="32" t="str">
        <f>HYPERLINK("https://api.typeform.com/responses/files/afa155bc62564592555b7c202a6e91e55de540654a954279413f986bc3554527/Transcript___Game_Quality_Assurance_Intern___Nguyễn_Thành_Khang.pdf")</f>
        <v>https://api.typeform.com/responses/files/afa155bc62564592555b7c202a6e91e55de540654a954279413f986bc3554527/Transcript___Game_Quality_Assurance_Intern___Nguyễn_Thành_Khang.pdf</v>
      </c>
      <c r="Q101" s="29" t="b">
        <v>0</v>
      </c>
      <c r="R101" s="29" t="s">
        <v>268</v>
      </c>
      <c r="S101" s="29" t="s">
        <v>1123</v>
      </c>
      <c r="T101" s="29" t="s">
        <v>72</v>
      </c>
      <c r="U101" s="29" t="s">
        <v>72</v>
      </c>
      <c r="V101" s="29" t="s">
        <v>1124</v>
      </c>
      <c r="W101" s="29"/>
      <c r="X101" s="29" t="s">
        <v>1125</v>
      </c>
      <c r="Y101" s="34">
        <v>46135.39378472222</v>
      </c>
      <c r="Z101" s="29" t="s">
        <v>1126</v>
      </c>
      <c r="AA101" s="6">
        <v>1.0</v>
      </c>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row>
    <row r="102" ht="22.5" hidden="1" customHeight="1">
      <c r="A102" s="29" t="s">
        <v>1127</v>
      </c>
      <c r="B102" s="30">
        <v>38423.0</v>
      </c>
      <c r="C102" s="29" t="s">
        <v>1128</v>
      </c>
      <c r="D102" s="31" t="s">
        <v>1129</v>
      </c>
      <c r="E102" s="29" t="s">
        <v>62</v>
      </c>
      <c r="F102" s="29" t="s">
        <v>62</v>
      </c>
      <c r="G102" s="32" t="str">
        <f>HYPERLINK("https://api.typeform.com/responses/files/f17fde5ed2b5519b66aefc220a7efb429aa3d89216388717c8e495f7915fabfd/CV_TruongQuangHuy_AI_Intern.pdf")</f>
        <v>https://api.typeform.com/responses/files/f17fde5ed2b5519b66aefc220a7efb429aa3d89216388717c8e495f7915fabfd/CV_TruongQuangHuy_AI_Intern.pdf</v>
      </c>
      <c r="H102" s="29" t="s">
        <v>1130</v>
      </c>
      <c r="I102" s="29" t="s">
        <v>1131</v>
      </c>
      <c r="J102" s="29" t="s">
        <v>326</v>
      </c>
      <c r="K102" s="29"/>
      <c r="L102" s="29" t="s">
        <v>219</v>
      </c>
      <c r="M102" s="29" t="s">
        <v>399</v>
      </c>
      <c r="N102" s="33">
        <v>46729.0</v>
      </c>
      <c r="O102" s="31" t="s">
        <v>1132</v>
      </c>
      <c r="P102" s="32" t="str">
        <f>HYPERLINK("https://api.typeform.com/responses/files/09384fae56aa1d141c2aa820f38ce9fbe0697c2e4d8819f42f435eaabb69bb91/Transcript___AI_Engineer_Intern___Trương_Quang_Huy.pdf")</f>
        <v>https://api.typeform.com/responses/files/09384fae56aa1d141c2aa820f38ce9fbe0697c2e4d8819f42f435eaabb69bb91/Transcript___AI_Engineer_Intern___Trương_Quang_Huy.pdf</v>
      </c>
      <c r="Q102" s="29" t="b">
        <v>1</v>
      </c>
      <c r="R102" s="29" t="s">
        <v>1133</v>
      </c>
      <c r="S102" s="29" t="s">
        <v>1134</v>
      </c>
      <c r="T102" s="29" t="s">
        <v>72</v>
      </c>
      <c r="U102" s="29" t="s">
        <v>72</v>
      </c>
      <c r="V102" s="29" t="s">
        <v>269</v>
      </c>
      <c r="W102" s="29"/>
      <c r="X102" s="29" t="s">
        <v>1135</v>
      </c>
      <c r="Y102" s="34">
        <v>46135.395474537036</v>
      </c>
      <c r="Z102" s="29" t="s">
        <v>1136</v>
      </c>
      <c r="AA102" s="6">
        <v>1.0</v>
      </c>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row>
    <row r="103" ht="22.5" hidden="1" customHeight="1">
      <c r="A103" s="29" t="s">
        <v>1137</v>
      </c>
      <c r="B103" s="30">
        <v>38445.0</v>
      </c>
      <c r="C103" s="29" t="s">
        <v>1138</v>
      </c>
      <c r="D103" s="31" t="s">
        <v>1139</v>
      </c>
      <c r="E103" s="29" t="s">
        <v>62</v>
      </c>
      <c r="F103" s="29" t="s">
        <v>82</v>
      </c>
      <c r="G103" s="32" t="str">
        <f>HYPERLINK("https://api.typeform.com/responses/files/f91d3b6d05bb1cf5873b04cd9e4d8a02b6a45de2dd14c6a956a3aa72b633570d/CV_AI_Engineer_Intern_Từ_Thế_Phong.pdf")</f>
        <v>https://api.typeform.com/responses/files/f91d3b6d05bb1cf5873b04cd9e4d8a02b6a45de2dd14c6a956a3aa72b633570d/CV_AI_Engineer_Intern_Từ_Thế_Phong.pdf</v>
      </c>
      <c r="H103" s="29" t="s">
        <v>1140</v>
      </c>
      <c r="I103" s="29" t="s">
        <v>1141</v>
      </c>
      <c r="J103" s="29" t="s">
        <v>326</v>
      </c>
      <c r="K103" s="29"/>
      <c r="L103" s="29" t="s">
        <v>219</v>
      </c>
      <c r="M103" s="29" t="s">
        <v>1142</v>
      </c>
      <c r="N103" s="33">
        <v>46614.0</v>
      </c>
      <c r="O103" s="31" t="s">
        <v>1143</v>
      </c>
      <c r="P103" s="32" t="str">
        <f>HYPERLINK("https://api.typeform.com/responses/files/8f0723db20415767d8504d21be8b0c7309a7651b953e0aa754a564a3279bef5e/Transcript_AI_Engineer_Intern_Từ_Thế_Phong.pdf")</f>
        <v>https://api.typeform.com/responses/files/8f0723db20415767d8504d21be8b0c7309a7651b953e0aa754a564a3279bef5e/Transcript_AI_Engineer_Intern_Từ_Thế_Phong.pdf</v>
      </c>
      <c r="Q103" s="29" t="b">
        <v>1</v>
      </c>
      <c r="R103" s="29" t="s">
        <v>1144</v>
      </c>
      <c r="S103" s="29" t="s">
        <v>1145</v>
      </c>
      <c r="T103" s="29" t="s">
        <v>72</v>
      </c>
      <c r="U103" s="29" t="s">
        <v>72</v>
      </c>
      <c r="V103" s="29" t="s">
        <v>933</v>
      </c>
      <c r="W103" s="29"/>
      <c r="X103" s="29" t="s">
        <v>1146</v>
      </c>
      <c r="Y103" s="34">
        <v>46135.397893518515</v>
      </c>
      <c r="Z103" s="29" t="s">
        <v>1147</v>
      </c>
      <c r="AA103" s="6">
        <v>1.0</v>
      </c>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row>
    <row r="104" ht="22.5" hidden="1" customHeight="1">
      <c r="A104" s="29" t="s">
        <v>1148</v>
      </c>
      <c r="B104" s="30">
        <v>37888.0</v>
      </c>
      <c r="C104" s="29" t="s">
        <v>1149</v>
      </c>
      <c r="D104" s="31" t="s">
        <v>1150</v>
      </c>
      <c r="E104" s="29" t="s">
        <v>633</v>
      </c>
      <c r="F104" s="29"/>
      <c r="G104" s="32" t="str">
        <f>HYPERLINK("https://api.typeform.com/responses/files/bf2d490301046f5e6f1e73c8a33218e53bfd19b313c37dbdae7d0bcf11aa8edd/CV___Human_Resources_Intern___Nguyen_Vu_Tuong_Vy.pdf")</f>
        <v>https://api.typeform.com/responses/files/bf2d490301046f5e6f1e73c8a33218e53bfd19b313c37dbdae7d0bcf11aa8edd/CV___Human_Resources_Intern___Nguyen_Vu_Tuong_Vy.pdf</v>
      </c>
      <c r="H104" s="29" t="s">
        <v>1151</v>
      </c>
      <c r="I104" s="29" t="s">
        <v>1152</v>
      </c>
      <c r="J104" s="29" t="s">
        <v>636</v>
      </c>
      <c r="K104" s="29"/>
      <c r="L104" s="29" t="s">
        <v>103</v>
      </c>
      <c r="M104" s="29" t="s">
        <v>1153</v>
      </c>
      <c r="N104" s="33">
        <v>46136.0</v>
      </c>
      <c r="O104" s="31" t="s">
        <v>890</v>
      </c>
      <c r="P104" s="32" t="str">
        <f>HYPERLINK("https://api.typeform.com/responses/files/b5b106888e92ab7a05ea091336dba9f6cff14c521207973d404bae7c0943376d/Transcript___Human_Resources_Intern___Nguyen_Vu_Tuong_Vy.jfif")</f>
        <v>https://api.typeform.com/responses/files/b5b106888e92ab7a05ea091336dba9f6cff14c521207973d404bae7c0943376d/Transcript___Human_Resources_Intern___Nguyen_Vu_Tuong_Vy.jfif</v>
      </c>
      <c r="Q104" s="29" t="b">
        <v>1</v>
      </c>
      <c r="R104" s="29" t="s">
        <v>1154</v>
      </c>
      <c r="S104" s="29" t="s">
        <v>1155</v>
      </c>
      <c r="T104" s="29" t="s">
        <v>72</v>
      </c>
      <c r="U104" s="29" t="s">
        <v>72</v>
      </c>
      <c r="V104" s="29" t="s">
        <v>224</v>
      </c>
      <c r="W104" s="29"/>
      <c r="X104" s="29" t="s">
        <v>1156</v>
      </c>
      <c r="Y104" s="34">
        <v>46135.40975694444</v>
      </c>
      <c r="Z104" s="29" t="s">
        <v>1157</v>
      </c>
      <c r="AA104" s="6">
        <v>1.0</v>
      </c>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row>
    <row r="105" ht="22.5" hidden="1" customHeight="1">
      <c r="A105" s="29" t="s">
        <v>1158</v>
      </c>
      <c r="B105" s="30">
        <v>38332.0</v>
      </c>
      <c r="C105" s="29" t="s">
        <v>1159</v>
      </c>
      <c r="D105" s="31" t="s">
        <v>1160</v>
      </c>
      <c r="E105" s="29" t="s">
        <v>99</v>
      </c>
      <c r="F105" s="29" t="s">
        <v>61</v>
      </c>
      <c r="G105" s="32" t="str">
        <f>HYPERLINK("https://api.typeform.com/responses/files/20dbbc50732985f275a0db419b876ad77048b86b80f9c7a9af01fc8c79357836/CV___Game_Designer___Trần_Thị_Minh_Vi.docx")</f>
        <v>https://api.typeform.com/responses/files/20dbbc50732985f275a0db419b876ad77048b86b80f9c7a9af01fc8c79357836/CV___Game_Designer___Trần_Thị_Minh_Vi.docx</v>
      </c>
      <c r="H105" s="29" t="s">
        <v>1161</v>
      </c>
      <c r="I105" s="29" t="s">
        <v>1162</v>
      </c>
      <c r="J105" s="29" t="s">
        <v>777</v>
      </c>
      <c r="K105" s="29"/>
      <c r="L105" s="29" t="s">
        <v>103</v>
      </c>
      <c r="M105" s="29" t="s">
        <v>1163</v>
      </c>
      <c r="N105" s="33">
        <v>46125.0</v>
      </c>
      <c r="O105" s="31" t="s">
        <v>1164</v>
      </c>
      <c r="P105" s="32" t="str">
        <f>HYPERLINK("https://api.typeform.com/responses/files/3e93766e103d8b3b8c6e021a6dfba8ef7efbdc4a0a482b483693a3b715ff5b70/Transcript___Game_Designer___Trần_Thị_Minh_Vi.pdf")</f>
        <v>https://api.typeform.com/responses/files/3e93766e103d8b3b8c6e021a6dfba8ef7efbdc4a0a482b483693a3b715ff5b70/Transcript___Game_Designer___Trần_Thị_Minh_Vi.pdf</v>
      </c>
      <c r="Q105" s="29" t="b">
        <v>1</v>
      </c>
      <c r="R105" s="29" t="s">
        <v>1165</v>
      </c>
      <c r="S105" s="29" t="s">
        <v>1166</v>
      </c>
      <c r="T105" s="29" t="s">
        <v>72</v>
      </c>
      <c r="U105" s="29" t="s">
        <v>72</v>
      </c>
      <c r="V105" s="29" t="s">
        <v>236</v>
      </c>
      <c r="W105" s="29"/>
      <c r="X105" s="29"/>
      <c r="Y105" s="34">
        <v>46135.416817129626</v>
      </c>
      <c r="Z105" s="29" t="s">
        <v>1167</v>
      </c>
      <c r="AA105" s="6">
        <v>1.0</v>
      </c>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row>
    <row r="106" ht="22.5" hidden="1" customHeight="1">
      <c r="A106" s="29" t="s">
        <v>1168</v>
      </c>
      <c r="B106" s="30">
        <v>38623.0</v>
      </c>
      <c r="C106" s="29" t="s">
        <v>1169</v>
      </c>
      <c r="D106" s="31" t="s">
        <v>1170</v>
      </c>
      <c r="E106" s="29" t="s">
        <v>62</v>
      </c>
      <c r="F106" s="29" t="s">
        <v>82</v>
      </c>
      <c r="G106" s="32" t="str">
        <f>HYPERLINK("https://api.typeform.com/responses/files/d7ef40376f3826cc31e6ec7cc59d299e8af13fe3a65ec5f6226cb2229d5fa39f/NhanNguyenPhuc_CS.pdf")</f>
        <v>https://api.typeform.com/responses/files/d7ef40376f3826cc31e6ec7cc59d299e8af13fe3a65ec5f6226cb2229d5fa39f/NhanNguyenPhuc_CS.pdf</v>
      </c>
      <c r="H106" s="29" t="s">
        <v>1171</v>
      </c>
      <c r="I106" s="29" t="s">
        <v>1172</v>
      </c>
      <c r="J106" s="29" t="s">
        <v>715</v>
      </c>
      <c r="K106" s="29"/>
      <c r="L106" s="29" t="s">
        <v>219</v>
      </c>
      <c r="M106" s="29" t="s">
        <v>612</v>
      </c>
      <c r="N106" s="33">
        <v>46461.0</v>
      </c>
      <c r="O106" s="31" t="s">
        <v>1173</v>
      </c>
      <c r="P106" s="32" t="str">
        <f>HYPERLINK("https://api.typeform.com/responses/files/e0aeb0d7481c48e06cbd8560e3541a1c6275c68d0440c3650669448a39b43d7f/NhanNguyenPhuc_Transcript.pdf")</f>
        <v>https://api.typeform.com/responses/files/e0aeb0d7481c48e06cbd8560e3541a1c6275c68d0440c3650669448a39b43d7f/NhanNguyenPhuc_Transcript.pdf</v>
      </c>
      <c r="Q106" s="29" t="b">
        <v>1</v>
      </c>
      <c r="R106" s="29" t="s">
        <v>1174</v>
      </c>
      <c r="S106" s="29" t="s">
        <v>1175</v>
      </c>
      <c r="T106" s="29" t="s">
        <v>72</v>
      </c>
      <c r="U106" s="29" t="s">
        <v>72</v>
      </c>
      <c r="V106" s="29" t="s">
        <v>73</v>
      </c>
      <c r="W106" s="29"/>
      <c r="X106" s="29" t="s">
        <v>1176</v>
      </c>
      <c r="Y106" s="34">
        <v>46135.420011574075</v>
      </c>
      <c r="Z106" s="29" t="s">
        <v>1177</v>
      </c>
      <c r="AA106" s="6">
        <v>1.0</v>
      </c>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row>
    <row r="107" ht="22.5" hidden="1" customHeight="1">
      <c r="A107" s="29" t="s">
        <v>1178</v>
      </c>
      <c r="B107" s="30">
        <v>38455.0</v>
      </c>
      <c r="C107" s="29" t="s">
        <v>1179</v>
      </c>
      <c r="D107" s="31" t="s">
        <v>1180</v>
      </c>
      <c r="E107" s="29" t="s">
        <v>61</v>
      </c>
      <c r="F107" s="29" t="s">
        <v>127</v>
      </c>
      <c r="G107" s="32" t="str">
        <f>HYPERLINK("https://api.typeform.com/responses/files/4d2b2b03c284c150b8f5da63e2ca951c723a4bd843368806105c03f36b704011/CV___Unity_Development_Intern___Mai_Xuân_Hưng.pdf")</f>
        <v>https://api.typeform.com/responses/files/4d2b2b03c284c150b8f5da63e2ca951c723a4bd843368806105c03f36b704011/CV___Unity_Development_Intern___Mai_Xuân_Hưng.pdf</v>
      </c>
      <c r="H107" s="29" t="s">
        <v>1181</v>
      </c>
      <c r="I107" s="29" t="s">
        <v>1182</v>
      </c>
      <c r="J107" s="29" t="s">
        <v>326</v>
      </c>
      <c r="K107" s="29"/>
      <c r="L107" s="29" t="s">
        <v>219</v>
      </c>
      <c r="M107" s="29" t="s">
        <v>1183</v>
      </c>
      <c r="N107" s="33">
        <v>46600.0</v>
      </c>
      <c r="O107" s="31" t="s">
        <v>1184</v>
      </c>
      <c r="P107" s="32" t="str">
        <f>HYPERLINK("https://api.typeform.com/responses/files/47d292cd67ef44255db66d905e40a4d204b201bb0686a4c5363ac1d48b9f46aa/Transcript___Unity_Development_Intern___Mai_Xuân_Hưng.pdf")</f>
        <v>https://api.typeform.com/responses/files/47d292cd67ef44255db66d905e40a4d204b201bb0686a4c5363ac1d48b9f46aa/Transcript___Unity_Development_Intern___Mai_Xuân_Hưng.pdf</v>
      </c>
      <c r="Q107" s="29" t="b">
        <v>1</v>
      </c>
      <c r="R107" s="29" t="s">
        <v>1185</v>
      </c>
      <c r="S107" s="29" t="s">
        <v>1186</v>
      </c>
      <c r="T107" s="29" t="s">
        <v>72</v>
      </c>
      <c r="U107" s="29" t="s">
        <v>72</v>
      </c>
      <c r="V107" s="29" t="s">
        <v>269</v>
      </c>
      <c r="W107" s="29"/>
      <c r="X107" s="29"/>
      <c r="Y107" s="34">
        <v>46135.42386574074</v>
      </c>
      <c r="Z107" s="29" t="s">
        <v>1187</v>
      </c>
      <c r="AA107" s="6">
        <v>1.0</v>
      </c>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row>
    <row r="108" ht="22.5" hidden="1" customHeight="1">
      <c r="A108" s="29" t="s">
        <v>1188</v>
      </c>
      <c r="B108" s="30">
        <v>38306.0</v>
      </c>
      <c r="C108" s="29" t="s">
        <v>1189</v>
      </c>
      <c r="D108" s="31" t="s">
        <v>1190</v>
      </c>
      <c r="E108" s="29" t="s">
        <v>61</v>
      </c>
      <c r="F108" s="29" t="s">
        <v>61</v>
      </c>
      <c r="G108" s="32" t="str">
        <f>HYPERLINK("https://api.typeform.com/responses/files/7a41119c7f4c86f3b5ec7e32dee7b7e0663cac3cad0c740ddbb2cafd069903ef/CV_Unity_Developer_Intern_Duong_Khanh_Nguyen.pdf")</f>
        <v>https://api.typeform.com/responses/files/7a41119c7f4c86f3b5ec7e32dee7b7e0663cac3cad0c740ddbb2cafd069903ef/CV_Unity_Developer_Intern_Duong_Khanh_Nguyen.pdf</v>
      </c>
      <c r="H108" s="29" t="s">
        <v>1191</v>
      </c>
      <c r="I108" s="29" t="s">
        <v>1192</v>
      </c>
      <c r="J108" s="29" t="s">
        <v>372</v>
      </c>
      <c r="K108" s="29"/>
      <c r="L108" s="29" t="s">
        <v>67</v>
      </c>
      <c r="M108" s="29" t="s">
        <v>1183</v>
      </c>
      <c r="N108" s="33">
        <v>46235.0</v>
      </c>
      <c r="O108" s="31" t="s">
        <v>1122</v>
      </c>
      <c r="P108" s="32" t="str">
        <f>HYPERLINK("https://api.typeform.com/responses/files/171f51003ca98f221610d69e5129407cb375635c01a0e289abdb91bde32fa7ab/Transcript___Unity_Developer_Intern___Duong_Khanh_Nguyen.png")</f>
        <v>https://api.typeform.com/responses/files/171f51003ca98f221610d69e5129407cb375635c01a0e289abdb91bde32fa7ab/Transcript___Unity_Developer_Intern___Duong_Khanh_Nguyen.png</v>
      </c>
      <c r="Q108" s="29" t="b">
        <v>1</v>
      </c>
      <c r="R108" s="29" t="s">
        <v>1193</v>
      </c>
      <c r="S108" s="29" t="s">
        <v>1194</v>
      </c>
      <c r="T108" s="29" t="s">
        <v>72</v>
      </c>
      <c r="U108" s="29" t="s">
        <v>72</v>
      </c>
      <c r="V108" s="29" t="s">
        <v>73</v>
      </c>
      <c r="W108" s="29"/>
      <c r="X108" s="29" t="s">
        <v>1195</v>
      </c>
      <c r="Y108" s="34">
        <v>46135.42532407407</v>
      </c>
      <c r="Z108" s="29" t="s">
        <v>1196</v>
      </c>
      <c r="AA108" s="6">
        <v>1.0</v>
      </c>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row>
    <row r="109" ht="22.5" hidden="1" customHeight="1">
      <c r="A109" s="29" t="s">
        <v>1197</v>
      </c>
      <c r="B109" s="30">
        <v>38369.0</v>
      </c>
      <c r="C109" s="29" t="s">
        <v>1198</v>
      </c>
      <c r="D109" s="31" t="s">
        <v>1199</v>
      </c>
      <c r="E109" s="29" t="s">
        <v>62</v>
      </c>
      <c r="F109" s="29" t="s">
        <v>99</v>
      </c>
      <c r="G109" s="32" t="str">
        <f>HYPERLINK("https://api.typeform.com/responses/files/bd8837fc08d2de6a717f6ea596ee2c18c009fe995ade8cdffee7846b2ef92f5a/CV___AI_Engineering_Intern___Lê_Quốc_Anh.pdf")</f>
        <v>https://api.typeform.com/responses/files/bd8837fc08d2de6a717f6ea596ee2c18c009fe995ade8cdffee7846b2ef92f5a/CV___AI_Engineering_Intern___Lê_Quốc_Anh.pdf</v>
      </c>
      <c r="H109" s="29" t="s">
        <v>1200</v>
      </c>
      <c r="I109" s="29" t="s">
        <v>1201</v>
      </c>
      <c r="J109" s="29" t="s">
        <v>326</v>
      </c>
      <c r="K109" s="29"/>
      <c r="L109" s="29" t="s">
        <v>219</v>
      </c>
      <c r="M109" s="29" t="s">
        <v>930</v>
      </c>
      <c r="N109" s="33">
        <v>46599.0</v>
      </c>
      <c r="O109" s="29" t="s">
        <v>1202</v>
      </c>
      <c r="P109" s="32" t="str">
        <f>HYPERLINK("https://api.typeform.com/responses/files/4ed4c03c22e38db4bfdf607843257ae9c74b89baa25c800f303868f53c3361eb/Transcript___AI_Engineering_Intern___Lê_Quốc_Anh.pdf")</f>
        <v>https://api.typeform.com/responses/files/4ed4c03c22e38db4bfdf607843257ae9c74b89baa25c800f303868f53c3361eb/Transcript___AI_Engineering_Intern___Lê_Quốc_Anh.pdf</v>
      </c>
      <c r="Q109" s="29" t="b">
        <v>1</v>
      </c>
      <c r="R109" s="29" t="s">
        <v>1203</v>
      </c>
      <c r="S109" s="29" t="s">
        <v>1204</v>
      </c>
      <c r="T109" s="29" t="s">
        <v>72</v>
      </c>
      <c r="U109" s="29" t="s">
        <v>72</v>
      </c>
      <c r="V109" s="29" t="s">
        <v>269</v>
      </c>
      <c r="W109" s="29"/>
      <c r="X109" s="29" t="s">
        <v>1205</v>
      </c>
      <c r="Y109" s="34">
        <v>46135.42930555555</v>
      </c>
      <c r="Z109" s="29" t="s">
        <v>1206</v>
      </c>
      <c r="AA109" s="6">
        <v>1.0</v>
      </c>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row>
    <row r="110" ht="22.5" hidden="1" customHeight="1">
      <c r="A110" s="29" t="s">
        <v>1207</v>
      </c>
      <c r="B110" s="30">
        <v>38650.0</v>
      </c>
      <c r="C110" s="29" t="s">
        <v>1208</v>
      </c>
      <c r="D110" s="31" t="s">
        <v>1209</v>
      </c>
      <c r="E110" s="29" t="s">
        <v>62</v>
      </c>
      <c r="F110" s="29" t="s">
        <v>82</v>
      </c>
      <c r="G110" s="32" t="str">
        <f>HYPERLINK("https://api.typeform.com/responses/files/74f482e6b44b10e47dd02d72cf2ee37ccd2f0c8fb5eeb0c410bef9c91f4107e5/NGUYENMINHTRI.pdf")</f>
        <v>https://api.typeform.com/responses/files/74f482e6b44b10e47dd02d72cf2ee37ccd2f0c8fb5eeb0c410bef9c91f4107e5/NGUYENMINHTRI.pdf</v>
      </c>
      <c r="H110" s="29" t="s">
        <v>1210</v>
      </c>
      <c r="I110" s="29" t="s">
        <v>1211</v>
      </c>
      <c r="J110" s="29" t="s">
        <v>85</v>
      </c>
      <c r="K110" s="29"/>
      <c r="L110" s="29" t="s">
        <v>219</v>
      </c>
      <c r="M110" s="29" t="s">
        <v>220</v>
      </c>
      <c r="N110" s="33">
        <v>46388.0</v>
      </c>
      <c r="O110" s="31" t="s">
        <v>1212</v>
      </c>
      <c r="P110" s="32" t="str">
        <f>HYPERLINK("https://api.typeform.com/responses/files/419b31d98ea0765c6bb256fbbb518f38b69e7d8229d9e7e6bde6bb5a7bddc367/Transcript___AI_Engineer_Intern___Nguyễn_Minh_Trí.pdf")</f>
        <v>https://api.typeform.com/responses/files/419b31d98ea0765c6bb256fbbb518f38b69e7d8229d9e7e6bde6bb5a7bddc367/Transcript___AI_Engineer_Intern___Nguyễn_Minh_Trí.pdf</v>
      </c>
      <c r="Q110" s="29" t="b">
        <v>0</v>
      </c>
      <c r="R110" s="29" t="s">
        <v>222</v>
      </c>
      <c r="S110" s="29" t="s">
        <v>1213</v>
      </c>
      <c r="T110" s="29" t="s">
        <v>72</v>
      </c>
      <c r="U110" s="29" t="s">
        <v>72</v>
      </c>
      <c r="V110" s="29" t="s">
        <v>269</v>
      </c>
      <c r="W110" s="29"/>
      <c r="X110" s="29"/>
      <c r="Y110" s="34">
        <v>46135.43216435185</v>
      </c>
      <c r="Z110" s="29" t="s">
        <v>1214</v>
      </c>
      <c r="AA110" s="6">
        <v>1.0</v>
      </c>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row>
    <row r="111" ht="22.5" hidden="1" customHeight="1">
      <c r="A111" s="29" t="s">
        <v>1215</v>
      </c>
      <c r="B111" s="30">
        <v>38478.0</v>
      </c>
      <c r="C111" s="29" t="s">
        <v>1216</v>
      </c>
      <c r="D111" s="31" t="s">
        <v>1217</v>
      </c>
      <c r="E111" s="29" t="s">
        <v>61</v>
      </c>
      <c r="F111" s="29" t="s">
        <v>99</v>
      </c>
      <c r="G111" s="32" t="str">
        <f>HYPERLINK("https://api.typeform.com/responses/files/fdeea48f0463bc538f70c9fedc14231d27cbe66daadf47ddfebf47b4011ac4cd/CV___Unity_Developer___Trần_Khôn_Chí.pdf")</f>
        <v>https://api.typeform.com/responses/files/fdeea48f0463bc538f70c9fedc14231d27cbe66daadf47ddfebf47b4011ac4cd/CV___Unity_Developer___Trần_Khôn_Chí.pdf</v>
      </c>
      <c r="H111" s="29" t="s">
        <v>1218</v>
      </c>
      <c r="I111" s="29" t="s">
        <v>1219</v>
      </c>
      <c r="J111" s="29" t="s">
        <v>326</v>
      </c>
      <c r="K111" s="29"/>
      <c r="L111" s="29" t="s">
        <v>219</v>
      </c>
      <c r="M111" s="29" t="s">
        <v>104</v>
      </c>
      <c r="N111" s="33">
        <v>46629.0</v>
      </c>
      <c r="O111" s="31" t="s">
        <v>1220</v>
      </c>
      <c r="P111" s="32" t="str">
        <f>HYPERLINK("https://api.typeform.com/responses/files/104146cfb9d015572da096b40f36448996ab731e27af56d82f0d3977b8fe15d7/Transcript___Unity_Developer___Trần_Khôn_Chí.pdf")</f>
        <v>https://api.typeform.com/responses/files/104146cfb9d015572da096b40f36448996ab731e27af56d82f0d3977b8fe15d7/Transcript___Unity_Developer___Trần_Khôn_Chí.pdf</v>
      </c>
      <c r="Q111" s="29" t="b">
        <v>1</v>
      </c>
      <c r="R111" s="29" t="s">
        <v>1221</v>
      </c>
      <c r="S111" s="29" t="s">
        <v>1222</v>
      </c>
      <c r="T111" s="29" t="s">
        <v>72</v>
      </c>
      <c r="U111" s="29" t="s">
        <v>72</v>
      </c>
      <c r="V111" s="29" t="s">
        <v>269</v>
      </c>
      <c r="W111" s="29"/>
      <c r="X111" s="29" t="s">
        <v>1223</v>
      </c>
      <c r="Y111" s="34">
        <v>46135.43310185185</v>
      </c>
      <c r="Z111" s="29" t="s">
        <v>1224</v>
      </c>
      <c r="AA111" s="6">
        <v>1.0</v>
      </c>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row>
    <row r="112" ht="22.5" hidden="1" customHeight="1">
      <c r="A112" s="29" t="s">
        <v>1225</v>
      </c>
      <c r="B112" s="30">
        <v>38642.0</v>
      </c>
      <c r="C112" s="29" t="s">
        <v>1226</v>
      </c>
      <c r="D112" s="31" t="s">
        <v>1227</v>
      </c>
      <c r="E112" s="29" t="s">
        <v>62</v>
      </c>
      <c r="F112" s="29" t="s">
        <v>82</v>
      </c>
      <c r="G112" s="32" t="str">
        <f>HYPERLINK("https://api.typeform.com/responses/files/201cfda18c6a2ac7481ac727cbfbf9acea0695e9e49e491c71b7787bfa4b484d/CV___AI_Engineer_Intern___HaTuanAnh.pdf")</f>
        <v>https://api.typeform.com/responses/files/201cfda18c6a2ac7481ac727cbfbf9acea0695e9e49e491c71b7787bfa4b484d/CV___AI_Engineer_Intern___HaTuanAnh.pdf</v>
      </c>
      <c r="H112" s="29" t="s">
        <v>1228</v>
      </c>
      <c r="I112" s="29" t="s">
        <v>1229</v>
      </c>
      <c r="J112" s="29" t="s">
        <v>85</v>
      </c>
      <c r="K112" s="29"/>
      <c r="L112" s="29" t="s">
        <v>219</v>
      </c>
      <c r="M112" s="29" t="s">
        <v>941</v>
      </c>
      <c r="N112" s="33">
        <v>46388.0</v>
      </c>
      <c r="O112" s="31" t="s">
        <v>1230</v>
      </c>
      <c r="P112" s="32" t="str">
        <f>HYPERLINK("https://api.typeform.com/responses/files/b2d00d4cc3dae58521f49d91d21e70d0c73d1be3c4354fa4f5eb26253e1b3249/Transcript___AI_Engineer_Intern___Hà_Tuấn_Anh.pdf")</f>
        <v>https://api.typeform.com/responses/files/b2d00d4cc3dae58521f49d91d21e70d0c73d1be3c4354fa4f5eb26253e1b3249/Transcript___AI_Engineer_Intern___Hà_Tuấn_Anh.pdf</v>
      </c>
      <c r="Q112" s="29" t="b">
        <v>1</v>
      </c>
      <c r="R112" s="29" t="s">
        <v>1231</v>
      </c>
      <c r="S112" s="29" t="s">
        <v>1232</v>
      </c>
      <c r="T112" s="29" t="s">
        <v>72</v>
      </c>
      <c r="U112" s="29" t="s">
        <v>72</v>
      </c>
      <c r="V112" s="29" t="s">
        <v>269</v>
      </c>
      <c r="W112" s="29"/>
      <c r="X112" s="29" t="s">
        <v>1233</v>
      </c>
      <c r="Y112" s="34">
        <v>46135.45673611111</v>
      </c>
      <c r="Z112" s="29" t="s">
        <v>1234</v>
      </c>
      <c r="AA112" s="6">
        <v>1.0</v>
      </c>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row>
    <row r="113" ht="22.5" hidden="1" customHeight="1">
      <c r="A113" s="29" t="s">
        <v>1235</v>
      </c>
      <c r="B113" s="30">
        <v>38354.0</v>
      </c>
      <c r="C113" s="29" t="s">
        <v>1236</v>
      </c>
      <c r="D113" s="31" t="s">
        <v>1237</v>
      </c>
      <c r="E113" s="29" t="s">
        <v>82</v>
      </c>
      <c r="F113" s="29" t="s">
        <v>62</v>
      </c>
      <c r="G113" s="32" t="str">
        <f>HYPERLINK("https://api.typeform.com/responses/files/b51f4ec9358635c435a9a5c5a2eeaa734b32ffb79377d970d22809f098c7deda/CV_Data_Analysis_Intern__Nguyen_Tran_Phuc_Dat.pdf")</f>
        <v>https://api.typeform.com/responses/files/b51f4ec9358635c435a9a5c5a2eeaa734b32ffb79377d970d22809f098c7deda/CV_Data_Analysis_Intern__Nguyen_Tran_Phuc_Dat.pdf</v>
      </c>
      <c r="H113" s="29" t="s">
        <v>1238</v>
      </c>
      <c r="I113" s="29" t="s">
        <v>1239</v>
      </c>
      <c r="J113" s="29" t="s">
        <v>338</v>
      </c>
      <c r="K113" s="29"/>
      <c r="L113" s="29" t="s">
        <v>219</v>
      </c>
      <c r="M113" s="29" t="s">
        <v>1240</v>
      </c>
      <c r="N113" s="33">
        <v>46635.0</v>
      </c>
      <c r="O113" s="31" t="s">
        <v>1241</v>
      </c>
      <c r="P113" s="32" t="str">
        <f>HYPERLINK("https://api.typeform.com/responses/files/b206e0a89747338c2a5b729ffc40a9da8889e0ccf3ebaf6fa079c84017dc7463/Transcript___Data_Analysis_Intern___Nguyen_Tran_Phuc_Dat.pdf")</f>
        <v>https://api.typeform.com/responses/files/b206e0a89747338c2a5b729ffc40a9da8889e0ccf3ebaf6fa079c84017dc7463/Transcript___Data_Analysis_Intern___Nguyen_Tran_Phuc_Dat.pdf</v>
      </c>
      <c r="Q113" s="29" t="b">
        <v>0</v>
      </c>
      <c r="R113" s="29" t="s">
        <v>1242</v>
      </c>
      <c r="S113" s="29" t="s">
        <v>1243</v>
      </c>
      <c r="T113" s="29" t="s">
        <v>72</v>
      </c>
      <c r="U113" s="29" t="s">
        <v>72</v>
      </c>
      <c r="V113" s="29" t="s">
        <v>1244</v>
      </c>
      <c r="W113" s="29"/>
      <c r="X113" s="29" t="s">
        <v>1245</v>
      </c>
      <c r="Y113" s="34">
        <v>46135.46297453704</v>
      </c>
      <c r="Z113" s="29" t="s">
        <v>1246</v>
      </c>
      <c r="AA113" s="6">
        <v>1.0</v>
      </c>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row>
    <row r="114" ht="22.5" hidden="1" customHeight="1">
      <c r="A114" s="29" t="s">
        <v>1247</v>
      </c>
      <c r="B114" s="30">
        <v>38031.0</v>
      </c>
      <c r="C114" s="29" t="s">
        <v>1248</v>
      </c>
      <c r="D114" s="31" t="s">
        <v>1249</v>
      </c>
      <c r="E114" s="29" t="s">
        <v>127</v>
      </c>
      <c r="F114" s="29" t="s">
        <v>62</v>
      </c>
      <c r="G114" s="32" t="str">
        <f>HYPERLINK("https://api.typeform.com/responses/files/04d0e28c7c2ddf19174613b7075285e7f063efbc803d6a72cf480c06efb7c35b/CV_Dương_Văn_Thắng.pdf")</f>
        <v>https://api.typeform.com/responses/files/04d0e28c7c2ddf19174613b7075285e7f063efbc803d6a72cf480c06efb7c35b/CV_Dương_Văn_Thắng.pdf</v>
      </c>
      <c r="H114" s="29" t="s">
        <v>1250</v>
      </c>
      <c r="I114" s="29" t="s">
        <v>1251</v>
      </c>
      <c r="J114" s="29" t="s">
        <v>85</v>
      </c>
      <c r="K114" s="29"/>
      <c r="L114" s="29" t="s">
        <v>67</v>
      </c>
      <c r="M114" s="29" t="s">
        <v>560</v>
      </c>
      <c r="N114" s="33">
        <v>46296.0</v>
      </c>
      <c r="O114" s="31" t="s">
        <v>613</v>
      </c>
      <c r="P114" s="32" t="str">
        <f>HYPERLINK("https://api.typeform.com/responses/files/f3eda4832cd42aefcc15cd2104adaefb78f96fefe1570de2a1173bcf0a7f15c6/Bảng_điểm_Dương_Văn_Thắng.pdf")</f>
        <v>https://api.typeform.com/responses/files/f3eda4832cd42aefcc15cd2104adaefb78f96fefe1570de2a1173bcf0a7f15c6/Bảng_điểm_Dương_Văn_Thắng.pdf</v>
      </c>
      <c r="Q114" s="29" t="b">
        <v>1</v>
      </c>
      <c r="R114" s="29" t="s">
        <v>1252</v>
      </c>
      <c r="S114" s="29" t="s">
        <v>1253</v>
      </c>
      <c r="T114" s="29" t="s">
        <v>72</v>
      </c>
      <c r="U114" s="29" t="s">
        <v>72</v>
      </c>
      <c r="V114" s="29" t="s">
        <v>269</v>
      </c>
      <c r="W114" s="29"/>
      <c r="X114" s="29"/>
      <c r="Y114" s="34">
        <v>46135.49188657408</v>
      </c>
      <c r="Z114" s="29" t="s">
        <v>1254</v>
      </c>
      <c r="AA114" s="6">
        <v>1.0</v>
      </c>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row>
    <row r="115" ht="22.5" hidden="1" customHeight="1">
      <c r="A115" s="29" t="s">
        <v>1255</v>
      </c>
      <c r="B115" s="30">
        <v>38374.0</v>
      </c>
      <c r="C115" s="29" t="s">
        <v>1256</v>
      </c>
      <c r="D115" s="31" t="s">
        <v>1257</v>
      </c>
      <c r="E115" s="29" t="s">
        <v>62</v>
      </c>
      <c r="F115" s="29" t="s">
        <v>82</v>
      </c>
      <c r="G115" s="32" t="str">
        <f>HYPERLINK("https://api.typeform.com/responses/files/413b29ffd4b9d0b3f21a6386888fe160c827d20a97f85cbf3415e5f68a9724ad/CV___AI_Engineering_Intern___Võ_Nguyễn_Thảo_Uyên.pdf")</f>
        <v>https://api.typeform.com/responses/files/413b29ffd4b9d0b3f21a6386888fe160c827d20a97f85cbf3415e5f68a9724ad/CV___AI_Engineering_Intern___Võ_Nguyễn_Thảo_Uyên.pdf</v>
      </c>
      <c r="H115" s="29" t="s">
        <v>1258</v>
      </c>
      <c r="I115" s="29" t="s">
        <v>1259</v>
      </c>
      <c r="J115" s="29" t="s">
        <v>326</v>
      </c>
      <c r="K115" s="29"/>
      <c r="L115" s="29" t="s">
        <v>219</v>
      </c>
      <c r="M115" s="29" t="s">
        <v>132</v>
      </c>
      <c r="N115" s="33">
        <v>46591.0</v>
      </c>
      <c r="O115" s="31" t="s">
        <v>1260</v>
      </c>
      <c r="P115" s="32" t="str">
        <f>HYPERLINK("https://api.typeform.com/responses/files/0edb1749d9364d57be5803c36ce6d7561a382104c757209d6dc51f43ac3bfbf3/Transcript___AI_Engineering_Intern___Võ_Nguyễn_Thảo_Uyên.pdf")</f>
        <v>https://api.typeform.com/responses/files/0edb1749d9364d57be5803c36ce6d7561a382104c757209d6dc51f43ac3bfbf3/Transcript___AI_Engineering_Intern___Võ_Nguyễn_Thảo_Uyên.pdf</v>
      </c>
      <c r="Q115" s="29" t="b">
        <v>0</v>
      </c>
      <c r="R115" s="29" t="s">
        <v>1261</v>
      </c>
      <c r="S115" s="29" t="s">
        <v>1262</v>
      </c>
      <c r="T115" s="29" t="s">
        <v>72</v>
      </c>
      <c r="U115" s="29" t="s">
        <v>72</v>
      </c>
      <c r="V115" s="29" t="s">
        <v>269</v>
      </c>
      <c r="W115" s="29"/>
      <c r="X115" s="29" t="s">
        <v>1263</v>
      </c>
      <c r="Y115" s="34">
        <v>46135.50050925926</v>
      </c>
      <c r="Z115" s="29" t="s">
        <v>1264</v>
      </c>
      <c r="AA115" s="6">
        <v>1.0</v>
      </c>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row>
    <row r="116" ht="22.5" hidden="1" customHeight="1">
      <c r="A116" s="29" t="s">
        <v>1265</v>
      </c>
      <c r="B116" s="30">
        <v>38353.0</v>
      </c>
      <c r="C116" s="29" t="s">
        <v>1266</v>
      </c>
      <c r="D116" s="31" t="s">
        <v>1267</v>
      </c>
      <c r="E116" s="29" t="s">
        <v>62</v>
      </c>
      <c r="F116" s="29" t="s">
        <v>82</v>
      </c>
      <c r="G116" s="32" t="str">
        <f>HYPERLINK("https://api.typeform.com/responses/files/3a6acd6d4f4767f4f6e166c2c181a8ddce7024092f9202d14549ab84bd7a9bd0/CV___AI_Engineer_Intern___Nguyen_Thanh_Owen.pdf")</f>
        <v>https://api.typeform.com/responses/files/3a6acd6d4f4767f4f6e166c2c181a8ddce7024092f9202d14549ab84bd7a9bd0/CV___AI_Engineer_Intern___Nguyen_Thanh_Owen.pdf</v>
      </c>
      <c r="H116" s="29" t="s">
        <v>1268</v>
      </c>
      <c r="I116" s="29" t="s">
        <v>1269</v>
      </c>
      <c r="J116" s="29" t="s">
        <v>326</v>
      </c>
      <c r="K116" s="29"/>
      <c r="L116" s="29" t="s">
        <v>219</v>
      </c>
      <c r="M116" s="29" t="s">
        <v>86</v>
      </c>
      <c r="N116" s="33">
        <v>46388.0</v>
      </c>
      <c r="O116" s="31" t="s">
        <v>1270</v>
      </c>
      <c r="P116" s="32" t="str">
        <f>HYPERLINK("https://api.typeform.com/responses/files/6f0ca83af989a79567b3a77bf984a701bc6da54104605cc700804eda7253bd7a/bangdiem.pdf")</f>
        <v>https://api.typeform.com/responses/files/6f0ca83af989a79567b3a77bf984a701bc6da54104605cc700804eda7253bd7a/bangdiem.pdf</v>
      </c>
      <c r="Q116" s="29" t="b">
        <v>1</v>
      </c>
      <c r="R116" s="29" t="s">
        <v>1271</v>
      </c>
      <c r="S116" s="29" t="s">
        <v>1272</v>
      </c>
      <c r="T116" s="29" t="s">
        <v>72</v>
      </c>
      <c r="U116" s="29" t="s">
        <v>72</v>
      </c>
      <c r="V116" s="29" t="s">
        <v>269</v>
      </c>
      <c r="W116" s="29"/>
      <c r="X116" s="29" t="s">
        <v>1273</v>
      </c>
      <c r="Y116" s="34">
        <v>46135.50478009259</v>
      </c>
      <c r="Z116" s="29" t="s">
        <v>1274</v>
      </c>
      <c r="AA116" s="11">
        <v>1.0</v>
      </c>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row>
    <row r="117" ht="22.5" hidden="1" customHeight="1">
      <c r="A117" s="29" t="s">
        <v>1275</v>
      </c>
      <c r="B117" s="30">
        <v>38335.0</v>
      </c>
      <c r="C117" s="29" t="s">
        <v>1276</v>
      </c>
      <c r="D117" s="31" t="s">
        <v>1277</v>
      </c>
      <c r="E117" s="29" t="s">
        <v>82</v>
      </c>
      <c r="F117" s="29" t="s">
        <v>62</v>
      </c>
      <c r="G117" s="32" t="str">
        <f>HYPERLINK("https://api.typeform.com/responses/files/ab110afc40f529ec549d8fbe6678499da6f7d6c4047c9b6b7b83a6c7390b401c/CV___Data_Analysis_Intern_Thái_Hữu_Thọ.pdf")</f>
        <v>https://api.typeform.com/responses/files/ab110afc40f529ec549d8fbe6678499da6f7d6c4047c9b6b7b83a6c7390b401c/CV___Data_Analysis_Intern_Thái_Hữu_Thọ.pdf</v>
      </c>
      <c r="H117" s="29" t="s">
        <v>1278</v>
      </c>
      <c r="I117" s="29" t="s">
        <v>1279</v>
      </c>
      <c r="J117" s="29" t="s">
        <v>326</v>
      </c>
      <c r="K117" s="29"/>
      <c r="L117" s="29" t="s">
        <v>67</v>
      </c>
      <c r="M117" s="29" t="s">
        <v>132</v>
      </c>
      <c r="N117" s="33">
        <v>46318.0</v>
      </c>
      <c r="O117" s="31" t="s">
        <v>1280</v>
      </c>
      <c r="P117" s="32" t="str">
        <f>HYPERLINK("https://api.typeform.com/responses/files/561fc1159a8a6412a3f1dbc31e47cda22a0c9f165e37d26e35fededdc73bdd43/Transcript___Data_Analysis_Intern___Thái_Hữu_Thọ.png")</f>
        <v>https://api.typeform.com/responses/files/561fc1159a8a6412a3f1dbc31e47cda22a0c9f165e37d26e35fededdc73bdd43/Transcript___Data_Analysis_Intern___Thái_Hữu_Thọ.png</v>
      </c>
      <c r="Q117" s="29" t="b">
        <v>0</v>
      </c>
      <c r="R117" s="29" t="s">
        <v>1281</v>
      </c>
      <c r="S117" s="29" t="s">
        <v>1282</v>
      </c>
      <c r="T117" s="29" t="s">
        <v>72</v>
      </c>
      <c r="U117" s="29" t="s">
        <v>72</v>
      </c>
      <c r="V117" s="29" t="s">
        <v>269</v>
      </c>
      <c r="W117" s="29"/>
      <c r="X117" s="29" t="s">
        <v>1283</v>
      </c>
      <c r="Y117" s="34">
        <v>46135.50892361111</v>
      </c>
      <c r="Z117" s="29" t="s">
        <v>1284</v>
      </c>
      <c r="AA117" s="11">
        <v>1.0</v>
      </c>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row>
    <row r="118" ht="22.5" hidden="1" customHeight="1">
      <c r="A118" s="29" t="s">
        <v>1285</v>
      </c>
      <c r="B118" s="30">
        <v>38425.0</v>
      </c>
      <c r="C118" s="29" t="s">
        <v>1286</v>
      </c>
      <c r="D118" s="31" t="s">
        <v>1287</v>
      </c>
      <c r="E118" s="29" t="s">
        <v>61</v>
      </c>
      <c r="F118" s="29" t="s">
        <v>127</v>
      </c>
      <c r="G118" s="32" t="str">
        <f>HYPERLINK("https://api.typeform.com/responses/files/e2326b473e1be32b654514880e04d28215e5f53125da715bce15369512545631/CV___Unity_Development_Intern___Huỳnh_Tuấn_Phong.pdf")</f>
        <v>https://api.typeform.com/responses/files/e2326b473e1be32b654514880e04d28215e5f53125da715bce15369512545631/CV___Unity_Development_Intern___Huỳnh_Tuấn_Phong.pdf</v>
      </c>
      <c r="H118" s="29" t="s">
        <v>1288</v>
      </c>
      <c r="I118" s="29" t="s">
        <v>1289</v>
      </c>
      <c r="J118" s="29" t="s">
        <v>326</v>
      </c>
      <c r="K118" s="29"/>
      <c r="L118" s="29" t="s">
        <v>219</v>
      </c>
      <c r="M118" s="29" t="s">
        <v>1290</v>
      </c>
      <c r="N118" s="33">
        <v>46727.0</v>
      </c>
      <c r="O118" s="31" t="s">
        <v>1291</v>
      </c>
      <c r="P118" s="32" t="str">
        <f>HYPERLINK("https://api.typeform.com/responses/files/8acae817e1ae986900dd890dafccdf7d4b623aff6f992238edd5acda50e49026/Transcript____Unity_Development_Intern___Huỳnh_Tuấn_Phong.pdf")</f>
        <v>https://api.typeform.com/responses/files/8acae817e1ae986900dd890dafccdf7d4b623aff6f992238edd5acda50e49026/Transcript____Unity_Development_Intern___Huỳnh_Tuấn_Phong.pdf</v>
      </c>
      <c r="Q118" s="29" t="b">
        <v>1</v>
      </c>
      <c r="R118" s="29" t="s">
        <v>1292</v>
      </c>
      <c r="S118" s="29" t="s">
        <v>1293</v>
      </c>
      <c r="T118" s="29" t="s">
        <v>72</v>
      </c>
      <c r="U118" s="29" t="s">
        <v>72</v>
      </c>
      <c r="V118" s="29" t="s">
        <v>269</v>
      </c>
      <c r="W118" s="29"/>
      <c r="X118" s="29" t="s">
        <v>1294</v>
      </c>
      <c r="Y118" s="34">
        <v>46135.5134837963</v>
      </c>
      <c r="Z118" s="29" t="s">
        <v>1295</v>
      </c>
      <c r="AA118" s="11">
        <v>1.0</v>
      </c>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row>
    <row r="119" ht="22.5" hidden="1" customHeight="1">
      <c r="A119" s="29" t="s">
        <v>1296</v>
      </c>
      <c r="B119" s="30">
        <v>38468.0</v>
      </c>
      <c r="C119" s="29" t="s">
        <v>1297</v>
      </c>
      <c r="D119" s="31" t="s">
        <v>1298</v>
      </c>
      <c r="E119" s="29" t="s">
        <v>82</v>
      </c>
      <c r="F119" s="29" t="s">
        <v>62</v>
      </c>
      <c r="G119" s="32" t="str">
        <f>HYPERLINK("https://api.typeform.com/responses/files/661863035197d304d4272fe0afb8f8157ebef657234b0163d91d7dc79ff0bbc5/CV___Data_Analysis_Intern___Trầm_Hữu_Nhân.pdf")</f>
        <v>https://api.typeform.com/responses/files/661863035197d304d4272fe0afb8f8157ebef657234b0163d91d7dc79ff0bbc5/CV___Data_Analysis_Intern___Trầm_Hữu_Nhân.pdf</v>
      </c>
      <c r="H119" s="29" t="s">
        <v>1299</v>
      </c>
      <c r="I119" s="29" t="s">
        <v>1300</v>
      </c>
      <c r="J119" s="29" t="s">
        <v>326</v>
      </c>
      <c r="K119" s="29"/>
      <c r="L119" s="29" t="s">
        <v>219</v>
      </c>
      <c r="M119" s="29" t="s">
        <v>86</v>
      </c>
      <c r="N119" s="33">
        <v>46569.0</v>
      </c>
      <c r="O119" s="31" t="s">
        <v>1301</v>
      </c>
      <c r="P119" s="32" t="str">
        <f>HYPERLINK("https://api.typeform.com/responses/files/a1b4328c0d4ac7939b300fcfa947c95ad2c62df6d5992cf44a5c9067b4343010/Transcript___Data_Analysis_Intern___Trầm_Hữu_Nhân.pdf")</f>
        <v>https://api.typeform.com/responses/files/a1b4328c0d4ac7939b300fcfa947c95ad2c62df6d5992cf44a5c9067b4343010/Transcript___Data_Analysis_Intern___Trầm_Hữu_Nhân.pdf</v>
      </c>
      <c r="Q119" s="29" t="b">
        <v>1</v>
      </c>
      <c r="R119" s="29" t="s">
        <v>1302</v>
      </c>
      <c r="S119" s="29" t="s">
        <v>1303</v>
      </c>
      <c r="T119" s="29" t="s">
        <v>72</v>
      </c>
      <c r="U119" s="29" t="s">
        <v>72</v>
      </c>
      <c r="V119" s="29" t="s">
        <v>1061</v>
      </c>
      <c r="W119" s="29"/>
      <c r="X119" s="29" t="s">
        <v>1304</v>
      </c>
      <c r="Y119" s="34">
        <v>46135.519270833334</v>
      </c>
      <c r="Z119" s="29" t="s">
        <v>1305</v>
      </c>
      <c r="AA119" s="11">
        <v>1.0</v>
      </c>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row>
    <row r="120" ht="22.5" hidden="1" customHeight="1">
      <c r="A120" s="29" t="s">
        <v>1306</v>
      </c>
      <c r="B120" s="30">
        <v>38507.0</v>
      </c>
      <c r="C120" s="29" t="s">
        <v>1307</v>
      </c>
      <c r="D120" s="31" t="s">
        <v>1308</v>
      </c>
      <c r="E120" s="29" t="s">
        <v>774</v>
      </c>
      <c r="F120" s="29" t="s">
        <v>774</v>
      </c>
      <c r="G120" s="32" t="str">
        <f>HYPERLINK("https://api.typeform.com/responses/files/6c11db3b4c640e216e7515f62cd183e2617c8aed44ace68039439e835c1b4617/Game_User_Acquisition_Intern___Đỗ_Nhật_Hạ___CV.pdf")</f>
        <v>https://api.typeform.com/responses/files/6c11db3b4c640e216e7515f62cd183e2617c8aed44ace68039439e835c1b4617/Game_User_Acquisition_Intern___Đỗ_Nhật_Hạ___CV.pdf</v>
      </c>
      <c r="H120" s="29" t="s">
        <v>1309</v>
      </c>
      <c r="I120" s="29" t="s">
        <v>1310</v>
      </c>
      <c r="J120" s="29" t="s">
        <v>1311</v>
      </c>
      <c r="K120" s="29"/>
      <c r="L120" s="29" t="s">
        <v>219</v>
      </c>
      <c r="M120" s="29" t="s">
        <v>1312</v>
      </c>
      <c r="N120" s="33">
        <v>46478.0</v>
      </c>
      <c r="O120" s="31" t="s">
        <v>663</v>
      </c>
      <c r="P120" s="32" t="str">
        <f>HYPERLINK("https://api.typeform.com/responses/files/c52c7584d7f69ffe90f9194148ce56e6774e22f2cd54dc0dabd042de6235f159/Transcript___Game_User_Acquisition_Intern___Đỗ_Nhật_Hạ.pdf")</f>
        <v>https://api.typeform.com/responses/files/c52c7584d7f69ffe90f9194148ce56e6774e22f2cd54dc0dabd042de6235f159/Transcript___Game_User_Acquisition_Intern___Đỗ_Nhật_Hạ.pdf</v>
      </c>
      <c r="Q120" s="29" t="b">
        <v>0</v>
      </c>
      <c r="R120" s="29" t="s">
        <v>300</v>
      </c>
      <c r="S120" s="29" t="s">
        <v>1313</v>
      </c>
      <c r="T120" s="29" t="s">
        <v>72</v>
      </c>
      <c r="U120" s="29" t="s">
        <v>72</v>
      </c>
      <c r="V120" s="29" t="s">
        <v>73</v>
      </c>
      <c r="W120" s="29"/>
      <c r="X120" s="29" t="s">
        <v>1314</v>
      </c>
      <c r="Y120" s="34">
        <v>46135.51986111111</v>
      </c>
      <c r="Z120" s="29" t="s">
        <v>1315</v>
      </c>
      <c r="AA120" s="11">
        <v>1.0</v>
      </c>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row>
    <row r="121" ht="22.5" hidden="1" customHeight="1">
      <c r="A121" s="29" t="s">
        <v>1316</v>
      </c>
      <c r="B121" s="30">
        <v>38000.0</v>
      </c>
      <c r="C121" s="29" t="s">
        <v>1317</v>
      </c>
      <c r="D121" s="31" t="s">
        <v>1318</v>
      </c>
      <c r="E121" s="29" t="s">
        <v>774</v>
      </c>
      <c r="F121" s="29" t="s">
        <v>82</v>
      </c>
      <c r="G121" s="32" t="str">
        <f>HYPERLINK("https://api.typeform.com/responses/files/a2a2073eec66d25db15213a06aa0cfe20345eb74097f75dcef66c8764966038c/CV___Game_User_Acquisition_Intern___Trương_Việt_Hoàng.pdf")</f>
        <v>https://api.typeform.com/responses/files/a2a2073eec66d25db15213a06aa0cfe20345eb74097f75dcef66c8764966038c/CV___Game_User_Acquisition_Intern___Trương_Việt_Hoàng.pdf</v>
      </c>
      <c r="H121" s="29" t="s">
        <v>1319</v>
      </c>
      <c r="I121" s="29" t="s">
        <v>1320</v>
      </c>
      <c r="J121" s="29" t="s">
        <v>842</v>
      </c>
      <c r="L121" s="29" t="s">
        <v>103</v>
      </c>
      <c r="M121" s="29" t="s">
        <v>726</v>
      </c>
      <c r="N121" s="33">
        <v>46116.0</v>
      </c>
      <c r="O121" s="31" t="s">
        <v>1321</v>
      </c>
      <c r="P121" s="32" t="str">
        <f>HYPERLINK("https://api.typeform.com/responses/files/eeec9d081944778f629be8ffa2a8b6b505e1ebbb5319150a3c1cbd7a1d13b537/Transcript___Game_User_Acquisition_Intern___Trương_Việt_Hoàng.pdf")</f>
        <v>https://api.typeform.com/responses/files/eeec9d081944778f629be8ffa2a8b6b505e1ebbb5319150a3c1cbd7a1d13b537/Transcript___Game_User_Acquisition_Intern___Trương_Việt_Hoàng.pdf</v>
      </c>
      <c r="Q121" s="29" t="b">
        <v>0</v>
      </c>
      <c r="R121" s="29" t="s">
        <v>1322</v>
      </c>
      <c r="S121" s="29" t="s">
        <v>300</v>
      </c>
      <c r="T121" s="29" t="s">
        <v>72</v>
      </c>
      <c r="U121" s="29" t="s">
        <v>72</v>
      </c>
      <c r="V121" s="29" t="s">
        <v>73</v>
      </c>
      <c r="Y121" s="34">
        <v>46135.52505787037</v>
      </c>
      <c r="Z121" s="29" t="s">
        <v>1323</v>
      </c>
      <c r="AA121" s="11">
        <v>1.0</v>
      </c>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row>
    <row r="122" ht="22.5" hidden="1" customHeight="1">
      <c r="A122" s="29" t="s">
        <v>1324</v>
      </c>
      <c r="B122" s="30">
        <v>38960.0</v>
      </c>
      <c r="C122" s="29" t="s">
        <v>1325</v>
      </c>
      <c r="D122" s="31" t="s">
        <v>1326</v>
      </c>
      <c r="E122" s="29" t="s">
        <v>61</v>
      </c>
      <c r="F122" s="29" t="s">
        <v>99</v>
      </c>
      <c r="G122" s="32" t="str">
        <f>HYPERLINK("https://api.typeform.com/responses/files/deb0977cd7ddb16f71d904453014dad93696f905376635add85e8b5a402ee77c/CV__Unity_Developer_Intern_Ngô_Gia_Thịnh.docx")</f>
        <v>https://api.typeform.com/responses/files/deb0977cd7ddb16f71d904453014dad93696f905376635add85e8b5a402ee77c/CV__Unity_Developer_Intern_Ngô_Gia_Thịnh.docx</v>
      </c>
      <c r="H122" s="29" t="s">
        <v>1327</v>
      </c>
      <c r="I122" s="29" t="s">
        <v>1328</v>
      </c>
      <c r="J122" s="29" t="s">
        <v>144</v>
      </c>
      <c r="L122" s="29" t="s">
        <v>169</v>
      </c>
      <c r="M122" s="29" t="s">
        <v>170</v>
      </c>
      <c r="N122" s="33">
        <v>46265.0</v>
      </c>
      <c r="O122" s="31" t="s">
        <v>362</v>
      </c>
      <c r="P122" s="32" t="str">
        <f>HYPERLINK("https://api.typeform.com/responses/files/c066cc4dd02a9cecc16c6d42e4009f0c3e9c0b3585bb8a697836fbaffeb8be25/Unity_Developer_Intern_Ngô_Gia_Thịnh.xlsx")</f>
        <v>https://api.typeform.com/responses/files/c066cc4dd02a9cecc16c6d42e4009f0c3e9c0b3585bb8a697836fbaffeb8be25/Unity_Developer_Intern_Ngô_Gia_Thịnh.xlsx</v>
      </c>
      <c r="Q122" s="29" t="b">
        <v>1</v>
      </c>
      <c r="R122" s="29" t="s">
        <v>1329</v>
      </c>
      <c r="S122" s="29" t="s">
        <v>149</v>
      </c>
      <c r="T122" s="29" t="s">
        <v>72</v>
      </c>
      <c r="U122" s="29" t="s">
        <v>72</v>
      </c>
      <c r="V122" s="29" t="s">
        <v>73</v>
      </c>
      <c r="X122" s="29" t="s">
        <v>1330</v>
      </c>
      <c r="Y122" s="34">
        <v>46135.531875</v>
      </c>
      <c r="Z122" s="29" t="s">
        <v>1331</v>
      </c>
      <c r="AA122" s="11">
        <v>1.0</v>
      </c>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row>
    <row r="123" ht="22.5" hidden="1" customHeight="1">
      <c r="A123" s="29" t="s">
        <v>1332</v>
      </c>
      <c r="B123" s="30">
        <v>36765.0</v>
      </c>
      <c r="C123" s="29" t="s">
        <v>192</v>
      </c>
      <c r="D123" s="31" t="s">
        <v>193</v>
      </c>
      <c r="E123" s="29" t="s">
        <v>127</v>
      </c>
      <c r="F123" s="29" t="s">
        <v>127</v>
      </c>
      <c r="G123" s="32" t="str">
        <f>HYPERLINK("https://api.typeform.com/responses/files/9a0bfc22be986e7fdb98c945486b99c8a94178aecae3e5098bf247c960601368/Tester_Tran_Dat.pdf")</f>
        <v>https://api.typeform.com/responses/files/9a0bfc22be986e7fdb98c945486b99c8a94178aecae3e5098bf247c960601368/Tester_Tran_Dat.pdf</v>
      </c>
      <c r="H123" s="29" t="s">
        <v>1333</v>
      </c>
      <c r="I123" s="29" t="s">
        <v>1334</v>
      </c>
      <c r="J123" s="29" t="s">
        <v>65</v>
      </c>
      <c r="K123" s="29" t="s">
        <v>1335</v>
      </c>
      <c r="L123" s="29" t="s">
        <v>1336</v>
      </c>
      <c r="M123" s="29" t="s">
        <v>132</v>
      </c>
      <c r="N123" s="33">
        <v>46203.0</v>
      </c>
      <c r="O123" s="31" t="s">
        <v>1337</v>
      </c>
      <c r="P123" s="32" t="str">
        <f>HYPERLINK("https://api.typeform.com/responses/files/c72c71eef495c4496336d90a9b5a89a923d9cd891bf8e7347c330d5cb0dd3993/Tester_Tran_Dat.pdf")</f>
        <v>https://api.typeform.com/responses/files/c72c71eef495c4496336d90a9b5a89a923d9cd891bf8e7347c330d5cb0dd3993/Tester_Tran_Dat.pdf</v>
      </c>
      <c r="Q123" s="29" t="b">
        <v>1</v>
      </c>
      <c r="R123" s="29" t="s">
        <v>1338</v>
      </c>
      <c r="S123" s="29" t="s">
        <v>1339</v>
      </c>
      <c r="T123" s="29" t="s">
        <v>72</v>
      </c>
      <c r="U123" s="29" t="s">
        <v>72</v>
      </c>
      <c r="V123" s="29" t="s">
        <v>1340</v>
      </c>
      <c r="X123" s="29" t="s">
        <v>1341</v>
      </c>
      <c r="Y123" s="34">
        <v>46135.53523148148</v>
      </c>
      <c r="Z123" s="29" t="s">
        <v>1342</v>
      </c>
      <c r="AA123" s="6">
        <v>2.0</v>
      </c>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row>
    <row r="124" ht="22.5" hidden="1" customHeight="1">
      <c r="A124" s="29" t="s">
        <v>1343</v>
      </c>
      <c r="B124" s="30">
        <v>38540.0</v>
      </c>
      <c r="C124" s="29" t="s">
        <v>1344</v>
      </c>
      <c r="D124" s="31" t="s">
        <v>1345</v>
      </c>
      <c r="E124" s="29" t="s">
        <v>633</v>
      </c>
      <c r="G124" s="32" t="str">
        <f>HYPERLINK("https://api.typeform.com/responses/files/b5bbd37b3a8f9de90b21199cedc9f35c1fc9d382261e152268075da3a0462f61/_ENGLISH_RESUME__Nguyễn_Thị_Minh_Thư___1_.pdf")</f>
        <v>https://api.typeform.com/responses/files/b5bbd37b3a8f9de90b21199cedc9f35c1fc9d382261e152268075da3a0462f61/_ENGLISH_RESUME__Nguyễn_Thị_Minh_Thư___1_.pdf</v>
      </c>
      <c r="H124" s="29" t="s">
        <v>1346</v>
      </c>
      <c r="I124" s="29" t="s">
        <v>1347</v>
      </c>
      <c r="J124" s="29" t="s">
        <v>842</v>
      </c>
      <c r="L124" s="29" t="s">
        <v>219</v>
      </c>
      <c r="M124" s="29" t="s">
        <v>1348</v>
      </c>
      <c r="N124" s="33">
        <v>46466.0</v>
      </c>
      <c r="O124" s="31" t="s">
        <v>1230</v>
      </c>
      <c r="P124" s="32" t="str">
        <f>HYPERLINK("https://api.typeform.com/responses/files/2cba8f639901c000b4b03facf917168791bf52b240fe6462777f8ec701264c6b/Transcript___HR_Intern___Nguyễn_Thị_Minh_Thư.pdf")</f>
        <v>https://api.typeform.com/responses/files/2cba8f639901c000b4b03facf917168791bf52b240fe6462777f8ec701264c6b/Transcript___HR_Intern___Nguyễn_Thị_Minh_Thư.pdf</v>
      </c>
      <c r="Q124" s="29" t="b">
        <v>1</v>
      </c>
      <c r="R124" s="29" t="s">
        <v>1349</v>
      </c>
      <c r="S124" s="29" t="s">
        <v>1350</v>
      </c>
      <c r="T124" s="29" t="s">
        <v>72</v>
      </c>
      <c r="U124" s="29" t="s">
        <v>72</v>
      </c>
      <c r="V124" s="29" t="s">
        <v>73</v>
      </c>
      <c r="Y124" s="34">
        <v>46135.54357638889</v>
      </c>
      <c r="Z124" s="29" t="s">
        <v>1351</v>
      </c>
      <c r="AA124" s="6">
        <v>2.0</v>
      </c>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row>
    <row r="125" ht="22.5" hidden="1" customHeight="1">
      <c r="A125" s="29" t="s">
        <v>1352</v>
      </c>
      <c r="B125" s="30">
        <v>38202.0</v>
      </c>
      <c r="C125" s="29" t="s">
        <v>1353</v>
      </c>
      <c r="D125" s="31" t="s">
        <v>1354</v>
      </c>
      <c r="E125" s="29" t="s">
        <v>82</v>
      </c>
      <c r="F125" s="29" t="s">
        <v>82</v>
      </c>
      <c r="G125" s="32" t="str">
        <f>HYPERLINK("https://api.typeform.com/responses/files/abc92ae32804306d23a9ffcbfd69b9fc12902f1a4dba594467030cf410f81e43/CV___Data_Analysis_Intern___Nguyễn_Minh_Đạt.pdf")</f>
        <v>https://api.typeform.com/responses/files/abc92ae32804306d23a9ffcbfd69b9fc12902f1a4dba594467030cf410f81e43/CV___Data_Analysis_Intern___Nguyễn_Minh_Đạt.pdf</v>
      </c>
      <c r="H125" s="29" t="s">
        <v>1355</v>
      </c>
      <c r="I125" s="29" t="s">
        <v>1356</v>
      </c>
      <c r="J125" s="29" t="s">
        <v>326</v>
      </c>
      <c r="L125" s="29" t="s">
        <v>67</v>
      </c>
      <c r="M125" s="29" t="s">
        <v>384</v>
      </c>
      <c r="N125" s="33">
        <v>46357.0</v>
      </c>
      <c r="O125" s="31" t="s">
        <v>1357</v>
      </c>
      <c r="P125" s="32" t="str">
        <f>HYPERLINK("https://api.typeform.com/responses/files/c1996b732b36a67b5fa12f0c5b2fd422b06a5b3e03f546124430a17bdcb92817/Transcript___Data_Analysis_Intern___Nguyễn_Minh_Đạt.pdf")</f>
        <v>https://api.typeform.com/responses/files/c1996b732b36a67b5fa12f0c5b2fd422b06a5b3e03f546124430a17bdcb92817/Transcript___Data_Analysis_Intern___Nguyễn_Minh_Đạt.pdf</v>
      </c>
      <c r="Q125" s="29" t="b">
        <v>0</v>
      </c>
      <c r="R125" s="29" t="s">
        <v>401</v>
      </c>
      <c r="S125" s="29" t="s">
        <v>401</v>
      </c>
      <c r="T125" s="29" t="s">
        <v>72</v>
      </c>
      <c r="U125" s="29" t="s">
        <v>72</v>
      </c>
      <c r="V125" s="29" t="s">
        <v>269</v>
      </c>
      <c r="Y125" s="34">
        <v>46135.54539351852</v>
      </c>
      <c r="Z125" s="29" t="s">
        <v>1358</v>
      </c>
      <c r="AA125" s="6">
        <v>2.0</v>
      </c>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row>
    <row r="126" ht="22.5" hidden="1" customHeight="1">
      <c r="A126" s="29" t="s">
        <v>1359</v>
      </c>
      <c r="B126" s="30">
        <v>38135.0</v>
      </c>
      <c r="C126" s="29" t="s">
        <v>1360</v>
      </c>
      <c r="D126" s="31" t="s">
        <v>1361</v>
      </c>
      <c r="E126" s="29" t="s">
        <v>62</v>
      </c>
      <c r="F126" s="29" t="s">
        <v>82</v>
      </c>
      <c r="G126" s="32" t="str">
        <f>HYPERLINK("https://api.typeform.com/responses/files/8e854a713d1ac7e6f3b0364385fa75f82f181de03f82c59f11266f43eaea1b86/CV___AI_Engineering_Intern___Trần_Trí_Đức.pdf")</f>
        <v>https://api.typeform.com/responses/files/8e854a713d1ac7e6f3b0364385fa75f82f181de03f82c59f11266f43eaea1b86/CV___AI_Engineering_Intern___Trần_Trí_Đức.pdf</v>
      </c>
      <c r="H126" s="29" t="s">
        <v>1362</v>
      </c>
      <c r="I126" s="29" t="s">
        <v>1363</v>
      </c>
      <c r="J126" s="29" t="s">
        <v>85</v>
      </c>
      <c r="L126" s="29" t="s">
        <v>103</v>
      </c>
      <c r="M126" s="29" t="s">
        <v>737</v>
      </c>
      <c r="N126" s="33">
        <v>46188.0</v>
      </c>
      <c r="O126" s="31" t="s">
        <v>663</v>
      </c>
      <c r="P126" s="32" t="str">
        <f>HYPERLINK("https://api.typeform.com/responses/files/03d1850bd204f0b4979d7bbf5bf4c4a94d82feaf3a92ed7a38fa022f18fb1e6c/Transcript___AI_Engineering_Intern___Trần_Trí_Đức.pdf")</f>
        <v>https://api.typeform.com/responses/files/03d1850bd204f0b4979d7bbf5bf4c4a94d82feaf3a92ed7a38fa022f18fb1e6c/Transcript___AI_Engineering_Intern___Trần_Trí_Đức.pdf</v>
      </c>
      <c r="Q126" s="29" t="b">
        <v>0</v>
      </c>
      <c r="R126" s="29" t="s">
        <v>1364</v>
      </c>
      <c r="S126" s="29" t="s">
        <v>1365</v>
      </c>
      <c r="T126" s="29" t="s">
        <v>72</v>
      </c>
      <c r="U126" s="29" t="s">
        <v>72</v>
      </c>
      <c r="V126" s="29" t="s">
        <v>594</v>
      </c>
      <c r="X126" s="29" t="s">
        <v>1366</v>
      </c>
      <c r="Y126" s="34">
        <v>46135.56704861111</v>
      </c>
      <c r="Z126" s="29" t="s">
        <v>1367</v>
      </c>
      <c r="AA126" s="6">
        <v>2.0</v>
      </c>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row>
    <row r="127" ht="22.5" hidden="1" customHeight="1">
      <c r="A127" s="29" t="s">
        <v>1368</v>
      </c>
      <c r="B127" s="30">
        <v>37869.0</v>
      </c>
      <c r="C127" s="29" t="s">
        <v>1369</v>
      </c>
      <c r="D127" s="31" t="s">
        <v>1370</v>
      </c>
      <c r="E127" s="29" t="s">
        <v>62</v>
      </c>
      <c r="F127" s="29" t="s">
        <v>62</v>
      </c>
      <c r="G127" s="32" t="str">
        <f>HYPERLINK("https://api.typeform.com/responses/files/03e1463949ac53cc1771740fad979d578511e3510695eddc264b8b344c9eef55/CV___AI_Engineer_Intern___La_Nguyễn_Quốc_Thịnh.pdf")</f>
        <v>https://api.typeform.com/responses/files/03e1463949ac53cc1771740fad979d578511e3510695eddc264b8b344c9eef55/CV___AI_Engineer_Intern___La_Nguyễn_Quốc_Thịnh.pdf</v>
      </c>
      <c r="H127" s="29" t="s">
        <v>1371</v>
      </c>
      <c r="I127" s="29" t="s">
        <v>1372</v>
      </c>
      <c r="J127" s="29" t="s">
        <v>244</v>
      </c>
      <c r="L127" s="29" t="s">
        <v>67</v>
      </c>
      <c r="M127" s="29" t="s">
        <v>930</v>
      </c>
      <c r="N127" s="33">
        <v>46172.0</v>
      </c>
      <c r="O127" s="31" t="s">
        <v>483</v>
      </c>
      <c r="P127" s="32" t="str">
        <f>HYPERLINK("https://api.typeform.com/responses/files/d48547519ac1eb435adc75998e195e0adae0c24502c95c213756f3585433215f/Transcript___AI_Engineer__Intern___La_Nguyễn_Quốc_Thịnh.png")</f>
        <v>https://api.typeform.com/responses/files/d48547519ac1eb435adc75998e195e0adae0c24502c95c213756f3585433215f/Transcript___AI_Engineer__Intern___La_Nguyễn_Quốc_Thịnh.png</v>
      </c>
      <c r="Q127" s="29" t="b">
        <v>1</v>
      </c>
      <c r="R127" s="29" t="s">
        <v>1373</v>
      </c>
      <c r="S127" s="29" t="s">
        <v>1374</v>
      </c>
      <c r="T127" s="29" t="s">
        <v>72</v>
      </c>
      <c r="U127" s="29" t="s">
        <v>72</v>
      </c>
      <c r="V127" s="29" t="s">
        <v>90</v>
      </c>
      <c r="Y127" s="34">
        <v>46135.5775</v>
      </c>
      <c r="Z127" s="29" t="s">
        <v>1375</v>
      </c>
      <c r="AA127" s="6">
        <v>2.0</v>
      </c>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row>
    <row r="128" ht="22.5" hidden="1" customHeight="1">
      <c r="A128" s="29" t="s">
        <v>1376</v>
      </c>
      <c r="B128" s="30">
        <v>38026.0</v>
      </c>
      <c r="C128" s="29" t="s">
        <v>1377</v>
      </c>
      <c r="D128" s="31" t="s">
        <v>1378</v>
      </c>
      <c r="E128" s="29" t="s">
        <v>62</v>
      </c>
      <c r="F128" s="29" t="s">
        <v>82</v>
      </c>
      <c r="G128" s="32" t="str">
        <f>HYPERLINK("https://api.typeform.com/responses/files/d6ec7fb30a25c3be9f0ffc7b41c32157ce5ae07026eb2e57a019cc82a32cb843/tran_duy_khang_CV.pdf")</f>
        <v>https://api.typeform.com/responses/files/d6ec7fb30a25c3be9f0ffc7b41c32157ce5ae07026eb2e57a019cc82a32cb843/tran_duy_khang_CV.pdf</v>
      </c>
      <c r="H128" s="29" t="s">
        <v>1379</v>
      </c>
      <c r="I128" s="29" t="s">
        <v>1380</v>
      </c>
      <c r="J128" s="29" t="s">
        <v>326</v>
      </c>
      <c r="L128" s="29" t="s">
        <v>67</v>
      </c>
      <c r="M128" s="29" t="s">
        <v>1381</v>
      </c>
      <c r="N128" s="33">
        <v>46234.0</v>
      </c>
      <c r="O128" s="31" t="s">
        <v>1382</v>
      </c>
      <c r="P128" s="32" t="str">
        <f>HYPERLINK("https://api.typeform.com/responses/files/4505dbeabfcfe0860072a384e32ea4325d92ddef9b489a9c0a95eb671043d24a/Bảng_điểm_22120153.pdf")</f>
        <v>https://api.typeform.com/responses/files/4505dbeabfcfe0860072a384e32ea4325d92ddef9b489a9c0a95eb671043d24a/Bảng_điểm_22120153.pdf</v>
      </c>
      <c r="Q128" s="29" t="b">
        <v>0</v>
      </c>
      <c r="R128" s="29" t="s">
        <v>1383</v>
      </c>
      <c r="S128" s="29" t="s">
        <v>1384</v>
      </c>
      <c r="T128" s="29" t="s">
        <v>72</v>
      </c>
      <c r="U128" s="29" t="s">
        <v>72</v>
      </c>
      <c r="V128" s="29" t="s">
        <v>269</v>
      </c>
      <c r="X128" s="29" t="s">
        <v>1385</v>
      </c>
      <c r="Y128" s="34">
        <v>46135.594618055555</v>
      </c>
      <c r="Z128" s="29" t="s">
        <v>1386</v>
      </c>
      <c r="AA128" s="6">
        <v>2.0</v>
      </c>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row>
    <row r="129" ht="22.5" hidden="1" customHeight="1">
      <c r="A129" s="29" t="s">
        <v>1387</v>
      </c>
      <c r="B129" s="30">
        <v>38463.0</v>
      </c>
      <c r="C129" s="29" t="s">
        <v>1388</v>
      </c>
      <c r="D129" s="31" t="s">
        <v>1389</v>
      </c>
      <c r="E129" s="29" t="s">
        <v>99</v>
      </c>
      <c r="F129" s="29" t="s">
        <v>99</v>
      </c>
      <c r="G129" s="32" t="str">
        <f>HYPERLINK("https://api.typeform.com/responses/files/4e92cb6d605636c752ae7b692a37749452435c0e3aad2afd9c794780965766d9/CV___Game_Designer_Intern___Trần_Thị_Yến_Nhi.pdf")</f>
        <v>https://api.typeform.com/responses/files/4e92cb6d605636c752ae7b692a37749452435c0e3aad2afd9c794780965766d9/CV___Game_Designer_Intern___Trần_Thị_Yến_Nhi.pdf</v>
      </c>
      <c r="H129" s="29" t="s">
        <v>1390</v>
      </c>
      <c r="I129" s="29" t="s">
        <v>1391</v>
      </c>
      <c r="J129" s="29" t="s">
        <v>85</v>
      </c>
      <c r="L129" s="29" t="s">
        <v>219</v>
      </c>
      <c r="M129" s="29" t="s">
        <v>104</v>
      </c>
      <c r="N129" s="33">
        <v>46420.0</v>
      </c>
      <c r="O129" s="31" t="s">
        <v>1392</v>
      </c>
      <c r="P129" s="32" t="str">
        <f>HYPERLINK("https://api.typeform.com/responses/files/7af820a1eac76cc9484a43090d04ca998f831f4502b5a0a4f8b1031d1b73abec/Transcript___Game_Designer_Intern___Trần_Thị_Yến_Nhi.pdf")</f>
        <v>https://api.typeform.com/responses/files/7af820a1eac76cc9484a43090d04ca998f831f4502b5a0a4f8b1031d1b73abec/Transcript___Game_Designer_Intern___Trần_Thị_Yến_Nhi.pdf</v>
      </c>
      <c r="Q129" s="29" t="b">
        <v>1</v>
      </c>
      <c r="R129" s="29" t="s">
        <v>1393</v>
      </c>
      <c r="S129" s="29" t="s">
        <v>1394</v>
      </c>
      <c r="T129" s="29" t="s">
        <v>72</v>
      </c>
      <c r="U129" s="29" t="s">
        <v>72</v>
      </c>
      <c r="V129" s="29" t="s">
        <v>544</v>
      </c>
      <c r="Y129" s="34">
        <v>46135.60068287037</v>
      </c>
      <c r="Z129" s="29" t="s">
        <v>1395</v>
      </c>
      <c r="AA129" s="6">
        <v>2.0</v>
      </c>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row>
    <row r="130" ht="22.5" hidden="1" customHeight="1">
      <c r="A130" s="29" t="s">
        <v>1396</v>
      </c>
      <c r="B130" s="30">
        <v>38406.0</v>
      </c>
      <c r="C130" s="29" t="s">
        <v>1397</v>
      </c>
      <c r="D130" s="31" t="s">
        <v>1398</v>
      </c>
      <c r="E130" s="29" t="s">
        <v>61</v>
      </c>
      <c r="F130" s="29" t="s">
        <v>62</v>
      </c>
      <c r="G130" s="32" t="str">
        <f>HYPERLINK("https://api.typeform.com/responses/files/8d6a07f9f61d13feafb40be948be93b8b3d4dd1b6c4aebe974bd3ac21c857675/CV___Game_Unity_Intern___Nguyễn_Tấn_Thắng.pdf")</f>
        <v>https://api.typeform.com/responses/files/8d6a07f9f61d13feafb40be948be93b8b3d4dd1b6c4aebe974bd3ac21c857675/CV___Game_Unity_Intern___Nguyễn_Tấn_Thắng.pdf</v>
      </c>
      <c r="H130" s="29" t="s">
        <v>1399</v>
      </c>
      <c r="I130" s="29" t="s">
        <v>1400</v>
      </c>
      <c r="J130" s="29" t="s">
        <v>326</v>
      </c>
      <c r="L130" s="29" t="s">
        <v>219</v>
      </c>
      <c r="M130" s="29" t="s">
        <v>104</v>
      </c>
      <c r="N130" s="33">
        <v>46658.0</v>
      </c>
      <c r="O130" s="31" t="s">
        <v>299</v>
      </c>
      <c r="P130" s="32" t="str">
        <f>HYPERLINK("https://api.typeform.com/responses/files/4ff522afe17de6e87f2d0f73fc9dbd51058a7aec12cea317203f9ddb56de3535/Transcript___Unity_Game_Intern___Nguyễn_Tấn_Thắng.pdf")</f>
        <v>https://api.typeform.com/responses/files/4ff522afe17de6e87f2d0f73fc9dbd51058a7aec12cea317203f9ddb56de3535/Transcript___Unity_Game_Intern___Nguyễn_Tấn_Thắng.pdf</v>
      </c>
      <c r="Q130" s="29" t="b">
        <v>0</v>
      </c>
      <c r="R130" s="29" t="s">
        <v>1401</v>
      </c>
      <c r="S130" s="29" t="s">
        <v>1402</v>
      </c>
      <c r="T130" s="29" t="s">
        <v>72</v>
      </c>
      <c r="U130" s="29" t="s">
        <v>72</v>
      </c>
      <c r="V130" s="29" t="s">
        <v>269</v>
      </c>
      <c r="X130" s="29" t="s">
        <v>1403</v>
      </c>
      <c r="Y130" s="34">
        <v>46135.60386574074</v>
      </c>
      <c r="Z130" s="29" t="s">
        <v>1404</v>
      </c>
      <c r="AA130" s="6">
        <v>2.0</v>
      </c>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row>
    <row r="131" ht="22.5" hidden="1" customHeight="1">
      <c r="A131" s="29" t="s">
        <v>1405</v>
      </c>
      <c r="B131" s="30">
        <v>38528.0</v>
      </c>
      <c r="C131" s="29" t="s">
        <v>1406</v>
      </c>
      <c r="D131" s="31" t="s">
        <v>1407</v>
      </c>
      <c r="E131" s="29" t="s">
        <v>61</v>
      </c>
      <c r="F131" s="29" t="s">
        <v>99</v>
      </c>
      <c r="G131" s="32" t="str">
        <f>HYPERLINK("https://api.typeform.com/responses/files/55bc18b3f1040dd3fbeb97fa738464898f83a0786e1f9dc99e5787074a2e3c62/CV___Unity_Development_Intern___Lê_Huy_Toàn.pdf")</f>
        <v>https://api.typeform.com/responses/files/55bc18b3f1040dd3fbeb97fa738464898f83a0786e1f9dc99e5787074a2e3c62/CV___Unity_Development_Intern___Lê_Huy_Toàn.pdf</v>
      </c>
      <c r="H131" s="29" t="s">
        <v>1408</v>
      </c>
      <c r="I131" s="29" t="s">
        <v>1409</v>
      </c>
      <c r="J131" s="29" t="s">
        <v>326</v>
      </c>
      <c r="L131" s="29" t="s">
        <v>219</v>
      </c>
      <c r="M131" s="29" t="s">
        <v>104</v>
      </c>
      <c r="N131" s="33">
        <v>46631.0</v>
      </c>
      <c r="O131" s="31" t="s">
        <v>1382</v>
      </c>
      <c r="P131" s="32" t="str">
        <f>HYPERLINK("https://api.typeform.com/responses/files/cb480e503c01f85b0b809fc05d5771892c3fd0dbc580467257a4891cbb343d98/Transcript___Unity_Development_Intern___Lê_Huy_Toàn.pdf")</f>
        <v>https://api.typeform.com/responses/files/cb480e503c01f85b0b809fc05d5771892c3fd0dbc580467257a4891cbb343d98/Transcript___Unity_Development_Intern___Lê_Huy_Toàn.pdf</v>
      </c>
      <c r="Q131" s="29" t="b">
        <v>1</v>
      </c>
      <c r="R131" s="29" t="s">
        <v>1410</v>
      </c>
      <c r="S131" s="29" t="s">
        <v>1411</v>
      </c>
      <c r="T131" s="29" t="s">
        <v>72</v>
      </c>
      <c r="U131" s="29" t="s">
        <v>72</v>
      </c>
      <c r="V131" s="29" t="s">
        <v>544</v>
      </c>
      <c r="Y131" s="34">
        <v>46135.61047453704</v>
      </c>
      <c r="Z131" s="29" t="s">
        <v>1412</v>
      </c>
      <c r="AA131" s="6">
        <v>2.0</v>
      </c>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row>
    <row r="132" ht="22.5" hidden="1" customHeight="1">
      <c r="A132" s="29" t="s">
        <v>1413</v>
      </c>
      <c r="B132" s="30">
        <v>38651.0</v>
      </c>
      <c r="C132" s="29" t="s">
        <v>1414</v>
      </c>
      <c r="D132" s="31" t="s">
        <v>1415</v>
      </c>
      <c r="E132" s="29" t="s">
        <v>774</v>
      </c>
      <c r="F132" s="29" t="s">
        <v>62</v>
      </c>
      <c r="G132" s="32" t="str">
        <f>HYPERLINK("https://api.typeform.com/responses/files/ade457ce64618d580aea00c2bcbc72d1adb861c56dc3f0044eb2c7b2391188e9/CV_Tieu_Thi_Kim_Cuong.pdf")</f>
        <v>https://api.typeform.com/responses/files/ade457ce64618d580aea00c2bcbc72d1adb861c56dc3f0044eb2c7b2391188e9/CV_Tieu_Thi_Kim_Cuong.pdf</v>
      </c>
      <c r="H132" s="29" t="s">
        <v>1416</v>
      </c>
      <c r="I132" s="29" t="s">
        <v>1417</v>
      </c>
      <c r="J132" s="29" t="s">
        <v>842</v>
      </c>
      <c r="L132" s="29" t="s">
        <v>219</v>
      </c>
      <c r="M132" s="29" t="s">
        <v>1418</v>
      </c>
      <c r="N132" s="33">
        <v>46387.0</v>
      </c>
      <c r="O132" s="31" t="s">
        <v>447</v>
      </c>
      <c r="P132" s="32" t="str">
        <f>HYPERLINK("https://api.typeform.com/responses/files/13be79ae651a4614ae23e3e1f43f4532a86192c73dad23da60a9ee096fc333d3/Transcript___Game_user_acquisition_intern___Tiêu_Thị_Kim_Cương.pdf")</f>
        <v>https://api.typeform.com/responses/files/13be79ae651a4614ae23e3e1f43f4532a86192c73dad23da60a9ee096fc333d3/Transcript___Game_user_acquisition_intern___Tiêu_Thị_Kim_Cương.pdf</v>
      </c>
      <c r="Q132" s="29" t="b">
        <v>0</v>
      </c>
      <c r="R132" s="29" t="s">
        <v>222</v>
      </c>
      <c r="S132" s="29" t="s">
        <v>222</v>
      </c>
      <c r="T132" s="29" t="s">
        <v>72</v>
      </c>
      <c r="U132" s="29" t="s">
        <v>72</v>
      </c>
      <c r="V132" s="29" t="s">
        <v>544</v>
      </c>
      <c r="Y132" s="34">
        <v>46135.61170138889</v>
      </c>
      <c r="Z132" s="29" t="s">
        <v>1419</v>
      </c>
      <c r="AA132" s="6">
        <v>2.0</v>
      </c>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row>
    <row r="133" ht="22.5" hidden="1" customHeight="1">
      <c r="A133" s="29" t="s">
        <v>1420</v>
      </c>
      <c r="B133" s="30">
        <v>38549.0</v>
      </c>
      <c r="C133" s="29" t="s">
        <v>1421</v>
      </c>
      <c r="D133" s="31" t="s">
        <v>1422</v>
      </c>
      <c r="E133" s="29" t="s">
        <v>99</v>
      </c>
      <c r="F133" s="29" t="s">
        <v>61</v>
      </c>
      <c r="G133" s="32" t="str">
        <f>HYPERLINK("https://api.typeform.com/responses/files/ed05f9a3db23af97e080e52354b66adb5591dce86e349593c3daf0de8f093218/CV___GameDesigner____TranThiThuHoai.pdf")</f>
        <v>https://api.typeform.com/responses/files/ed05f9a3db23af97e080e52354b66adb5591dce86e349593c3daf0de8f093218/CV___GameDesigner____TranThiThuHoai.pdf</v>
      </c>
      <c r="H133" s="29" t="s">
        <v>1423</v>
      </c>
      <c r="I133" s="29" t="s">
        <v>1424</v>
      </c>
      <c r="J133" s="29" t="s">
        <v>85</v>
      </c>
      <c r="L133" s="29" t="s">
        <v>219</v>
      </c>
      <c r="M133" s="29" t="s">
        <v>1425</v>
      </c>
      <c r="N133" s="33">
        <v>46474.0</v>
      </c>
      <c r="O133" s="31" t="s">
        <v>1426</v>
      </c>
      <c r="P133" s="32" t="str">
        <f>HYPERLINK("https://api.typeform.com/responses/files/c81e02062339d77b4ede55463281bf041401409b6cfdc9d5af3fb93d3cf93fa6/Transcript___GameDesigner____TranThiThuHoai.pdf")</f>
        <v>https://api.typeform.com/responses/files/c81e02062339d77b4ede55463281bf041401409b6cfdc9d5af3fb93d3cf93fa6/Transcript___GameDesigner____TranThiThuHoai.pdf</v>
      </c>
      <c r="Q133" s="29" t="b">
        <v>1</v>
      </c>
      <c r="R133" s="29" t="s">
        <v>1427</v>
      </c>
      <c r="S133" s="29" t="s">
        <v>1428</v>
      </c>
      <c r="T133" s="29" t="s">
        <v>72</v>
      </c>
      <c r="U133" s="29" t="s">
        <v>72</v>
      </c>
      <c r="V133" s="29" t="s">
        <v>269</v>
      </c>
      <c r="Y133" s="34">
        <v>46135.62946759259</v>
      </c>
      <c r="Z133" s="29" t="s">
        <v>1429</v>
      </c>
      <c r="AA133" s="6">
        <v>2.0</v>
      </c>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row>
    <row r="134" ht="22.5" hidden="1" customHeight="1">
      <c r="A134" s="29" t="s">
        <v>1430</v>
      </c>
      <c r="B134" s="30">
        <v>38286.0</v>
      </c>
      <c r="C134" s="29" t="s">
        <v>1431</v>
      </c>
      <c r="D134" s="31" t="s">
        <v>1432</v>
      </c>
      <c r="E134" s="29" t="s">
        <v>633</v>
      </c>
      <c r="F134" s="29" t="s">
        <v>774</v>
      </c>
      <c r="G134" s="32" t="str">
        <f>HYPERLINK("https://api.typeform.com/responses/files/7665bf1841e317ce192121e52a5ac9e48932801058b623dc344d6f7b06e31d0a/CV___Human_Resources_intern___Phạm_Nguyễn_Tài_Tuệ.pdf")</f>
        <v>https://api.typeform.com/responses/files/7665bf1841e317ce192121e52a5ac9e48932801058b623dc344d6f7b06e31d0a/CV___Human_Resources_intern___Phạm_Nguyễn_Tài_Tuệ.pdf</v>
      </c>
      <c r="H134" s="29" t="s">
        <v>1433</v>
      </c>
      <c r="I134" s="29" t="s">
        <v>1434</v>
      </c>
      <c r="J134" s="29" t="s">
        <v>1435</v>
      </c>
      <c r="L134" s="29" t="s">
        <v>67</v>
      </c>
      <c r="M134" s="29" t="s">
        <v>1436</v>
      </c>
      <c r="N134" s="33">
        <v>46257.0</v>
      </c>
      <c r="O134" s="31" t="s">
        <v>362</v>
      </c>
      <c r="P134" s="32" t="str">
        <f>HYPERLINK("https://api.typeform.com/responses/files/a5700be2667366a8aa5cde223638e0061b4b6d204f7ecefec64362269e857402/Transcript___Human_Resource_intern___Phạm_Nguyễn_Tài_Tuệ.pdf")</f>
        <v>https://api.typeform.com/responses/files/a5700be2667366a8aa5cde223638e0061b4b6d204f7ecefec64362269e857402/Transcript___Human_Resource_intern___Phạm_Nguyễn_Tài_Tuệ.pdf</v>
      </c>
      <c r="Q134" s="29" t="b">
        <v>0</v>
      </c>
      <c r="R134" s="29" t="s">
        <v>268</v>
      </c>
      <c r="S134" s="29" t="s">
        <v>1437</v>
      </c>
      <c r="T134" s="29" t="s">
        <v>72</v>
      </c>
      <c r="U134" s="29" t="s">
        <v>72</v>
      </c>
      <c r="V134" s="29" t="s">
        <v>73</v>
      </c>
      <c r="X134" s="29" t="s">
        <v>1438</v>
      </c>
      <c r="Y134" s="34">
        <v>46135.642916666664</v>
      </c>
      <c r="Z134" s="29" t="s">
        <v>1439</v>
      </c>
      <c r="AA134" s="6">
        <v>2.0</v>
      </c>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row>
    <row r="135" ht="22.5" hidden="1" customHeight="1">
      <c r="A135" s="29" t="s">
        <v>1440</v>
      </c>
      <c r="B135" s="30">
        <v>34100.0</v>
      </c>
      <c r="C135" s="29" t="s">
        <v>1441</v>
      </c>
      <c r="D135" s="31" t="s">
        <v>1442</v>
      </c>
      <c r="E135" s="29" t="s">
        <v>99</v>
      </c>
      <c r="F135" s="29" t="s">
        <v>127</v>
      </c>
      <c r="G135" s="32" t="str">
        <f>HYPERLINK("https://api.typeform.com/responses/files/1729e3ff9155ca27d81777ca57f7a0a74e225c72be0201e5681c4f0be9e12a94/CV___Game_Designer___LeMinhQuang.docx")</f>
        <v>https://api.typeform.com/responses/files/1729e3ff9155ca27d81777ca57f7a0a74e225c72be0201e5681c4f0be9e12a94/CV___Game_Designer___LeMinhQuang.docx</v>
      </c>
      <c r="H135" s="29" t="s">
        <v>1443</v>
      </c>
      <c r="I135" s="29" t="s">
        <v>1444</v>
      </c>
      <c r="J135" s="29" t="s">
        <v>777</v>
      </c>
      <c r="L135" s="29" t="s">
        <v>103</v>
      </c>
      <c r="M135" s="29" t="s">
        <v>1445</v>
      </c>
      <c r="N135" s="33">
        <v>46125.0</v>
      </c>
      <c r="O135" s="29" t="s">
        <v>1446</v>
      </c>
      <c r="P135" s="32" t="str">
        <f>HYPERLINK("https://api.typeform.com/responses/files/042e7060232e0f5b5de0083e7b999826b33f63306029383204b004d1db874243/Transcript___Game_Designer___Le_Minh_Quang.pdf")</f>
        <v>https://api.typeform.com/responses/files/042e7060232e0f5b5de0083e7b999826b33f63306029383204b004d1db874243/Transcript___Game_Designer___Le_Minh_Quang.pdf</v>
      </c>
      <c r="Q135" s="29" t="b">
        <v>1</v>
      </c>
      <c r="R135" s="29" t="s">
        <v>1447</v>
      </c>
      <c r="S135" s="29" t="s">
        <v>1448</v>
      </c>
      <c r="T135" s="29" t="s">
        <v>72</v>
      </c>
      <c r="U135" s="29" t="s">
        <v>72</v>
      </c>
      <c r="V135" s="29" t="s">
        <v>73</v>
      </c>
      <c r="X135" s="29" t="s">
        <v>1449</v>
      </c>
      <c r="Y135" s="34">
        <v>46135.643483796295</v>
      </c>
      <c r="Z135" s="29" t="s">
        <v>1450</v>
      </c>
      <c r="AA135" s="6">
        <v>2.0</v>
      </c>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row>
    <row r="136" ht="22.5" hidden="1" customHeight="1">
      <c r="A136" s="29" t="s">
        <v>1451</v>
      </c>
      <c r="B136" s="30">
        <v>38668.0</v>
      </c>
      <c r="C136" s="29" t="s">
        <v>1452</v>
      </c>
      <c r="D136" s="31" t="s">
        <v>1453</v>
      </c>
      <c r="E136" s="29" t="s">
        <v>62</v>
      </c>
      <c r="F136" s="29" t="s">
        <v>82</v>
      </c>
      <c r="G136" s="32" t="str">
        <f>HYPERLINK("https://api.typeform.com/responses/files/85f384f890703ea88d4770880907b86e635157ef3a083ef8988e56f6069d52f4/CV___AI_Engineering_Intern___Vũ_Hoàng_Minh.pdf")</f>
        <v>https://api.typeform.com/responses/files/85f384f890703ea88d4770880907b86e635157ef3a083ef8988e56f6069d52f4/CV___AI_Engineering_Intern___Vũ_Hoàng_Minh.pdf</v>
      </c>
      <c r="H136" s="29" t="s">
        <v>1454</v>
      </c>
      <c r="I136" s="29" t="s">
        <v>1455</v>
      </c>
      <c r="J136" s="29" t="s">
        <v>326</v>
      </c>
      <c r="L136" s="29" t="s">
        <v>219</v>
      </c>
      <c r="M136" s="29" t="s">
        <v>384</v>
      </c>
      <c r="N136" s="33">
        <v>46631.0</v>
      </c>
      <c r="O136" s="31" t="s">
        <v>1456</v>
      </c>
      <c r="P136" s="32" t="str">
        <f>HYPERLINK("https://api.typeform.com/responses/files/23578bee8b07df5ae2c07b9bad9ee2a65b5f43b24df433d2b97f81e738739d38/Transcript___AI_Engineering_Intern___Vũ_Hoàng_Minh.pdf")</f>
        <v>https://api.typeform.com/responses/files/23578bee8b07df5ae2c07b9bad9ee2a65b5f43b24df433d2b97f81e738739d38/Transcript___AI_Engineering_Intern___Vũ_Hoàng_Minh.pdf</v>
      </c>
      <c r="Q136" s="29" t="b">
        <v>0</v>
      </c>
      <c r="R136" s="29" t="s">
        <v>1457</v>
      </c>
      <c r="S136" s="29" t="s">
        <v>1458</v>
      </c>
      <c r="T136" s="29" t="s">
        <v>72</v>
      </c>
      <c r="U136" s="29" t="s">
        <v>72</v>
      </c>
      <c r="V136" s="29" t="s">
        <v>269</v>
      </c>
      <c r="X136" s="29" t="s">
        <v>1459</v>
      </c>
      <c r="Y136" s="34">
        <v>46135.66806712963</v>
      </c>
      <c r="Z136" s="29" t="s">
        <v>1460</v>
      </c>
      <c r="AA136" s="6">
        <v>2.0</v>
      </c>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row>
    <row r="137" ht="22.5" hidden="1" customHeight="1">
      <c r="A137" s="29" t="s">
        <v>1461</v>
      </c>
      <c r="B137" s="30">
        <v>38560.0</v>
      </c>
      <c r="C137" s="29" t="s">
        <v>1462</v>
      </c>
      <c r="D137" s="31" t="s">
        <v>1463</v>
      </c>
      <c r="E137" s="29" t="s">
        <v>99</v>
      </c>
      <c r="G137" s="32" t="str">
        <f>HYPERLINK("https://api.typeform.com/responses/files/ea1c418fe43be38fbf6fc0f12f4d1bf80a5808ee5e6e527f5def228a75fa8923/CV___Game_Design_Intern___Nguyễn_Trọng_Nhân.pdf")</f>
        <v>https://api.typeform.com/responses/files/ea1c418fe43be38fbf6fc0f12f4d1bf80a5808ee5e6e527f5def228a75fa8923/CV___Game_Design_Intern___Nguyễn_Trọng_Nhân.pdf</v>
      </c>
      <c r="H137" s="29" t="s">
        <v>1464</v>
      </c>
      <c r="I137" s="29" t="s">
        <v>1465</v>
      </c>
      <c r="J137" s="29" t="s">
        <v>326</v>
      </c>
      <c r="L137" s="29" t="s">
        <v>219</v>
      </c>
      <c r="M137" s="29" t="s">
        <v>327</v>
      </c>
      <c r="N137" s="33">
        <v>46645.0</v>
      </c>
      <c r="O137" s="29" t="s">
        <v>1466</v>
      </c>
      <c r="P137" s="32" t="str">
        <f>HYPERLINK("https://api.typeform.com/responses/files/ade51cd4cd0b0e2d1391b134336d331e932a84bc1acd9efc4b834696fc6bb891/Transcript___Game_Design_Intern___Nguyễn_Trọng_Nhân.pdf")</f>
        <v>https://api.typeform.com/responses/files/ade51cd4cd0b0e2d1391b134336d331e932a84bc1acd9efc4b834696fc6bb891/Transcript___Game_Design_Intern___Nguyễn_Trọng_Nhân.pdf</v>
      </c>
      <c r="Q137" s="29" t="b">
        <v>1</v>
      </c>
      <c r="R137" s="29" t="s">
        <v>1467</v>
      </c>
      <c r="S137" s="29" t="s">
        <v>1468</v>
      </c>
      <c r="T137" s="29" t="s">
        <v>72</v>
      </c>
      <c r="U137" s="29" t="s">
        <v>72</v>
      </c>
      <c r="V137" s="29" t="s">
        <v>544</v>
      </c>
      <c r="X137" s="29" t="s">
        <v>1469</v>
      </c>
      <c r="Y137" s="34">
        <v>46135.675983796296</v>
      </c>
      <c r="Z137" s="29" t="s">
        <v>1470</v>
      </c>
      <c r="AA137" s="6">
        <v>2.0</v>
      </c>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row>
    <row r="138" ht="22.5" hidden="1" customHeight="1">
      <c r="A138" s="29" t="s">
        <v>1471</v>
      </c>
      <c r="B138" s="30">
        <v>37683.0</v>
      </c>
      <c r="C138" s="29" t="s">
        <v>1472</v>
      </c>
      <c r="D138" s="31" t="s">
        <v>1473</v>
      </c>
      <c r="E138" s="29" t="s">
        <v>82</v>
      </c>
      <c r="F138" s="29" t="s">
        <v>774</v>
      </c>
      <c r="G138" s="32" t="str">
        <f>HYPERLINK("https://api.typeform.com/responses/files/37ccd85556a7f1316ff3e945f4a0fbf44302eb3ac7b9c7ba971e0592720992c8/CV_Data_Analyst_Huynh_Thanh_Tai.pdf")</f>
        <v>https://api.typeform.com/responses/files/37ccd85556a7f1316ff3e945f4a0fbf44302eb3ac7b9c7ba971e0592720992c8/CV_Data_Analyst_Huynh_Thanh_Tai.pdf</v>
      </c>
      <c r="H138" s="29" t="s">
        <v>1474</v>
      </c>
      <c r="I138" s="29" t="s">
        <v>1475</v>
      </c>
      <c r="J138" s="29" t="s">
        <v>842</v>
      </c>
      <c r="L138" s="29" t="s">
        <v>103</v>
      </c>
      <c r="M138" s="29" t="s">
        <v>1476</v>
      </c>
      <c r="N138" s="33">
        <v>45877.0</v>
      </c>
      <c r="O138" s="31" t="s">
        <v>1477</v>
      </c>
      <c r="P138" s="32" t="str">
        <f>HYPERLINK("https://api.typeform.com/responses/files/5fa6d7b6894d61dbb9ef71c7fad855e48007961912d758a9909aaed8feb0f9a1/Bảng_điểm_học_tập_tiếng_Việt_sinh_viên_ĐHCQ_VLVH.pdf")</f>
        <v>https://api.typeform.com/responses/files/5fa6d7b6894d61dbb9ef71c7fad855e48007961912d758a9909aaed8feb0f9a1/Bảng_điểm_học_tập_tiếng_Việt_sinh_viên_ĐHCQ_VLVH.pdf</v>
      </c>
      <c r="Q138" s="29" t="b">
        <v>1</v>
      </c>
      <c r="R138" s="29" t="s">
        <v>1478</v>
      </c>
      <c r="S138" s="29" t="s">
        <v>1479</v>
      </c>
      <c r="T138" s="29" t="s">
        <v>72</v>
      </c>
      <c r="U138" s="29" t="s">
        <v>72</v>
      </c>
      <c r="V138" s="29" t="s">
        <v>594</v>
      </c>
      <c r="Y138" s="34">
        <v>46135.67710648148</v>
      </c>
      <c r="Z138" s="29" t="s">
        <v>1480</v>
      </c>
      <c r="AA138" s="6">
        <v>2.0</v>
      </c>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row>
    <row r="139" ht="22.5" hidden="1" customHeight="1">
      <c r="A139" s="29" t="s">
        <v>1481</v>
      </c>
      <c r="B139" s="30">
        <v>38539.0</v>
      </c>
      <c r="C139" s="29" t="s">
        <v>1482</v>
      </c>
      <c r="D139" s="31" t="s">
        <v>1483</v>
      </c>
      <c r="E139" s="29" t="s">
        <v>82</v>
      </c>
      <c r="F139" s="29" t="s">
        <v>774</v>
      </c>
      <c r="G139" s="32" t="str">
        <f>HYPERLINK("https://api.typeform.com/responses/files/5fbe794f20915ce09017c139353c5a6da07bb0a2df929121c9aa677a97bf96b2/CV___Data_Analysis__Intern___Trần_Vĩnh_Trường.pdf")</f>
        <v>https://api.typeform.com/responses/files/5fbe794f20915ce09017c139353c5a6da07bb0a2df929121c9aa677a97bf96b2/CV___Data_Analysis__Intern___Trần_Vĩnh_Trường.pdf</v>
      </c>
      <c r="H139" s="29" t="s">
        <v>1484</v>
      </c>
      <c r="I139" s="29" t="s">
        <v>1485</v>
      </c>
      <c r="J139" s="29" t="s">
        <v>715</v>
      </c>
      <c r="L139" s="29" t="s">
        <v>219</v>
      </c>
      <c r="M139" s="29" t="s">
        <v>399</v>
      </c>
      <c r="N139" s="33">
        <v>46539.0</v>
      </c>
      <c r="O139" s="31" t="s">
        <v>159</v>
      </c>
      <c r="P139" s="32" t="str">
        <f>HYPERLINK("https://api.typeform.com/responses/files/99f100775f319ef6ab0b2d0e6b27f382855722fee4b6eef640971dda8aeced97/Transcript___Data_Analysis_Intern___Trần_Vĩnh_Trường.xlsx")</f>
        <v>https://api.typeform.com/responses/files/99f100775f319ef6ab0b2d0e6b27f382855722fee4b6eef640971dda8aeced97/Transcript___Data_Analysis_Intern___Trần_Vĩnh_Trường.xlsx</v>
      </c>
      <c r="Q139" s="29" t="b">
        <v>1</v>
      </c>
      <c r="R139" s="29" t="s">
        <v>1486</v>
      </c>
      <c r="S139" s="29" t="s">
        <v>1487</v>
      </c>
      <c r="T139" s="29" t="s">
        <v>72</v>
      </c>
      <c r="U139" s="29" t="s">
        <v>72</v>
      </c>
      <c r="V139" s="29" t="s">
        <v>1488</v>
      </c>
      <c r="X139" s="29" t="s">
        <v>1489</v>
      </c>
      <c r="Y139" s="34">
        <v>46135.6781712963</v>
      </c>
      <c r="Z139" s="29" t="s">
        <v>1490</v>
      </c>
      <c r="AA139" s="6">
        <v>2.0</v>
      </c>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row>
    <row r="140" ht="22.5" hidden="1" customHeight="1">
      <c r="A140" s="29" t="s">
        <v>1491</v>
      </c>
      <c r="B140" s="30">
        <v>38459.0</v>
      </c>
      <c r="C140" s="29" t="s">
        <v>1492</v>
      </c>
      <c r="D140" s="31" t="s">
        <v>1493</v>
      </c>
      <c r="E140" s="29" t="s">
        <v>774</v>
      </c>
      <c r="F140" s="29" t="s">
        <v>127</v>
      </c>
      <c r="G140" s="32" t="str">
        <f>HYPERLINK("https://api.typeform.com/responses/files/c98def87ea6ea03b08a6f1d6f61b79afa2580ca40264ea4ae474ffecef7414f0/CV___Game_User_Acquisition_Intern___Nguyễn_Minh_Quang.pdf")</f>
        <v>https://api.typeform.com/responses/files/c98def87ea6ea03b08a6f1d6f61b79afa2580ca40264ea4ae474ffecef7414f0/CV___Game_User_Acquisition_Intern___Nguyễn_Minh_Quang.pdf</v>
      </c>
      <c r="H140" s="29" t="s">
        <v>1494</v>
      </c>
      <c r="I140" s="29" t="s">
        <v>1495</v>
      </c>
      <c r="J140" s="29" t="s">
        <v>842</v>
      </c>
      <c r="L140" s="29" t="s">
        <v>219</v>
      </c>
      <c r="M140" s="29" t="s">
        <v>1496</v>
      </c>
      <c r="N140" s="33">
        <v>46631.0</v>
      </c>
      <c r="O140" s="31" t="s">
        <v>288</v>
      </c>
      <c r="P140" s="32" t="str">
        <f>HYPERLINK("https://api.typeform.com/responses/files/584f0c7510b65badfa880d578fdc9598099f2f5a09bf19be80dedaf65d29bf64/Transcript___Game_User_Acquisition_Intern___Nguyễn_Minh_Quang.pdf")</f>
        <v>https://api.typeform.com/responses/files/584f0c7510b65badfa880d578fdc9598099f2f5a09bf19be80dedaf65d29bf64/Transcript___Game_User_Acquisition_Intern___Nguyễn_Minh_Quang.pdf</v>
      </c>
      <c r="Q140" s="29" t="b">
        <v>0</v>
      </c>
      <c r="R140" s="29" t="s">
        <v>300</v>
      </c>
      <c r="S140" s="29" t="s">
        <v>1497</v>
      </c>
      <c r="T140" s="29" t="s">
        <v>72</v>
      </c>
      <c r="U140" s="29" t="s">
        <v>72</v>
      </c>
      <c r="V140" s="29" t="s">
        <v>73</v>
      </c>
      <c r="X140" s="29" t="s">
        <v>1498</v>
      </c>
      <c r="Y140" s="34">
        <v>46135.67853009259</v>
      </c>
      <c r="Z140" s="29" t="s">
        <v>1499</v>
      </c>
      <c r="AA140" s="6">
        <v>2.0</v>
      </c>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row>
    <row r="141" ht="22.5" hidden="1" customHeight="1">
      <c r="A141" s="29" t="s">
        <v>1500</v>
      </c>
      <c r="B141" s="30">
        <v>38493.0</v>
      </c>
      <c r="C141" s="29" t="s">
        <v>1501</v>
      </c>
      <c r="D141" s="31" t="s">
        <v>1502</v>
      </c>
      <c r="E141" s="29" t="s">
        <v>127</v>
      </c>
      <c r="F141" s="29" t="s">
        <v>99</v>
      </c>
      <c r="G141" s="32" t="str">
        <f>HYPERLINK("https://api.typeform.com/responses/files/c33a105c480592c0acfeed82a8ee5ecd3662459c91475cd4d727e3a088d6585d/CV___Game_Quality_Assurance_Intern___Đinh_Hoàng_Nam.pdf")</f>
        <v>https://api.typeform.com/responses/files/c33a105c480592c0acfeed82a8ee5ecd3662459c91475cd4d727e3a088d6585d/CV___Game_Quality_Assurance_Intern___Đinh_Hoàng_Nam.pdf</v>
      </c>
      <c r="H141" s="29" t="s">
        <v>1503</v>
      </c>
      <c r="I141" s="29" t="s">
        <v>1504</v>
      </c>
      <c r="J141" s="29" t="s">
        <v>326</v>
      </c>
      <c r="L141" s="29" t="s">
        <v>219</v>
      </c>
      <c r="M141" s="29" t="s">
        <v>1505</v>
      </c>
      <c r="N141" s="33">
        <v>46629.0</v>
      </c>
      <c r="O141" s="31" t="s">
        <v>1321</v>
      </c>
      <c r="P141" s="32" t="str">
        <f>HYPERLINK("https://api.typeform.com/responses/files/7c64f301ba79b068b5339ef39b3f64fc732a4b597c07c4a4057964cceff0f8e6/Transcript___Game_Quality_Assurance_Intern___Đinh_Hoàng_Nam.pdf")</f>
        <v>https://api.typeform.com/responses/files/7c64f301ba79b068b5339ef39b3f64fc732a4b597c07c4a4057964cceff0f8e6/Transcript___Game_Quality_Assurance_Intern___Đinh_Hoàng_Nam.pdf</v>
      </c>
      <c r="Q141" s="29" t="b">
        <v>0</v>
      </c>
      <c r="R141" s="29" t="s">
        <v>375</v>
      </c>
      <c r="S141" s="29" t="s">
        <v>1437</v>
      </c>
      <c r="T141" s="29" t="s">
        <v>72</v>
      </c>
      <c r="U141" s="29" t="s">
        <v>72</v>
      </c>
      <c r="V141" s="29" t="s">
        <v>269</v>
      </c>
      <c r="Y141" s="34">
        <v>46135.69181712963</v>
      </c>
      <c r="Z141" s="29" t="s">
        <v>1506</v>
      </c>
      <c r="AA141" s="6">
        <v>2.0</v>
      </c>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row>
    <row r="142" ht="22.5" hidden="1" customHeight="1">
      <c r="A142" s="29" t="s">
        <v>1507</v>
      </c>
      <c r="B142" s="30">
        <v>37992.0</v>
      </c>
      <c r="C142" s="29" t="s">
        <v>1508</v>
      </c>
      <c r="D142" s="31" t="s">
        <v>1509</v>
      </c>
      <c r="E142" s="29" t="s">
        <v>633</v>
      </c>
      <c r="F142" s="29" t="s">
        <v>774</v>
      </c>
      <c r="G142" s="32" t="str">
        <f>HYPERLINK("https://api.typeform.com/responses/files/3a79d17052c343fb7bf3cb50140f3347cca8ff494030897c24fc76eb3e4d3a04/Human_Resources_Intern___Trần_Ngọc_Yến_Vy.pdf")</f>
        <v>https://api.typeform.com/responses/files/3a79d17052c343fb7bf3cb50140f3347cca8ff494030897c24fc76eb3e4d3a04/Human_Resources_Intern___Trần_Ngọc_Yến_Vy.pdf</v>
      </c>
      <c r="H142" s="29" t="s">
        <v>1510</v>
      </c>
      <c r="I142" s="29" t="s">
        <v>1511</v>
      </c>
      <c r="J142" s="29" t="s">
        <v>715</v>
      </c>
      <c r="L142" s="29" t="s">
        <v>67</v>
      </c>
      <c r="M142" s="29" t="s">
        <v>1512</v>
      </c>
      <c r="N142" s="33">
        <v>46327.0</v>
      </c>
      <c r="O142" s="31" t="s">
        <v>1513</v>
      </c>
      <c r="P142" s="32" t="str">
        <f>HYPERLINK("https://api.typeform.com/responses/files/98f21de1b836e8bac282365647b82c1f034f856f9774e3e5e9fefa71ad53f4fc/Transcript___Human_Resources_Intern___Trần_Ngọc_Yến_Vy.pdf")</f>
        <v>https://api.typeform.com/responses/files/98f21de1b836e8bac282365647b82c1f034f856f9774e3e5e9fefa71ad53f4fc/Transcript___Human_Resources_Intern___Trần_Ngọc_Yến_Vy.pdf</v>
      </c>
      <c r="Q142" s="29" t="b">
        <v>0</v>
      </c>
      <c r="R142" s="29" t="s">
        <v>1514</v>
      </c>
      <c r="S142" s="29" t="s">
        <v>1515</v>
      </c>
      <c r="T142" s="29" t="s">
        <v>72</v>
      </c>
      <c r="U142" s="29" t="s">
        <v>72</v>
      </c>
      <c r="V142" s="29" t="s">
        <v>73</v>
      </c>
      <c r="X142" s="29" t="s">
        <v>1516</v>
      </c>
      <c r="Y142" s="34">
        <v>46135.705983796295</v>
      </c>
      <c r="Z142" s="29" t="s">
        <v>1517</v>
      </c>
      <c r="AA142" s="6">
        <v>2.0</v>
      </c>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row>
    <row r="143" ht="22.5" hidden="1" customHeight="1">
      <c r="A143" s="29" t="s">
        <v>1518</v>
      </c>
      <c r="B143" s="30">
        <v>38529.0</v>
      </c>
      <c r="C143" s="29" t="s">
        <v>1519</v>
      </c>
      <c r="D143" s="31" t="s">
        <v>1520</v>
      </c>
      <c r="E143" s="29" t="s">
        <v>633</v>
      </c>
      <c r="F143" s="29" t="s">
        <v>82</v>
      </c>
      <c r="G143" s="32" t="str">
        <f>HYPERLINK("https://api.typeform.com/responses/files/8b01658af8a1256653185dd3e453f03153632696b2f75b14c02ae932cee6725a/Nguyen_Mac_Gia_Huy_CV.pdf")</f>
        <v>https://api.typeform.com/responses/files/8b01658af8a1256653185dd3e453f03153632696b2f75b14c02ae932cee6725a/Nguyen_Mac_Gia_Huy_CV.pdf</v>
      </c>
      <c r="H143" s="29" t="s">
        <v>1521</v>
      </c>
      <c r="I143" s="29" t="s">
        <v>1522</v>
      </c>
      <c r="J143" s="29" t="s">
        <v>842</v>
      </c>
      <c r="L143" s="29" t="s">
        <v>67</v>
      </c>
      <c r="M143" s="29" t="s">
        <v>1523</v>
      </c>
      <c r="N143" s="33">
        <v>46447.0</v>
      </c>
      <c r="O143" s="31" t="s">
        <v>1524</v>
      </c>
      <c r="P143" s="32" t="str">
        <f>HYPERLINK("https://api.typeform.com/responses/files/1b05b4cb4f2c983e25db1ea1d20da3449f26bddf190577df136e869f8f39c836/Bảng_điểm_học_tập_tiếng_Anh_sinh_viên_ĐHCQ_VLVH.pdf")</f>
        <v>https://api.typeform.com/responses/files/1b05b4cb4f2c983e25db1ea1d20da3449f26bddf190577df136e869f8f39c836/Bảng_điểm_học_tập_tiếng_Anh_sinh_viên_ĐHCQ_VLVH.pdf</v>
      </c>
      <c r="Q143" s="29" t="b">
        <v>1</v>
      </c>
      <c r="R143" s="29" t="s">
        <v>1525</v>
      </c>
      <c r="S143" s="29" t="s">
        <v>1526</v>
      </c>
      <c r="T143" s="29" t="s">
        <v>72</v>
      </c>
      <c r="U143" s="29" t="s">
        <v>72</v>
      </c>
      <c r="V143" s="29" t="s">
        <v>90</v>
      </c>
      <c r="Y143" s="34">
        <v>46135.72523148148</v>
      </c>
      <c r="Z143" s="29" t="s">
        <v>1527</v>
      </c>
      <c r="AA143" s="6">
        <v>2.0</v>
      </c>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row>
    <row r="144" ht="22.5" hidden="1" customHeight="1">
      <c r="A144" s="29" t="s">
        <v>1528</v>
      </c>
      <c r="B144" s="30">
        <v>38256.0</v>
      </c>
      <c r="C144" s="29" t="s">
        <v>1529</v>
      </c>
      <c r="D144" s="31" t="s">
        <v>1530</v>
      </c>
      <c r="E144" s="29" t="s">
        <v>62</v>
      </c>
      <c r="F144" s="29" t="s">
        <v>62</v>
      </c>
      <c r="G144" s="32" t="str">
        <f>HYPERLINK("https://api.typeform.com/responses/files/1afc47bfebd8ac72a62f3112dec57cbf34658f1dd36411edc8f03497e8159d83/CV___AI_Engineering_Intern___Trần_Văn_Trường.pdf")</f>
        <v>https://api.typeform.com/responses/files/1afc47bfebd8ac72a62f3112dec57cbf34658f1dd36411edc8f03497e8159d83/CV___AI_Engineering_Intern___Trần_Văn_Trường.pdf</v>
      </c>
      <c r="H144" s="29" t="s">
        <v>1531</v>
      </c>
      <c r="I144" s="29" t="s">
        <v>1532</v>
      </c>
      <c r="J144" s="29" t="s">
        <v>85</v>
      </c>
      <c r="L144" s="29" t="s">
        <v>67</v>
      </c>
      <c r="M144" s="29" t="s">
        <v>560</v>
      </c>
      <c r="N144" s="33">
        <v>46185.0</v>
      </c>
      <c r="O144" s="31" t="s">
        <v>1533</v>
      </c>
      <c r="P144" s="32" t="str">
        <f>HYPERLINK("https://api.typeform.com/responses/files/974c87316fa317158594647783e842792908351192c16e52987b5882a3138012/Transcript___AI_Engineer___Trần_Văn_Trường.pdf")</f>
        <v>https://api.typeform.com/responses/files/974c87316fa317158594647783e842792908351192c16e52987b5882a3138012/Transcript___AI_Engineer___Trần_Văn_Trường.pdf</v>
      </c>
      <c r="Q144" s="29" t="b">
        <v>1</v>
      </c>
      <c r="R144" s="29" t="s">
        <v>1534</v>
      </c>
      <c r="S144" s="29" t="s">
        <v>1535</v>
      </c>
      <c r="T144" s="29" t="s">
        <v>72</v>
      </c>
      <c r="U144" s="29" t="s">
        <v>72</v>
      </c>
      <c r="V144" s="29" t="s">
        <v>269</v>
      </c>
      <c r="X144" s="29" t="s">
        <v>1536</v>
      </c>
      <c r="Y144" s="34">
        <v>46135.738032407404</v>
      </c>
      <c r="Z144" s="29" t="s">
        <v>1537</v>
      </c>
      <c r="AA144" s="6">
        <v>2.0</v>
      </c>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row>
    <row r="145" ht="22.5" hidden="1" customHeight="1">
      <c r="A145" s="29" t="s">
        <v>1538</v>
      </c>
      <c r="B145" s="30">
        <v>38075.0</v>
      </c>
      <c r="C145" s="29" t="s">
        <v>1539</v>
      </c>
      <c r="D145" s="31" t="s">
        <v>1540</v>
      </c>
      <c r="E145" s="29" t="s">
        <v>82</v>
      </c>
      <c r="G145" s="32" t="str">
        <f>HYPERLINK("https://api.typeform.com/responses/files/dd322ebf5adfe048cb37e06dfb7b4f606b9e0ec9a3546d66552142376e221292/CV___Data_Analysis_Intern___Bùi_Đoàn_Thúy_Vy.pdf")</f>
        <v>https://api.typeform.com/responses/files/dd322ebf5adfe048cb37e06dfb7b4f606b9e0ec9a3546d66552142376e221292/CV___Data_Analysis_Intern___Bùi_Đoàn_Thúy_Vy.pdf</v>
      </c>
      <c r="H145" s="29" t="s">
        <v>1541</v>
      </c>
      <c r="I145" s="29" t="s">
        <v>1542</v>
      </c>
      <c r="J145" s="29" t="s">
        <v>326</v>
      </c>
      <c r="L145" s="29" t="s">
        <v>67</v>
      </c>
      <c r="M145" s="29" t="s">
        <v>298</v>
      </c>
      <c r="N145" s="33">
        <v>46296.0</v>
      </c>
      <c r="O145" s="31" t="s">
        <v>1543</v>
      </c>
      <c r="P145" s="32" t="str">
        <f>HYPERLINK("https://api.typeform.com/responses/files/06966c38c9358611ab72aa71115efe2ca38005bea667808c4a811626d74b0ad8/Transcript___Data_Analysis_Intern___Bùi_Đoàn_Thúy_Vy.pdf")</f>
        <v>https://api.typeform.com/responses/files/06966c38c9358611ab72aa71115efe2ca38005bea667808c4a811626d74b0ad8/Transcript___Data_Analysis_Intern___Bùi_Đoàn_Thúy_Vy.pdf</v>
      </c>
      <c r="Q145" s="29" t="b">
        <v>1</v>
      </c>
      <c r="R145" s="29" t="s">
        <v>1544</v>
      </c>
      <c r="S145" s="29" t="s">
        <v>1545</v>
      </c>
      <c r="T145" s="29" t="s">
        <v>72</v>
      </c>
      <c r="U145" s="29" t="s">
        <v>72</v>
      </c>
      <c r="V145" s="29" t="s">
        <v>269</v>
      </c>
      <c r="X145" s="29" t="s">
        <v>1546</v>
      </c>
      <c r="Y145" s="34">
        <v>46135.75681712963</v>
      </c>
      <c r="Z145" s="29" t="s">
        <v>1547</v>
      </c>
      <c r="AA145" s="6">
        <v>2.0</v>
      </c>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row>
    <row r="146" ht="22.5" hidden="1" customHeight="1">
      <c r="A146" s="29" t="s">
        <v>1548</v>
      </c>
      <c r="B146" s="30">
        <v>38309.0</v>
      </c>
      <c r="C146" s="29" t="s">
        <v>1549</v>
      </c>
      <c r="D146" s="31" t="s">
        <v>1550</v>
      </c>
      <c r="E146" s="29" t="s">
        <v>61</v>
      </c>
      <c r="F146" s="29" t="s">
        <v>62</v>
      </c>
      <c r="G146" s="32" t="str">
        <f>HYPERLINK("https://api.typeform.com/responses/files/18f1a5b8965e8431845ae05ef68b8e8e8bdf9f72c9b3c1124666baeae56e8182/CV___Unity_Developmet_Intern___Nguyễn_Gia_Huy.pdf")</f>
        <v>https://api.typeform.com/responses/files/18f1a5b8965e8431845ae05ef68b8e8e8bdf9f72c9b3c1124666baeae56e8182/CV___Unity_Developmet_Intern___Nguyễn_Gia_Huy.pdf</v>
      </c>
      <c r="H146" s="29" t="s">
        <v>1551</v>
      </c>
      <c r="I146" s="29" t="s">
        <v>1552</v>
      </c>
      <c r="J146" s="29" t="s">
        <v>130</v>
      </c>
      <c r="L146" s="29" t="s">
        <v>67</v>
      </c>
      <c r="M146" s="29" t="s">
        <v>132</v>
      </c>
      <c r="N146" s="33">
        <v>46256.0</v>
      </c>
      <c r="O146" s="31" t="s">
        <v>1553</v>
      </c>
      <c r="P146" s="32" t="str">
        <f>HYPERLINK("https://api.typeform.com/responses/files/ab9413ff9c189224d30207d5eae81f03aeb358121e26dfd486f8535ad2171b5e/Transcript___Unity_Development_Intern___Nguyễn_Gia_Huy.pdf")</f>
        <v>https://api.typeform.com/responses/files/ab9413ff9c189224d30207d5eae81f03aeb358121e26dfd486f8535ad2171b5e/Transcript___Unity_Development_Intern___Nguyễn_Gia_Huy.pdf</v>
      </c>
      <c r="Q146" s="29" t="b">
        <v>1</v>
      </c>
      <c r="R146" s="29" t="s">
        <v>1554</v>
      </c>
      <c r="S146" s="29" t="s">
        <v>1555</v>
      </c>
      <c r="T146" s="29" t="s">
        <v>72</v>
      </c>
      <c r="U146" s="29" t="s">
        <v>72</v>
      </c>
      <c r="V146" s="29" t="s">
        <v>1556</v>
      </c>
      <c r="X146" s="29" t="s">
        <v>1557</v>
      </c>
      <c r="Y146" s="34">
        <v>46135.75787037037</v>
      </c>
      <c r="Z146" s="29" t="s">
        <v>1558</v>
      </c>
      <c r="AA146" s="6">
        <v>2.0</v>
      </c>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row>
    <row r="147" ht="22.5" hidden="1" customHeight="1">
      <c r="A147" s="29" t="s">
        <v>1559</v>
      </c>
      <c r="B147" s="30">
        <v>38511.0</v>
      </c>
      <c r="C147" s="29" t="s">
        <v>1560</v>
      </c>
      <c r="D147" s="31" t="s">
        <v>1561</v>
      </c>
      <c r="E147" s="29" t="s">
        <v>82</v>
      </c>
      <c r="F147" s="29" t="s">
        <v>62</v>
      </c>
      <c r="G147" s="32" t="str">
        <f>HYPERLINK("https://api.typeform.com/responses/files/79295053935289dd9da03964968497f6a2f474a98fe4aa938beb745bebb63b56/CV___Data_Analysis_Intern___Bui_Ha_Bao_Khanh.pdf")</f>
        <v>https://api.typeform.com/responses/files/79295053935289dd9da03964968497f6a2f474a98fe4aa938beb745bebb63b56/CV___Data_Analysis_Intern___Bui_Ha_Bao_Khanh.pdf</v>
      </c>
      <c r="H147" s="29" t="s">
        <v>1562</v>
      </c>
      <c r="I147" s="29" t="s">
        <v>1563</v>
      </c>
      <c r="J147" s="29" t="s">
        <v>326</v>
      </c>
      <c r="L147" s="29" t="s">
        <v>219</v>
      </c>
      <c r="M147" s="29" t="s">
        <v>384</v>
      </c>
      <c r="N147" s="33">
        <v>38511.0</v>
      </c>
      <c r="O147" s="31" t="s">
        <v>1564</v>
      </c>
      <c r="P147" s="32" t="str">
        <f>HYPERLINK("https://api.typeform.com/responses/files/15fefddcdc0af16b12383c78e1194d47838300087b4cdffc0c5c8c30ae068e0a/Transcript___Data_Analysis_Intern___Bùi_Hà_Bảo_Khanh.pdf")</f>
        <v>https://api.typeform.com/responses/files/15fefddcdc0af16b12383c78e1194d47838300087b4cdffc0c5c8c30ae068e0a/Transcript___Data_Analysis_Intern___Bùi_Hà_Bảo_Khanh.pdf</v>
      </c>
      <c r="Q147" s="29" t="b">
        <v>1</v>
      </c>
      <c r="R147" s="29" t="s">
        <v>1565</v>
      </c>
      <c r="S147" s="29" t="s">
        <v>1566</v>
      </c>
      <c r="T147" s="29" t="s">
        <v>72</v>
      </c>
      <c r="U147" s="29" t="s">
        <v>72</v>
      </c>
      <c r="V147" s="29" t="s">
        <v>269</v>
      </c>
      <c r="X147" s="29" t="s">
        <v>1567</v>
      </c>
      <c r="Y147" s="34">
        <v>46135.76291666667</v>
      </c>
      <c r="Z147" s="29" t="s">
        <v>1568</v>
      </c>
      <c r="AA147" s="6">
        <v>2.0</v>
      </c>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row>
    <row r="148" ht="22.5" hidden="1" customHeight="1">
      <c r="A148" s="29" t="s">
        <v>1569</v>
      </c>
      <c r="B148" s="30">
        <v>37503.0</v>
      </c>
      <c r="C148" s="29" t="s">
        <v>1570</v>
      </c>
      <c r="D148" s="31" t="s">
        <v>1571</v>
      </c>
      <c r="E148" s="29" t="s">
        <v>127</v>
      </c>
      <c r="F148" s="29" t="s">
        <v>61</v>
      </c>
      <c r="G148" s="32" t="str">
        <f>HYPERLINK("https://api.typeform.com/responses/files/cb63645e800d86e6294ee66d856b27e6071d32ed4ec002ba4be943bb46c8ea4f/CV___Game_QA_Intern___Trần_Xuân_Lộc.pdf")</f>
        <v>https://api.typeform.com/responses/files/cb63645e800d86e6294ee66d856b27e6071d32ed4ec002ba4be943bb46c8ea4f/CV___Game_QA_Intern___Trần_Xuân_Lộc.pdf</v>
      </c>
      <c r="H148" s="29" t="s">
        <v>1572</v>
      </c>
      <c r="I148" s="29" t="s">
        <v>1573</v>
      </c>
      <c r="J148" s="29" t="s">
        <v>326</v>
      </c>
      <c r="L148" s="29" t="s">
        <v>103</v>
      </c>
      <c r="M148" s="29" t="s">
        <v>941</v>
      </c>
      <c r="N148" s="33">
        <v>45820.0</v>
      </c>
      <c r="O148" s="31" t="s">
        <v>147</v>
      </c>
      <c r="P148" s="32" t="str">
        <f>HYPERLINK("https://api.typeform.com/responses/files/75cbc0bc41d09a0f4a4a54fef7cbc14bdaed981d5e49a83d6fe55d6e296accb0/Transcript___Game_QA_Intern___Trần_Xuân_Lộc.pdf")</f>
        <v>https://api.typeform.com/responses/files/75cbc0bc41d09a0f4a4a54fef7cbc14bdaed981d5e49a83d6fe55d6e296accb0/Transcript___Game_QA_Intern___Trần_Xuân_Lộc.pdf</v>
      </c>
      <c r="Q148" s="29" t="b">
        <v>1</v>
      </c>
      <c r="R148" s="29" t="s">
        <v>1574</v>
      </c>
      <c r="S148" s="29" t="s">
        <v>1575</v>
      </c>
      <c r="T148" s="29" t="s">
        <v>72</v>
      </c>
      <c r="U148" s="29" t="s">
        <v>72</v>
      </c>
      <c r="V148" s="29" t="s">
        <v>73</v>
      </c>
      <c r="X148" s="29" t="s">
        <v>1576</v>
      </c>
      <c r="Y148" s="34">
        <v>46135.782847222225</v>
      </c>
      <c r="Z148" s="29" t="s">
        <v>1577</v>
      </c>
      <c r="AA148" s="6">
        <v>2.0</v>
      </c>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row>
    <row r="149" ht="22.5" hidden="1" customHeight="1">
      <c r="A149" s="29" t="s">
        <v>1578</v>
      </c>
      <c r="B149" s="30">
        <v>38964.0</v>
      </c>
      <c r="C149" s="29" t="s">
        <v>1579</v>
      </c>
      <c r="D149" s="31" t="s">
        <v>1580</v>
      </c>
      <c r="E149" s="29" t="s">
        <v>62</v>
      </c>
      <c r="F149" s="29" t="s">
        <v>82</v>
      </c>
      <c r="G149" s="32" t="str">
        <f>HYPERLINK("https://api.typeform.com/responses/files/e091337e56583642ecd443a76be55e0f3aed8b0bb47ecf3d06a06d4bd0edad26/CV___AI_Engineering___Đoàn_Nguyễn_Minh_Thư.pdf")</f>
        <v>https://api.typeform.com/responses/files/e091337e56583642ecd443a76be55e0f3aed8b0bb47ecf3d06a06d4bd0edad26/CV___AI_Engineering___Đoàn_Nguyễn_Minh_Thư.pdf</v>
      </c>
      <c r="H149" s="29" t="s">
        <v>1581</v>
      </c>
      <c r="I149" s="29" t="s">
        <v>1582</v>
      </c>
      <c r="J149" s="29" t="s">
        <v>85</v>
      </c>
      <c r="L149" s="29" t="s">
        <v>169</v>
      </c>
      <c r="M149" s="29" t="s">
        <v>612</v>
      </c>
      <c r="N149" s="33">
        <v>46558.0</v>
      </c>
      <c r="O149" s="31" t="s">
        <v>1583</v>
      </c>
      <c r="P149" s="32" t="str">
        <f>HYPERLINK("https://api.typeform.com/responses/files/866efa7eddb039dcbff3844ad3a5094029c2d3de0c694251724661fdde27c8e0/Transcript___AI_Engineer___Đoàn_Nguyễn_Minh_Thư.pdf")</f>
        <v>https://api.typeform.com/responses/files/866efa7eddb039dcbff3844ad3a5094029c2d3de0c694251724661fdde27c8e0/Transcript___AI_Engineer___Đoàn_Nguyễn_Minh_Thư.pdf</v>
      </c>
      <c r="Q149" s="29" t="b">
        <v>1</v>
      </c>
      <c r="R149" s="29" t="s">
        <v>1584</v>
      </c>
      <c r="S149" s="29" t="s">
        <v>1585</v>
      </c>
      <c r="T149" s="29" t="s">
        <v>72</v>
      </c>
      <c r="U149" s="29" t="s">
        <v>72</v>
      </c>
      <c r="V149" s="29" t="s">
        <v>269</v>
      </c>
      <c r="X149" s="29" t="s">
        <v>1586</v>
      </c>
      <c r="Y149" s="34">
        <v>46135.791712962964</v>
      </c>
      <c r="Z149" s="29" t="s">
        <v>1587</v>
      </c>
      <c r="AA149" s="6">
        <v>2.0</v>
      </c>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row>
    <row r="150" ht="22.5" hidden="1" customHeight="1">
      <c r="A150" s="29" t="s">
        <v>1588</v>
      </c>
      <c r="B150" s="30">
        <v>38389.0</v>
      </c>
      <c r="C150" s="29" t="s">
        <v>1589</v>
      </c>
      <c r="D150" s="31" t="s">
        <v>1590</v>
      </c>
      <c r="E150" s="29" t="s">
        <v>61</v>
      </c>
      <c r="F150" s="29" t="s">
        <v>127</v>
      </c>
      <c r="G150" s="32" t="str">
        <f>HYPERLINK("https://api.typeform.com/responses/files/6bbcf7fa805bde1e13fac793f8f3d11287b529e5ac038ece7c108d7ae5f9be49/CV___Unity_Development_Intern___Lê_Trọng_Thiện.pdf")</f>
        <v>https://api.typeform.com/responses/files/6bbcf7fa805bde1e13fac793f8f3d11287b529e5ac038ece7c108d7ae5f9be49/CV___Unity_Development_Intern___Lê_Trọng_Thiện.pdf</v>
      </c>
      <c r="H150" s="29" t="s">
        <v>1591</v>
      </c>
      <c r="I150" s="29" t="s">
        <v>1592</v>
      </c>
      <c r="J150" s="29" t="s">
        <v>715</v>
      </c>
      <c r="L150" s="29" t="s">
        <v>219</v>
      </c>
      <c r="M150" s="29" t="s">
        <v>930</v>
      </c>
      <c r="N150" s="33">
        <v>46507.0</v>
      </c>
      <c r="O150" s="31" t="s">
        <v>602</v>
      </c>
      <c r="P150" s="32" t="str">
        <f>HYPERLINK("https://api.typeform.com/responses/files/9ab689d81a6526d051058a5624797bfe005d9bf1a332091f9d67641a52859de8/Transcript___Unity_Development_Intern___Lê_Trọng_Thiện.pdf")</f>
        <v>https://api.typeform.com/responses/files/9ab689d81a6526d051058a5624797bfe005d9bf1a332091f9d67641a52859de8/Transcript___Unity_Development_Intern___Lê_Trọng_Thiện.pdf</v>
      </c>
      <c r="Q150" s="29" t="b">
        <v>0</v>
      </c>
      <c r="R150" s="29" t="s">
        <v>268</v>
      </c>
      <c r="S150" s="29" t="s">
        <v>1593</v>
      </c>
      <c r="T150" s="29" t="s">
        <v>72</v>
      </c>
      <c r="U150" s="29" t="s">
        <v>72</v>
      </c>
      <c r="V150" s="29" t="s">
        <v>269</v>
      </c>
      <c r="Y150" s="34">
        <v>46135.84476851852</v>
      </c>
      <c r="Z150" s="29" t="s">
        <v>1594</v>
      </c>
      <c r="AA150" s="6">
        <v>2.0</v>
      </c>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row>
    <row r="151" ht="22.5" hidden="1" customHeight="1">
      <c r="A151" s="29" t="s">
        <v>1595</v>
      </c>
      <c r="B151" s="30">
        <v>38557.0</v>
      </c>
      <c r="C151" s="29" t="s">
        <v>1596</v>
      </c>
      <c r="D151" s="31" t="s">
        <v>1597</v>
      </c>
      <c r="E151" s="29" t="s">
        <v>774</v>
      </c>
      <c r="G151" s="32" t="str">
        <f>HYPERLINK("https://api.typeform.com/responses/files/64a2560b044836b404a193ed5e753735fc8cb52361273c613a5bde0f457587ae/Transcript___UA_Marketing___Nguyễn_Hoàng_Minh.pdf")</f>
        <v>https://api.typeform.com/responses/files/64a2560b044836b404a193ed5e753735fc8cb52361273c613a5bde0f457587ae/Transcript___UA_Marketing___Nguyễn_Hoàng_Minh.pdf</v>
      </c>
      <c r="H151" s="29" t="s">
        <v>1598</v>
      </c>
      <c r="I151" s="29" t="s">
        <v>1599</v>
      </c>
      <c r="J151" s="29" t="s">
        <v>65</v>
      </c>
      <c r="K151" s="29" t="s">
        <v>1600</v>
      </c>
      <c r="L151" s="29" t="s">
        <v>219</v>
      </c>
      <c r="M151" s="29" t="s">
        <v>1348</v>
      </c>
      <c r="N151" s="33">
        <v>46752.0</v>
      </c>
      <c r="O151" s="31" t="s">
        <v>1601</v>
      </c>
      <c r="P151" s="32" t="str">
        <f>HYPERLINK("https://api.typeform.com/responses/files/bf34bc1232b3493200bbba5149887984f94c05a7daacd43efbddaea1a36d5a9f/Transcript___UA_Marketing___Nguyễn_Hoàng_Minh.pdf")</f>
        <v>https://api.typeform.com/responses/files/bf34bc1232b3493200bbba5149887984f94c05a7daacd43efbddaea1a36d5a9f/Transcript___UA_Marketing___Nguyễn_Hoàng_Minh.pdf</v>
      </c>
      <c r="Q151" s="29" t="b">
        <v>1</v>
      </c>
      <c r="R151" s="29" t="s">
        <v>1602</v>
      </c>
      <c r="S151" s="29" t="s">
        <v>1603</v>
      </c>
      <c r="T151" s="29" t="s">
        <v>72</v>
      </c>
      <c r="U151" s="29" t="s">
        <v>72</v>
      </c>
      <c r="V151" s="29" t="s">
        <v>73</v>
      </c>
      <c r="Y151" s="34">
        <v>46136.02017361111</v>
      </c>
      <c r="Z151" s="29" t="s">
        <v>1604</v>
      </c>
      <c r="AA151" s="6">
        <v>2.0</v>
      </c>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row>
    <row r="152" ht="22.5" hidden="1" customHeight="1">
      <c r="A152" s="29" t="s">
        <v>1605</v>
      </c>
      <c r="B152" s="30">
        <v>38066.0</v>
      </c>
      <c r="C152" s="29" t="s">
        <v>1606</v>
      </c>
      <c r="D152" s="31" t="s">
        <v>1607</v>
      </c>
      <c r="E152" s="29" t="s">
        <v>62</v>
      </c>
      <c r="F152" s="29" t="s">
        <v>62</v>
      </c>
      <c r="G152" s="32" t="str">
        <f>HYPERLINK("https://api.typeform.com/responses/files/4e49a5e0859e72688b6b88789db0b045157c5af7aeb8bd2200a3f2d2d95c7d6e/Nguyen_Tran_Nhut_Nam_CV__2___1_.pdf")</f>
        <v>https://api.typeform.com/responses/files/4e49a5e0859e72688b6b88789db0b045157c5af7aeb8bd2200a3f2d2d95c7d6e/Nguyen_Tran_Nhut_Nam_CV__2___1_.pdf</v>
      </c>
      <c r="H152" s="29" t="s">
        <v>1608</v>
      </c>
      <c r="I152" s="29" t="s">
        <v>1609</v>
      </c>
      <c r="J152" s="29" t="s">
        <v>1610</v>
      </c>
      <c r="L152" s="29" t="s">
        <v>67</v>
      </c>
      <c r="M152" s="29" t="s">
        <v>624</v>
      </c>
      <c r="N152" s="33">
        <v>46315.0</v>
      </c>
      <c r="O152" s="31" t="s">
        <v>780</v>
      </c>
      <c r="P152" s="32" t="str">
        <f>HYPERLINK("https://api.typeform.com/responses/files/5e52d1820c9135cfda68525f48ecbc80911f4ded100766e7ce2d03d328557a84/Diem__1_.xlsx")</f>
        <v>https://api.typeform.com/responses/files/5e52d1820c9135cfda68525f48ecbc80911f4ded100766e7ce2d03d328557a84/Diem__1_.xlsx</v>
      </c>
      <c r="Q152" s="29" t="b">
        <v>0</v>
      </c>
      <c r="R152" s="29" t="s">
        <v>1611</v>
      </c>
      <c r="S152" s="29" t="s">
        <v>1612</v>
      </c>
      <c r="T152" s="29" t="s">
        <v>72</v>
      </c>
      <c r="U152" s="29" t="s">
        <v>72</v>
      </c>
      <c r="V152" s="29" t="s">
        <v>73</v>
      </c>
      <c r="X152" s="29" t="s">
        <v>1613</v>
      </c>
      <c r="Y152" s="34">
        <v>46136.046631944446</v>
      </c>
      <c r="Z152" s="29" t="s">
        <v>1614</v>
      </c>
      <c r="AA152" s="6">
        <v>2.0</v>
      </c>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row>
    <row r="153" ht="22.5" hidden="1" customHeight="1">
      <c r="A153" s="29" t="s">
        <v>1615</v>
      </c>
      <c r="B153" s="30">
        <v>38248.0</v>
      </c>
      <c r="C153" s="29" t="s">
        <v>1616</v>
      </c>
      <c r="D153" s="31" t="s">
        <v>1617</v>
      </c>
      <c r="E153" s="29" t="s">
        <v>62</v>
      </c>
      <c r="F153" s="29" t="s">
        <v>62</v>
      </c>
      <c r="G153" s="32" t="str">
        <f>HYPERLINK("https://api.typeform.com/responses/files/3be080eab9ffd027e8bab69b25c6581c005889aa72aebe8ef309a5423dd7c652/CV__AI_Engineering_Intern___Vũ_Ngọc_Sơn.pdf")</f>
        <v>https://api.typeform.com/responses/files/3be080eab9ffd027e8bab69b25c6581c005889aa72aebe8ef309a5423dd7c652/CV__AI_Engineering_Intern___Vũ_Ngọc_Sơn.pdf</v>
      </c>
      <c r="H153" s="29" t="s">
        <v>1618</v>
      </c>
      <c r="I153" s="29" t="s">
        <v>1619</v>
      </c>
      <c r="J153" s="29" t="s">
        <v>1069</v>
      </c>
      <c r="L153" s="29" t="s">
        <v>67</v>
      </c>
      <c r="M153" s="29" t="s">
        <v>1183</v>
      </c>
      <c r="N153" s="33">
        <v>46568.0</v>
      </c>
      <c r="O153" s="31" t="s">
        <v>1620</v>
      </c>
      <c r="P153" s="32" t="str">
        <f>HYPERLINK("https://api.typeform.com/responses/files/fc427bd3a4cbc38fca230cde70906bd0eca13c972bdd2d40cf5a1973d5ec0d6d/Transcript__AI_Engineering_Intern___Vũ_Ngọc_Sơn.pdf")</f>
        <v>https://api.typeform.com/responses/files/fc427bd3a4cbc38fca230cde70906bd0eca13c972bdd2d40cf5a1973d5ec0d6d/Transcript__AI_Engineering_Intern___Vũ_Ngọc_Sơn.pdf</v>
      </c>
      <c r="Q153" s="29" t="b">
        <v>1</v>
      </c>
      <c r="R153" s="29" t="s">
        <v>1621</v>
      </c>
      <c r="S153" s="29" t="s">
        <v>1622</v>
      </c>
      <c r="T153" s="29" t="s">
        <v>72</v>
      </c>
      <c r="U153" s="29" t="s">
        <v>72</v>
      </c>
      <c r="V153" s="29" t="s">
        <v>188</v>
      </c>
      <c r="X153" s="29" t="s">
        <v>1623</v>
      </c>
      <c r="Y153" s="34">
        <v>46136.04819444445</v>
      </c>
      <c r="Z153" s="29" t="s">
        <v>1624</v>
      </c>
      <c r="AA153" s="6">
        <v>2.0</v>
      </c>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row>
    <row r="154" ht="22.5" hidden="1" customHeight="1">
      <c r="A154" s="29" t="s">
        <v>1625</v>
      </c>
      <c r="B154" s="30">
        <v>38123.0</v>
      </c>
      <c r="C154" s="29" t="s">
        <v>1626</v>
      </c>
      <c r="D154" s="31" t="s">
        <v>1627</v>
      </c>
      <c r="E154" s="29" t="s">
        <v>633</v>
      </c>
      <c r="F154" s="29" t="s">
        <v>633</v>
      </c>
      <c r="G154" s="32" t="str">
        <f>HYPERLINK("https://api.typeform.com/responses/files/6bd3714e7b6965587c535bc2fe4ab68546cec9a70f734546cbf3099daab383e0/CV_LUONG_NGUYET_THUY.pdf")</f>
        <v>https://api.typeform.com/responses/files/6bd3714e7b6965587c535bc2fe4ab68546cec9a70f734546cbf3099daab383e0/CV_LUONG_NGUYET_THUY.pdf</v>
      </c>
      <c r="H154" s="29" t="s">
        <v>1628</v>
      </c>
      <c r="I154" s="29" t="s">
        <v>1629</v>
      </c>
      <c r="J154" s="29" t="s">
        <v>244</v>
      </c>
      <c r="L154" s="29" t="s">
        <v>67</v>
      </c>
      <c r="M154" s="29" t="s">
        <v>1630</v>
      </c>
      <c r="N154" s="33">
        <v>46172.0</v>
      </c>
      <c r="O154" s="31" t="s">
        <v>890</v>
      </c>
      <c r="P154" s="32" t="str">
        <f>HYPERLINK("https://api.typeform.com/responses/files/25afaa42268e83793c46a32f43a66f83fb94c98cfe4753b6b55616a50fa9b1f3/Transcript___HR_Intern___Lương_Nguyệt_Thuý.PNG")</f>
        <v>https://api.typeform.com/responses/files/25afaa42268e83793c46a32f43a66f83fb94c98cfe4753b6b55616a50fa9b1f3/Transcript___HR_Intern___Lương_Nguyệt_Thuý.PNG</v>
      </c>
      <c r="Q154" s="29" t="b">
        <v>0</v>
      </c>
      <c r="R154" s="29" t="s">
        <v>375</v>
      </c>
      <c r="S154" s="29" t="s">
        <v>1631</v>
      </c>
      <c r="T154" s="29" t="s">
        <v>72</v>
      </c>
      <c r="U154" s="29" t="s">
        <v>72</v>
      </c>
      <c r="V154" s="29" t="s">
        <v>1632</v>
      </c>
      <c r="X154" s="29" t="s">
        <v>1633</v>
      </c>
      <c r="Y154" s="34">
        <v>46136.0815162037</v>
      </c>
      <c r="Z154" s="29" t="s">
        <v>1634</v>
      </c>
      <c r="AA154" s="6">
        <v>2.0</v>
      </c>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row>
    <row r="155" ht="22.5" hidden="1" customHeight="1">
      <c r="A155" s="29" t="s">
        <v>1635</v>
      </c>
      <c r="B155" s="30">
        <v>38709.0</v>
      </c>
      <c r="C155" s="29" t="s">
        <v>1636</v>
      </c>
      <c r="D155" s="31" t="s">
        <v>1637</v>
      </c>
      <c r="E155" s="29" t="s">
        <v>633</v>
      </c>
      <c r="F155" s="29" t="s">
        <v>774</v>
      </c>
      <c r="G155" s="32" t="str">
        <f>HYPERLINK("https://api.typeform.com/responses/files/cf66b5a0dbef6b5eb79dd81e5a045092e7837d78de1a0decffd781439879b434/CV___Human_Resources_Intern___Hoàng_Kim_Tùng.pdf")</f>
        <v>https://api.typeform.com/responses/files/cf66b5a0dbef6b5eb79dd81e5a045092e7837d78de1a0decffd781439879b434/CV___Human_Resources_Intern___Hoàng_Kim_Tùng.pdf</v>
      </c>
      <c r="H155" s="29" t="s">
        <v>1638</v>
      </c>
      <c r="I155" s="29" t="s">
        <v>1639</v>
      </c>
      <c r="J155" s="29" t="s">
        <v>842</v>
      </c>
      <c r="L155" s="29" t="s">
        <v>219</v>
      </c>
      <c r="M155" s="29" t="s">
        <v>684</v>
      </c>
      <c r="N155" s="33">
        <v>46388.0</v>
      </c>
      <c r="O155" s="31" t="s">
        <v>890</v>
      </c>
      <c r="P155" s="32" t="str">
        <f>HYPERLINK("https://api.typeform.com/responses/files/65277d9e9a53570364314c6c8da69772882ab82a0f5c61c2d06b3dabece5c9ae/Transcript___Human_Resources_Intern___Hoàng_Kim_Tùng.pdf")</f>
        <v>https://api.typeform.com/responses/files/65277d9e9a53570364314c6c8da69772882ab82a0f5c61c2d06b3dabece5c9ae/Transcript___Human_Resources_Intern___Hoàng_Kim_Tùng.pdf</v>
      </c>
      <c r="Q155" s="29" t="b">
        <v>0</v>
      </c>
      <c r="R155" s="29" t="s">
        <v>222</v>
      </c>
      <c r="S155" s="29" t="s">
        <v>1640</v>
      </c>
      <c r="T155" s="29" t="s">
        <v>72</v>
      </c>
      <c r="U155" s="29" t="s">
        <v>72</v>
      </c>
      <c r="V155" s="29" t="s">
        <v>73</v>
      </c>
      <c r="X155" s="29" t="s">
        <v>1641</v>
      </c>
      <c r="Y155" s="34">
        <v>46136.091203703705</v>
      </c>
      <c r="Z155" s="29" t="s">
        <v>1642</v>
      </c>
      <c r="AA155" s="6">
        <v>2.0</v>
      </c>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row>
    <row r="156" ht="22.5" hidden="1" customHeight="1">
      <c r="A156" s="29" t="s">
        <v>1643</v>
      </c>
      <c r="B156" s="30">
        <v>38217.0</v>
      </c>
      <c r="C156" s="29" t="s">
        <v>1644</v>
      </c>
      <c r="D156" s="31" t="s">
        <v>1645</v>
      </c>
      <c r="E156" s="29" t="s">
        <v>62</v>
      </c>
      <c r="F156" s="29" t="s">
        <v>82</v>
      </c>
      <c r="G156" s="32" t="str">
        <f>HYPERLINK("https://api.typeform.com/responses/files/3311c68a79628b5f562c201625a63c38c9c1d0ba2287a3149a2d85369becf6af/CV___AI_Engineer_Intern___Trương_Vĩnh_An.pdf")</f>
        <v>https://api.typeform.com/responses/files/3311c68a79628b5f562c201625a63c38c9c1d0ba2287a3149a2d85369becf6af/CV___AI_Engineer_Intern___Trương_Vĩnh_An.pdf</v>
      </c>
      <c r="H156" s="29" t="s">
        <v>1646</v>
      </c>
      <c r="I156" s="29" t="s">
        <v>1647</v>
      </c>
      <c r="J156" s="29" t="s">
        <v>326</v>
      </c>
      <c r="L156" s="29" t="s">
        <v>67</v>
      </c>
      <c r="M156" s="29" t="s">
        <v>384</v>
      </c>
      <c r="N156" s="33">
        <v>46234.0</v>
      </c>
      <c r="O156" s="31" t="s">
        <v>1648</v>
      </c>
      <c r="P156" s="32" t="str">
        <f>HYPERLINK("https://api.typeform.com/responses/files/52fdd8194f5c8b00b2573cbde459dff2e49949479f3e947cd5fe3d59ee9d1f2b/Transcript___AI_Engineer_Intern___Trương_Vĩnh_An.pdf")</f>
        <v>https://api.typeform.com/responses/files/52fdd8194f5c8b00b2573cbde459dff2e49949479f3e947cd5fe3d59ee9d1f2b/Transcript___AI_Engineer_Intern___Trương_Vĩnh_An.pdf</v>
      </c>
      <c r="Q156" s="29" t="b">
        <v>1</v>
      </c>
      <c r="R156" s="29" t="s">
        <v>1649</v>
      </c>
      <c r="S156" s="29" t="s">
        <v>1650</v>
      </c>
      <c r="T156" s="29" t="s">
        <v>72</v>
      </c>
      <c r="U156" s="29" t="s">
        <v>72</v>
      </c>
      <c r="V156" s="29" t="s">
        <v>73</v>
      </c>
      <c r="X156" s="29" t="s">
        <v>1651</v>
      </c>
      <c r="Y156" s="34">
        <v>46136.09369212963</v>
      </c>
      <c r="Z156" s="29" t="s">
        <v>1652</v>
      </c>
      <c r="AA156" s="6">
        <v>2.0</v>
      </c>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row>
    <row r="157" ht="22.5" hidden="1" customHeight="1">
      <c r="A157" s="29" t="s">
        <v>1653</v>
      </c>
      <c r="B157" s="30">
        <v>38219.0</v>
      </c>
      <c r="C157" s="29" t="s">
        <v>1654</v>
      </c>
      <c r="D157" s="31" t="s">
        <v>1655</v>
      </c>
      <c r="E157" s="29" t="s">
        <v>633</v>
      </c>
      <c r="F157" s="29" t="s">
        <v>633</v>
      </c>
      <c r="G157" s="32" t="str">
        <f>HYPERLINK("https://api.typeform.com/responses/files/f3b6b33923de782a59f02ff23413ef9752f08150250d5d417e46544b5568e948/CV___HR_INTERN___TRAN_THI_THU_LUONG.pdf")</f>
        <v>https://api.typeform.com/responses/files/f3b6b33923de782a59f02ff23413ef9752f08150250d5d417e46544b5568e948/CV___HR_INTERN___TRAN_THI_THU_LUONG.pdf</v>
      </c>
      <c r="H157" s="29" t="s">
        <v>1656</v>
      </c>
      <c r="I157" s="29" t="s">
        <v>1657</v>
      </c>
      <c r="J157" s="29" t="s">
        <v>715</v>
      </c>
      <c r="L157" s="29" t="s">
        <v>67</v>
      </c>
      <c r="M157" s="29" t="s">
        <v>1658</v>
      </c>
      <c r="N157" s="33">
        <v>46327.0</v>
      </c>
      <c r="O157" s="31" t="s">
        <v>1659</v>
      </c>
      <c r="P157" s="32" t="str">
        <f>HYPERLINK("https://api.typeform.com/responses/files/10b080ac4267ed3dcf7becd9fbd9b34530b363f9a13c2b83b7b1a7c2294df481/Transcript___HR_Intern___TRẦN_THỊ_THU_LƯƠNG.pdf")</f>
        <v>https://api.typeform.com/responses/files/10b080ac4267ed3dcf7becd9fbd9b34530b363f9a13c2b83b7b1a7c2294df481/Transcript___HR_Intern___TRẦN_THỊ_THU_LƯƠNG.pdf</v>
      </c>
      <c r="Q157" s="29" t="b">
        <v>0</v>
      </c>
      <c r="R157" s="29" t="s">
        <v>1660</v>
      </c>
      <c r="S157" s="29" t="s">
        <v>1660</v>
      </c>
      <c r="T157" s="29" t="s">
        <v>72</v>
      </c>
      <c r="U157" s="29" t="s">
        <v>72</v>
      </c>
      <c r="V157" s="29" t="s">
        <v>90</v>
      </c>
      <c r="X157" s="29" t="s">
        <v>1661</v>
      </c>
      <c r="Y157" s="34">
        <v>46136.111597222225</v>
      </c>
      <c r="Z157" s="29" t="s">
        <v>1662</v>
      </c>
      <c r="AA157" s="6">
        <v>2.0</v>
      </c>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row>
    <row r="158" ht="22.5" hidden="1" customHeight="1">
      <c r="A158" s="29" t="s">
        <v>1663</v>
      </c>
      <c r="B158" s="30">
        <v>38029.0</v>
      </c>
      <c r="C158" s="29" t="s">
        <v>1664</v>
      </c>
      <c r="D158" s="31" t="s">
        <v>1665</v>
      </c>
      <c r="E158" s="29" t="s">
        <v>62</v>
      </c>
      <c r="F158" s="29" t="s">
        <v>82</v>
      </c>
      <c r="G158" s="32" t="str">
        <f>HYPERLINK("https://api.typeform.com/responses/files/0904a9097011fff4b57075fea06f2dc24c599ba15d2000da99a7743040ff3321/CV___AI_Engineering_Intern___Đoàn_Thị_Minh_Anh.pdf")</f>
        <v>https://api.typeform.com/responses/files/0904a9097011fff4b57075fea06f2dc24c599ba15d2000da99a7743040ff3321/CV___AI_Engineering_Intern___Đoàn_Thị_Minh_Anh.pdf</v>
      </c>
      <c r="H158" s="29" t="s">
        <v>1666</v>
      </c>
      <c r="I158" s="29" t="s">
        <v>1667</v>
      </c>
      <c r="J158" s="29" t="s">
        <v>326</v>
      </c>
      <c r="L158" s="29" t="s">
        <v>67</v>
      </c>
      <c r="M158" s="29" t="s">
        <v>399</v>
      </c>
      <c r="N158" s="33">
        <v>46266.0</v>
      </c>
      <c r="O158" s="31" t="s">
        <v>1668</v>
      </c>
      <c r="P158" s="32" t="str">
        <f>HYPERLINK("https://api.typeform.com/responses/files/7b0c0b400f7832f029dcecbf1c1629021429d4541c95d4161333fa8cd75fa26a/Transcript___AI_Engineering_Intern___Đoàn_Thị_Minh_Anh.pdf")</f>
        <v>https://api.typeform.com/responses/files/7b0c0b400f7832f029dcecbf1c1629021429d4541c95d4161333fa8cd75fa26a/Transcript___AI_Engineering_Intern___Đoàn_Thị_Minh_Anh.pdf</v>
      </c>
      <c r="Q158" s="29" t="b">
        <v>1</v>
      </c>
      <c r="R158" s="29" t="s">
        <v>1669</v>
      </c>
      <c r="S158" s="29" t="s">
        <v>1670</v>
      </c>
      <c r="T158" s="29" t="s">
        <v>72</v>
      </c>
      <c r="U158" s="29" t="s">
        <v>72</v>
      </c>
      <c r="V158" s="29" t="s">
        <v>269</v>
      </c>
      <c r="Y158" s="34">
        <v>46136.115902777776</v>
      </c>
      <c r="Z158" s="29" t="s">
        <v>1671</v>
      </c>
      <c r="AA158" s="6">
        <v>2.0</v>
      </c>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row>
    <row r="159" ht="22.5" hidden="1" customHeight="1">
      <c r="A159" s="29" t="s">
        <v>1672</v>
      </c>
      <c r="B159" s="30">
        <v>36660.0</v>
      </c>
      <c r="C159" s="29" t="s">
        <v>1673</v>
      </c>
      <c r="D159" s="31" t="s">
        <v>1674</v>
      </c>
      <c r="E159" s="29" t="s">
        <v>127</v>
      </c>
      <c r="F159" s="29" t="s">
        <v>99</v>
      </c>
      <c r="G159" s="32" t="str">
        <f>HYPERLINK("https://api.typeform.com/responses/files/6ad56dfb03cbc18270ad30d8f5d21b92d1a114ca2116a84405f5ac980dba0cd9/CV___NQN.pdf")</f>
        <v>https://api.typeform.com/responses/files/6ad56dfb03cbc18270ad30d8f5d21b92d1a114ca2116a84405f5ac980dba0cd9/CV___NQN.pdf</v>
      </c>
      <c r="H159" s="29" t="s">
        <v>1675</v>
      </c>
      <c r="I159" s="29" t="s">
        <v>1676</v>
      </c>
      <c r="J159" s="29" t="s">
        <v>65</v>
      </c>
      <c r="K159" s="29" t="s">
        <v>1677</v>
      </c>
      <c r="L159" s="29" t="s">
        <v>103</v>
      </c>
      <c r="M159" s="29" t="s">
        <v>1678</v>
      </c>
      <c r="N159" s="33">
        <v>46064.0</v>
      </c>
      <c r="O159" s="31" t="s">
        <v>1679</v>
      </c>
      <c r="P159" s="32" t="str">
        <f>HYPERLINK("https://api.typeform.com/responses/files/935667d0588c4e420f4011e7c8d6742ec82dcccd85694f4317be52077188c293/UTS_Transcript.pdf")</f>
        <v>https://api.typeform.com/responses/files/935667d0588c4e420f4011e7c8d6742ec82dcccd85694f4317be52077188c293/UTS_Transcript.pdf</v>
      </c>
      <c r="Q159" s="29" t="b">
        <v>0</v>
      </c>
      <c r="R159" s="29" t="s">
        <v>1437</v>
      </c>
      <c r="S159" s="29" t="s">
        <v>1437</v>
      </c>
      <c r="T159" s="29" t="s">
        <v>72</v>
      </c>
      <c r="U159" s="29" t="s">
        <v>72</v>
      </c>
      <c r="V159" s="29" t="s">
        <v>224</v>
      </c>
      <c r="Y159" s="34">
        <v>46136.13431712963</v>
      </c>
      <c r="Z159" s="29" t="s">
        <v>1680</v>
      </c>
      <c r="AA159" s="6">
        <v>2.0</v>
      </c>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row>
    <row r="160" ht="22.5" hidden="1" customHeight="1">
      <c r="A160" s="29" t="s">
        <v>1681</v>
      </c>
      <c r="B160" s="30">
        <v>38056.0</v>
      </c>
      <c r="C160" s="29" t="s">
        <v>1682</v>
      </c>
      <c r="D160" s="31" t="s">
        <v>1683</v>
      </c>
      <c r="E160" s="29" t="s">
        <v>61</v>
      </c>
      <c r="F160" s="29" t="s">
        <v>127</v>
      </c>
      <c r="G160" s="32" t="str">
        <f>HYPERLINK("https://api.typeform.com/responses/files/d714c4a52e4bf8dbfae5bc9421a3ce56ebbcb3365dc17a415328beac3009ccc5/CV___Unity_Development_Intern___Hồ_Trọng_Nghĩa.pdf")</f>
        <v>https://api.typeform.com/responses/files/d714c4a52e4bf8dbfae5bc9421a3ce56ebbcb3365dc17a415328beac3009ccc5/CV___Unity_Development_Intern___Hồ_Trọng_Nghĩa.pdf</v>
      </c>
      <c r="H160" s="29" t="s">
        <v>1684</v>
      </c>
      <c r="I160" s="29" t="s">
        <v>1685</v>
      </c>
      <c r="J160" s="29" t="s">
        <v>715</v>
      </c>
      <c r="L160" s="29" t="s">
        <v>67</v>
      </c>
      <c r="M160" s="29" t="s">
        <v>612</v>
      </c>
      <c r="N160" s="33">
        <v>46266.0</v>
      </c>
      <c r="O160" s="31" t="s">
        <v>1686</v>
      </c>
      <c r="P160" s="32" t="str">
        <f>HYPERLINK("https://api.typeform.com/responses/files/21c4bc321fe354b2545299dccf8e8543f227dc372158d7b8e6aef2dbec53356c/Transcript___Unity_Development_Intern___Hồ_Trọng_Nghĩa.pdf")</f>
        <v>https://api.typeform.com/responses/files/21c4bc321fe354b2545299dccf8e8543f227dc372158d7b8e6aef2dbec53356c/Transcript___Unity_Development_Intern___Hồ_Trọng_Nghĩa.pdf</v>
      </c>
      <c r="Q160" s="29" t="b">
        <v>1</v>
      </c>
      <c r="R160" s="29" t="s">
        <v>1687</v>
      </c>
      <c r="S160" s="29" t="s">
        <v>1688</v>
      </c>
      <c r="T160" s="29" t="s">
        <v>72</v>
      </c>
      <c r="U160" s="29" t="s">
        <v>72</v>
      </c>
      <c r="V160" s="29" t="s">
        <v>594</v>
      </c>
      <c r="X160" s="29" t="s">
        <v>1689</v>
      </c>
      <c r="Y160" s="34">
        <v>46136.136712962965</v>
      </c>
      <c r="Z160" s="29" t="s">
        <v>1690</v>
      </c>
      <c r="AA160" s="6">
        <v>2.0</v>
      </c>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row>
    <row r="161" ht="22.5" hidden="1" customHeight="1">
      <c r="A161" s="29" t="s">
        <v>1691</v>
      </c>
      <c r="B161" s="30">
        <v>37987.0</v>
      </c>
      <c r="C161" s="29" t="s">
        <v>1692</v>
      </c>
      <c r="D161" s="31" t="s">
        <v>1693</v>
      </c>
      <c r="E161" s="29" t="s">
        <v>62</v>
      </c>
      <c r="F161" s="29" t="s">
        <v>82</v>
      </c>
      <c r="G161" s="32" t="str">
        <f>HYPERLINK("https://api.typeform.com/responses/files/1b4a4ef49b3d10abda786f19e92a976a050a37c5cb140ceb81153621f3f357f7/Vũ_Minh_Chiến_CV.pdf")</f>
        <v>https://api.typeform.com/responses/files/1b4a4ef49b3d10abda786f19e92a976a050a37c5cb140ceb81153621f3f357f7/Vũ_Minh_Chiến_CV.pdf</v>
      </c>
      <c r="H161" s="29" t="s">
        <v>1694</v>
      </c>
      <c r="I161" s="29" t="s">
        <v>1695</v>
      </c>
      <c r="J161" s="29" t="s">
        <v>326</v>
      </c>
      <c r="L161" s="29" t="s">
        <v>67</v>
      </c>
      <c r="M161" s="29" t="s">
        <v>624</v>
      </c>
      <c r="N161" s="33">
        <v>46174.0</v>
      </c>
      <c r="O161" s="31" t="s">
        <v>1696</v>
      </c>
      <c r="P161" s="32" t="str">
        <f>HYPERLINK("https://api.typeform.com/responses/files/a4cb7be8d5756438b31586d620e1f41988325fa9559e275327d4f45771f6eabf/Transcript___AI_Engineering_Intern___Vũ_Minh_Chiến.png")</f>
        <v>https://api.typeform.com/responses/files/a4cb7be8d5756438b31586d620e1f41988325fa9559e275327d4f45771f6eabf/Transcript___AI_Engineering_Intern___Vũ_Minh_Chiến.png</v>
      </c>
      <c r="Q161" s="29" t="b">
        <v>1</v>
      </c>
      <c r="R161" s="29" t="s">
        <v>1697</v>
      </c>
      <c r="S161" s="29" t="s">
        <v>1698</v>
      </c>
      <c r="T161" s="29" t="s">
        <v>72</v>
      </c>
      <c r="U161" s="29" t="s">
        <v>72</v>
      </c>
      <c r="V161" s="29" t="s">
        <v>269</v>
      </c>
      <c r="X161" s="29" t="s">
        <v>1699</v>
      </c>
      <c r="Y161" s="34">
        <v>46136.16439814815</v>
      </c>
      <c r="Z161" s="29" t="s">
        <v>1700</v>
      </c>
      <c r="AA161" s="6">
        <v>2.0</v>
      </c>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row>
    <row r="162" ht="22.5" hidden="1" customHeight="1">
      <c r="A162" s="29" t="s">
        <v>1701</v>
      </c>
      <c r="B162" s="30">
        <v>37763.0</v>
      </c>
      <c r="C162" s="29" t="s">
        <v>1702</v>
      </c>
      <c r="D162" s="31" t="s">
        <v>1703</v>
      </c>
      <c r="E162" s="29" t="s">
        <v>82</v>
      </c>
      <c r="F162" s="29" t="s">
        <v>62</v>
      </c>
      <c r="G162" s="32" t="str">
        <f>HYPERLINK("https://api.typeform.com/responses/files/6f0448d32fcb6a1b82a42c3675f36ae3a83b2e66a81f9bbdc0ce0669168f501e/Dinh_Thi_Thanh_Hang__Data_Analyst_Intern.pdf")</f>
        <v>https://api.typeform.com/responses/files/6f0448d32fcb6a1b82a42c3675f36ae3a83b2e66a81f9bbdc0ce0669168f501e/Dinh_Thi_Thanh_Hang__Data_Analyst_Intern.pdf</v>
      </c>
      <c r="H162" s="29" t="s">
        <v>1704</v>
      </c>
      <c r="I162" s="29" t="s">
        <v>1705</v>
      </c>
      <c r="J162" s="29" t="s">
        <v>644</v>
      </c>
      <c r="L162" s="29" t="s">
        <v>67</v>
      </c>
      <c r="M162" s="29" t="s">
        <v>384</v>
      </c>
      <c r="N162" s="33">
        <v>46143.0</v>
      </c>
      <c r="O162" s="31" t="s">
        <v>362</v>
      </c>
      <c r="P162" s="32" t="str">
        <f>HYPERLINK("https://api.typeform.com/responses/files/81359af917e1ea1032934a8c5f4d578b802f1c73f674a0c280bcbfaf675b098e/Data_Analyst_Intern__Dinh_Thi_Thanh_Hang__Transcript.doc")</f>
        <v>https://api.typeform.com/responses/files/81359af917e1ea1032934a8c5f4d578b802f1c73f674a0c280bcbfaf675b098e/Data_Analyst_Intern__Dinh_Thi_Thanh_Hang__Transcript.doc</v>
      </c>
      <c r="Q162" s="29" t="b">
        <v>1</v>
      </c>
      <c r="R162" s="29" t="s">
        <v>1706</v>
      </c>
      <c r="S162" s="29" t="s">
        <v>1707</v>
      </c>
      <c r="T162" s="29" t="s">
        <v>72</v>
      </c>
      <c r="U162" s="29" t="s">
        <v>72</v>
      </c>
      <c r="V162" s="29" t="s">
        <v>90</v>
      </c>
      <c r="X162" s="29" t="s">
        <v>1708</v>
      </c>
      <c r="Y162" s="34">
        <v>46136.17047453704</v>
      </c>
      <c r="Z162" s="29" t="s">
        <v>1709</v>
      </c>
      <c r="AA162" s="6">
        <v>2.0</v>
      </c>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row>
    <row r="163" ht="22.5" hidden="1" customHeight="1">
      <c r="A163" s="29" t="s">
        <v>1710</v>
      </c>
      <c r="B163" s="30">
        <v>37846.0</v>
      </c>
      <c r="C163" s="29" t="s">
        <v>1711</v>
      </c>
      <c r="D163" s="31" t="s">
        <v>1712</v>
      </c>
      <c r="E163" s="29" t="s">
        <v>61</v>
      </c>
      <c r="F163" s="29" t="s">
        <v>99</v>
      </c>
      <c r="G163" s="32" t="str">
        <f>HYPERLINK("https://api.typeform.com/responses/files/a122fcef4700e4c370e1e6e5952de9a136a6de491c1e0b8bdeee746b99e82c88/CV___Unity_Development_Intern___Bui_Khanh_Duy.pdf")</f>
        <v>https://api.typeform.com/responses/files/a122fcef4700e4c370e1e6e5952de9a136a6de491c1e0b8bdeee746b99e82c88/CV___Unity_Development_Intern___Bui_Khanh_Duy.pdf</v>
      </c>
      <c r="H163" s="29" t="s">
        <v>1713</v>
      </c>
      <c r="I163" s="29" t="s">
        <v>1714</v>
      </c>
      <c r="J163" s="29" t="s">
        <v>65</v>
      </c>
      <c r="K163" s="29" t="s">
        <v>1715</v>
      </c>
      <c r="L163" s="29" t="s">
        <v>103</v>
      </c>
      <c r="M163" s="29" t="s">
        <v>1183</v>
      </c>
      <c r="N163" s="33">
        <v>45992.0</v>
      </c>
      <c r="O163" s="31" t="s">
        <v>1553</v>
      </c>
      <c r="P163" s="32" t="str">
        <f>HYPERLINK("https://api.typeform.com/responses/files/d7191e22981cfde4646f4c5ff6726c2e65b576e93aee8930178f57c607526b5f/Transcript___Unity_Development_Intern___Bui_Khanh_Duy.pdf")</f>
        <v>https://api.typeform.com/responses/files/d7191e22981cfde4646f4c5ff6726c2e65b576e93aee8930178f57c607526b5f/Transcript___Unity_Development_Intern___Bui_Khanh_Duy.pdf</v>
      </c>
      <c r="Q163" s="29" t="b">
        <v>1</v>
      </c>
      <c r="R163" s="29" t="s">
        <v>1716</v>
      </c>
      <c r="S163" s="29" t="s">
        <v>1717</v>
      </c>
      <c r="T163" s="29" t="s">
        <v>72</v>
      </c>
      <c r="U163" s="29" t="s">
        <v>72</v>
      </c>
      <c r="V163" s="29" t="s">
        <v>188</v>
      </c>
      <c r="X163" s="29" t="s">
        <v>1718</v>
      </c>
      <c r="Y163" s="34">
        <v>46136.178391203706</v>
      </c>
      <c r="Z163" s="29" t="s">
        <v>1719</v>
      </c>
      <c r="AA163" s="6">
        <v>2.0</v>
      </c>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row>
    <row r="164" ht="22.5" hidden="1" customHeight="1">
      <c r="A164" s="29" t="s">
        <v>1720</v>
      </c>
      <c r="B164" s="30">
        <v>38306.0</v>
      </c>
      <c r="C164" s="29" t="s">
        <v>1721</v>
      </c>
      <c r="D164" s="31" t="s">
        <v>1722</v>
      </c>
      <c r="E164" s="29" t="s">
        <v>82</v>
      </c>
      <c r="F164" s="29" t="s">
        <v>62</v>
      </c>
      <c r="G164" s="32" t="str">
        <f>HYPERLINK("https://api.typeform.com/responses/files/5047292b162aa55a487e727ddba9cf14629bd292d60ffe987c7673fb9f3ac88e/CV___Data_Analysis_Intern___Nguyễn_Trương_Hoàng.pdf")</f>
        <v>https://api.typeform.com/responses/files/5047292b162aa55a487e727ddba9cf14629bd292d60ffe987c7673fb9f3ac88e/CV___Data_Analysis_Intern___Nguyễn_Trương_Hoàng.pdf</v>
      </c>
      <c r="H164" s="29" t="s">
        <v>1723</v>
      </c>
      <c r="I164" s="29" t="s">
        <v>1724</v>
      </c>
      <c r="J164" s="29" t="s">
        <v>842</v>
      </c>
      <c r="L164" s="29" t="s">
        <v>67</v>
      </c>
      <c r="M164" s="29" t="s">
        <v>1725</v>
      </c>
      <c r="N164" s="33">
        <v>46174.0</v>
      </c>
      <c r="O164" s="31" t="s">
        <v>1456</v>
      </c>
      <c r="P164" s="32" t="str">
        <f>HYPERLINK("https://api.typeform.com/responses/files/292711307ab29b35f9bcee94742066987856ee1a630728e3ee94350d85777dc6/Transcript___Data_Analysis_Intern___Nguyễn_Trương_Hoàng.pdf")</f>
        <v>https://api.typeform.com/responses/files/292711307ab29b35f9bcee94742066987856ee1a630728e3ee94350d85777dc6/Transcript___Data_Analysis_Intern___Nguyễn_Trương_Hoàng.pdf</v>
      </c>
      <c r="Q164" s="29" t="b">
        <v>1</v>
      </c>
      <c r="R164" s="29" t="s">
        <v>1726</v>
      </c>
      <c r="S164" s="29" t="s">
        <v>1727</v>
      </c>
      <c r="T164" s="29" t="s">
        <v>72</v>
      </c>
      <c r="U164" s="29" t="s">
        <v>72</v>
      </c>
      <c r="V164" s="29" t="s">
        <v>73</v>
      </c>
      <c r="X164" s="29" t="s">
        <v>1728</v>
      </c>
      <c r="Y164" s="34">
        <v>46136.17943287037</v>
      </c>
      <c r="Z164" s="29" t="s">
        <v>1729</v>
      </c>
      <c r="AA164" s="6">
        <v>2.0</v>
      </c>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row>
    <row r="165" ht="22.5" hidden="1" customHeight="1">
      <c r="A165" s="29" t="s">
        <v>1730</v>
      </c>
      <c r="B165" s="30">
        <v>37987.0</v>
      </c>
      <c r="C165" s="29" t="s">
        <v>1731</v>
      </c>
      <c r="D165" s="31" t="s">
        <v>1732</v>
      </c>
      <c r="E165" s="29" t="s">
        <v>82</v>
      </c>
      <c r="G165" s="32" t="str">
        <f>HYPERLINK("https://api.typeform.com/responses/files/de281c3a41f7bfef656239176b4b1bab1abdfcb588265f4469634939b246b3fb/CV___Data_Analysis_Intern___Phạm_Cao_Trí.pdf")</f>
        <v>https://api.typeform.com/responses/files/de281c3a41f7bfef656239176b4b1bab1abdfcb588265f4469634939b246b3fb/CV___Data_Analysis_Intern___Phạm_Cao_Trí.pdf</v>
      </c>
      <c r="H165" s="29" t="s">
        <v>1733</v>
      </c>
      <c r="I165" s="29" t="s">
        <v>1734</v>
      </c>
      <c r="J165" s="29" t="s">
        <v>85</v>
      </c>
      <c r="L165" s="29" t="s">
        <v>103</v>
      </c>
      <c r="M165" s="29" t="s">
        <v>551</v>
      </c>
      <c r="N165" s="33">
        <v>46174.0</v>
      </c>
      <c r="O165" s="31" t="s">
        <v>1735</v>
      </c>
      <c r="P165" s="32" t="str">
        <f>HYPERLINK("https://api.typeform.com/responses/files/6c6dff641f6f23da55dae027a9f27a71b24a4538ff0013002b58e91e1f912f73/Transcript___Data_Analysis_Intern___Phạm_Cao_Trí.pdf")</f>
        <v>https://api.typeform.com/responses/files/6c6dff641f6f23da55dae027a9f27a71b24a4538ff0013002b58e91e1f912f73/Transcript___Data_Analysis_Intern___Phạm_Cao_Trí.pdf</v>
      </c>
      <c r="Q165" s="29" t="b">
        <v>0</v>
      </c>
      <c r="R165" s="29" t="s">
        <v>1437</v>
      </c>
      <c r="S165" s="29" t="s">
        <v>1437</v>
      </c>
      <c r="T165" s="29" t="s">
        <v>72</v>
      </c>
      <c r="U165" s="29" t="s">
        <v>72</v>
      </c>
      <c r="V165" s="29" t="s">
        <v>1736</v>
      </c>
      <c r="X165" s="29" t="s">
        <v>1737</v>
      </c>
      <c r="Y165" s="34">
        <v>46136.19876157407</v>
      </c>
      <c r="Z165" s="29" t="s">
        <v>1738</v>
      </c>
      <c r="AA165" s="6">
        <v>2.0</v>
      </c>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row>
    <row r="166" ht="22.5" hidden="1" customHeight="1">
      <c r="A166" s="29" t="s">
        <v>1739</v>
      </c>
      <c r="B166" s="30">
        <v>37316.0</v>
      </c>
      <c r="C166" s="29" t="s">
        <v>1740</v>
      </c>
      <c r="D166" s="31" t="s">
        <v>1741</v>
      </c>
      <c r="E166" s="29" t="s">
        <v>62</v>
      </c>
      <c r="F166" s="29" t="s">
        <v>127</v>
      </c>
      <c r="G166" s="32" t="str">
        <f>HYPERLINK("https://api.typeform.com/responses/files/cf48a5443514676098912afc851e26ae5a366cbe4eaa3f72759608730371ca3a/CV_AI_Engineer__TUAN_ANH_TRAN.pdf")</f>
        <v>https://api.typeform.com/responses/files/cf48a5443514676098912afc851e26ae5a366cbe4eaa3f72759608730371ca3a/CV_AI_Engineer__TUAN_ANH_TRAN.pdf</v>
      </c>
      <c r="H166" s="29" t="s">
        <v>1742</v>
      </c>
      <c r="I166" s="29" t="s">
        <v>1743</v>
      </c>
      <c r="J166" s="29" t="s">
        <v>277</v>
      </c>
      <c r="L166" s="29" t="s">
        <v>103</v>
      </c>
      <c r="M166" s="29" t="s">
        <v>399</v>
      </c>
      <c r="N166" s="33">
        <v>46185.0</v>
      </c>
      <c r="O166" s="31" t="s">
        <v>685</v>
      </c>
      <c r="P166" s="32" t="str">
        <f>HYPERLINK("https://api.typeform.com/responses/files/e6c09eff031621405c7d00589362cc38b214af28a7d02015c5d24132d6a85c10/Bang_Diem_Tran_Tuan_Anh.pdf")</f>
        <v>https://api.typeform.com/responses/files/e6c09eff031621405c7d00589362cc38b214af28a7d02015c5d24132d6a85c10/Bang_Diem_Tran_Tuan_Anh.pdf</v>
      </c>
      <c r="Q166" s="29" t="b">
        <v>1</v>
      </c>
      <c r="R166" s="29" t="s">
        <v>1744</v>
      </c>
      <c r="S166" s="29" t="s">
        <v>1745</v>
      </c>
      <c r="T166" s="29" t="s">
        <v>72</v>
      </c>
      <c r="U166" s="29" t="s">
        <v>72</v>
      </c>
      <c r="V166" s="29" t="s">
        <v>224</v>
      </c>
      <c r="X166" s="29" t="s">
        <v>1746</v>
      </c>
      <c r="Y166" s="34">
        <v>46136.201840277776</v>
      </c>
      <c r="Z166" s="29" t="s">
        <v>1747</v>
      </c>
      <c r="AA166" s="6">
        <v>2.0</v>
      </c>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row>
    <row r="167" ht="22.5" hidden="1" customHeight="1">
      <c r="A167" s="29" t="s">
        <v>1748</v>
      </c>
      <c r="B167" s="30">
        <v>38003.0</v>
      </c>
      <c r="C167" s="29" t="s">
        <v>1749</v>
      </c>
      <c r="D167" s="31" t="s">
        <v>1750</v>
      </c>
      <c r="E167" s="29" t="s">
        <v>61</v>
      </c>
      <c r="F167" s="29" t="s">
        <v>127</v>
      </c>
      <c r="G167" s="32" t="str">
        <f>HYPERLINK("https://api.typeform.com/responses/files/1d0425a0a1e0cca1fbf7d821afaa8c3ce02049955a21b8ccb2e9cb76af9f8621/CV_UnityDevelopmentIntern_LeNguyenKhang.pdf")</f>
        <v>https://api.typeform.com/responses/files/1d0425a0a1e0cca1fbf7d821afaa8c3ce02049955a21b8ccb2e9cb76af9f8621/CV_UnityDevelopmentIntern_LeNguyenKhang.pdf</v>
      </c>
      <c r="H167" s="29" t="s">
        <v>1751</v>
      </c>
      <c r="I167" s="29" t="s">
        <v>1752</v>
      </c>
      <c r="J167" s="29" t="s">
        <v>65</v>
      </c>
      <c r="K167" s="29" t="s">
        <v>182</v>
      </c>
      <c r="L167" s="29" t="s">
        <v>103</v>
      </c>
      <c r="M167" s="29" t="s">
        <v>399</v>
      </c>
      <c r="N167" s="33">
        <v>46203.0</v>
      </c>
      <c r="O167" s="29" t="s">
        <v>1753</v>
      </c>
      <c r="P167" s="32" t="str">
        <f>HYPERLINK("https://api.typeform.com/responses/files/8b27164459c77e116788cb2285d1ce88af76c14b68aa40293878c7a4d2c19287/Transcript_UnityDevelopmentIntern_LeNguyenKhang.pdf")</f>
        <v>https://api.typeform.com/responses/files/8b27164459c77e116788cb2285d1ce88af76c14b68aa40293878c7a4d2c19287/Transcript_UnityDevelopmentIntern_LeNguyenKhang.pdf</v>
      </c>
      <c r="Q167" s="29" t="b">
        <v>0</v>
      </c>
      <c r="R167" s="29" t="s">
        <v>1754</v>
      </c>
      <c r="S167" s="29" t="s">
        <v>1755</v>
      </c>
      <c r="T167" s="29" t="s">
        <v>72</v>
      </c>
      <c r="U167" s="29" t="s">
        <v>72</v>
      </c>
      <c r="V167" s="29" t="s">
        <v>90</v>
      </c>
      <c r="X167" s="29" t="s">
        <v>1756</v>
      </c>
      <c r="Y167" s="34">
        <v>46136.20385416667</v>
      </c>
      <c r="Z167" s="29" t="s">
        <v>1757</v>
      </c>
      <c r="AA167" s="6">
        <v>2.0</v>
      </c>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row>
    <row r="168" ht="22.5" hidden="1" customHeight="1">
      <c r="A168" s="29" t="s">
        <v>1758</v>
      </c>
      <c r="B168" s="30">
        <v>37357.0</v>
      </c>
      <c r="C168" s="29" t="s">
        <v>1759</v>
      </c>
      <c r="D168" s="31" t="s">
        <v>1760</v>
      </c>
      <c r="E168" s="29" t="s">
        <v>99</v>
      </c>
      <c r="G168" s="32" t="str">
        <f>HYPERLINK("https://api.typeform.com/responses/files/2f34efcafbb797967b51d58a35cb0609cedb535e3c59599f222374fbbb88e273/DHNT___GD.pdf")</f>
        <v>https://api.typeform.com/responses/files/2f34efcafbb797967b51d58a35cb0609cedb535e3c59599f222374fbbb88e273/DHNT___GD.pdf</v>
      </c>
      <c r="H168" s="29" t="s">
        <v>1761</v>
      </c>
      <c r="I168" s="29" t="s">
        <v>1762</v>
      </c>
      <c r="J168" s="29" t="s">
        <v>1610</v>
      </c>
      <c r="L168" s="29" t="s">
        <v>103</v>
      </c>
      <c r="M168" s="29" t="s">
        <v>1678</v>
      </c>
      <c r="N168" s="33">
        <v>46136.0</v>
      </c>
      <c r="O168" s="31" t="s">
        <v>483</v>
      </c>
      <c r="P168" s="32" t="str">
        <f>HYPERLINK("https://api.typeform.com/responses/files/993e90684571374724efbfa034cf290112a676bd990579db69617a8b8e6d544f/DHNT___GD.pdf")</f>
        <v>https://api.typeform.com/responses/files/993e90684571374724efbfa034cf290112a676bd990579db69617a8b8e6d544f/DHNT___GD.pdf</v>
      </c>
      <c r="Q168" s="29" t="b">
        <v>1</v>
      </c>
      <c r="R168" s="29" t="s">
        <v>1763</v>
      </c>
      <c r="S168" s="29" t="s">
        <v>1764</v>
      </c>
      <c r="T168" s="29" t="s">
        <v>72</v>
      </c>
      <c r="U168" s="29" t="s">
        <v>72</v>
      </c>
      <c r="V168" s="29" t="s">
        <v>73</v>
      </c>
      <c r="X168" s="29" t="s">
        <v>1765</v>
      </c>
      <c r="Y168" s="34">
        <v>46136.227118055554</v>
      </c>
      <c r="Z168" s="29" t="s">
        <v>1766</v>
      </c>
      <c r="AA168" s="6">
        <v>2.0</v>
      </c>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row>
    <row r="169" ht="22.5" hidden="1" customHeight="1">
      <c r="A169" s="29" t="s">
        <v>1767</v>
      </c>
      <c r="B169" s="30">
        <v>37797.0</v>
      </c>
      <c r="C169" s="29" t="s">
        <v>1768</v>
      </c>
      <c r="D169" s="31" t="s">
        <v>1769</v>
      </c>
      <c r="E169" s="29" t="s">
        <v>82</v>
      </c>
      <c r="F169" s="29" t="s">
        <v>127</v>
      </c>
      <c r="G169" s="32" t="str">
        <f>HYPERLINK("https://api.typeform.com/responses/files/39df4a5846dca1c7bb9e2d6af98bcd1dfd4aa8f736cbb7802630ede2b3395ec0/CV__Data_Analysis_Intern___Game_QA_Intern___Chau_My_Phuong.pdf")</f>
        <v>https://api.typeform.com/responses/files/39df4a5846dca1c7bb9e2d6af98bcd1dfd4aa8f736cbb7802630ede2b3395ec0/CV__Data_Analysis_Intern___Game_QA_Intern___Chau_My_Phuong.pdf</v>
      </c>
      <c r="H169" s="29" t="s">
        <v>1770</v>
      </c>
      <c r="I169" s="29" t="s">
        <v>1771</v>
      </c>
      <c r="J169" s="29" t="s">
        <v>1772</v>
      </c>
      <c r="L169" s="29" t="s">
        <v>103</v>
      </c>
      <c r="M169" s="29" t="s">
        <v>1773</v>
      </c>
      <c r="N169" s="33">
        <v>45921.0</v>
      </c>
      <c r="O169" s="31" t="s">
        <v>171</v>
      </c>
      <c r="P169" s="32" t="str">
        <f>HYPERLINK("https://api.typeform.com/responses/files/b396e14a07480bb201a23fa58cd78714a2df2fa425d6c59e8b8f394b4c9cf92f/Chau_My_Phuong_transcript.pdf")</f>
        <v>https://api.typeform.com/responses/files/b396e14a07480bb201a23fa58cd78714a2df2fa425d6c59e8b8f394b4c9cf92f/Chau_My_Phuong_transcript.pdf</v>
      </c>
      <c r="Q169" s="29" t="b">
        <v>0</v>
      </c>
      <c r="R169" s="29" t="s">
        <v>1774</v>
      </c>
      <c r="S169" s="29" t="s">
        <v>1775</v>
      </c>
      <c r="T169" s="29" t="s">
        <v>72</v>
      </c>
      <c r="U169" s="29" t="s">
        <v>72</v>
      </c>
      <c r="V169" s="29" t="s">
        <v>90</v>
      </c>
      <c r="X169" s="29" t="s">
        <v>1776</v>
      </c>
      <c r="Y169" s="34">
        <v>46136.22893518519</v>
      </c>
      <c r="Z169" s="29" t="s">
        <v>1777</v>
      </c>
      <c r="AA169" s="6">
        <v>2.0</v>
      </c>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row>
    <row r="170" ht="22.5" hidden="1" customHeight="1">
      <c r="A170" s="29" t="s">
        <v>1778</v>
      </c>
      <c r="B170" s="30">
        <v>38398.0</v>
      </c>
      <c r="C170" s="29" t="s">
        <v>1779</v>
      </c>
      <c r="D170" s="31" t="s">
        <v>1780</v>
      </c>
      <c r="E170" s="29" t="s">
        <v>61</v>
      </c>
      <c r="F170" s="29" t="s">
        <v>62</v>
      </c>
      <c r="G170" s="32" t="str">
        <f>HYPERLINK("https://api.typeform.com/responses/files/27aeec639985f7ea3c57b1ad1182995701f0515e4f1d3dbc1874535177cc3248/CV_Unity_Development_Intern_Nguyễn_Vạn_Xuân.pdf")</f>
        <v>https://api.typeform.com/responses/files/27aeec639985f7ea3c57b1ad1182995701f0515e4f1d3dbc1874535177cc3248/CV_Unity_Development_Intern_Nguyễn_Vạn_Xuân.pdf</v>
      </c>
      <c r="H170" s="29" t="s">
        <v>1781</v>
      </c>
      <c r="I170" s="29" t="s">
        <v>1782</v>
      </c>
      <c r="J170" s="29" t="s">
        <v>715</v>
      </c>
      <c r="L170" s="29" t="s">
        <v>219</v>
      </c>
      <c r="M170" s="29" t="s">
        <v>399</v>
      </c>
      <c r="N170" s="33">
        <v>46514.0</v>
      </c>
      <c r="O170" s="31" t="s">
        <v>317</v>
      </c>
      <c r="P170" s="32" t="str">
        <f>HYPERLINK("https://api.typeform.com/responses/files/c4b19cc25d48a9f9db63bc6e2d18db1c4824924e0547a8a63c61e6d5f57e22b3/Transcript_Unity_Development_Intern_Nguyễn_Vạn_Xuân.pdf")</f>
        <v>https://api.typeform.com/responses/files/c4b19cc25d48a9f9db63bc6e2d18db1c4824924e0547a8a63c61e6d5f57e22b3/Transcript_Unity_Development_Intern_Nguyễn_Vạn_Xuân.pdf</v>
      </c>
      <c r="Q170" s="29" t="b">
        <v>1</v>
      </c>
      <c r="R170" s="29" t="s">
        <v>1783</v>
      </c>
      <c r="S170" s="29" t="s">
        <v>1784</v>
      </c>
      <c r="T170" s="29" t="s">
        <v>72</v>
      </c>
      <c r="U170" s="29" t="s">
        <v>72</v>
      </c>
      <c r="V170" s="29" t="s">
        <v>269</v>
      </c>
      <c r="X170" s="29" t="s">
        <v>1785</v>
      </c>
      <c r="Y170" s="34">
        <v>46136.23008101852</v>
      </c>
      <c r="Z170" s="29" t="s">
        <v>1786</v>
      </c>
      <c r="AA170" s="6">
        <v>2.0</v>
      </c>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row>
    <row r="171" ht="22.5" hidden="1" customHeight="1">
      <c r="A171" s="29" t="s">
        <v>1787</v>
      </c>
      <c r="B171" s="30">
        <v>38788.0</v>
      </c>
      <c r="C171" s="29" t="s">
        <v>1788</v>
      </c>
      <c r="D171" s="31" t="s">
        <v>1789</v>
      </c>
      <c r="E171" s="29" t="s">
        <v>62</v>
      </c>
      <c r="F171" s="29" t="s">
        <v>82</v>
      </c>
      <c r="G171" s="32" t="str">
        <f>HYPERLINK("https://api.typeform.com/responses/files/7003080f7e09e0c2ed1be45925b4bb60f68aa71a183f5d0f45f127b63d1b1c86/CV.pdf")</f>
        <v>https://api.typeform.com/responses/files/7003080f7e09e0c2ed1be45925b4bb60f68aa71a183f5d0f45f127b63d1b1c86/CV.pdf</v>
      </c>
      <c r="H171" s="29" t="s">
        <v>1790</v>
      </c>
      <c r="I171" s="29" t="s">
        <v>1791</v>
      </c>
      <c r="J171" s="29" t="s">
        <v>85</v>
      </c>
      <c r="L171" s="29" t="s">
        <v>169</v>
      </c>
      <c r="M171" s="29" t="s">
        <v>941</v>
      </c>
      <c r="N171" s="33">
        <v>46934.0</v>
      </c>
      <c r="O171" s="31" t="s">
        <v>1792</v>
      </c>
      <c r="P171" s="32" t="str">
        <f>HYPERLINK("https://api.typeform.com/responses/files/c19df85e07e66436976c627696e9ad0b4d063a599a11f63701ab19cb92d44500/bangdiem.pdf")</f>
        <v>https://api.typeform.com/responses/files/c19df85e07e66436976c627696e9ad0b4d063a599a11f63701ab19cb92d44500/bangdiem.pdf</v>
      </c>
      <c r="Q171" s="29" t="b">
        <v>1</v>
      </c>
      <c r="R171" s="29" t="s">
        <v>1793</v>
      </c>
      <c r="S171" s="29" t="s">
        <v>1794</v>
      </c>
      <c r="T171" s="29" t="s">
        <v>72</v>
      </c>
      <c r="U171" s="29" t="s">
        <v>72</v>
      </c>
      <c r="V171" s="29" t="s">
        <v>90</v>
      </c>
      <c r="X171" s="29" t="s">
        <v>1795</v>
      </c>
      <c r="Y171" s="34">
        <v>46136.23402777778</v>
      </c>
      <c r="Z171" s="29" t="s">
        <v>1796</v>
      </c>
      <c r="AA171" s="6">
        <v>2.0</v>
      </c>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row>
    <row r="172" ht="22.5" hidden="1" customHeight="1">
      <c r="A172" s="29" t="s">
        <v>1797</v>
      </c>
      <c r="B172" s="30">
        <v>38521.0</v>
      </c>
      <c r="C172" s="29" t="s">
        <v>1798</v>
      </c>
      <c r="D172" s="31" t="s">
        <v>1799</v>
      </c>
      <c r="E172" s="29" t="s">
        <v>62</v>
      </c>
      <c r="F172" s="29" t="s">
        <v>61</v>
      </c>
      <c r="G172" s="32" t="str">
        <f>HYPERLINK("https://api.typeform.com/responses/files/ff42b2a5e62fc6977be2750eaf20ac21fc92d4bdd5b62acd742c7a9a983da1b4/CV_English.pdf")</f>
        <v>https://api.typeform.com/responses/files/ff42b2a5e62fc6977be2750eaf20ac21fc92d4bdd5b62acd742c7a9a983da1b4/CV_English.pdf</v>
      </c>
      <c r="H172" s="29" t="s">
        <v>1800</v>
      </c>
      <c r="I172" s="29" t="s">
        <v>1801</v>
      </c>
      <c r="J172" s="29" t="s">
        <v>338</v>
      </c>
      <c r="L172" s="29" t="s">
        <v>219</v>
      </c>
      <c r="M172" s="29" t="s">
        <v>570</v>
      </c>
      <c r="N172" s="33">
        <v>46213.0</v>
      </c>
      <c r="O172" s="29" t="s">
        <v>1802</v>
      </c>
      <c r="P172" s="32" t="str">
        <f>HYPERLINK("https://api.typeform.com/responses/files/7922f1ac1fb90acd9e9d44cae77658e3a9d7c1687196e3f2e26c57218f241172/Bảng_điểm.pdf")</f>
        <v>https://api.typeform.com/responses/files/7922f1ac1fb90acd9e9d44cae77658e3a9d7c1687196e3f2e26c57218f241172/Bảng_điểm.pdf</v>
      </c>
      <c r="Q172" s="29" t="b">
        <v>1</v>
      </c>
      <c r="R172" s="29" t="s">
        <v>1803</v>
      </c>
      <c r="S172" s="29" t="s">
        <v>1804</v>
      </c>
      <c r="T172" s="29" t="s">
        <v>72</v>
      </c>
      <c r="U172" s="29" t="s">
        <v>72</v>
      </c>
      <c r="V172" s="29" t="s">
        <v>90</v>
      </c>
      <c r="X172" s="29" t="s">
        <v>1805</v>
      </c>
      <c r="Y172" s="34">
        <v>46136.25033564815</v>
      </c>
      <c r="Z172" s="29" t="s">
        <v>1806</v>
      </c>
      <c r="AA172" s="6">
        <v>2.0</v>
      </c>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row>
    <row r="173" ht="22.5" hidden="1" customHeight="1">
      <c r="A173" s="29" t="s">
        <v>1807</v>
      </c>
      <c r="B173" s="30">
        <v>38577.0</v>
      </c>
      <c r="C173" s="29" t="s">
        <v>1808</v>
      </c>
      <c r="D173" s="31" t="s">
        <v>1809</v>
      </c>
      <c r="E173" s="29" t="s">
        <v>61</v>
      </c>
      <c r="F173" s="29" t="s">
        <v>99</v>
      </c>
      <c r="G173" s="32" t="str">
        <f>HYPERLINK("https://api.typeform.com/responses/files/22eef717f49843147f0b83095d5338bf389a06de53e0ed72639f724719b3e23e/CV___Unity_Development_Intern___Nguyễn_Thế_Anh.pdf")</f>
        <v>https://api.typeform.com/responses/files/22eef717f49843147f0b83095d5338bf389a06de53e0ed72639f724719b3e23e/CV___Unity_Development_Intern___Nguyễn_Thế_Anh.pdf</v>
      </c>
      <c r="H173" s="29" t="s">
        <v>1810</v>
      </c>
      <c r="I173" s="29" t="s">
        <v>1811</v>
      </c>
      <c r="J173" s="29" t="s">
        <v>715</v>
      </c>
      <c r="L173" s="29" t="s">
        <v>219</v>
      </c>
      <c r="M173" s="29" t="s">
        <v>399</v>
      </c>
      <c r="N173" s="33">
        <v>46692.0</v>
      </c>
      <c r="O173" s="31" t="s">
        <v>1321</v>
      </c>
      <c r="P173" s="32" t="str">
        <f>HYPERLINK("https://api.typeform.com/responses/files/41e439c62e972b26b0b7fe6a63c2bfccbb5f63b0a5183e7e8de9fa9b98905688/Transcript___Unity_Development_Intern___Nguyễn_Thế_Anh.pdf")</f>
        <v>https://api.typeform.com/responses/files/41e439c62e972b26b0b7fe6a63c2bfccbb5f63b0a5183e7e8de9fa9b98905688/Transcript___Unity_Development_Intern___Nguyễn_Thế_Anh.pdf</v>
      </c>
      <c r="Q173" s="29" t="b">
        <v>1</v>
      </c>
      <c r="R173" s="29" t="s">
        <v>1812</v>
      </c>
      <c r="S173" s="29" t="s">
        <v>1813</v>
      </c>
      <c r="T173" s="29" t="s">
        <v>72</v>
      </c>
      <c r="U173" s="29" t="s">
        <v>72</v>
      </c>
      <c r="V173" s="29" t="s">
        <v>269</v>
      </c>
      <c r="X173" s="29" t="s">
        <v>1814</v>
      </c>
      <c r="Y173" s="34">
        <v>46136.25809027778</v>
      </c>
      <c r="Z173" s="29" t="s">
        <v>1815</v>
      </c>
      <c r="AA173" s="6">
        <v>2.0</v>
      </c>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row>
    <row r="174" ht="22.5" hidden="1" customHeight="1">
      <c r="A174" s="29" t="s">
        <v>1816</v>
      </c>
      <c r="B174" s="30">
        <v>38416.0</v>
      </c>
      <c r="C174" s="29" t="s">
        <v>1817</v>
      </c>
      <c r="D174" s="31" t="s">
        <v>1818</v>
      </c>
      <c r="E174" s="29" t="s">
        <v>62</v>
      </c>
      <c r="F174" s="29" t="s">
        <v>61</v>
      </c>
      <c r="G174" s="32" t="str">
        <f>HYPERLINK("https://api.typeform.com/responses/files/2f6bac863db106576f2115281a826d2d666817ba948a470f6e0cbe1b227ec6f7/CV___AI_Engineer___Nguyễn_Đặng_Minh_Duy.pdf")</f>
        <v>https://api.typeform.com/responses/files/2f6bac863db106576f2115281a826d2d666817ba948a470f6e0cbe1b227ec6f7/CV___AI_Engineer___Nguyễn_Đặng_Minh_Duy.pdf</v>
      </c>
      <c r="H174" s="29" t="s">
        <v>1819</v>
      </c>
      <c r="I174" s="29" t="s">
        <v>1820</v>
      </c>
      <c r="J174" s="29" t="s">
        <v>326</v>
      </c>
      <c r="L174" s="29" t="s">
        <v>219</v>
      </c>
      <c r="M174" s="29" t="s">
        <v>1821</v>
      </c>
      <c r="N174" s="33">
        <v>46660.0</v>
      </c>
      <c r="O174" s="31" t="s">
        <v>881</v>
      </c>
      <c r="P174" s="32" t="str">
        <f>HYPERLINK("https://api.typeform.com/responses/files/bf654cabd0a2a0b63ad2273ec3293b9d7a931ed0cfad48e8ce4b4a94bc0e456c/Transcript___AI_Engineer_Intern___Nguyễn_Đặng_Minh_Duy.pdf")</f>
        <v>https://api.typeform.com/responses/files/bf654cabd0a2a0b63ad2273ec3293b9d7a931ed0cfad48e8ce4b4a94bc0e456c/Transcript___AI_Engineer_Intern___Nguyễn_Đặng_Minh_Duy.pdf</v>
      </c>
      <c r="Q174" s="29" t="b">
        <v>0</v>
      </c>
      <c r="R174" s="29" t="s">
        <v>222</v>
      </c>
      <c r="S174" s="29" t="s">
        <v>1822</v>
      </c>
      <c r="T174" s="29" t="s">
        <v>72</v>
      </c>
      <c r="U174" s="29" t="s">
        <v>72</v>
      </c>
      <c r="V174" s="29" t="s">
        <v>269</v>
      </c>
      <c r="X174" s="29" t="s">
        <v>1823</v>
      </c>
      <c r="Y174" s="34">
        <v>46136.26489583333</v>
      </c>
      <c r="Z174" s="29" t="s">
        <v>1824</v>
      </c>
      <c r="AA174" s="6">
        <v>2.0</v>
      </c>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row>
    <row r="175" ht="22.5" hidden="1" customHeight="1">
      <c r="A175" s="29" t="s">
        <v>1825</v>
      </c>
      <c r="B175" s="30">
        <v>37911.0</v>
      </c>
      <c r="C175" s="29" t="s">
        <v>1826</v>
      </c>
      <c r="D175" s="31" t="s">
        <v>1827</v>
      </c>
      <c r="E175" s="29" t="s">
        <v>99</v>
      </c>
      <c r="G175" s="32" t="str">
        <f>HYPERLINK("https://api.typeform.com/responses/files/9568a81a5135a921775336fedb5a8672c18977908b41bd017bac05916c87c5a6/CV___Game_Design_Intern___Nguyễn_Quốc_Anh_Quân.pdf")</f>
        <v>https://api.typeform.com/responses/files/9568a81a5135a921775336fedb5a8672c18977908b41bd017bac05916c87c5a6/CV___Game_Design_Intern___Nguyễn_Quốc_Anh_Quân.pdf</v>
      </c>
      <c r="H175" s="29" t="s">
        <v>1828</v>
      </c>
      <c r="I175" s="29" t="s">
        <v>1829</v>
      </c>
      <c r="J175" s="29" t="s">
        <v>116</v>
      </c>
      <c r="L175" s="29" t="s">
        <v>103</v>
      </c>
      <c r="M175" s="29" t="s">
        <v>1830</v>
      </c>
      <c r="N175" s="33">
        <v>45990.0</v>
      </c>
      <c r="O175" s="31" t="s">
        <v>1524</v>
      </c>
      <c r="P175" s="32" t="str">
        <f>HYPERLINK("https://api.typeform.com/responses/files/daa9f3364f0ddcdbad63991f09afbeda13a19753ddf15e13e500655e18589a86/Transcript___Game_Design_Intern___Nguyễn_Quốc_Anh_Quân.jpg")</f>
        <v>https://api.typeform.com/responses/files/daa9f3364f0ddcdbad63991f09afbeda13a19753ddf15e13e500655e18589a86/Transcript___Game_Design_Intern___Nguyễn_Quốc_Anh_Quân.jpg</v>
      </c>
      <c r="Q175" s="29" t="b">
        <v>1</v>
      </c>
      <c r="R175" s="29" t="s">
        <v>1831</v>
      </c>
      <c r="S175" s="29" t="s">
        <v>1832</v>
      </c>
      <c r="T175" s="29" t="s">
        <v>72</v>
      </c>
      <c r="U175" s="29" t="s">
        <v>72</v>
      </c>
      <c r="V175" s="29" t="s">
        <v>73</v>
      </c>
      <c r="X175" s="29" t="s">
        <v>1833</v>
      </c>
      <c r="Y175" s="34">
        <v>46136.270150462966</v>
      </c>
      <c r="Z175" s="29" t="s">
        <v>1834</v>
      </c>
      <c r="AA175" s="6">
        <v>2.0</v>
      </c>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row>
    <row r="176" ht="22.5" hidden="1" customHeight="1">
      <c r="A176" s="29" t="s">
        <v>109</v>
      </c>
      <c r="B176" s="30">
        <v>38224.0</v>
      </c>
      <c r="C176" s="29" t="s">
        <v>1835</v>
      </c>
      <c r="D176" s="31" t="s">
        <v>1836</v>
      </c>
      <c r="E176" s="29" t="s">
        <v>62</v>
      </c>
      <c r="F176" s="29" t="s">
        <v>62</v>
      </c>
      <c r="G176" s="32" t="str">
        <f>HYPERLINK("https://api.typeform.com/responses/files/5c5e1215b929a9dac40c66d0d43a04af7013ae352505e610621f3f1fcf78eb8f/LamNhatMinh_AI_Intern_CV.pdf")</f>
        <v>https://api.typeform.com/responses/files/5c5e1215b929a9dac40c66d0d43a04af7013ae352505e610621f3f1fcf78eb8f/LamNhatMinh_AI_Intern_CV.pdf</v>
      </c>
      <c r="H176" s="29" t="s">
        <v>1837</v>
      </c>
      <c r="I176" s="29" t="s">
        <v>1838</v>
      </c>
      <c r="J176" s="29" t="s">
        <v>1069</v>
      </c>
      <c r="L176" s="29" t="s">
        <v>67</v>
      </c>
      <c r="M176" s="29" t="s">
        <v>1839</v>
      </c>
      <c r="N176" s="33">
        <v>46670.0</v>
      </c>
      <c r="O176" s="31" t="s">
        <v>1034</v>
      </c>
      <c r="P176" s="32" t="str">
        <f>HYPERLINK("https://api.typeform.com/responses/files/32693e98ebe9bf7dffba88acc39bbd6453eafdfcbefedb2389c154028e2c8f49/Transcript___AI_Engineer_Intern___Lâm_Nhật_Minh.pdf")</f>
        <v>https://api.typeform.com/responses/files/32693e98ebe9bf7dffba88acc39bbd6453eafdfcbefedb2389c154028e2c8f49/Transcript___AI_Engineer_Intern___Lâm_Nhật_Minh.pdf</v>
      </c>
      <c r="Q176" s="29" t="b">
        <v>1</v>
      </c>
      <c r="R176" s="29" t="s">
        <v>1840</v>
      </c>
      <c r="S176" s="29" t="s">
        <v>1841</v>
      </c>
      <c r="T176" s="29" t="s">
        <v>72</v>
      </c>
      <c r="U176" s="29" t="s">
        <v>72</v>
      </c>
      <c r="V176" s="29" t="s">
        <v>1842</v>
      </c>
      <c r="W176" s="29" t="s">
        <v>1843</v>
      </c>
      <c r="X176" s="29" t="s">
        <v>1844</v>
      </c>
      <c r="Y176" s="34">
        <v>46136.29696759259</v>
      </c>
      <c r="Z176" s="29" t="s">
        <v>1845</v>
      </c>
      <c r="AA176" s="6">
        <v>2.0</v>
      </c>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row>
    <row r="177" ht="22.5" hidden="1" customHeight="1">
      <c r="A177" s="29" t="s">
        <v>1846</v>
      </c>
      <c r="B177" s="30">
        <v>38627.0</v>
      </c>
      <c r="C177" s="29" t="s">
        <v>1847</v>
      </c>
      <c r="D177" s="31" t="s">
        <v>1848</v>
      </c>
      <c r="E177" s="29" t="s">
        <v>61</v>
      </c>
      <c r="F177" s="29" t="s">
        <v>99</v>
      </c>
      <c r="G177" s="32" t="str">
        <f>HYPERLINK("https://api.typeform.com/responses/files/6fe800b2b1e34aecdbc5fbb93f3931848b3c34993a6f4277afecb8e8ba97b8b3/CV___Unity_Development_Intern___Game_Design_Intern___Nguyễn_Võ_Ngọc_Bảo.pdf")</f>
        <v>https://api.typeform.com/responses/files/6fe800b2b1e34aecdbc5fbb93f3931848b3c34993a6f4277afecb8e8ba97b8b3/CV___Unity_Development_Intern___Game_Design_Intern___Nguyễn_Võ_Ngọc_Bảo.pdf</v>
      </c>
      <c r="H177" s="29" t="s">
        <v>1849</v>
      </c>
      <c r="I177" s="29" t="s">
        <v>1850</v>
      </c>
      <c r="J177" s="29" t="s">
        <v>85</v>
      </c>
      <c r="L177" s="29" t="s">
        <v>219</v>
      </c>
      <c r="M177" s="29" t="s">
        <v>1851</v>
      </c>
      <c r="N177" s="33">
        <v>46722.0</v>
      </c>
      <c r="O177" s="31" t="s">
        <v>1852</v>
      </c>
      <c r="P177" s="32" t="str">
        <f>HYPERLINK("https://api.typeform.com/responses/files/5a7ba1a6db9a45d610b9b04d5a58a2615dc1c6ddf19286b4256893c2aae6b0d5/Transcript___Unity_Development_Intern___Game_Design_Intern___Nguyễn_Võ_Ngọc_Bảo.pdf")</f>
        <v>https://api.typeform.com/responses/files/5a7ba1a6db9a45d610b9b04d5a58a2615dc1c6ddf19286b4256893c2aae6b0d5/Transcript___Unity_Development_Intern___Game_Design_Intern___Nguyễn_Võ_Ngọc_Bảo.pdf</v>
      </c>
      <c r="Q177" s="29" t="b">
        <v>1</v>
      </c>
      <c r="R177" s="29" t="s">
        <v>1853</v>
      </c>
      <c r="S177" s="29" t="s">
        <v>1854</v>
      </c>
      <c r="T177" s="29" t="s">
        <v>72</v>
      </c>
      <c r="U177" s="29" t="s">
        <v>72</v>
      </c>
      <c r="V177" s="29" t="s">
        <v>269</v>
      </c>
      <c r="X177" s="29" t="s">
        <v>1855</v>
      </c>
      <c r="Y177" s="34">
        <v>46136.3034375</v>
      </c>
      <c r="Z177" s="29" t="s">
        <v>1856</v>
      </c>
      <c r="AA177" s="6">
        <v>2.0</v>
      </c>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row>
    <row r="178" ht="22.5" hidden="1" customHeight="1">
      <c r="A178" s="29" t="s">
        <v>1857</v>
      </c>
      <c r="B178" s="30">
        <v>38277.0</v>
      </c>
      <c r="C178" s="29" t="s">
        <v>1858</v>
      </c>
      <c r="D178" s="31" t="s">
        <v>1859</v>
      </c>
      <c r="E178" s="29" t="s">
        <v>127</v>
      </c>
      <c r="F178" s="29" t="s">
        <v>62</v>
      </c>
      <c r="G178" s="32" t="str">
        <f>HYPERLINK("https://api.typeform.com/responses/files/cfdb7ea3485d356b18aecf1fadc5ba4825cb0b3c5fbd962d3343ecb697e665b7/CV___Game_Quality_Assurance___Bui_Dinh_An_Loc.pdf")</f>
        <v>https://api.typeform.com/responses/files/cfdb7ea3485d356b18aecf1fadc5ba4825cb0b3c5fbd962d3343ecb697e665b7/CV___Game_Quality_Assurance___Bui_Dinh_An_Loc.pdf</v>
      </c>
      <c r="H178" s="29" t="s">
        <v>1860</v>
      </c>
      <c r="I178" s="29" t="s">
        <v>1861</v>
      </c>
      <c r="J178" s="29" t="s">
        <v>715</v>
      </c>
      <c r="L178" s="29" t="s">
        <v>219</v>
      </c>
      <c r="M178" s="29" t="s">
        <v>399</v>
      </c>
      <c r="N178" s="33">
        <v>46569.0</v>
      </c>
      <c r="O178" s="31" t="s">
        <v>1862</v>
      </c>
      <c r="P178" s="32" t="str">
        <f>HYPERLINK("https://api.typeform.com/responses/files/2fb834cb4b2d5d58d06dbfa40f8f690f366e51ef894fc036789cf15b2f3c91cd/Transcript___Game_Quality_Assurance___Bui_Dinh_An_Loc.pdf")</f>
        <v>https://api.typeform.com/responses/files/2fb834cb4b2d5d58d06dbfa40f8f690f366e51ef894fc036789cf15b2f3c91cd/Transcript___Game_Quality_Assurance___Bui_Dinh_An_Loc.pdf</v>
      </c>
      <c r="Q178" s="29" t="b">
        <v>1</v>
      </c>
      <c r="R178" s="29" t="s">
        <v>1863</v>
      </c>
      <c r="S178" s="29" t="s">
        <v>1864</v>
      </c>
      <c r="T178" s="29" t="s">
        <v>72</v>
      </c>
      <c r="U178" s="29" t="s">
        <v>72</v>
      </c>
      <c r="V178" s="29" t="s">
        <v>90</v>
      </c>
      <c r="X178" s="29" t="s">
        <v>1865</v>
      </c>
      <c r="Y178" s="34">
        <v>46136.30902777778</v>
      </c>
      <c r="Z178" s="29" t="s">
        <v>1866</v>
      </c>
      <c r="AA178" s="6">
        <v>2.0</v>
      </c>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row>
    <row r="179" ht="22.5" hidden="1" customHeight="1">
      <c r="A179" s="29" t="s">
        <v>1867</v>
      </c>
      <c r="B179" s="30">
        <v>38153.0</v>
      </c>
      <c r="C179" s="29" t="s">
        <v>1868</v>
      </c>
      <c r="D179" s="31" t="s">
        <v>1869</v>
      </c>
      <c r="E179" s="29" t="s">
        <v>127</v>
      </c>
      <c r="F179" s="29" t="s">
        <v>99</v>
      </c>
      <c r="G179" s="32" t="str">
        <f>HYPERLINK("https://api.typeform.com/responses/files/3de2ff45629517cb53afa44320f437c3060824726e2dadcb2e55fee329faf8c4/CV___Game_Quality_Assurance_Intern___Lê_Thành_Công.pdf")</f>
        <v>https://api.typeform.com/responses/files/3de2ff45629517cb53afa44320f437c3060824726e2dadcb2e55fee329faf8c4/CV___Game_Quality_Assurance_Intern___Lê_Thành_Công.pdf</v>
      </c>
      <c r="H179" s="29" t="s">
        <v>1870</v>
      </c>
      <c r="I179" s="29" t="s">
        <v>1871</v>
      </c>
      <c r="J179" s="29" t="s">
        <v>65</v>
      </c>
      <c r="K179" s="29" t="s">
        <v>1872</v>
      </c>
      <c r="L179" s="29" t="s">
        <v>67</v>
      </c>
      <c r="M179" s="29" t="s">
        <v>909</v>
      </c>
      <c r="N179" s="33">
        <v>46280.0</v>
      </c>
      <c r="O179" s="29" t="s">
        <v>1873</v>
      </c>
      <c r="P179" s="32" t="str">
        <f>HYPERLINK("https://api.typeform.com/responses/files/3e1e6d282fd5db8865c853012ccf0e6a5803e8e49320ff8fe93ea79ea007e117/Transcript___Game_Quality_Assurance_Intern___Lê_Thành_Công.xlsx")</f>
        <v>https://api.typeform.com/responses/files/3e1e6d282fd5db8865c853012ccf0e6a5803e8e49320ff8fe93ea79ea007e117/Transcript___Game_Quality_Assurance_Intern___Lê_Thành_Công.xlsx</v>
      </c>
      <c r="Q179" s="29" t="b">
        <v>1</v>
      </c>
      <c r="R179" s="29" t="s">
        <v>1874</v>
      </c>
      <c r="S179" s="29" t="s">
        <v>1875</v>
      </c>
      <c r="T179" s="29" t="s">
        <v>72</v>
      </c>
      <c r="U179" s="29" t="s">
        <v>72</v>
      </c>
      <c r="V179" s="29" t="s">
        <v>90</v>
      </c>
      <c r="X179" s="29" t="s">
        <v>1876</v>
      </c>
      <c r="Y179" s="34">
        <v>46136.31043981481</v>
      </c>
      <c r="Z179" s="29" t="s">
        <v>1877</v>
      </c>
      <c r="AA179" s="6">
        <v>2.0</v>
      </c>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row>
    <row r="180" ht="22.5" hidden="1" customHeight="1">
      <c r="A180" s="29" t="s">
        <v>1878</v>
      </c>
      <c r="B180" s="30">
        <v>38635.0</v>
      </c>
      <c r="C180" s="29" t="s">
        <v>1879</v>
      </c>
      <c r="D180" s="31" t="s">
        <v>1880</v>
      </c>
      <c r="E180" s="29" t="s">
        <v>82</v>
      </c>
      <c r="G180" s="32" t="str">
        <f>HYPERLINK("https://api.typeform.com/responses/files/87c29df6cdae6296199a6d2870f23bd1a2b24c9c6412e5003bb43dc37400bd12/CV___Data_Analysis_Intern___Nguyễn_Vũ_Thuỳ_Trâm.pdf")</f>
        <v>https://api.typeform.com/responses/files/87c29df6cdae6296199a6d2870f23bd1a2b24c9c6412e5003bb43dc37400bd12/CV___Data_Analysis_Intern___Nguyễn_Vũ_Thuỳ_Trâm.pdf</v>
      </c>
      <c r="H180" s="29" t="s">
        <v>1881</v>
      </c>
      <c r="I180" s="29" t="s">
        <v>1882</v>
      </c>
      <c r="J180" s="29" t="s">
        <v>85</v>
      </c>
      <c r="L180" s="29" t="s">
        <v>219</v>
      </c>
      <c r="M180" s="29" t="s">
        <v>384</v>
      </c>
      <c r="N180" s="33">
        <v>46563.0</v>
      </c>
      <c r="O180" s="31" t="s">
        <v>309</v>
      </c>
      <c r="P180" s="32" t="str">
        <f>HYPERLINK("https://api.typeform.com/responses/files/6d2f3cdf5f36f37e94a83aa28aea6a725e33a193435370001285514bbc6de487/Transcript___Data_Analysis_Intern___Nguyễn_Vũ_Thuỳ_Trâm.pdf")</f>
        <v>https://api.typeform.com/responses/files/6d2f3cdf5f36f37e94a83aa28aea6a725e33a193435370001285514bbc6de487/Transcript___Data_Analysis_Intern___Nguyễn_Vũ_Thuỳ_Trâm.pdf</v>
      </c>
      <c r="Q180" s="29" t="b">
        <v>0</v>
      </c>
      <c r="R180" s="29" t="s">
        <v>1883</v>
      </c>
      <c r="S180" s="29" t="s">
        <v>1884</v>
      </c>
      <c r="T180" s="29" t="s">
        <v>72</v>
      </c>
      <c r="U180" s="29" t="s">
        <v>72</v>
      </c>
      <c r="V180" s="29" t="s">
        <v>73</v>
      </c>
      <c r="X180" s="29" t="s">
        <v>1885</v>
      </c>
      <c r="Y180" s="34">
        <v>46136.333865740744</v>
      </c>
      <c r="Z180" s="29" t="s">
        <v>1886</v>
      </c>
      <c r="AA180" s="6">
        <v>2.0</v>
      </c>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row>
    <row r="181" ht="22.5" hidden="1" customHeight="1">
      <c r="A181" s="29" t="s">
        <v>1887</v>
      </c>
      <c r="B181" s="30">
        <v>39269.0</v>
      </c>
      <c r="C181" s="29" t="s">
        <v>1888</v>
      </c>
      <c r="D181" s="31" t="s">
        <v>1889</v>
      </c>
      <c r="E181" s="29" t="s">
        <v>774</v>
      </c>
      <c r="F181" s="29" t="s">
        <v>99</v>
      </c>
      <c r="G181" s="32" t="str">
        <f>HYPERLINK("https://api.typeform.com/responses/files/ddc50a01be8397f407d65479254922bc5dd1a3e227b35cb52821931304652d58/cv_nguyentanthanh_compressed.pdf")</f>
        <v>https://api.typeform.com/responses/files/ddc50a01be8397f407d65479254922bc5dd1a3e227b35cb52821931304652d58/cv_nguyentanthanh_compressed.pdf</v>
      </c>
      <c r="H181" s="29" t="s">
        <v>1890</v>
      </c>
      <c r="I181" s="29" t="s">
        <v>1891</v>
      </c>
      <c r="J181" s="29" t="s">
        <v>338</v>
      </c>
      <c r="L181" s="29" t="s">
        <v>1892</v>
      </c>
      <c r="M181" s="29" t="s">
        <v>1893</v>
      </c>
      <c r="N181" s="33">
        <v>47366.0</v>
      </c>
      <c r="O181" s="31" t="s">
        <v>1894</v>
      </c>
      <c r="P181" s="32" t="str">
        <f>HYPERLINK("https://api.typeform.com/responses/files/813e9e03552f70a19dd7e144a5a3146542aef77bd44767957c89e7abe791eccc/bảng_điểm.pdf")</f>
        <v>https://api.typeform.com/responses/files/813e9e03552f70a19dd7e144a5a3146542aef77bd44767957c89e7abe791eccc/bảng_điểm.pdf</v>
      </c>
      <c r="Q181" s="29" t="b">
        <v>1</v>
      </c>
      <c r="R181" s="29" t="s">
        <v>1895</v>
      </c>
      <c r="S181" s="29" t="s">
        <v>1896</v>
      </c>
      <c r="T181" s="29" t="s">
        <v>72</v>
      </c>
      <c r="U181" s="29" t="s">
        <v>72</v>
      </c>
      <c r="V181" s="29" t="s">
        <v>224</v>
      </c>
      <c r="X181" s="29" t="s">
        <v>1897</v>
      </c>
      <c r="Y181" s="34">
        <v>46136.34206018518</v>
      </c>
      <c r="Z181" s="29" t="s">
        <v>1898</v>
      </c>
      <c r="AA181" s="6">
        <v>2.0</v>
      </c>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row>
    <row r="182" ht="22.5" hidden="1" customHeight="1">
      <c r="A182" s="29" t="s">
        <v>1899</v>
      </c>
      <c r="B182" s="30">
        <v>38101.0</v>
      </c>
      <c r="C182" s="29" t="s">
        <v>1900</v>
      </c>
      <c r="D182" s="31" t="s">
        <v>1901</v>
      </c>
      <c r="E182" s="29" t="s">
        <v>774</v>
      </c>
      <c r="G182" s="32" t="str">
        <f>HYPERLINK("https://api.typeform.com/responses/files/77f65b69612debff73a8e4e0c654e22560abba65d81e63b187fdaee8db7a434b/CV___Game_User_Acquisition_Intern___Nguyễn_Mai_Phương.pdf")</f>
        <v>https://api.typeform.com/responses/files/77f65b69612debff73a8e4e0c654e22560abba65d81e63b187fdaee8db7a434b/CV___Game_User_Acquisition_Intern___Nguyễn_Mai_Phương.pdf</v>
      </c>
      <c r="H182" s="29" t="s">
        <v>1902</v>
      </c>
      <c r="I182" s="29" t="s">
        <v>1903</v>
      </c>
      <c r="J182" s="29" t="s">
        <v>338</v>
      </c>
      <c r="L182" s="29" t="s">
        <v>67</v>
      </c>
      <c r="M182" s="29" t="s">
        <v>1496</v>
      </c>
      <c r="N182" s="33">
        <v>46244.0</v>
      </c>
      <c r="O182" s="31" t="s">
        <v>901</v>
      </c>
      <c r="P182" s="32" t="str">
        <f>HYPERLINK("https://api.typeform.com/responses/files/bb22ce6a0cc24d8866cc62a2e40c04ecea85d87e0de30d856bb37e49b27777e8/Transcript___Game_User_Acquisition_Intern___Nguyễn_Mai_Phương.pdf")</f>
        <v>https://api.typeform.com/responses/files/bb22ce6a0cc24d8866cc62a2e40c04ecea85d87e0de30d856bb37e49b27777e8/Transcript___Game_User_Acquisition_Intern___Nguyễn_Mai_Phương.pdf</v>
      </c>
      <c r="Q182" s="29" t="b">
        <v>0</v>
      </c>
      <c r="R182" s="29" t="s">
        <v>1904</v>
      </c>
      <c r="S182" s="29" t="s">
        <v>1905</v>
      </c>
      <c r="T182" s="29" t="s">
        <v>72</v>
      </c>
      <c r="U182" s="29" t="s">
        <v>72</v>
      </c>
      <c r="V182" s="29" t="s">
        <v>73</v>
      </c>
      <c r="X182" s="29" t="s">
        <v>1906</v>
      </c>
      <c r="Y182" s="34">
        <v>46136.34747685185</v>
      </c>
      <c r="Z182" s="29" t="s">
        <v>1907</v>
      </c>
      <c r="AA182" s="6">
        <v>2.0</v>
      </c>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row>
    <row r="183" ht="22.5" hidden="1" customHeight="1">
      <c r="A183" s="29" t="s">
        <v>1908</v>
      </c>
      <c r="B183" s="30">
        <v>37488.0</v>
      </c>
      <c r="C183" s="29" t="s">
        <v>1909</v>
      </c>
      <c r="D183" s="31" t="s">
        <v>1910</v>
      </c>
      <c r="E183" s="29" t="s">
        <v>127</v>
      </c>
      <c r="F183" s="29" t="s">
        <v>82</v>
      </c>
      <c r="G183" s="32" t="str">
        <f>HYPERLINK("https://api.typeform.com/responses/files/dd5cc6382b90a6982bd9fb894e15d23b5ad18b13fb1a3da89ce4969771857807/CV___Game_QA_Intern___Nguyễn_Hồng_Luân.pdf")</f>
        <v>https://api.typeform.com/responses/files/dd5cc6382b90a6982bd9fb894e15d23b5ad18b13fb1a3da89ce4969771857807/CV___Game_QA_Intern___Nguyễn_Hồng_Luân.pdf</v>
      </c>
      <c r="H183" s="29" t="s">
        <v>1911</v>
      </c>
      <c r="I183" s="29" t="s">
        <v>1912</v>
      </c>
      <c r="J183" s="29" t="s">
        <v>144</v>
      </c>
      <c r="L183" s="29" t="s">
        <v>103</v>
      </c>
      <c r="M183" s="29" t="s">
        <v>1913</v>
      </c>
      <c r="N183" s="33">
        <v>45565.0</v>
      </c>
      <c r="O183" s="31" t="s">
        <v>159</v>
      </c>
      <c r="P183" s="32" t="str">
        <f>HYPERLINK("https://api.typeform.com/responses/files/b115b669892fd543e2f8da8c16ab7f001b30882048406f020e1ef796da8381e7/Transcript___Game_QA_Intern___Nguyễn_Hồng_Luân.jpg")</f>
        <v>https://api.typeform.com/responses/files/b115b669892fd543e2f8da8c16ab7f001b30882048406f020e1ef796da8381e7/Transcript___Game_QA_Intern___Nguyễn_Hồng_Luân.jpg</v>
      </c>
      <c r="Q183" s="29" t="b">
        <v>1</v>
      </c>
      <c r="R183" s="29" t="s">
        <v>1914</v>
      </c>
      <c r="S183" s="29" t="s">
        <v>1915</v>
      </c>
      <c r="T183" s="29" t="s">
        <v>72</v>
      </c>
      <c r="U183" s="29" t="s">
        <v>72</v>
      </c>
      <c r="V183" s="29" t="s">
        <v>224</v>
      </c>
      <c r="X183" s="29" t="s">
        <v>1916</v>
      </c>
      <c r="Y183" s="34">
        <v>46136.35146990741</v>
      </c>
      <c r="Z183" s="29" t="s">
        <v>1917</v>
      </c>
      <c r="AA183" s="6">
        <v>2.0</v>
      </c>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row>
    <row r="184" ht="22.5" hidden="1" customHeight="1">
      <c r="A184" s="29" t="s">
        <v>1918</v>
      </c>
      <c r="B184" s="30">
        <v>37848.0</v>
      </c>
      <c r="C184" s="29" t="s">
        <v>1919</v>
      </c>
      <c r="D184" s="31" t="s">
        <v>1920</v>
      </c>
      <c r="E184" s="29" t="s">
        <v>774</v>
      </c>
      <c r="F184" s="29" t="s">
        <v>99</v>
      </c>
      <c r="G184" s="32" t="str">
        <f>HYPERLINK("https://api.typeform.com/responses/files/263f5303c93dfd73af231f4a388b247c2d13728422b584d6f7bee390e020e553/CV___Game_User_Acquisition_and_Game_Design_Intern___Phạm_Anh_Đức_.pdf")</f>
        <v>https://api.typeform.com/responses/files/263f5303c93dfd73af231f4a388b247c2d13728422b584d6f7bee390e020e553/CV___Game_User_Acquisition_and_Game_Design_Intern___Phạm_Anh_Đức_.pdf</v>
      </c>
      <c r="H184" s="29" t="s">
        <v>1921</v>
      </c>
      <c r="I184" s="29" t="s">
        <v>1922</v>
      </c>
      <c r="J184" s="29" t="s">
        <v>116</v>
      </c>
      <c r="L184" s="29" t="s">
        <v>67</v>
      </c>
      <c r="M184" s="29" t="s">
        <v>1923</v>
      </c>
      <c r="N184" s="33">
        <v>46548.0</v>
      </c>
      <c r="O184" s="31" t="s">
        <v>458</v>
      </c>
      <c r="P184" s="32" t="str">
        <f>HYPERLINK("https://api.typeform.com/responses/files/091b9282f0a37e47ce9b3e6ecff6cabfbb19e3b57f0e613018038266def2f283/A0.png")</f>
        <v>https://api.typeform.com/responses/files/091b9282f0a37e47ce9b3e6ecff6cabfbb19e3b57f0e613018038266def2f283/A0.png</v>
      </c>
      <c r="Q184" s="29" t="b">
        <v>1</v>
      </c>
      <c r="R184" s="29" t="s">
        <v>1924</v>
      </c>
      <c r="S184" s="29" t="s">
        <v>1925</v>
      </c>
      <c r="T184" s="29" t="s">
        <v>1926</v>
      </c>
      <c r="U184" s="29" t="s">
        <v>1927</v>
      </c>
      <c r="V184" s="29" t="s">
        <v>1340</v>
      </c>
      <c r="X184" s="29" t="s">
        <v>1928</v>
      </c>
      <c r="Y184" s="34">
        <v>46136.35787037037</v>
      </c>
      <c r="Z184" s="29" t="s">
        <v>1929</v>
      </c>
      <c r="AA184" s="6">
        <v>2.0</v>
      </c>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row>
    <row r="185" ht="22.5" hidden="1" customHeight="1">
      <c r="A185" s="29" t="s">
        <v>1930</v>
      </c>
      <c r="B185" s="30">
        <v>37545.0</v>
      </c>
      <c r="C185" s="29" t="s">
        <v>1931</v>
      </c>
      <c r="D185" s="31" t="s">
        <v>1932</v>
      </c>
      <c r="E185" s="29" t="s">
        <v>62</v>
      </c>
      <c r="F185" s="29" t="s">
        <v>62</v>
      </c>
      <c r="G185" s="32" t="str">
        <f>HYPERLINK("https://api.typeform.com/responses/files/3644b02b007f257358dcf0b77c47fa4282638f12a0e5ec904fd4f1367660b2a8/HoangThanhLam_AI.pdf")</f>
        <v>https://api.typeform.com/responses/files/3644b02b007f257358dcf0b77c47fa4282638f12a0e5ec904fd4f1367660b2a8/HoangThanhLam_AI.pdf</v>
      </c>
      <c r="H185" s="29" t="s">
        <v>1933</v>
      </c>
      <c r="I185" s="29" t="s">
        <v>1934</v>
      </c>
      <c r="J185" s="29" t="s">
        <v>65</v>
      </c>
      <c r="K185" s="29" t="s">
        <v>349</v>
      </c>
      <c r="L185" s="29" t="s">
        <v>103</v>
      </c>
      <c r="M185" s="29" t="s">
        <v>412</v>
      </c>
      <c r="N185" s="33">
        <v>45983.0</v>
      </c>
      <c r="O185" s="31" t="s">
        <v>1935</v>
      </c>
      <c r="P185" s="32" t="str">
        <f>HYPERLINK("https://api.typeform.com/responses/files/8ea9dbf7744b5e97d5ab4b9470f0be1ae88eb8e059fb2b08e685e55ca2998810/Transcript___AI_Intern___Hoàng_Thanh_Lâm.pdf")</f>
        <v>https://api.typeform.com/responses/files/8ea9dbf7744b5e97d5ab4b9470f0be1ae88eb8e059fb2b08e685e55ca2998810/Transcript___AI_Intern___Hoàng_Thanh_Lâm.pdf</v>
      </c>
      <c r="Q185" s="29" t="b">
        <v>1</v>
      </c>
      <c r="R185" s="29" t="s">
        <v>1936</v>
      </c>
      <c r="S185" s="29" t="s">
        <v>1937</v>
      </c>
      <c r="T185" s="29" t="s">
        <v>72</v>
      </c>
      <c r="U185" s="29" t="s">
        <v>72</v>
      </c>
      <c r="V185" s="29" t="s">
        <v>90</v>
      </c>
      <c r="X185" s="29" t="s">
        <v>1938</v>
      </c>
      <c r="Y185" s="34">
        <v>46136.36142361111</v>
      </c>
      <c r="Z185" s="29" t="s">
        <v>1939</v>
      </c>
      <c r="AA185" s="6">
        <v>2.0</v>
      </c>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row>
    <row r="186" ht="22.5" hidden="1" customHeight="1">
      <c r="A186" s="29" t="s">
        <v>1940</v>
      </c>
      <c r="B186" s="30">
        <v>37625.0</v>
      </c>
      <c r="C186" s="29" t="s">
        <v>1941</v>
      </c>
      <c r="D186" s="31" t="s">
        <v>1942</v>
      </c>
      <c r="E186" s="29" t="s">
        <v>61</v>
      </c>
      <c r="F186" s="29" t="s">
        <v>99</v>
      </c>
      <c r="G186" s="32" t="str">
        <f>HYPERLINK("https://api.typeform.com/responses/files/39246f473991932515e06c4f2bedd55cd43f1bcfb2cfa7cb3ed9efdbcb0ac886/CV___Unity_Development_Intern___Nguyễn_Hũu_Tuấn_Tú.pdf")</f>
        <v>https://api.typeform.com/responses/files/39246f473991932515e06c4f2bedd55cd43f1bcfb2cfa7cb3ed9efdbcb0ac886/CV___Unity_Development_Intern___Nguyễn_Hũu_Tuấn_Tú.pdf</v>
      </c>
      <c r="H186" s="29" t="s">
        <v>1943</v>
      </c>
      <c r="I186" s="29" t="s">
        <v>1944</v>
      </c>
      <c r="J186" s="29" t="s">
        <v>338</v>
      </c>
      <c r="L186" s="29" t="s">
        <v>103</v>
      </c>
      <c r="M186" s="29" t="s">
        <v>1945</v>
      </c>
      <c r="N186" s="33">
        <v>45883.0</v>
      </c>
      <c r="O186" s="31" t="s">
        <v>1382</v>
      </c>
      <c r="P186" s="32" t="str">
        <f>HYPERLINK("https://api.typeform.com/responses/files/b3284c184c8db7ed6a081bc74836dc6ca5a0b749dfafdd22a3664f903d1e4cc8/Transcript___Unity_Developement_Intern___Nguyễn_Hũu_Tuấn_Tú.pdf")</f>
        <v>https://api.typeform.com/responses/files/b3284c184c8db7ed6a081bc74836dc6ca5a0b749dfafdd22a3664f903d1e4cc8/Transcript___Unity_Developement_Intern___Nguyễn_Hũu_Tuấn_Tú.pdf</v>
      </c>
      <c r="Q186" s="29" t="b">
        <v>1</v>
      </c>
      <c r="R186" s="29" t="s">
        <v>1946</v>
      </c>
      <c r="S186" s="29" t="s">
        <v>1947</v>
      </c>
      <c r="T186" s="29" t="s">
        <v>72</v>
      </c>
      <c r="U186" s="29" t="s">
        <v>72</v>
      </c>
      <c r="V186" s="29" t="s">
        <v>73</v>
      </c>
      <c r="X186" s="29" t="s">
        <v>1948</v>
      </c>
      <c r="Y186" s="34">
        <v>46136.36486111111</v>
      </c>
      <c r="Z186" s="29" t="s">
        <v>1949</v>
      </c>
      <c r="AA186" s="6">
        <v>2.0</v>
      </c>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row>
    <row r="187" ht="22.5" hidden="1" customHeight="1">
      <c r="A187" s="29" t="s">
        <v>1950</v>
      </c>
      <c r="B187" s="30">
        <v>38010.0</v>
      </c>
      <c r="C187" s="29" t="s">
        <v>1951</v>
      </c>
      <c r="D187" s="31" t="s">
        <v>1952</v>
      </c>
      <c r="E187" s="29" t="s">
        <v>99</v>
      </c>
      <c r="F187" s="29" t="s">
        <v>61</v>
      </c>
      <c r="G187" s="32" t="str">
        <f>HYPERLINK("https://api.typeform.com/responses/files/884f7664314ab1485462fce768c3bf9e45e4b0bddf47fc19e5384a8f3cdd412f/CV___Game_Design_Intern___Trương_Quang_Nghĩa.pdf")</f>
        <v>https://api.typeform.com/responses/files/884f7664314ab1485462fce768c3bf9e45e4b0bddf47fc19e5384a8f3cdd412f/CV___Game_Design_Intern___Trương_Quang_Nghĩa.pdf</v>
      </c>
      <c r="H187" s="29" t="s">
        <v>1953</v>
      </c>
      <c r="I187" s="29" t="s">
        <v>1954</v>
      </c>
      <c r="J187" s="29" t="s">
        <v>715</v>
      </c>
      <c r="L187" s="29" t="s">
        <v>67</v>
      </c>
      <c r="M187" s="29" t="s">
        <v>399</v>
      </c>
      <c r="N187" s="33">
        <v>46157.0</v>
      </c>
      <c r="O187" s="31" t="s">
        <v>1112</v>
      </c>
      <c r="P187" s="32" t="str">
        <f>HYPERLINK("https://api.typeform.com/responses/files/86ba9bab334075340838a29e026ffc780438b88711d05eba5980ca374e0df478/Transcript___Game_Design_Intern___Trương_Quang_Nghĩa.xlsx")</f>
        <v>https://api.typeform.com/responses/files/86ba9bab334075340838a29e026ffc780438b88711d05eba5980ca374e0df478/Transcript___Game_Design_Intern___Trương_Quang_Nghĩa.xlsx</v>
      </c>
      <c r="Q187" s="29" t="b">
        <v>0</v>
      </c>
      <c r="R187" s="29" t="s">
        <v>300</v>
      </c>
      <c r="S187" s="29" t="s">
        <v>1955</v>
      </c>
      <c r="T187" s="29" t="s">
        <v>72</v>
      </c>
      <c r="U187" s="29" t="s">
        <v>72</v>
      </c>
      <c r="V187" s="29" t="s">
        <v>90</v>
      </c>
      <c r="X187" s="29" t="s">
        <v>1956</v>
      </c>
      <c r="Y187" s="34">
        <v>46136.38542824074</v>
      </c>
      <c r="Z187" s="29" t="s">
        <v>1957</v>
      </c>
      <c r="AA187" s="6">
        <v>2.0</v>
      </c>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row>
    <row r="188" ht="22.5" hidden="1" customHeight="1">
      <c r="A188" s="29" t="s">
        <v>1958</v>
      </c>
      <c r="B188" s="30">
        <v>38235.0</v>
      </c>
      <c r="C188" s="29" t="s">
        <v>1959</v>
      </c>
      <c r="D188" s="31" t="s">
        <v>1960</v>
      </c>
      <c r="E188" s="29" t="s">
        <v>62</v>
      </c>
      <c r="F188" s="29" t="s">
        <v>82</v>
      </c>
      <c r="G188" s="32" t="str">
        <f>HYPERLINK("https://api.typeform.com/responses/files/d000a9351138af1e1162ba320edfade993daf3434fbd3422112f2c5940ee5a36/CV_AIEngineer_NgoQuangMinh.pdf")</f>
        <v>https://api.typeform.com/responses/files/d000a9351138af1e1162ba320edfade993daf3434fbd3422112f2c5940ee5a36/CV_AIEngineer_NgoQuangMinh.pdf</v>
      </c>
      <c r="H188" s="29" t="s">
        <v>1961</v>
      </c>
      <c r="I188" s="29" t="s">
        <v>1962</v>
      </c>
      <c r="J188" s="29" t="s">
        <v>1069</v>
      </c>
      <c r="L188" s="29" t="s">
        <v>67</v>
      </c>
      <c r="M188" s="29" t="s">
        <v>624</v>
      </c>
      <c r="N188" s="33">
        <v>46544.0</v>
      </c>
      <c r="O188" s="31" t="s">
        <v>1686</v>
      </c>
      <c r="P188" s="32" t="str">
        <f>HYPERLINK("https://api.typeform.com/responses/files/36dbd07f5c2ef9d6d53657cf4975b2836fcac711ca93aad780f766bea253c461/Transcript_AI_Engineer_Intern_NgoQuangMinh.pdf")</f>
        <v>https://api.typeform.com/responses/files/36dbd07f5c2ef9d6d53657cf4975b2836fcac711ca93aad780f766bea253c461/Transcript_AI_Engineer_Intern_NgoQuangMinh.pdf</v>
      </c>
      <c r="Q188" s="29" t="b">
        <v>1</v>
      </c>
      <c r="R188" s="29" t="s">
        <v>1963</v>
      </c>
      <c r="S188" s="29" t="s">
        <v>1964</v>
      </c>
      <c r="T188" s="29" t="s">
        <v>72</v>
      </c>
      <c r="U188" s="29" t="s">
        <v>72</v>
      </c>
      <c r="V188" s="29" t="s">
        <v>269</v>
      </c>
      <c r="X188" s="29" t="s">
        <v>1965</v>
      </c>
      <c r="Y188" s="34">
        <v>46136.41596064815</v>
      </c>
      <c r="Z188" s="29" t="s">
        <v>1966</v>
      </c>
      <c r="AA188" s="6">
        <v>2.0</v>
      </c>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row>
    <row r="189" ht="22.5" hidden="1" customHeight="1">
      <c r="A189" s="29" t="s">
        <v>1967</v>
      </c>
      <c r="B189" s="30">
        <v>38237.0</v>
      </c>
      <c r="C189" s="29" t="s">
        <v>1968</v>
      </c>
      <c r="D189" s="31" t="s">
        <v>1969</v>
      </c>
      <c r="E189" s="29" t="s">
        <v>127</v>
      </c>
      <c r="F189" s="29" t="s">
        <v>127</v>
      </c>
      <c r="G189" s="32" t="str">
        <f>HYPERLINK("https://api.typeform.com/responses/files/248a6c5a13c3812531d5b9b01697e7b35c5d6decbddde34cf4ff993a1a7ed113/CV___Game_Quality_Assurance_Intern___Nguyễn_Thị_Như_Quỳnh.pdf")</f>
        <v>https://api.typeform.com/responses/files/248a6c5a13c3812531d5b9b01697e7b35c5d6decbddde34cf4ff993a1a7ed113/CV___Game_Quality_Assurance_Intern___Nguyễn_Thị_Như_Quỳnh.pdf</v>
      </c>
      <c r="H189" s="29" t="s">
        <v>1970</v>
      </c>
      <c r="I189" s="29" t="s">
        <v>1971</v>
      </c>
      <c r="J189" s="29" t="s">
        <v>116</v>
      </c>
      <c r="L189" s="29" t="s">
        <v>67</v>
      </c>
      <c r="M189" s="29" t="s">
        <v>624</v>
      </c>
      <c r="N189" s="33">
        <v>46305.0</v>
      </c>
      <c r="O189" s="31" t="s">
        <v>171</v>
      </c>
      <c r="P189" s="32" t="str">
        <f>HYPERLINK("https://api.typeform.com/responses/files/51a8a9fa736587e4e6f0f61d651cc6df8caf17573d80eca4de2b72375202bcac/Transcript___Game_Quality_Assurance_Intern___Nguyễn_Thị_Như_Quỳnh.pdf")</f>
        <v>https://api.typeform.com/responses/files/51a8a9fa736587e4e6f0f61d651cc6df8caf17573d80eca4de2b72375202bcac/Transcript___Game_Quality_Assurance_Intern___Nguyễn_Thị_Như_Quỳnh.pdf</v>
      </c>
      <c r="Q189" s="29" t="b">
        <v>1</v>
      </c>
      <c r="R189" s="29" t="s">
        <v>1972</v>
      </c>
      <c r="S189" s="29" t="s">
        <v>1973</v>
      </c>
      <c r="T189" s="29" t="s">
        <v>72</v>
      </c>
      <c r="U189" s="29" t="s">
        <v>72</v>
      </c>
      <c r="V189" s="29" t="s">
        <v>90</v>
      </c>
      <c r="X189" s="29" t="s">
        <v>1974</v>
      </c>
      <c r="Y189" s="34">
        <v>46136.420277777775</v>
      </c>
      <c r="Z189" s="29" t="s">
        <v>1975</v>
      </c>
      <c r="AA189" s="6">
        <v>2.0</v>
      </c>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row>
    <row r="190" ht="22.5" hidden="1" customHeight="1">
      <c r="A190" s="29" t="s">
        <v>1976</v>
      </c>
      <c r="B190" s="30">
        <v>37939.0</v>
      </c>
      <c r="C190" s="29" t="s">
        <v>1977</v>
      </c>
      <c r="D190" s="31" t="s">
        <v>1978</v>
      </c>
      <c r="E190" s="29" t="s">
        <v>61</v>
      </c>
      <c r="F190" s="29" t="s">
        <v>99</v>
      </c>
      <c r="G190" s="32" t="str">
        <f>HYPERLINK("https://api.typeform.com/responses/files/54d6563b0dbb68dd27ae84b6822142f7ce45c85f07e8e544dce9fed7eb496eb6/Nguyen_Khai_Resume_Unity_Developer.pdf")</f>
        <v>https://api.typeform.com/responses/files/54d6563b0dbb68dd27ae84b6822142f7ce45c85f07e8e544dce9fed7eb496eb6/Nguyen_Khai_Resume_Unity_Developer.pdf</v>
      </c>
      <c r="H190" s="29" t="s">
        <v>1979</v>
      </c>
      <c r="I190" s="29" t="s">
        <v>1980</v>
      </c>
      <c r="J190" s="29" t="s">
        <v>65</v>
      </c>
      <c r="K190" s="29" t="s">
        <v>1981</v>
      </c>
      <c r="L190" s="29" t="s">
        <v>103</v>
      </c>
      <c r="M190" s="29" t="s">
        <v>624</v>
      </c>
      <c r="N190" s="33">
        <v>45745.0</v>
      </c>
      <c r="O190" s="31" t="s">
        <v>1382</v>
      </c>
      <c r="P190" s="32" t="str">
        <f>HYPERLINK("https://api.typeform.com/responses/files/fa26aa048cf2bb84981b5c55cb18d81d0e9e9633969e6ce26f146b6d2dc7b8ca/Nguyen_Khai_Transcript.pdf")</f>
        <v>https://api.typeform.com/responses/files/fa26aa048cf2bb84981b5c55cb18d81d0e9e9633969e6ce26f146b6d2dc7b8ca/Nguyen_Khai_Transcript.pdf</v>
      </c>
      <c r="Q190" s="29" t="b">
        <v>1</v>
      </c>
      <c r="R190" s="29" t="s">
        <v>1982</v>
      </c>
      <c r="S190" s="29" t="s">
        <v>1983</v>
      </c>
      <c r="T190" s="29" t="s">
        <v>72</v>
      </c>
      <c r="U190" s="29" t="s">
        <v>72</v>
      </c>
      <c r="V190" s="29" t="s">
        <v>73</v>
      </c>
      <c r="Y190" s="34">
        <v>46136.42811342593</v>
      </c>
      <c r="Z190" s="29" t="s">
        <v>1984</v>
      </c>
      <c r="AA190" s="6">
        <v>2.0</v>
      </c>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row>
    <row r="191" ht="22.5" hidden="1" customHeight="1">
      <c r="A191" s="29" t="s">
        <v>1985</v>
      </c>
      <c r="B191" s="30">
        <v>38037.0</v>
      </c>
      <c r="C191" s="29" t="s">
        <v>1986</v>
      </c>
      <c r="D191" s="31" t="s">
        <v>1987</v>
      </c>
      <c r="E191" s="29" t="s">
        <v>99</v>
      </c>
      <c r="F191" s="29" t="s">
        <v>127</v>
      </c>
      <c r="G191" s="32" t="str">
        <f>HYPERLINK("https://api.typeform.com/responses/files/e6fa2621a868c4b0c2763181784a0078294ff895cc65ebd74d525b6e865cce7f/CV___Game_Design_Intern___Trần_Ngọc_Khánh_Huy.pdf")</f>
        <v>https://api.typeform.com/responses/files/e6fa2621a868c4b0c2763181784a0078294ff895cc65ebd74d525b6e865cce7f/CV___Game_Design_Intern___Trần_Ngọc_Khánh_Huy.pdf</v>
      </c>
      <c r="H191" s="29" t="s">
        <v>1988</v>
      </c>
      <c r="I191" s="29" t="s">
        <v>1989</v>
      </c>
      <c r="J191" s="29" t="s">
        <v>715</v>
      </c>
      <c r="L191" s="29" t="s">
        <v>67</v>
      </c>
      <c r="M191" s="29" t="s">
        <v>399</v>
      </c>
      <c r="N191" s="33">
        <v>46503.0</v>
      </c>
      <c r="O191" s="31" t="s">
        <v>1990</v>
      </c>
      <c r="P191" s="32" t="str">
        <f>HYPERLINK("https://api.typeform.com/responses/files/2d50a96957fd2030a5bf6d6eb4f551b770414cd4439d7d0646e873e359727303/Transcript___Game_Design_Intern___Trần_Ngọc_Khánh_Huy.pdf")</f>
        <v>https://api.typeform.com/responses/files/2d50a96957fd2030a5bf6d6eb4f551b770414cd4439d7d0646e873e359727303/Transcript___Game_Design_Intern___Trần_Ngọc_Khánh_Huy.pdf</v>
      </c>
      <c r="Q191" s="29" t="b">
        <v>1</v>
      </c>
      <c r="R191" s="29" t="s">
        <v>1991</v>
      </c>
      <c r="S191" s="29" t="s">
        <v>1992</v>
      </c>
      <c r="T191" s="29" t="s">
        <v>72</v>
      </c>
      <c r="U191" s="29" t="s">
        <v>72</v>
      </c>
      <c r="V191" s="29" t="s">
        <v>73</v>
      </c>
      <c r="X191" s="29" t="s">
        <v>1993</v>
      </c>
      <c r="Y191" s="34">
        <v>46136.466527777775</v>
      </c>
      <c r="Z191" s="29" t="s">
        <v>1994</v>
      </c>
      <c r="AA191" s="6">
        <v>2.0</v>
      </c>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row>
    <row r="192" ht="22.5" hidden="1" customHeight="1">
      <c r="A192" s="29" t="s">
        <v>1995</v>
      </c>
      <c r="B192" s="30">
        <v>37991.0</v>
      </c>
      <c r="C192" s="29" t="s">
        <v>1996</v>
      </c>
      <c r="D192" s="31" t="s">
        <v>1997</v>
      </c>
      <c r="E192" s="29" t="s">
        <v>62</v>
      </c>
      <c r="F192" s="29" t="s">
        <v>82</v>
      </c>
      <c r="G192" s="32" t="str">
        <f>HYPERLINK("https://api.typeform.com/responses/files/0ff4e76862ab310c05dd711baea026025a84fb073eee3d42652d6cd4cfa26eb6/CV___AI_Engineer_Intern___Trần_Tấn_Tài.pdf")</f>
        <v>https://api.typeform.com/responses/files/0ff4e76862ab310c05dd711baea026025a84fb073eee3d42652d6cd4cfa26eb6/CV___AI_Engineer_Intern___Trần_Tấn_Tài.pdf</v>
      </c>
      <c r="H192" s="29" t="s">
        <v>1998</v>
      </c>
      <c r="I192" s="29" t="s">
        <v>1999</v>
      </c>
      <c r="J192" s="29" t="s">
        <v>85</v>
      </c>
      <c r="L192" s="29" t="s">
        <v>67</v>
      </c>
      <c r="M192" s="29" t="s">
        <v>581</v>
      </c>
      <c r="N192" s="33">
        <v>46327.0</v>
      </c>
      <c r="O192" s="31" t="s">
        <v>362</v>
      </c>
      <c r="P192" s="32" t="str">
        <f>HYPERLINK("https://api.typeform.com/responses/files/39b3d0e9ead852359a6608bbf40aa23ca71aad423fcf74c510d3efdb08e5dda2/Transcript___AI_Engineer_Intern___Trần_Tấn_Tài.pdf")</f>
        <v>https://api.typeform.com/responses/files/39b3d0e9ead852359a6608bbf40aa23ca71aad423fcf74c510d3efdb08e5dda2/Transcript___AI_Engineer_Intern___Trần_Tấn_Tài.pdf</v>
      </c>
      <c r="Q192" s="29" t="b">
        <v>1</v>
      </c>
      <c r="R192" s="29" t="s">
        <v>2000</v>
      </c>
      <c r="S192" s="29" t="s">
        <v>2001</v>
      </c>
      <c r="T192" s="29" t="s">
        <v>72</v>
      </c>
      <c r="U192" s="29" t="s">
        <v>72</v>
      </c>
      <c r="V192" s="29" t="s">
        <v>269</v>
      </c>
      <c r="X192" s="29" t="s">
        <v>2002</v>
      </c>
      <c r="Y192" s="34">
        <v>46136.48747685185</v>
      </c>
      <c r="Z192" s="29" t="s">
        <v>2003</v>
      </c>
      <c r="AA192" s="6">
        <v>2.0</v>
      </c>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row>
    <row r="193" ht="22.5" hidden="1" customHeight="1">
      <c r="A193" s="29" t="s">
        <v>2004</v>
      </c>
      <c r="B193" s="30">
        <v>38251.0</v>
      </c>
      <c r="C193" s="29" t="s">
        <v>2005</v>
      </c>
      <c r="D193" s="31" t="s">
        <v>2006</v>
      </c>
      <c r="E193" s="29" t="s">
        <v>62</v>
      </c>
      <c r="F193" s="29" t="s">
        <v>82</v>
      </c>
      <c r="G193" s="32" t="str">
        <f>HYPERLINK("https://api.typeform.com/responses/files/8f8754802964975d835db760d648d2e930c52185783da368697e17fa871e30f5/CV___AI_Engineering_Intern___Nguyễn_Đức_Phúc.pdf")</f>
        <v>https://api.typeform.com/responses/files/8f8754802964975d835db760d648d2e930c52185783da368697e17fa871e30f5/CV___AI_Engineering_Intern___Nguyễn_Đức_Phúc.pdf</v>
      </c>
      <c r="H193" s="29" t="s">
        <v>2007</v>
      </c>
      <c r="I193" s="29" t="s">
        <v>2008</v>
      </c>
      <c r="J193" s="29" t="s">
        <v>326</v>
      </c>
      <c r="L193" s="29" t="s">
        <v>67</v>
      </c>
      <c r="M193" s="29" t="s">
        <v>86</v>
      </c>
      <c r="N193" s="33">
        <v>46266.0</v>
      </c>
      <c r="O193" s="31" t="s">
        <v>2009</v>
      </c>
      <c r="P193" s="32" t="str">
        <f>HYPERLINK("https://api.typeform.com/responses/files/93be56b4e61aab7b695f154ea4e0b27b932c8a58ad91f926dccd2ccff98d60a7/Transcript___AI_Engineering_Intern___Nguyễn_Đức_Phúc.pdf")</f>
        <v>https://api.typeform.com/responses/files/93be56b4e61aab7b695f154ea4e0b27b932c8a58ad91f926dccd2ccff98d60a7/Transcript___AI_Engineering_Intern___Nguyễn_Đức_Phúc.pdf</v>
      </c>
      <c r="Q193" s="29" t="b">
        <v>0</v>
      </c>
      <c r="R193" s="29" t="s">
        <v>401</v>
      </c>
      <c r="S193" s="29" t="s">
        <v>2010</v>
      </c>
      <c r="T193" s="29" t="s">
        <v>72</v>
      </c>
      <c r="U193" s="29" t="s">
        <v>72</v>
      </c>
      <c r="V193" s="29" t="s">
        <v>1061</v>
      </c>
      <c r="X193" s="29" t="s">
        <v>2011</v>
      </c>
      <c r="Y193" s="34">
        <v>46136.521840277775</v>
      </c>
      <c r="Z193" s="29" t="s">
        <v>2012</v>
      </c>
      <c r="AA193" s="6">
        <v>2.0</v>
      </c>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row>
    <row r="194" ht="22.5" hidden="1" customHeight="1">
      <c r="A194" s="29" t="s">
        <v>2013</v>
      </c>
      <c r="B194" s="30">
        <v>38693.0</v>
      </c>
      <c r="C194" s="29" t="s">
        <v>2014</v>
      </c>
      <c r="D194" s="31" t="s">
        <v>2015</v>
      </c>
      <c r="E194" s="29" t="s">
        <v>61</v>
      </c>
      <c r="F194" s="29" t="s">
        <v>127</v>
      </c>
      <c r="G194" s="32" t="str">
        <f>HYPERLINK("https://api.typeform.com/responses/files/ff2f315b86ab6d1e20c3f4de7e77530bf11f5c8a84b22b319ffb4c2ebe8e6c66/CV___Unity_Development_Intern___Phạm_Thành_Đạt.pdf")</f>
        <v>https://api.typeform.com/responses/files/ff2f315b86ab6d1e20c3f4de7e77530bf11f5c8a84b22b319ffb4c2ebe8e6c66/CV___Unity_Development_Intern___Phạm_Thành_Đạt.pdf</v>
      </c>
      <c r="H194" s="29" t="s">
        <v>2016</v>
      </c>
      <c r="I194" s="29" t="s">
        <v>2017</v>
      </c>
      <c r="J194" s="29" t="s">
        <v>326</v>
      </c>
      <c r="L194" s="29" t="s">
        <v>219</v>
      </c>
      <c r="M194" s="29" t="s">
        <v>1830</v>
      </c>
      <c r="N194" s="33">
        <v>46690.0</v>
      </c>
      <c r="O194" s="31" t="s">
        <v>591</v>
      </c>
      <c r="P194" s="32" t="str">
        <f>HYPERLINK("https://api.typeform.com/responses/files/f496a5d40a426306854bbc378c8b4770000ae3775ca94c7865a21571c594d52f/Transcipt___Unity_Development_Intern___Phạm_Thành_Đạt.pdf")</f>
        <v>https://api.typeform.com/responses/files/f496a5d40a426306854bbc378c8b4770000ae3775ca94c7865a21571c594d52f/Transcipt___Unity_Development_Intern___Phạm_Thành_Đạt.pdf</v>
      </c>
      <c r="Q194" s="29" t="b">
        <v>1</v>
      </c>
      <c r="R194" s="29" t="s">
        <v>2018</v>
      </c>
      <c r="S194" s="29" t="s">
        <v>2019</v>
      </c>
      <c r="T194" s="29" t="s">
        <v>72</v>
      </c>
      <c r="U194" s="29" t="s">
        <v>72</v>
      </c>
      <c r="V194" s="29" t="s">
        <v>544</v>
      </c>
      <c r="X194" s="29" t="s">
        <v>2020</v>
      </c>
      <c r="Y194" s="34">
        <v>46136.52689814815</v>
      </c>
      <c r="Z194" s="29" t="s">
        <v>2021</v>
      </c>
      <c r="AA194" s="6">
        <v>2.0</v>
      </c>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row>
    <row r="195" ht="22.5" hidden="1" customHeight="1">
      <c r="A195" s="29" t="s">
        <v>2022</v>
      </c>
      <c r="B195" s="30">
        <v>38242.0</v>
      </c>
      <c r="C195" s="29" t="s">
        <v>2023</v>
      </c>
      <c r="D195" s="31" t="s">
        <v>2024</v>
      </c>
      <c r="E195" s="29" t="s">
        <v>99</v>
      </c>
      <c r="F195" s="29" t="s">
        <v>61</v>
      </c>
      <c r="G195" s="32" t="str">
        <f>HYPERLINK("https://api.typeform.com/responses/files/4b3cf3e4628cb3d23cdbcfa003186aebfc4f3688e9f9f1ed9bc2a48e6b8e6d1a/CV___Game_Design_Intern___Nguyễn_Đăng_Khôi.pdf")</f>
        <v>https://api.typeform.com/responses/files/4b3cf3e4628cb3d23cdbcfa003186aebfc4f3688e9f9f1ed9bc2a48e6b8e6d1a/CV___Game_Design_Intern___Nguyễn_Đăng_Khôi.pdf</v>
      </c>
      <c r="H195" s="29" t="s">
        <v>2025</v>
      </c>
      <c r="I195" s="29" t="s">
        <v>2026</v>
      </c>
      <c r="J195" s="29" t="s">
        <v>644</v>
      </c>
      <c r="L195" s="29" t="s">
        <v>67</v>
      </c>
      <c r="M195" s="29" t="s">
        <v>930</v>
      </c>
      <c r="N195" s="33">
        <v>46266.0</v>
      </c>
      <c r="O195" s="31" t="s">
        <v>2027</v>
      </c>
      <c r="P195" s="32" t="str">
        <f>HYPERLINK("https://api.typeform.com/responses/files/683baddc03b1625cc0b6d964b2dfc8c1169bcc721614eae5a4f2bd4de98e1df4/Transcript___Game_Design_Intern___Nguyễn_Đăng_Khôi.pdf")</f>
        <v>https://api.typeform.com/responses/files/683baddc03b1625cc0b6d964b2dfc8c1169bcc721614eae5a4f2bd4de98e1df4/Transcript___Game_Design_Intern___Nguyễn_Đăng_Khôi.pdf</v>
      </c>
      <c r="Q195" s="29" t="b">
        <v>0</v>
      </c>
      <c r="R195" s="29" t="s">
        <v>268</v>
      </c>
      <c r="S195" s="29" t="s">
        <v>2028</v>
      </c>
      <c r="T195" s="29" t="s">
        <v>72</v>
      </c>
      <c r="U195" s="29" t="s">
        <v>72</v>
      </c>
      <c r="V195" s="29" t="s">
        <v>90</v>
      </c>
      <c r="Y195" s="34">
        <v>46136.535844907405</v>
      </c>
      <c r="Z195" s="29" t="s">
        <v>2029</v>
      </c>
      <c r="AA195" s="6">
        <v>2.0</v>
      </c>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row>
    <row r="196" ht="22.5" hidden="1" customHeight="1">
      <c r="A196" s="29" t="s">
        <v>2030</v>
      </c>
      <c r="B196" s="30">
        <v>38029.0</v>
      </c>
      <c r="C196" s="29" t="s">
        <v>2031</v>
      </c>
      <c r="D196" s="31" t="s">
        <v>2032</v>
      </c>
      <c r="E196" s="29" t="s">
        <v>62</v>
      </c>
      <c r="F196" s="29" t="s">
        <v>82</v>
      </c>
      <c r="G196" s="32" t="str">
        <f>HYPERLINK("https://api.typeform.com/responses/files/fa4da333baa7a7326548cba5f18314a77aabef364a7a039f9475e0ee9914cf44/CV___AI_Engineering_Intern___Huỳnh_Quốc_Huy.pdf")</f>
        <v>https://api.typeform.com/responses/files/fa4da333baa7a7326548cba5f18314a77aabef364a7a039f9475e0ee9914cf44/CV___AI_Engineering_Intern___Huỳnh_Quốc_Huy.pdf</v>
      </c>
      <c r="H196" s="29" t="s">
        <v>2033</v>
      </c>
      <c r="I196" s="29" t="s">
        <v>2034</v>
      </c>
      <c r="J196" s="29" t="s">
        <v>715</v>
      </c>
      <c r="L196" s="29" t="s">
        <v>67</v>
      </c>
      <c r="M196" s="29" t="s">
        <v>399</v>
      </c>
      <c r="N196" s="33">
        <v>46327.0</v>
      </c>
      <c r="O196" s="31" t="s">
        <v>1679</v>
      </c>
      <c r="P196" s="32" t="str">
        <f>HYPERLINK("https://api.typeform.com/responses/files/4df8f9099109a6103344d17595a31d666539ae1fddf6ce8ae07c8163cc7e1408/Transcript___AI_Engineering_Intern___Huỳnh_Quốc_Huy.pdf")</f>
        <v>https://api.typeform.com/responses/files/4df8f9099109a6103344d17595a31d666539ae1fddf6ce8ae07c8163cc7e1408/Transcript___AI_Engineering_Intern___Huỳnh_Quốc_Huy.pdf</v>
      </c>
      <c r="Q196" s="29" t="b">
        <v>1</v>
      </c>
      <c r="R196" s="29" t="s">
        <v>2035</v>
      </c>
      <c r="S196" s="29" t="s">
        <v>2036</v>
      </c>
      <c r="T196" s="29" t="s">
        <v>72</v>
      </c>
      <c r="U196" s="29" t="s">
        <v>72</v>
      </c>
      <c r="V196" s="29" t="s">
        <v>2037</v>
      </c>
      <c r="X196" s="29" t="s">
        <v>2038</v>
      </c>
      <c r="Y196" s="34">
        <v>46136.54528935185</v>
      </c>
      <c r="Z196" s="29" t="s">
        <v>2039</v>
      </c>
      <c r="AA196" s="6">
        <v>2.0</v>
      </c>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row>
    <row r="197" ht="22.5" hidden="1" customHeight="1">
      <c r="A197" s="29" t="s">
        <v>2040</v>
      </c>
      <c r="B197" s="30">
        <v>37760.0</v>
      </c>
      <c r="C197" s="29" t="s">
        <v>2041</v>
      </c>
      <c r="D197" s="31" t="s">
        <v>2042</v>
      </c>
      <c r="E197" s="29" t="s">
        <v>82</v>
      </c>
      <c r="F197" s="29" t="s">
        <v>633</v>
      </c>
      <c r="G197" s="32" t="str">
        <f>HYPERLINK("https://api.typeform.com/responses/files/ff10dabb425ee3c6c4d7bf642d083f8104d2afee023cb9a2488f3da8b8603896/inbound2870604163729616293.pdf")</f>
        <v>https://api.typeform.com/responses/files/ff10dabb425ee3c6c4d7bf642d083f8104d2afee023cb9a2488f3da8b8603896/inbound2870604163729616293.pdf</v>
      </c>
      <c r="H197" s="29" t="s">
        <v>2043</v>
      </c>
      <c r="I197" s="29" t="s">
        <v>2044</v>
      </c>
      <c r="J197" s="29" t="s">
        <v>842</v>
      </c>
      <c r="L197" s="29" t="s">
        <v>103</v>
      </c>
      <c r="M197" s="29" t="s">
        <v>2045</v>
      </c>
      <c r="N197" s="33">
        <v>46116.0</v>
      </c>
      <c r="O197" s="31" t="s">
        <v>1679</v>
      </c>
      <c r="P197" s="32" t="str">
        <f>HYPERLINK("https://api.typeform.com/responses/files/a7d0def9e1c67664cdfa89b006bcb27ff900e2d32b56ba7ff2fb93d0ca02f62f/inbound5568924586459795018.pdf")</f>
        <v>https://api.typeform.com/responses/files/a7d0def9e1c67664cdfa89b006bcb27ff900e2d32b56ba7ff2fb93d0ca02f62f/inbound5568924586459795018.pdf</v>
      </c>
      <c r="Q197" s="29" t="b">
        <v>0</v>
      </c>
      <c r="R197" s="29" t="s">
        <v>222</v>
      </c>
      <c r="S197" s="29" t="s">
        <v>222</v>
      </c>
      <c r="T197" s="29" t="s">
        <v>72</v>
      </c>
      <c r="U197" s="29" t="s">
        <v>72</v>
      </c>
      <c r="V197" s="29" t="s">
        <v>73</v>
      </c>
      <c r="Y197" s="34">
        <v>46136.64832175926</v>
      </c>
      <c r="Z197" s="29" t="s">
        <v>2046</v>
      </c>
      <c r="AA197" s="6">
        <v>2.0</v>
      </c>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row>
    <row r="198" ht="22.5" hidden="1" customHeight="1">
      <c r="A198" s="29" t="s">
        <v>2047</v>
      </c>
      <c r="B198" s="30">
        <v>38059.0</v>
      </c>
      <c r="C198" s="29" t="s">
        <v>2048</v>
      </c>
      <c r="D198" s="31" t="s">
        <v>2049</v>
      </c>
      <c r="E198" s="29" t="s">
        <v>62</v>
      </c>
      <c r="F198" s="29" t="s">
        <v>82</v>
      </c>
      <c r="G198" s="32" t="str">
        <f>HYPERLINK("https://api.typeform.com/responses/files/0ee3ce4f4457dcf2efb8a318dad4b45113c41f8f2cc5d1e332f8eb19ba3ac588/CV___AI_Engineering_Intern___Nguyễn_Khắc_Tùng_Dương.pdf")</f>
        <v>https://api.typeform.com/responses/files/0ee3ce4f4457dcf2efb8a318dad4b45113c41f8f2cc5d1e332f8eb19ba3ac588/CV___AI_Engineering_Intern___Nguyễn_Khắc_Tùng_Dương.pdf</v>
      </c>
      <c r="H198" s="29" t="s">
        <v>2050</v>
      </c>
      <c r="I198" s="29" t="s">
        <v>2051</v>
      </c>
      <c r="J198" s="29" t="s">
        <v>1069</v>
      </c>
      <c r="L198" s="29" t="s">
        <v>67</v>
      </c>
      <c r="M198" s="29" t="s">
        <v>1183</v>
      </c>
      <c r="N198" s="33">
        <v>46386.0</v>
      </c>
      <c r="O198" s="31" t="s">
        <v>2052</v>
      </c>
      <c r="P198" s="32" t="str">
        <f>HYPERLINK("https://api.typeform.com/responses/files/e8c1e4c52570b9e8e70b771ccbae7da5d694ec2c4560980f700011177324194d/Transcript___AI_Engineering_Intern___Nguyễn_Khắc_Tùng_Dương.xlsx")</f>
        <v>https://api.typeform.com/responses/files/e8c1e4c52570b9e8e70b771ccbae7da5d694ec2c4560980f700011177324194d/Transcript___AI_Engineering_Intern___Nguyễn_Khắc_Tùng_Dương.xlsx</v>
      </c>
      <c r="Q198" s="29" t="b">
        <v>1</v>
      </c>
      <c r="R198" s="29" t="s">
        <v>2053</v>
      </c>
      <c r="S198" s="29" t="s">
        <v>2054</v>
      </c>
      <c r="T198" s="29" t="s">
        <v>72</v>
      </c>
      <c r="U198" s="29" t="s">
        <v>72</v>
      </c>
      <c r="V198" s="29" t="s">
        <v>2055</v>
      </c>
      <c r="X198" s="29" t="s">
        <v>2056</v>
      </c>
      <c r="Y198" s="34">
        <v>46136.65861111111</v>
      </c>
      <c r="Z198" s="29" t="s">
        <v>2057</v>
      </c>
      <c r="AA198" s="6">
        <v>2.0</v>
      </c>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row>
    <row r="199" ht="22.5" hidden="1" customHeight="1">
      <c r="A199" s="29" t="s">
        <v>2058</v>
      </c>
      <c r="B199" s="30">
        <v>38763.0</v>
      </c>
      <c r="C199" s="29" t="s">
        <v>2059</v>
      </c>
      <c r="D199" s="31" t="s">
        <v>2060</v>
      </c>
      <c r="E199" s="29" t="s">
        <v>61</v>
      </c>
      <c r="F199" s="29" t="s">
        <v>99</v>
      </c>
      <c r="G199" s="32" t="str">
        <f>HYPERLINK("https://api.typeform.com/responses/files/0a0827c8537b5c310fee9d8b9e42631767d56b1167d891946bf181b4b09e2e84/CV___Unity_Development_Intern___Trần_Nguyễn_Khắc_Duy.pdf")</f>
        <v>https://api.typeform.com/responses/files/0a0827c8537b5c310fee9d8b9e42631767d56b1167d891946bf181b4b09e2e84/CV___Unity_Development_Intern___Trần_Nguyễn_Khắc_Duy.pdf</v>
      </c>
      <c r="H199" s="29" t="s">
        <v>2061</v>
      </c>
      <c r="I199" s="29" t="s">
        <v>2062</v>
      </c>
      <c r="J199" s="29" t="s">
        <v>144</v>
      </c>
      <c r="L199" s="29" t="s">
        <v>169</v>
      </c>
      <c r="M199" s="29" t="s">
        <v>2063</v>
      </c>
      <c r="N199" s="33">
        <v>46249.0</v>
      </c>
      <c r="O199" s="31" t="s">
        <v>171</v>
      </c>
      <c r="P199" s="32" t="str">
        <f>HYPERLINK("https://api.typeform.com/responses/files/0bb19491fbc3d3bf3b6c47ed8971b454b1c09b3da098ad8a79be6de38a65d32b/Transcript___Unity_Development_Intern___Trần_Nguyễn_Khắc_Duy.pdf")</f>
        <v>https://api.typeform.com/responses/files/0bb19491fbc3d3bf3b6c47ed8971b454b1c09b3da098ad8a79be6de38a65d32b/Transcript___Unity_Development_Intern___Trần_Nguyễn_Khắc_Duy.pdf</v>
      </c>
      <c r="Q199" s="29" t="b">
        <v>1</v>
      </c>
      <c r="R199" s="29" t="s">
        <v>2064</v>
      </c>
      <c r="S199" s="29" t="s">
        <v>2065</v>
      </c>
      <c r="T199" s="29" t="s">
        <v>72</v>
      </c>
      <c r="U199" s="29" t="s">
        <v>72</v>
      </c>
      <c r="V199" s="29" t="s">
        <v>90</v>
      </c>
      <c r="X199" s="29" t="s">
        <v>2066</v>
      </c>
      <c r="Y199" s="34">
        <v>46136.68325231481</v>
      </c>
      <c r="Z199" s="29" t="s">
        <v>2067</v>
      </c>
      <c r="AA199" s="6">
        <v>2.0</v>
      </c>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row>
    <row r="200" ht="22.5" hidden="1" customHeight="1">
      <c r="A200" s="29" t="s">
        <v>2068</v>
      </c>
      <c r="B200" s="30">
        <v>38299.0</v>
      </c>
      <c r="C200" s="29" t="s">
        <v>2069</v>
      </c>
      <c r="D200" s="31" t="s">
        <v>2070</v>
      </c>
      <c r="E200" s="29" t="s">
        <v>61</v>
      </c>
      <c r="G200" s="32" t="str">
        <f>HYPERLINK("https://api.typeform.com/responses/files/d9217378a5bf01270ada4620453e50e9ba6854ac0e5294571a4ee1c77f393bd6/CV___Game_Developer_Intern___Mai_Hoàng_Hưng.pdf")</f>
        <v>https://api.typeform.com/responses/files/d9217378a5bf01270ada4620453e50e9ba6854ac0e5294571a4ee1c77f393bd6/CV___Game_Developer_Intern___Mai_Hoàng_Hưng.pdf</v>
      </c>
      <c r="H200" s="29" t="s">
        <v>2071</v>
      </c>
      <c r="I200" s="29" t="s">
        <v>2072</v>
      </c>
      <c r="J200" s="29" t="s">
        <v>85</v>
      </c>
      <c r="L200" s="29" t="s">
        <v>103</v>
      </c>
      <c r="M200" s="29" t="s">
        <v>1183</v>
      </c>
      <c r="N200" s="33">
        <v>46183.0</v>
      </c>
      <c r="O200" s="31" t="s">
        <v>171</v>
      </c>
      <c r="P200" s="32" t="str">
        <f>HYPERLINK("https://api.typeform.com/responses/files/d6210b6edabf43e7717528f3700a689fe09e97f2dbb64fc528d4717d3facc154/Transcript___Game_Developer_Intern___Mai_Hoàng_Hưng.pdf")</f>
        <v>https://api.typeform.com/responses/files/d6210b6edabf43e7717528f3700a689fe09e97f2dbb64fc528d4717d3facc154/Transcript___Game_Developer_Intern___Mai_Hoàng_Hưng.pdf</v>
      </c>
      <c r="Q200" s="29" t="b">
        <v>1</v>
      </c>
      <c r="R200" s="29" t="s">
        <v>2073</v>
      </c>
      <c r="S200" s="29" t="s">
        <v>2074</v>
      </c>
      <c r="T200" s="29" t="s">
        <v>72</v>
      </c>
      <c r="U200" s="29" t="s">
        <v>72</v>
      </c>
      <c r="V200" s="29" t="s">
        <v>90</v>
      </c>
      <c r="Y200" s="34">
        <v>46136.725648148145</v>
      </c>
      <c r="Z200" s="29" t="s">
        <v>2075</v>
      </c>
      <c r="AA200" s="6">
        <v>2.0</v>
      </c>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row>
    <row r="201" ht="22.5" hidden="1" customHeight="1">
      <c r="A201" s="29" t="s">
        <v>2076</v>
      </c>
      <c r="B201" s="30">
        <v>38511.0</v>
      </c>
      <c r="C201" s="29" t="s">
        <v>2077</v>
      </c>
      <c r="D201" s="31" t="s">
        <v>2078</v>
      </c>
      <c r="E201" s="29" t="s">
        <v>82</v>
      </c>
      <c r="F201" s="29" t="s">
        <v>82</v>
      </c>
      <c r="G201" s="32" t="str">
        <f>HYPERLINK("https://api.typeform.com/responses/files/17aa4aa51f228628b94ec03d547e72ca01745a09c94e2ff5d0f5642eaeac8185/inbound5372708082611676721.pdf")</f>
        <v>https://api.typeform.com/responses/files/17aa4aa51f228628b94ec03d547e72ca01745a09c94e2ff5d0f5642eaeac8185/inbound5372708082611676721.pdf</v>
      </c>
      <c r="H201" s="29" t="s">
        <v>2079</v>
      </c>
      <c r="I201" s="29" t="s">
        <v>2080</v>
      </c>
      <c r="J201" s="29" t="s">
        <v>65</v>
      </c>
      <c r="K201" s="29" t="s">
        <v>2081</v>
      </c>
      <c r="L201" s="29" t="s">
        <v>219</v>
      </c>
      <c r="M201" s="29" t="s">
        <v>581</v>
      </c>
      <c r="N201" s="33">
        <v>46502.0</v>
      </c>
      <c r="O201" s="31" t="s">
        <v>2082</v>
      </c>
      <c r="P201" s="32" t="str">
        <f>HYPERLINK("https://api.typeform.com/responses/files/7230ec95ab51b8727b4cbc9ee511bb6b6cc095256a038f53dc3e7f4b3656f783/inbound7513570420408529610.jpg")</f>
        <v>https://api.typeform.com/responses/files/7230ec95ab51b8727b4cbc9ee511bb6b6cc095256a038f53dc3e7f4b3656f783/inbound7513570420408529610.jpg</v>
      </c>
      <c r="Q201" s="29" t="b">
        <v>0</v>
      </c>
      <c r="R201" s="29" t="s">
        <v>2083</v>
      </c>
      <c r="S201" s="29" t="s">
        <v>2084</v>
      </c>
      <c r="T201" s="29" t="s">
        <v>2085</v>
      </c>
      <c r="U201" s="29" t="s">
        <v>72</v>
      </c>
      <c r="V201" s="29" t="s">
        <v>73</v>
      </c>
      <c r="X201" s="29" t="s">
        <v>2086</v>
      </c>
      <c r="Y201" s="34">
        <v>46136.72957175926</v>
      </c>
      <c r="Z201" s="29" t="s">
        <v>2087</v>
      </c>
      <c r="AA201" s="6">
        <v>2.0</v>
      </c>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row>
    <row r="202" ht="22.5" hidden="1" customHeight="1">
      <c r="A202" s="29" t="s">
        <v>2088</v>
      </c>
      <c r="B202" s="30">
        <v>38000.0</v>
      </c>
      <c r="C202" s="29" t="s">
        <v>2089</v>
      </c>
      <c r="D202" s="31" t="s">
        <v>2090</v>
      </c>
      <c r="E202" s="29" t="s">
        <v>61</v>
      </c>
      <c r="F202" s="29" t="s">
        <v>99</v>
      </c>
      <c r="G202" s="32" t="str">
        <f>HYPERLINK("https://api.typeform.com/responses/files/37abed34f4972e76fab29030f022a1b594c77f6c2c065e1c640325e6fb93ae76/CV___Unity_Development_Intern___Huỳnh_Nguyễn_Minh_Khang.pdf")</f>
        <v>https://api.typeform.com/responses/files/37abed34f4972e76fab29030f022a1b594c77f6c2c065e1c640325e6fb93ae76/CV___Unity_Development_Intern___Huỳnh_Nguyễn_Minh_Khang.pdf</v>
      </c>
      <c r="H202" s="29" t="s">
        <v>2091</v>
      </c>
      <c r="I202" s="29" t="s">
        <v>2092</v>
      </c>
      <c r="J202" s="29" t="s">
        <v>326</v>
      </c>
      <c r="L202" s="29" t="s">
        <v>67</v>
      </c>
      <c r="M202" s="29" t="s">
        <v>104</v>
      </c>
      <c r="N202" s="33">
        <v>46266.0</v>
      </c>
      <c r="O202" s="31" t="s">
        <v>2093</v>
      </c>
      <c r="P202" s="32" t="str">
        <f>HYPERLINK("https://api.typeform.com/responses/files/481835c088e8a0948bfb2927c07fc4cea9d757e5391a89bad84444da058f6897/Transcript___Unity_Development_Intern___Huỳnh_Nguyễn_Minh_Khang.png")</f>
        <v>https://api.typeform.com/responses/files/481835c088e8a0948bfb2927c07fc4cea9d757e5391a89bad84444da058f6897/Transcript___Unity_Development_Intern___Huỳnh_Nguyễn_Minh_Khang.png</v>
      </c>
      <c r="Q202" s="29" t="b">
        <v>1</v>
      </c>
      <c r="R202" s="29" t="s">
        <v>2094</v>
      </c>
      <c r="S202" s="29" t="s">
        <v>2095</v>
      </c>
      <c r="T202" s="29" t="s">
        <v>72</v>
      </c>
      <c r="U202" s="29" t="s">
        <v>72</v>
      </c>
      <c r="V202" s="29" t="s">
        <v>236</v>
      </c>
      <c r="Y202" s="34">
        <v>46136.73075231481</v>
      </c>
      <c r="Z202" s="29" t="s">
        <v>2096</v>
      </c>
      <c r="AA202" s="6">
        <v>2.0</v>
      </c>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row>
    <row r="203" ht="22.5" hidden="1" customHeight="1">
      <c r="A203" s="29" t="s">
        <v>2097</v>
      </c>
      <c r="B203" s="30">
        <v>35964.0</v>
      </c>
      <c r="C203" s="29" t="s">
        <v>2098</v>
      </c>
      <c r="D203" s="31" t="s">
        <v>2099</v>
      </c>
      <c r="E203" s="29" t="s">
        <v>127</v>
      </c>
      <c r="F203" s="29" t="s">
        <v>99</v>
      </c>
      <c r="G203" s="32" t="str">
        <f>HYPERLINK("https://api.typeform.com/responses/files/74929b6f0a1955b0b5de0e73a2a81ca216a9aef0f3221f93788ba649b1303f39/CV___Game_Quality_Assurance_Intern___TON_THAT_MINH_TOAN.pdf")</f>
        <v>https://api.typeform.com/responses/files/74929b6f0a1955b0b5de0e73a2a81ca216a9aef0f3221f93788ba649b1303f39/CV___Game_Quality_Assurance_Intern___TON_THAT_MINH_TOAN.pdf</v>
      </c>
      <c r="H203" s="29" t="s">
        <v>2100</v>
      </c>
      <c r="I203" s="29" t="s">
        <v>2101</v>
      </c>
      <c r="J203" s="29" t="s">
        <v>65</v>
      </c>
      <c r="K203" s="29" t="s">
        <v>2102</v>
      </c>
      <c r="L203" s="29" t="s">
        <v>2103</v>
      </c>
      <c r="M203" s="29" t="s">
        <v>2104</v>
      </c>
      <c r="N203" s="33">
        <v>44900.0</v>
      </c>
      <c r="O203" s="29" t="s">
        <v>268</v>
      </c>
      <c r="P203" s="32" t="str">
        <f>HYPERLINK("https://api.typeform.com/responses/files/0b2baf95a989b0b0215a709b2a68d58c2a8dbe64c31f72fc4fa930edf65711d6/CV___Game_Quality_Assurance_Intern___TON_THAT_MINH_TOAN.pdf")</f>
        <v>https://api.typeform.com/responses/files/0b2baf95a989b0b0215a709b2a68d58c2a8dbe64c31f72fc4fa930edf65711d6/CV___Game_Quality_Assurance_Intern___TON_THAT_MINH_TOAN.pdf</v>
      </c>
      <c r="Q203" s="29" t="b">
        <v>0</v>
      </c>
      <c r="R203" s="29" t="s">
        <v>1514</v>
      </c>
      <c r="S203" s="29" t="s">
        <v>1514</v>
      </c>
      <c r="T203" s="29" t="s">
        <v>72</v>
      </c>
      <c r="U203" s="29" t="s">
        <v>72</v>
      </c>
      <c r="V203" s="29" t="s">
        <v>73</v>
      </c>
      <c r="X203" s="29" t="s">
        <v>2105</v>
      </c>
      <c r="Y203" s="34">
        <v>46136.78501157407</v>
      </c>
      <c r="Z203" s="29" t="s">
        <v>2106</v>
      </c>
      <c r="AA203" s="6">
        <v>2.0</v>
      </c>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row>
    <row r="204" ht="22.5" hidden="1" customHeight="1">
      <c r="A204" s="29" t="s">
        <v>2107</v>
      </c>
      <c r="B204" s="30">
        <v>37624.0</v>
      </c>
      <c r="C204" s="29" t="s">
        <v>2108</v>
      </c>
      <c r="D204" s="31" t="s">
        <v>2109</v>
      </c>
      <c r="E204" s="29" t="s">
        <v>61</v>
      </c>
      <c r="G204" s="32" t="str">
        <f>HYPERLINK("https://api.typeform.com/responses/files/b94716b02d3a2cc50efdbcd21c79fc1de9d264a0c8e69cbd3bcdadb29c54aad8/CV___Unity_Developer_Intern___Hoàng_Nhân_Khánh.pdf")</f>
        <v>https://api.typeform.com/responses/files/b94716b02d3a2cc50efdbcd21c79fc1de9d264a0c8e69cbd3bcdadb29c54aad8/CV___Unity_Developer_Intern___Hoàng_Nhân_Khánh.pdf</v>
      </c>
      <c r="H204" s="29" t="s">
        <v>2110</v>
      </c>
      <c r="I204" s="29" t="s">
        <v>2111</v>
      </c>
      <c r="J204" s="29" t="s">
        <v>277</v>
      </c>
      <c r="L204" s="29" t="s">
        <v>103</v>
      </c>
      <c r="M204" s="29" t="s">
        <v>930</v>
      </c>
      <c r="N204" s="33">
        <v>46327.0</v>
      </c>
      <c r="O204" s="31" t="s">
        <v>685</v>
      </c>
      <c r="P204" s="32" t="str">
        <f>HYPERLINK("https://api.typeform.com/responses/files/c8d8d43c467bf0a3c1c1769327819e9dc2efe02f6fa1c8ac8f0b3bbd583135b4/Transcript___Unity_Developer_Intern___Hoàng_Nhân_Khánh.pdf")</f>
        <v>https://api.typeform.com/responses/files/c8d8d43c467bf0a3c1c1769327819e9dc2efe02f6fa1c8ac8f0b3bbd583135b4/Transcript___Unity_Developer_Intern___Hoàng_Nhân_Khánh.pdf</v>
      </c>
      <c r="Q204" s="29" t="b">
        <v>1</v>
      </c>
      <c r="R204" s="29" t="s">
        <v>2112</v>
      </c>
      <c r="S204" s="29" t="s">
        <v>2113</v>
      </c>
      <c r="T204" s="29" t="s">
        <v>72</v>
      </c>
      <c r="U204" s="29" t="s">
        <v>72</v>
      </c>
      <c r="V204" s="29" t="s">
        <v>403</v>
      </c>
      <c r="W204" s="29" t="s">
        <v>676</v>
      </c>
      <c r="X204" s="29" t="s">
        <v>2114</v>
      </c>
      <c r="Y204" s="34">
        <v>46136.86739583333</v>
      </c>
      <c r="Z204" s="29" t="s">
        <v>2115</v>
      </c>
      <c r="AA204" s="6">
        <v>2.0</v>
      </c>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row>
    <row r="205" ht="22.5" hidden="1" customHeight="1">
      <c r="A205" s="29" t="s">
        <v>2116</v>
      </c>
      <c r="B205" s="30">
        <v>38690.0</v>
      </c>
      <c r="C205" s="29" t="s">
        <v>2117</v>
      </c>
      <c r="D205" s="31" t="s">
        <v>2118</v>
      </c>
      <c r="E205" s="29" t="s">
        <v>61</v>
      </c>
      <c r="F205" s="29" t="s">
        <v>99</v>
      </c>
      <c r="G205" s="32" t="str">
        <f>HYPERLINK("https://api.typeform.com/responses/files/976f9b2bf8ec0f9090ecee13b0e1995ca593b17f11824b5fca311dc56c2dc603/CV_UnityDevelopment_NguyễnXuânHoài.pdf")</f>
        <v>https://api.typeform.com/responses/files/976f9b2bf8ec0f9090ecee13b0e1995ca593b17f11824b5fca311dc56c2dc603/CV_UnityDevelopment_NguyễnXuânHoài.pdf</v>
      </c>
      <c r="H205" s="29" t="s">
        <v>2119</v>
      </c>
      <c r="I205" s="29" t="s">
        <v>2120</v>
      </c>
      <c r="J205" s="29" t="s">
        <v>468</v>
      </c>
      <c r="K205" s="29" t="s">
        <v>2121</v>
      </c>
      <c r="L205" s="29" t="s">
        <v>219</v>
      </c>
      <c r="M205" s="29" t="s">
        <v>132</v>
      </c>
      <c r="N205" s="33">
        <v>46478.0</v>
      </c>
      <c r="O205" s="29" t="s">
        <v>2122</v>
      </c>
      <c r="P205" s="32" t="str">
        <f>HYPERLINK("https://api.typeform.com/responses/files/044e30eabdff46b8b40b14b3b3d13f519d050e1fd5e0fbb9735c6716dd7264c9/CV_UnityDevelopment_NguyễnXuânHoài.pdf")</f>
        <v>https://api.typeform.com/responses/files/044e30eabdff46b8b40b14b3b3d13f519d050e1fd5e0fbb9735c6716dd7264c9/CV_UnityDevelopment_NguyễnXuânHoài.pdf</v>
      </c>
      <c r="Q205" s="29" t="b">
        <v>0</v>
      </c>
      <c r="R205" s="29" t="s">
        <v>2123</v>
      </c>
      <c r="S205" s="29" t="s">
        <v>2124</v>
      </c>
      <c r="T205" s="29" t="s">
        <v>72</v>
      </c>
      <c r="U205" s="29" t="s">
        <v>72</v>
      </c>
      <c r="V205" s="29" t="s">
        <v>73</v>
      </c>
      <c r="X205" s="29" t="s">
        <v>2125</v>
      </c>
      <c r="Y205" s="34">
        <v>46137.11875</v>
      </c>
      <c r="Z205" s="29" t="s">
        <v>2126</v>
      </c>
      <c r="AA205" s="6">
        <v>2.0</v>
      </c>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row>
    <row r="206" ht="22.5" hidden="1" customHeight="1">
      <c r="A206" s="29" t="s">
        <v>2127</v>
      </c>
      <c r="B206" s="30">
        <v>38673.0</v>
      </c>
      <c r="C206" s="29" t="s">
        <v>2128</v>
      </c>
      <c r="D206" s="31" t="s">
        <v>2129</v>
      </c>
      <c r="E206" s="29" t="s">
        <v>62</v>
      </c>
      <c r="F206" s="29" t="s">
        <v>82</v>
      </c>
      <c r="G206" s="32" t="str">
        <f>HYPERLINK("https://api.typeform.com/responses/files/54f657c0d1e7f0f8157bc8b6496f68e0428eba0bfea7ece38bc58a79ecfa44df/AI_Engineer_intern_Ngô_Thị_Ánh_Dương.pdf")</f>
        <v>https://api.typeform.com/responses/files/54f657c0d1e7f0f8157bc8b6496f68e0428eba0bfea7ece38bc58a79ecfa44df/AI_Engineer_intern_Ngô_Thị_Ánh_Dương.pdf</v>
      </c>
      <c r="H206" s="29" t="s">
        <v>2130</v>
      </c>
      <c r="I206" s="29" t="s">
        <v>2131</v>
      </c>
      <c r="J206" s="29" t="s">
        <v>644</v>
      </c>
      <c r="L206" s="29" t="s">
        <v>219</v>
      </c>
      <c r="M206" s="29" t="s">
        <v>384</v>
      </c>
      <c r="N206" s="33">
        <v>46539.0</v>
      </c>
      <c r="O206" s="31" t="s">
        <v>2132</v>
      </c>
      <c r="P206" s="32" t="str">
        <f>HYPERLINK("https://api.typeform.com/responses/files/e0ee87273b4ea523713e5bd22cf17af64d11b5ee11ce087b83c12ae95277e27c/transcript_AI_Engineer_Intern___Ngô_Thị_Ánh_Dương.pdf")</f>
        <v>https://api.typeform.com/responses/files/e0ee87273b4ea523713e5bd22cf17af64d11b5ee11ce087b83c12ae95277e27c/transcript_AI_Engineer_Intern___Ngô_Thị_Ánh_Dương.pdf</v>
      </c>
      <c r="Q206" s="29" t="b">
        <v>0</v>
      </c>
      <c r="R206" s="29" t="s">
        <v>2133</v>
      </c>
      <c r="S206" s="29" t="s">
        <v>2134</v>
      </c>
      <c r="T206" s="29" t="s">
        <v>72</v>
      </c>
      <c r="U206" s="29" t="s">
        <v>72</v>
      </c>
      <c r="V206" s="29" t="s">
        <v>90</v>
      </c>
      <c r="X206" s="29" t="s">
        <v>2135</v>
      </c>
      <c r="Y206" s="34">
        <v>46137.1258912037</v>
      </c>
      <c r="Z206" s="29" t="s">
        <v>2136</v>
      </c>
      <c r="AA206" s="6">
        <v>2.0</v>
      </c>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row>
    <row r="207" ht="22.5" hidden="1" customHeight="1">
      <c r="A207" s="29" t="s">
        <v>2137</v>
      </c>
      <c r="B207" s="30">
        <v>38712.0</v>
      </c>
      <c r="C207" s="29" t="s">
        <v>2138</v>
      </c>
      <c r="D207" s="31" t="s">
        <v>2139</v>
      </c>
      <c r="E207" s="29" t="s">
        <v>62</v>
      </c>
      <c r="F207" s="29" t="s">
        <v>82</v>
      </c>
      <c r="G207" s="32" t="str">
        <f>HYPERLINK("https://api.typeform.com/responses/files/bcae51823f6c85fc63c8874ce2fe480b8ff83d20709eead2c98a71700760464b/CV___AI_Engineer_intern__Data_Analysis_intern___Đoàn_Mạnh_Tất.pdf")</f>
        <v>https://api.typeform.com/responses/files/bcae51823f6c85fc63c8874ce2fe480b8ff83d20709eead2c98a71700760464b/CV___AI_Engineer_intern__Data_Analysis_intern___Đoàn_Mạnh_Tất.pdf</v>
      </c>
      <c r="H207" s="29" t="s">
        <v>2140</v>
      </c>
      <c r="I207" s="29" t="s">
        <v>2141</v>
      </c>
      <c r="J207" s="29" t="s">
        <v>715</v>
      </c>
      <c r="L207" s="29" t="s">
        <v>219</v>
      </c>
      <c r="M207" s="29" t="s">
        <v>399</v>
      </c>
      <c r="N207" s="33">
        <v>46522.0</v>
      </c>
      <c r="O207" s="31" t="s">
        <v>2142</v>
      </c>
      <c r="P207" s="32" t="str">
        <f>HYPERLINK("https://api.typeform.com/responses/files/b55aed26bd183ced22d0d05a5d27821cf2bfd511606dae76284e73f19623586e/Transcript___AI_Engineer_intern__Data_Analysis_intern___Đoàn_Mạnh_Tất.pdf")</f>
        <v>https://api.typeform.com/responses/files/b55aed26bd183ced22d0d05a5d27821cf2bfd511606dae76284e73f19623586e/Transcript___AI_Engineer_intern__Data_Analysis_intern___Đoàn_Mạnh_Tất.pdf</v>
      </c>
      <c r="Q207" s="29" t="b">
        <v>1</v>
      </c>
      <c r="R207" s="29" t="s">
        <v>2143</v>
      </c>
      <c r="S207" s="29" t="s">
        <v>2144</v>
      </c>
      <c r="T207" s="29" t="s">
        <v>72</v>
      </c>
      <c r="U207" s="29" t="s">
        <v>72</v>
      </c>
      <c r="V207" s="29" t="s">
        <v>269</v>
      </c>
      <c r="X207" s="29" t="s">
        <v>2145</v>
      </c>
      <c r="Y207" s="34">
        <v>46137.137708333335</v>
      </c>
      <c r="Z207" s="29" t="s">
        <v>2146</v>
      </c>
      <c r="AA207" s="6">
        <v>2.0</v>
      </c>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row>
    <row r="208" ht="22.5" hidden="1" customHeight="1">
      <c r="A208" s="29" t="s">
        <v>2147</v>
      </c>
      <c r="B208" s="30">
        <v>38077.0</v>
      </c>
      <c r="C208" s="29" t="s">
        <v>2148</v>
      </c>
      <c r="D208" s="31" t="s">
        <v>2149</v>
      </c>
      <c r="E208" s="29" t="s">
        <v>62</v>
      </c>
      <c r="F208" s="29" t="s">
        <v>99</v>
      </c>
      <c r="G208" s="32" t="str">
        <f>HYPERLINK("https://api.typeform.com/responses/files/ec94a34a2f04f95f732ad8afc50ad38b411eee39895c56fee6321900f22599af/CV_AI_Engineering_Intern_Tôn_Võ_Hoài_Khiêm.pdf")</f>
        <v>https://api.typeform.com/responses/files/ec94a34a2f04f95f732ad8afc50ad38b411eee39895c56fee6321900f22599af/CV_AI_Engineering_Intern_Tôn_Võ_Hoài_Khiêm.pdf</v>
      </c>
      <c r="H208" s="29" t="s">
        <v>2150</v>
      </c>
      <c r="I208" s="29" t="s">
        <v>2151</v>
      </c>
      <c r="J208" s="29" t="s">
        <v>715</v>
      </c>
      <c r="L208" s="29" t="s">
        <v>67</v>
      </c>
      <c r="M208" s="29" t="s">
        <v>612</v>
      </c>
      <c r="N208" s="33">
        <v>46356.0</v>
      </c>
      <c r="O208" s="31" t="s">
        <v>2152</v>
      </c>
      <c r="P208" s="32" t="str">
        <f>HYPERLINK("https://api.typeform.com/responses/files/36b94f173ca890df77c1838af7507e864bf7e8e84f352ce970ab5d554d8441f7/Transcript___AI_Engineering_Intern___Tôn_Võ_Hoài_Khiêm.pdf")</f>
        <v>https://api.typeform.com/responses/files/36b94f173ca890df77c1838af7507e864bf7e8e84f352ce970ab5d554d8441f7/Transcript___AI_Engineering_Intern___Tôn_Võ_Hoài_Khiêm.pdf</v>
      </c>
      <c r="Q208" s="29" t="b">
        <v>1</v>
      </c>
      <c r="R208" s="29" t="s">
        <v>2153</v>
      </c>
      <c r="S208" s="29" t="s">
        <v>2154</v>
      </c>
      <c r="T208" s="29" t="s">
        <v>72</v>
      </c>
      <c r="U208" s="29" t="s">
        <v>72</v>
      </c>
      <c r="V208" s="29" t="s">
        <v>73</v>
      </c>
      <c r="X208" s="29" t="s">
        <v>2155</v>
      </c>
      <c r="Y208" s="34">
        <v>46137.169756944444</v>
      </c>
      <c r="Z208" s="29" t="s">
        <v>2156</v>
      </c>
      <c r="AA208" s="6">
        <v>2.0</v>
      </c>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row>
    <row r="209" ht="22.5" hidden="1" customHeight="1">
      <c r="A209" s="29" t="s">
        <v>2157</v>
      </c>
      <c r="B209" s="30">
        <v>38035.0</v>
      </c>
      <c r="C209" s="29" t="s">
        <v>2158</v>
      </c>
      <c r="D209" s="31" t="s">
        <v>2159</v>
      </c>
      <c r="E209" s="29" t="s">
        <v>99</v>
      </c>
      <c r="F209" s="29" t="s">
        <v>61</v>
      </c>
      <c r="G209" s="32" t="str">
        <f>HYPERLINK("https://api.typeform.com/responses/files/fc1876af3166874f97d8dc1046f8f5dc9d2c304af19adfd784a95fd5343196b1/CV___SunRiserIntern___NguyenNhatHieu.pdf")</f>
        <v>https://api.typeform.com/responses/files/fc1876af3166874f97d8dc1046f8f5dc9d2c304af19adfd784a95fd5343196b1/CV___SunRiserIntern___NguyenNhatHieu.pdf</v>
      </c>
      <c r="H209" s="29" t="s">
        <v>2160</v>
      </c>
      <c r="I209" s="29" t="s">
        <v>2161</v>
      </c>
      <c r="J209" s="29" t="s">
        <v>326</v>
      </c>
      <c r="L209" s="29" t="s">
        <v>67</v>
      </c>
      <c r="M209" s="29" t="s">
        <v>132</v>
      </c>
      <c r="N209" s="33">
        <v>46327.0</v>
      </c>
      <c r="O209" s="31" t="s">
        <v>780</v>
      </c>
      <c r="P209" s="32" t="str">
        <f>HYPERLINK("https://api.typeform.com/responses/files/a0f35d866b4e3b34269e0244f179069efe3571350d3289600dc1d5ea52bdfd9f/Transcript___SunRiserIntern___NguyenNhatHieu.pdf")</f>
        <v>https://api.typeform.com/responses/files/a0f35d866b4e3b34269e0244f179069efe3571350d3289600dc1d5ea52bdfd9f/Transcript___SunRiserIntern___NguyenNhatHieu.pdf</v>
      </c>
      <c r="Q209" s="29" t="b">
        <v>1</v>
      </c>
      <c r="R209" s="29" t="s">
        <v>2162</v>
      </c>
      <c r="S209" s="29" t="s">
        <v>2163</v>
      </c>
      <c r="T209" s="29" t="s">
        <v>72</v>
      </c>
      <c r="U209" s="29" t="s">
        <v>72</v>
      </c>
      <c r="V209" s="29" t="s">
        <v>269</v>
      </c>
      <c r="Y209" s="34">
        <v>46137.17172453704</v>
      </c>
      <c r="Z209" s="29" t="s">
        <v>2164</v>
      </c>
      <c r="AA209" s="6">
        <v>2.0</v>
      </c>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row>
    <row r="210" ht="22.5" hidden="1" customHeight="1">
      <c r="A210" s="29" t="s">
        <v>2165</v>
      </c>
      <c r="B210" s="30">
        <v>37344.0</v>
      </c>
      <c r="C210" s="29" t="s">
        <v>2166</v>
      </c>
      <c r="D210" s="31" t="s">
        <v>2167</v>
      </c>
      <c r="E210" s="29" t="s">
        <v>99</v>
      </c>
      <c r="F210" s="29" t="s">
        <v>62</v>
      </c>
      <c r="G210" s="32" t="str">
        <f>HYPERLINK("https://api.typeform.com/responses/files/c21288ffa1b5326c7540c29ec8f003162bb3490de1a6f5088b73ba6b1dd35e22/CV___Intern_Game_Designer___Vũ_Quốc_Bảo.pdf")</f>
        <v>https://api.typeform.com/responses/files/c21288ffa1b5326c7540c29ec8f003162bb3490de1a6f5088b73ba6b1dd35e22/CV___Intern_Game_Designer___Vũ_Quốc_Bảo.pdf</v>
      </c>
      <c r="H210" s="29" t="s">
        <v>2168</v>
      </c>
      <c r="I210" s="29" t="s">
        <v>2169</v>
      </c>
      <c r="J210" s="29" t="s">
        <v>144</v>
      </c>
      <c r="L210" s="29" t="s">
        <v>103</v>
      </c>
      <c r="M210" s="29" t="s">
        <v>2170</v>
      </c>
      <c r="N210" s="33">
        <v>45446.0</v>
      </c>
      <c r="O210" s="31" t="s">
        <v>233</v>
      </c>
      <c r="P210" s="32" t="str">
        <f>HYPERLINK("https://api.typeform.com/responses/files/06e32e185afb0f4a1a0b048939101def4953b48f902738e7eaa0add28b6ccdc9/Transcript___Game_Designer_Intern___Vũ_Quốc_Bảo.jpg")</f>
        <v>https://api.typeform.com/responses/files/06e32e185afb0f4a1a0b048939101def4953b48f902738e7eaa0add28b6ccdc9/Transcript___Game_Designer_Intern___Vũ_Quốc_Bảo.jpg</v>
      </c>
      <c r="Q210" s="29" t="b">
        <v>0</v>
      </c>
      <c r="R210" s="29" t="s">
        <v>2171</v>
      </c>
      <c r="S210" s="29" t="s">
        <v>2172</v>
      </c>
      <c r="T210" s="29" t="s">
        <v>72</v>
      </c>
      <c r="U210" s="29" t="s">
        <v>72</v>
      </c>
      <c r="V210" s="29" t="s">
        <v>73</v>
      </c>
      <c r="X210" s="29" t="s">
        <v>2173</v>
      </c>
      <c r="Y210" s="34">
        <v>46137.20490740741</v>
      </c>
      <c r="Z210" s="29" t="s">
        <v>2174</v>
      </c>
      <c r="AA210" s="6">
        <v>2.0</v>
      </c>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row>
    <row r="211" ht="22.5" hidden="1" customHeight="1">
      <c r="A211" s="29" t="s">
        <v>2175</v>
      </c>
      <c r="B211" s="30">
        <v>38313.0</v>
      </c>
      <c r="C211" s="29" t="s">
        <v>2176</v>
      </c>
      <c r="D211" s="31" t="s">
        <v>2177</v>
      </c>
      <c r="E211" s="29" t="s">
        <v>61</v>
      </c>
      <c r="F211" s="29" t="s">
        <v>99</v>
      </c>
      <c r="G211" s="32" t="str">
        <f>HYPERLINK("https://api.typeform.com/responses/files/cd945cff5f19ffb57d7ec45b5e2f970c7f8a3f0f8808473059b739b2f6352f55/CV_TranLeHoangHuy_UnityDevelopmentIntern.pdf")</f>
        <v>https://api.typeform.com/responses/files/cd945cff5f19ffb57d7ec45b5e2f970c7f8a3f0f8808473059b739b2f6352f55/CV_TranLeHoangHuy_UnityDevelopmentIntern.pdf</v>
      </c>
      <c r="H211" s="29" t="s">
        <v>2178</v>
      </c>
      <c r="I211" s="29" t="s">
        <v>2179</v>
      </c>
      <c r="J211" s="29" t="s">
        <v>2180</v>
      </c>
      <c r="L211" s="29" t="s">
        <v>103</v>
      </c>
      <c r="M211" s="29" t="s">
        <v>2181</v>
      </c>
      <c r="N211" s="33">
        <v>46198.0</v>
      </c>
      <c r="O211" s="31" t="s">
        <v>87</v>
      </c>
      <c r="P211" s="32" t="str">
        <f>HYPERLINK("https://api.typeform.com/responses/files/8807a772978818a3eaba285eb59d98207bb9fafe234adc2ce391cc136993b12c/Transcript_Unity_Development_Intern_TranLeHoangHuy.docx")</f>
        <v>https://api.typeform.com/responses/files/8807a772978818a3eaba285eb59d98207bb9fafe234adc2ce391cc136993b12c/Transcript_Unity_Development_Intern_TranLeHoangHuy.docx</v>
      </c>
      <c r="Q211" s="29" t="b">
        <v>1</v>
      </c>
      <c r="R211" s="29" t="s">
        <v>2182</v>
      </c>
      <c r="S211" s="29" t="s">
        <v>2183</v>
      </c>
      <c r="T211" s="29" t="s">
        <v>72</v>
      </c>
      <c r="U211" s="29" t="s">
        <v>72</v>
      </c>
      <c r="V211" s="29" t="s">
        <v>2184</v>
      </c>
      <c r="X211" s="29" t="s">
        <v>2185</v>
      </c>
      <c r="Y211" s="34">
        <v>46137.23539351852</v>
      </c>
      <c r="Z211" s="29" t="s">
        <v>2186</v>
      </c>
      <c r="AA211" s="6">
        <v>2.0</v>
      </c>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row>
    <row r="212" ht="22.5" hidden="1" customHeight="1">
      <c r="A212" s="29" t="s">
        <v>2187</v>
      </c>
      <c r="B212" s="30">
        <v>38189.0</v>
      </c>
      <c r="C212" s="29" t="s">
        <v>2188</v>
      </c>
      <c r="D212" s="31" t="s">
        <v>2189</v>
      </c>
      <c r="E212" s="29" t="s">
        <v>99</v>
      </c>
      <c r="F212" s="29" t="s">
        <v>61</v>
      </c>
      <c r="G212" s="32" t="str">
        <f>HYPERLINK("https://api.typeform.com/responses/files/a668c62eb99d2ac5d74b7dff30d17c49f28d515c1009916b7982c9e33a8d8da3/CV___Game_Developer_Intern___Nguyễn_Đình_Minh_Nhật.pdf")</f>
        <v>https://api.typeform.com/responses/files/a668c62eb99d2ac5d74b7dff30d17c49f28d515c1009916b7982c9e33a8d8da3/CV___Game_Developer_Intern___Nguyễn_Đình_Minh_Nhật.pdf</v>
      </c>
      <c r="H212" s="29" t="s">
        <v>2190</v>
      </c>
      <c r="I212" s="29" t="s">
        <v>2191</v>
      </c>
      <c r="J212" s="29" t="s">
        <v>116</v>
      </c>
      <c r="L212" s="29" t="s">
        <v>67</v>
      </c>
      <c r="M212" s="29" t="s">
        <v>601</v>
      </c>
      <c r="N212" s="33">
        <v>46326.0</v>
      </c>
      <c r="O212" s="31" t="s">
        <v>2192</v>
      </c>
      <c r="P212" s="32" t="str">
        <f>HYPERLINK("https://api.typeform.com/responses/files/0a0703babc579a1249268508adfc3ddbc049919c0b1ac9afb16f1aaafd5895ab/Transcript___Game_Developer_Intern___Nguyễn_Đình_Minh_Nhật.xls")</f>
        <v>https://api.typeform.com/responses/files/0a0703babc579a1249268508adfc3ddbc049919c0b1ac9afb16f1aaafd5895ab/Transcript___Game_Developer_Intern___Nguyễn_Đình_Minh_Nhật.xls</v>
      </c>
      <c r="Q212" s="29" t="b">
        <v>0</v>
      </c>
      <c r="R212" s="29" t="s">
        <v>2193</v>
      </c>
      <c r="S212" s="29" t="s">
        <v>2194</v>
      </c>
      <c r="T212" s="29" t="s">
        <v>72</v>
      </c>
      <c r="U212" s="29" t="s">
        <v>72</v>
      </c>
      <c r="V212" s="29" t="s">
        <v>90</v>
      </c>
      <c r="Y212" s="34">
        <v>46137.24783564815</v>
      </c>
      <c r="Z212" s="29" t="s">
        <v>2195</v>
      </c>
      <c r="AA212" s="6">
        <v>2.0</v>
      </c>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row>
    <row r="213" ht="22.5" hidden="1" customHeight="1">
      <c r="A213" s="29" t="s">
        <v>2196</v>
      </c>
      <c r="B213" s="30">
        <v>38548.0</v>
      </c>
      <c r="C213" s="29" t="s">
        <v>2197</v>
      </c>
      <c r="D213" s="31" t="s">
        <v>2198</v>
      </c>
      <c r="E213" s="29" t="s">
        <v>61</v>
      </c>
      <c r="F213" s="29" t="s">
        <v>99</v>
      </c>
      <c r="G213" s="32" t="str">
        <f>HYPERLINK("https://api.typeform.com/responses/files/a094a8c5c107ffedd6b6e9c0d2ec30292a0bac28c00afc0c8fa328276a37ce69/Tran_Hoang_Phuc_TopCV.vn_250426.124259.pdf")</f>
        <v>https://api.typeform.com/responses/files/a094a8c5c107ffedd6b6e9c0d2ec30292a0bac28c00afc0c8fa328276a37ce69/Tran_Hoang_Phuc_TopCV.vn_250426.124259.pdf</v>
      </c>
      <c r="H213" s="29" t="s">
        <v>2199</v>
      </c>
      <c r="I213" s="29" t="s">
        <v>2200</v>
      </c>
      <c r="J213" s="29" t="s">
        <v>144</v>
      </c>
      <c r="L213" s="29" t="s">
        <v>103</v>
      </c>
      <c r="M213" s="29" t="s">
        <v>256</v>
      </c>
      <c r="N213" s="33">
        <v>45870.0</v>
      </c>
      <c r="O213" s="29" t="s">
        <v>2201</v>
      </c>
      <c r="P213" s="32" t="str">
        <f>HYPERLINK("https://api.typeform.com/responses/files/5a744069642a259f4645e2002657f36565bf0752558ad4913095a50e6fea4ccd/Bảng_điểm__FPT_Polytechnic.pdf")</f>
        <v>https://api.typeform.com/responses/files/5a744069642a259f4645e2002657f36565bf0752558ad4913095a50e6fea4ccd/Bảng_điểm__FPT_Polytechnic.pdf</v>
      </c>
      <c r="Q213" s="29" t="b">
        <v>1</v>
      </c>
      <c r="R213" s="29" t="s">
        <v>2202</v>
      </c>
      <c r="S213" s="29" t="s">
        <v>2203</v>
      </c>
      <c r="T213" s="29" t="s">
        <v>72</v>
      </c>
      <c r="U213" s="29" t="s">
        <v>72</v>
      </c>
      <c r="V213" s="29" t="s">
        <v>73</v>
      </c>
      <c r="Y213" s="34">
        <v>46137.2490625</v>
      </c>
      <c r="Z213" s="29" t="s">
        <v>2204</v>
      </c>
      <c r="AA213" s="6">
        <v>2.0</v>
      </c>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row>
    <row r="214" ht="22.5" hidden="1" customHeight="1">
      <c r="A214" s="29" t="s">
        <v>2205</v>
      </c>
      <c r="B214" s="30">
        <v>37665.0</v>
      </c>
      <c r="C214" s="29" t="s">
        <v>2206</v>
      </c>
      <c r="D214" s="31" t="s">
        <v>2207</v>
      </c>
      <c r="E214" s="29" t="s">
        <v>82</v>
      </c>
      <c r="F214" s="29" t="s">
        <v>62</v>
      </c>
      <c r="G214" s="32" t="str">
        <f>HYPERLINK("https://api.typeform.com/responses/files/c56df336e0a918048c26520948dc97aee04e97be8d48c620d2ac20a54a48e20e/CV_DA_NguyenTienThinh.pdf")</f>
        <v>https://api.typeform.com/responses/files/c56df336e0a918048c26520948dc97aee04e97be8d48c620d2ac20a54a48e20e/CV_DA_NguyenTienThinh.pdf</v>
      </c>
      <c r="H214" s="29" t="s">
        <v>2208</v>
      </c>
      <c r="I214" s="29" t="s">
        <v>2209</v>
      </c>
      <c r="J214" s="29" t="s">
        <v>85</v>
      </c>
      <c r="L214" s="29" t="s">
        <v>103</v>
      </c>
      <c r="M214" s="29" t="s">
        <v>624</v>
      </c>
      <c r="N214" s="33">
        <v>45817.0</v>
      </c>
      <c r="O214" s="31" t="s">
        <v>2210</v>
      </c>
      <c r="P214" s="32" t="str">
        <f>HYPERLINK("https://api.typeform.com/responses/files/9f56f9490eb7a02292512c8b214bc2e71c1f27c796ff45af3e49e86c13be5c8d/Transcript___DA_Intern_AI_intern___Nguyễn_Tiến_Thịnh.pdf")</f>
        <v>https://api.typeform.com/responses/files/9f56f9490eb7a02292512c8b214bc2e71c1f27c796ff45af3e49e86c13be5c8d/Transcript___DA_Intern_AI_intern___Nguyễn_Tiến_Thịnh.pdf</v>
      </c>
      <c r="Q214" s="29" t="b">
        <v>1</v>
      </c>
      <c r="R214" s="29" t="s">
        <v>2211</v>
      </c>
      <c r="S214" s="29" t="s">
        <v>2212</v>
      </c>
      <c r="T214" s="29" t="s">
        <v>72</v>
      </c>
      <c r="U214" s="29" t="s">
        <v>72</v>
      </c>
      <c r="V214" s="29" t="s">
        <v>73</v>
      </c>
      <c r="X214" s="29" t="s">
        <v>2213</v>
      </c>
      <c r="Y214" s="34">
        <v>46137.26675925926</v>
      </c>
      <c r="Z214" s="29" t="s">
        <v>2214</v>
      </c>
      <c r="AA214" s="6">
        <v>2.0</v>
      </c>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row>
    <row r="215" ht="22.5" hidden="1" customHeight="1">
      <c r="A215" s="29" t="s">
        <v>2215</v>
      </c>
      <c r="B215" s="30">
        <v>37955.0</v>
      </c>
      <c r="C215" s="29" t="s">
        <v>2216</v>
      </c>
      <c r="D215" s="31" t="s">
        <v>2217</v>
      </c>
      <c r="E215" s="29" t="s">
        <v>82</v>
      </c>
      <c r="F215" s="29" t="s">
        <v>633</v>
      </c>
      <c r="G215" s="32" t="str">
        <f>HYPERLINK("https://api.typeform.com/responses/files/75eca038af4975fca224bbd5129f4c99722e0c7eb446693364107ddff813a768/CV___Data_Analysis_Intern___Nguyen_Thi_Huyen_Trang.pdf")</f>
        <v>https://api.typeform.com/responses/files/75eca038af4975fca224bbd5129f4c99722e0c7eb446693364107ddff813a768/CV___Data_Analysis_Intern___Nguyen_Thi_Huyen_Trang.pdf</v>
      </c>
      <c r="H215" s="29" t="s">
        <v>2218</v>
      </c>
      <c r="I215" s="29" t="s">
        <v>2219</v>
      </c>
      <c r="J215" s="29" t="s">
        <v>85</v>
      </c>
      <c r="L215" s="29" t="s">
        <v>67</v>
      </c>
      <c r="M215" s="29" t="s">
        <v>384</v>
      </c>
      <c r="N215" s="33">
        <v>46173.0</v>
      </c>
      <c r="O215" s="31" t="s">
        <v>2220</v>
      </c>
      <c r="P215" s="32" t="str">
        <f>HYPERLINK("https://api.typeform.com/responses/files/618507352cb077fa9a06783e7b1046ab4a74e51421e6e43f708770d3d6a064d9/Transcript___Data_Analysis_Intern___Nguyen_Thi_Huyen_Trang.PDF")</f>
        <v>https://api.typeform.com/responses/files/618507352cb077fa9a06783e7b1046ab4a74e51421e6e43f708770d3d6a064d9/Transcript___Data_Analysis_Intern___Nguyen_Thi_Huyen_Trang.PDF</v>
      </c>
      <c r="Q215" s="29" t="b">
        <v>1</v>
      </c>
      <c r="R215" s="29" t="s">
        <v>2221</v>
      </c>
      <c r="S215" s="29" t="s">
        <v>2222</v>
      </c>
      <c r="T215" s="29" t="s">
        <v>72</v>
      </c>
      <c r="U215" s="29" t="s">
        <v>72</v>
      </c>
      <c r="V215" s="29" t="s">
        <v>269</v>
      </c>
      <c r="X215" s="29" t="s">
        <v>2222</v>
      </c>
      <c r="Y215" s="34">
        <v>46137.273877314816</v>
      </c>
      <c r="Z215" s="29" t="s">
        <v>2223</v>
      </c>
      <c r="AA215" s="6">
        <v>2.0</v>
      </c>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row>
    <row r="216" ht="22.5" hidden="1" customHeight="1">
      <c r="A216" s="29" t="s">
        <v>2224</v>
      </c>
      <c r="B216" s="30">
        <v>38189.0</v>
      </c>
      <c r="C216" s="29" t="s">
        <v>2225</v>
      </c>
      <c r="D216" s="31" t="s">
        <v>2226</v>
      </c>
      <c r="E216" s="29" t="s">
        <v>62</v>
      </c>
      <c r="F216" s="29" t="s">
        <v>62</v>
      </c>
      <c r="G216" s="32" t="str">
        <f>HYPERLINK("https://api.typeform.com/responses/files/1723de9dcb9b04053dea33bfb8f51ab301c632a91254b7e4b99cdfee32c6d781/CV_AI_Engineering_Intern_Nguyen_Thanh_Binh.pdf")</f>
        <v>https://api.typeform.com/responses/files/1723de9dcb9b04053dea33bfb8f51ab301c632a91254b7e4b99cdfee32c6d781/CV_AI_Engineering_Intern_Nguyen_Thanh_Binh.pdf</v>
      </c>
      <c r="H216" s="29" t="s">
        <v>2227</v>
      </c>
      <c r="I216" s="29" t="s">
        <v>2228</v>
      </c>
      <c r="J216" s="29" t="s">
        <v>277</v>
      </c>
      <c r="L216" s="29" t="s">
        <v>67</v>
      </c>
      <c r="M216" s="29" t="s">
        <v>2229</v>
      </c>
      <c r="N216" s="33">
        <v>38189.0</v>
      </c>
      <c r="O216" s="29" t="s">
        <v>2230</v>
      </c>
      <c r="P216" s="32" t="str">
        <f>HYPERLINK("https://api.typeform.com/responses/files/33df2b63c2487d4f8bfcd0e62a37f323184fd97252830202264399bfe86cfc7e/Transcript___AI_Engineering_Intern___Nguyen_Thanh_Binh.pdf")</f>
        <v>https://api.typeform.com/responses/files/33df2b63c2487d4f8bfcd0e62a37f323184fd97252830202264399bfe86cfc7e/Transcript___AI_Engineering_Intern___Nguyen_Thanh_Binh.pdf</v>
      </c>
      <c r="Q216" s="29" t="b">
        <v>0</v>
      </c>
      <c r="R216" s="29" t="s">
        <v>375</v>
      </c>
      <c r="S216" s="29" t="s">
        <v>2231</v>
      </c>
      <c r="T216" s="29" t="s">
        <v>72</v>
      </c>
      <c r="U216" s="29" t="s">
        <v>72</v>
      </c>
      <c r="V216" s="29" t="s">
        <v>224</v>
      </c>
      <c r="X216" s="29" t="s">
        <v>2232</v>
      </c>
      <c r="Y216" s="34">
        <v>46137.27622685185</v>
      </c>
      <c r="Z216" s="29" t="s">
        <v>2233</v>
      </c>
      <c r="AA216" s="6">
        <v>2.0</v>
      </c>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row>
    <row r="217" ht="22.5" hidden="1" customHeight="1">
      <c r="A217" s="29" t="s">
        <v>2234</v>
      </c>
      <c r="B217" s="30">
        <v>38265.0</v>
      </c>
      <c r="C217" s="29" t="s">
        <v>2235</v>
      </c>
      <c r="D217" s="31" t="s">
        <v>2236</v>
      </c>
      <c r="E217" s="29" t="s">
        <v>99</v>
      </c>
      <c r="F217" s="29" t="s">
        <v>99</v>
      </c>
      <c r="G217" s="32" t="str">
        <f>HYPERLINK("https://api.typeform.com/responses/files/35213bd0db7d1617602f14aaf33c219d68780b9277122d2cfaca8562c833dbfd/CV___Game_Design_Intern___Dương_Triệu_Vy..png")</f>
        <v>https://api.typeform.com/responses/files/35213bd0db7d1617602f14aaf33c219d68780b9277122d2cfaca8562c833dbfd/CV___Game_Design_Intern___Dương_Triệu_Vy..png</v>
      </c>
      <c r="H217" s="29" t="s">
        <v>2237</v>
      </c>
      <c r="I217" s="29" t="s">
        <v>2238</v>
      </c>
      <c r="J217" s="29" t="s">
        <v>65</v>
      </c>
      <c r="K217" s="29" t="s">
        <v>2239</v>
      </c>
      <c r="L217" s="29" t="s">
        <v>103</v>
      </c>
      <c r="M217" s="29" t="s">
        <v>2240</v>
      </c>
      <c r="N217" s="33">
        <v>46058.0</v>
      </c>
      <c r="O217" s="29" t="s">
        <v>2241</v>
      </c>
      <c r="P217" s="32" t="str">
        <f>HYPERLINK("https://api.typeform.com/responses/files/5200902bd036d8087533e9fb18e377504d6f03ab2cfa864829a0ff872f869624/Transcript___Game_Design_Intern___Dương_Triệu_Vy.jpg")</f>
        <v>https://api.typeform.com/responses/files/5200902bd036d8087533e9fb18e377504d6f03ab2cfa864829a0ff872f869624/Transcript___Game_Design_Intern___Dương_Triệu_Vy.jpg</v>
      </c>
      <c r="Q217" s="29" t="b">
        <v>0</v>
      </c>
      <c r="R217" s="29" t="s">
        <v>2242</v>
      </c>
      <c r="S217" s="29" t="s">
        <v>2243</v>
      </c>
      <c r="T217" s="29" t="s">
        <v>72</v>
      </c>
      <c r="U217" s="29" t="s">
        <v>72</v>
      </c>
      <c r="V217" s="29" t="s">
        <v>236</v>
      </c>
      <c r="X217" s="29" t="s">
        <v>2244</v>
      </c>
      <c r="Y217" s="34">
        <v>46137.32162037037</v>
      </c>
      <c r="Z217" s="29" t="s">
        <v>2245</v>
      </c>
      <c r="AA217" s="6">
        <v>2.0</v>
      </c>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row>
    <row r="218" ht="22.5" hidden="1" customHeight="1">
      <c r="A218" s="29" t="s">
        <v>2246</v>
      </c>
      <c r="B218" s="30">
        <v>38045.0</v>
      </c>
      <c r="C218" s="29" t="s">
        <v>2247</v>
      </c>
      <c r="D218" s="31" t="s">
        <v>2248</v>
      </c>
      <c r="E218" s="29" t="s">
        <v>99</v>
      </c>
      <c r="F218" s="29" t="s">
        <v>61</v>
      </c>
      <c r="G218" s="32" t="str">
        <f>HYPERLINK("https://api.typeform.com/responses/files/396395c45680a0e8187303509957c4f407520960b832cbef9571305cec30319e/CV___Game_Developer__Game_Designer___Lâm_Thành_Trung.pdf")</f>
        <v>https://api.typeform.com/responses/files/396395c45680a0e8187303509957c4f407520960b832cbef9571305cec30319e/CV___Game_Developer__Game_Designer___Lâm_Thành_Trung.pdf</v>
      </c>
      <c r="H218" s="29" t="s">
        <v>2249</v>
      </c>
      <c r="I218" s="29" t="s">
        <v>2250</v>
      </c>
      <c r="J218" s="29" t="s">
        <v>144</v>
      </c>
      <c r="L218" s="29" t="s">
        <v>2251</v>
      </c>
      <c r="M218" s="29" t="s">
        <v>170</v>
      </c>
      <c r="N218" s="33">
        <v>46257.0</v>
      </c>
      <c r="O218" s="31" t="s">
        <v>105</v>
      </c>
      <c r="P218" s="32" t="str">
        <f>HYPERLINK("https://api.typeform.com/responses/files/8cd8f6b03488f8d36b7aeeabecdbb683c81b616f6b48a8efe65909d08dca4e93/Bảng_điểm___Game_Developer__Game_Designer___Lâm_Thành_Trung.xlsx")</f>
        <v>https://api.typeform.com/responses/files/8cd8f6b03488f8d36b7aeeabecdbb683c81b616f6b48a8efe65909d08dca4e93/Bảng_điểm___Game_Developer__Game_Designer___Lâm_Thành_Trung.xlsx</v>
      </c>
      <c r="Q218" s="29" t="b">
        <v>1</v>
      </c>
      <c r="R218" s="29" t="s">
        <v>2252</v>
      </c>
      <c r="S218" s="29" t="s">
        <v>2253</v>
      </c>
      <c r="T218" s="29" t="s">
        <v>72</v>
      </c>
      <c r="U218" s="29" t="s">
        <v>72</v>
      </c>
      <c r="V218" s="29" t="s">
        <v>594</v>
      </c>
      <c r="X218" s="29" t="s">
        <v>2254</v>
      </c>
      <c r="Y218" s="34">
        <v>46137.32392361111</v>
      </c>
      <c r="Z218" s="29" t="s">
        <v>2255</v>
      </c>
      <c r="AA218" s="6">
        <v>2.0</v>
      </c>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row>
    <row r="219" ht="22.5" hidden="1" customHeight="1">
      <c r="A219" s="29" t="s">
        <v>2256</v>
      </c>
      <c r="B219" s="30">
        <v>38702.0</v>
      </c>
      <c r="C219" s="29" t="s">
        <v>2257</v>
      </c>
      <c r="D219" s="31" t="s">
        <v>2258</v>
      </c>
      <c r="E219" s="29" t="s">
        <v>61</v>
      </c>
      <c r="F219" s="29" t="s">
        <v>99</v>
      </c>
      <c r="G219" s="32" t="str">
        <f>HYPERLINK("https://api.typeform.com/responses/files/78205681fad92fbaec452b3297de250c1f2f999c97b997c413eaae5bde54e7d1/CV_NVMQ.pdf")</f>
        <v>https://api.typeform.com/responses/files/78205681fad92fbaec452b3297de250c1f2f999c97b997c413eaae5bde54e7d1/CV_NVMQ.pdf</v>
      </c>
      <c r="H219" s="29" t="s">
        <v>2259</v>
      </c>
      <c r="I219" s="29" t="s">
        <v>2260</v>
      </c>
      <c r="J219" s="29" t="s">
        <v>144</v>
      </c>
      <c r="L219" s="29" t="s">
        <v>103</v>
      </c>
      <c r="M219" s="29" t="s">
        <v>457</v>
      </c>
      <c r="N219" s="33">
        <v>45870.0</v>
      </c>
      <c r="O219" s="31" t="s">
        <v>696</v>
      </c>
      <c r="P219" s="32" t="str">
        <f>HYPERLINK("https://api.typeform.com/responses/files/a297074a11a405dea01adc52a8b8d620a7c33f2d356d41b35a98488534c5d54b/Transcript___Unity_Developer_Intern___Nguyễn_Võ_Minh_Quân.pdf")</f>
        <v>https://api.typeform.com/responses/files/a297074a11a405dea01adc52a8b8d620a7c33f2d356d41b35a98488534c5d54b/Transcript___Unity_Developer_Intern___Nguyễn_Võ_Minh_Quân.pdf</v>
      </c>
      <c r="Q219" s="29" t="b">
        <v>1</v>
      </c>
      <c r="R219" s="29" t="s">
        <v>2261</v>
      </c>
      <c r="S219" s="29" t="s">
        <v>2262</v>
      </c>
      <c r="T219" s="29" t="s">
        <v>2263</v>
      </c>
      <c r="U219" s="29" t="s">
        <v>72</v>
      </c>
      <c r="V219" s="29" t="s">
        <v>73</v>
      </c>
      <c r="Y219" s="34">
        <v>46137.33672453704</v>
      </c>
      <c r="Z219" s="29" t="s">
        <v>2264</v>
      </c>
      <c r="AA219" s="6">
        <v>2.0</v>
      </c>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row>
    <row r="220" ht="22.5" hidden="1" customHeight="1">
      <c r="A220" s="29" t="s">
        <v>2265</v>
      </c>
      <c r="B220" s="30">
        <v>38283.0</v>
      </c>
      <c r="C220" s="29" t="s">
        <v>2266</v>
      </c>
      <c r="D220" s="31" t="s">
        <v>2267</v>
      </c>
      <c r="E220" s="29" t="s">
        <v>62</v>
      </c>
      <c r="F220" s="29" t="s">
        <v>82</v>
      </c>
      <c r="G220" s="32" t="str">
        <f>HYPERLINK("https://api.typeform.com/responses/files/7cec12f3eeb8428454647de3a284e45740d3c7fd876e8cfdc5528178c59a6348/CV___AI_Engineer_Intern___Đỗ_Việt_Hùng.pdf")</f>
        <v>https://api.typeform.com/responses/files/7cec12f3eeb8428454647de3a284e45740d3c7fd876e8cfdc5528178c59a6348/CV___AI_Engineer_Intern___Đỗ_Việt_Hùng.pdf</v>
      </c>
      <c r="H220" s="29" t="s">
        <v>2268</v>
      </c>
      <c r="I220" s="29" t="s">
        <v>2269</v>
      </c>
      <c r="J220" s="29" t="s">
        <v>1069</v>
      </c>
      <c r="L220" s="29" t="s">
        <v>67</v>
      </c>
      <c r="M220" s="29" t="s">
        <v>2270</v>
      </c>
      <c r="N220" s="33">
        <v>46539.0</v>
      </c>
      <c r="O220" s="31" t="s">
        <v>2271</v>
      </c>
      <c r="P220" s="32" t="str">
        <f>HYPERLINK("https://api.typeform.com/responses/files/a31bcedc0d831a06ca829342b94ffb0adb02f67543d3a4023ed6ea8d060223be/Transcipt___AI_Engineer_Intern___Đỗ_Việt_Hùng.pdf")</f>
        <v>https://api.typeform.com/responses/files/a31bcedc0d831a06ca829342b94ffb0adb02f67543d3a4023ed6ea8d060223be/Transcipt___AI_Engineer_Intern___Đỗ_Việt_Hùng.pdf</v>
      </c>
      <c r="Q220" s="29" t="b">
        <v>1</v>
      </c>
      <c r="R220" s="29" t="s">
        <v>2272</v>
      </c>
      <c r="S220" s="29" t="s">
        <v>2273</v>
      </c>
      <c r="T220" s="29" t="s">
        <v>72</v>
      </c>
      <c r="U220" s="29" t="s">
        <v>72</v>
      </c>
      <c r="V220" s="29" t="s">
        <v>188</v>
      </c>
      <c r="X220" s="29" t="s">
        <v>2274</v>
      </c>
      <c r="Y220" s="34">
        <v>46137.34388888889</v>
      </c>
      <c r="Z220" s="29" t="s">
        <v>2275</v>
      </c>
      <c r="AA220" s="6">
        <v>2.0</v>
      </c>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row>
    <row r="221" ht="22.5" hidden="1" customHeight="1">
      <c r="A221" s="29" t="s">
        <v>2276</v>
      </c>
      <c r="B221" s="30">
        <v>38686.0</v>
      </c>
      <c r="C221" s="29" t="s">
        <v>2277</v>
      </c>
      <c r="D221" s="31" t="s">
        <v>2278</v>
      </c>
      <c r="E221" s="29" t="s">
        <v>82</v>
      </c>
      <c r="F221" s="29" t="s">
        <v>82</v>
      </c>
      <c r="G221" s="32" t="str">
        <f>HYPERLINK("https://api.typeform.com/responses/files/e573ce840a3a20b6ae99c190a42ee6745a7c73e86e9122bfaa00742c92c0315c/CV___Data_Analyst_Intern___Tran_Le_Dong_Anh.pdf")</f>
        <v>https://api.typeform.com/responses/files/e573ce840a3a20b6ae99c190a42ee6745a7c73e86e9122bfaa00742c92c0315c/CV___Data_Analyst_Intern___Tran_Le_Dong_Anh.pdf</v>
      </c>
      <c r="H221" s="29" t="s">
        <v>2279</v>
      </c>
      <c r="I221" s="29" t="s">
        <v>2280</v>
      </c>
      <c r="J221" s="29" t="s">
        <v>2281</v>
      </c>
      <c r="L221" s="29" t="s">
        <v>219</v>
      </c>
      <c r="M221" s="29" t="s">
        <v>2282</v>
      </c>
      <c r="N221" s="33">
        <v>46386.0</v>
      </c>
      <c r="O221" s="31" t="s">
        <v>1382</v>
      </c>
      <c r="P221" s="32" t="str">
        <f>HYPERLINK("https://api.typeform.com/responses/files/42c7676b1515a210c3ccf2db3edf84c014e0275845ee66c09830632d83d73edb/TLDA_Soft_Copy_Of_Transcript.pdf")</f>
        <v>https://api.typeform.com/responses/files/42c7676b1515a210c3ccf2db3edf84c014e0275845ee66c09830632d83d73edb/TLDA_Soft_Copy_Of_Transcript.pdf</v>
      </c>
      <c r="Q221" s="29" t="b">
        <v>1</v>
      </c>
      <c r="R221" s="29" t="s">
        <v>2283</v>
      </c>
      <c r="S221" s="29" t="s">
        <v>2284</v>
      </c>
      <c r="T221" s="29" t="s">
        <v>72</v>
      </c>
      <c r="U221" s="29" t="s">
        <v>72</v>
      </c>
      <c r="V221" s="29" t="s">
        <v>2285</v>
      </c>
      <c r="X221" s="29" t="s">
        <v>2286</v>
      </c>
      <c r="Y221" s="34">
        <v>46137.35298611111</v>
      </c>
      <c r="Z221" s="29" t="s">
        <v>2287</v>
      </c>
      <c r="AA221" s="6">
        <v>2.0</v>
      </c>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row>
    <row r="222" ht="22.5" hidden="1" customHeight="1">
      <c r="A222" s="29" t="s">
        <v>2288</v>
      </c>
      <c r="B222" s="30">
        <v>37908.0</v>
      </c>
      <c r="C222" s="29" t="s">
        <v>2289</v>
      </c>
      <c r="D222" s="31" t="s">
        <v>2290</v>
      </c>
      <c r="E222" s="29" t="s">
        <v>61</v>
      </c>
      <c r="F222" s="29" t="s">
        <v>127</v>
      </c>
      <c r="G222" s="32" t="str">
        <f>HYPERLINK("https://api.typeform.com/responses/files/64dbc8edddb344fdae13a0c72e7de7f201d19bbec65530c1b985817f34064967/CV_Thái_Thanh_Kha.pdf")</f>
        <v>https://api.typeform.com/responses/files/64dbc8edddb344fdae13a0c72e7de7f201d19bbec65530c1b985817f34064967/CV_Thái_Thanh_Kha.pdf</v>
      </c>
      <c r="H222" s="29" t="s">
        <v>2291</v>
      </c>
      <c r="I222" s="29" t="s">
        <v>2292</v>
      </c>
      <c r="J222" s="29" t="s">
        <v>2293</v>
      </c>
      <c r="L222" s="29" t="s">
        <v>67</v>
      </c>
      <c r="M222" s="29" t="s">
        <v>2294</v>
      </c>
      <c r="N222" s="33">
        <v>46258.0</v>
      </c>
      <c r="O222" s="31" t="s">
        <v>147</v>
      </c>
      <c r="P222" s="32" t="str">
        <f>HYPERLINK("https://api.typeform.com/responses/files/2c93636da8a7283edc6cf91f899f2227ae9631a8c8bc559e146ba5fabf12342d/Unity_Development_Intern___Thái_Thanh_Kha.pdf")</f>
        <v>https://api.typeform.com/responses/files/2c93636da8a7283edc6cf91f899f2227ae9631a8c8bc559e146ba5fabf12342d/Unity_Development_Intern___Thái_Thanh_Kha.pdf</v>
      </c>
      <c r="Q222" s="29" t="b">
        <v>1</v>
      </c>
      <c r="R222" s="29" t="s">
        <v>2295</v>
      </c>
      <c r="S222" s="29" t="s">
        <v>2296</v>
      </c>
      <c r="T222" s="29" t="s">
        <v>72</v>
      </c>
      <c r="U222" s="29" t="s">
        <v>72</v>
      </c>
      <c r="V222" s="29" t="s">
        <v>2297</v>
      </c>
      <c r="X222" s="29" t="s">
        <v>2298</v>
      </c>
      <c r="Y222" s="34">
        <v>46137.360497685186</v>
      </c>
      <c r="Z222" s="29" t="s">
        <v>2299</v>
      </c>
      <c r="AA222" s="6">
        <v>2.0</v>
      </c>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row>
    <row r="223" ht="22.5" hidden="1" customHeight="1">
      <c r="A223" s="29" t="s">
        <v>2300</v>
      </c>
      <c r="B223" s="30">
        <v>38463.0</v>
      </c>
      <c r="C223" s="29" t="s">
        <v>2301</v>
      </c>
      <c r="D223" s="31" t="s">
        <v>2302</v>
      </c>
      <c r="E223" s="29" t="s">
        <v>61</v>
      </c>
      <c r="F223" s="29" t="s">
        <v>99</v>
      </c>
      <c r="G223" s="32" t="str">
        <f>HYPERLINK("https://api.typeform.com/responses/files/bbcc2641421bbb593a6347a140ed752bd5a0d9791d5f6879d4994d0ec02ff9c3/Unity_Development_Intern___Hoàng_Hải_Yến.pdf")</f>
        <v>https://api.typeform.com/responses/files/bbcc2641421bbb593a6347a140ed752bd5a0d9791d5f6879d4994d0ec02ff9c3/Unity_Development_Intern___Hoàng_Hải_Yến.pdf</v>
      </c>
      <c r="H223" s="29" t="s">
        <v>2303</v>
      </c>
      <c r="I223" s="29" t="s">
        <v>2304</v>
      </c>
      <c r="J223" s="29" t="s">
        <v>85</v>
      </c>
      <c r="L223" s="29" t="s">
        <v>219</v>
      </c>
      <c r="M223" s="29" t="s">
        <v>446</v>
      </c>
      <c r="N223" s="33">
        <v>46467.0</v>
      </c>
      <c r="O223" s="31" t="s">
        <v>2027</v>
      </c>
      <c r="P223" s="32" t="str">
        <f>HYPERLINK("https://api.typeform.com/responses/files/16dea671a718b7812f06f6392b2a83d1abb44c21bf452d3ad3fb1d5a98133978/Transcript___Unity_Development_Intern___Hoàng_Hải_Yến.pdf")</f>
        <v>https://api.typeform.com/responses/files/16dea671a718b7812f06f6392b2a83d1abb44c21bf452d3ad3fb1d5a98133978/Transcript___Unity_Development_Intern___Hoàng_Hải_Yến.pdf</v>
      </c>
      <c r="Q223" s="29" t="b">
        <v>1</v>
      </c>
      <c r="R223" s="29" t="s">
        <v>2305</v>
      </c>
      <c r="S223" s="29" t="s">
        <v>2306</v>
      </c>
      <c r="T223" s="29" t="s">
        <v>72</v>
      </c>
      <c r="U223" s="29" t="s">
        <v>72</v>
      </c>
      <c r="V223" s="29" t="s">
        <v>224</v>
      </c>
      <c r="X223" s="29" t="s">
        <v>2307</v>
      </c>
      <c r="Y223" s="34">
        <v>46137.36418981481</v>
      </c>
      <c r="Z223" s="29" t="s">
        <v>2308</v>
      </c>
      <c r="AA223" s="6">
        <v>2.0</v>
      </c>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row>
    <row r="224" ht="22.5" hidden="1" customHeight="1">
      <c r="A224" s="29" t="s">
        <v>2309</v>
      </c>
      <c r="B224" s="30">
        <v>38764.0</v>
      </c>
      <c r="C224" s="29" t="s">
        <v>2310</v>
      </c>
      <c r="D224" s="31" t="s">
        <v>2311</v>
      </c>
      <c r="E224" s="29" t="s">
        <v>633</v>
      </c>
      <c r="F224" s="29" t="s">
        <v>127</v>
      </c>
      <c r="G224" s="32" t="str">
        <f>HYPERLINK("https://api.typeform.com/responses/files/690795ef7738e9fd30bd491188faf87ea867618d5abb5e85f708c5c545c85743/CV___Human_Resources_Intern___Nguyễn_Thái_Diễm_Quỳnh.pdf")</f>
        <v>https://api.typeform.com/responses/files/690795ef7738e9fd30bd491188faf87ea867618d5abb5e85f708c5c545c85743/CV___Human_Resources_Intern___Nguyễn_Thái_Diễm_Quỳnh.pdf</v>
      </c>
      <c r="H224" s="29" t="s">
        <v>2312</v>
      </c>
      <c r="I224" s="29" t="s">
        <v>2313</v>
      </c>
      <c r="J224" s="29" t="s">
        <v>1311</v>
      </c>
      <c r="L224" s="29" t="s">
        <v>169</v>
      </c>
      <c r="M224" s="29" t="s">
        <v>2314</v>
      </c>
      <c r="N224" s="33">
        <v>46997.0</v>
      </c>
      <c r="O224" s="31" t="s">
        <v>2315</v>
      </c>
      <c r="P224" s="32" t="str">
        <f>HYPERLINK("https://api.typeform.com/responses/files/33f1d72fb1f55c07f914beb7345a053a4e514fa4f8564d9e45bc8fb1149fd2c5/Official_Transcript___Human_Resources___Nguyễn_Thái_Diễm_Quỳnh.pdf")</f>
        <v>https://api.typeform.com/responses/files/33f1d72fb1f55c07f914beb7345a053a4e514fa4f8564d9e45bc8fb1149fd2c5/Official_Transcript___Human_Resources___Nguyễn_Thái_Diễm_Quỳnh.pdf</v>
      </c>
      <c r="Q224" s="29" t="b">
        <v>0</v>
      </c>
      <c r="R224" s="29" t="s">
        <v>2316</v>
      </c>
      <c r="S224" s="29" t="s">
        <v>2317</v>
      </c>
      <c r="T224" s="29" t="s">
        <v>72</v>
      </c>
      <c r="U224" s="29" t="s">
        <v>72</v>
      </c>
      <c r="V224" s="29" t="s">
        <v>73</v>
      </c>
      <c r="Y224" s="34">
        <v>46137.37069444444</v>
      </c>
      <c r="Z224" s="29" t="s">
        <v>2318</v>
      </c>
      <c r="AA224" s="6">
        <v>2.0</v>
      </c>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row>
    <row r="225" ht="22.5" hidden="1" customHeight="1">
      <c r="A225" s="29" t="s">
        <v>2319</v>
      </c>
      <c r="B225" s="30">
        <v>38128.0</v>
      </c>
      <c r="C225" s="29" t="s">
        <v>2320</v>
      </c>
      <c r="D225" s="31" t="s">
        <v>2321</v>
      </c>
      <c r="E225" s="29" t="s">
        <v>61</v>
      </c>
      <c r="G225" s="32" t="str">
        <f>HYPERLINK("https://api.typeform.com/responses/files/968469b4c7c1d73cc153c9da181ab22a191bf8f468915b1bf624e307e3458cc2/CV__Unity_Development_Intern___Lê_Quốc_Viêt.pdf")</f>
        <v>https://api.typeform.com/responses/files/968469b4c7c1d73cc153c9da181ab22a191bf8f468915b1bf624e307e3458cc2/CV__Unity_Development_Intern___Lê_Quốc_Viêt.pdf</v>
      </c>
      <c r="H225" s="29" t="s">
        <v>2322</v>
      </c>
      <c r="I225" s="29" t="s">
        <v>2323</v>
      </c>
      <c r="J225" s="29" t="s">
        <v>144</v>
      </c>
      <c r="L225" s="29" t="s">
        <v>103</v>
      </c>
      <c r="M225" s="29" t="s">
        <v>2063</v>
      </c>
      <c r="N225" s="33">
        <v>45938.0</v>
      </c>
      <c r="O225" s="31" t="s">
        <v>613</v>
      </c>
      <c r="P225" s="32" t="str">
        <f>HYPERLINK("https://api.typeform.com/responses/files/852cc3b5f43155bd62ff2736e92a5c65e5ba50b111db1e41dc187690328c3b2a/Transcript___Unity_Development_Intern___Lê_Quốc_Viêt.pdf")</f>
        <v>https://api.typeform.com/responses/files/852cc3b5f43155bd62ff2736e92a5c65e5ba50b111db1e41dc187690328c3b2a/Transcript___Unity_Development_Intern___Lê_Quốc_Viêt.pdf</v>
      </c>
      <c r="Q225" s="29" t="b">
        <v>1</v>
      </c>
      <c r="R225" s="29" t="s">
        <v>2324</v>
      </c>
      <c r="S225" s="29" t="s">
        <v>2325</v>
      </c>
      <c r="T225" s="29" t="s">
        <v>72</v>
      </c>
      <c r="U225" s="29" t="s">
        <v>72</v>
      </c>
      <c r="V225" s="29" t="s">
        <v>73</v>
      </c>
      <c r="X225" s="29" t="s">
        <v>2326</v>
      </c>
      <c r="Y225" s="34">
        <v>46137.394467592596</v>
      </c>
      <c r="Z225" s="29" t="s">
        <v>2327</v>
      </c>
      <c r="AA225" s="6">
        <v>2.0</v>
      </c>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row>
    <row r="226" ht="22.5" hidden="1" customHeight="1">
      <c r="A226" s="29" t="s">
        <v>2328</v>
      </c>
      <c r="B226" s="30">
        <v>38573.0</v>
      </c>
      <c r="C226" s="29" t="s">
        <v>2329</v>
      </c>
      <c r="D226" s="31" t="s">
        <v>2330</v>
      </c>
      <c r="E226" s="29" t="s">
        <v>127</v>
      </c>
      <c r="F226" s="29" t="s">
        <v>99</v>
      </c>
      <c r="G226" s="32" t="str">
        <f>HYPERLINK("https://api.typeform.com/responses/files/ba09e09e722c8e5e30caeca9ea3844e7731151ff344fb07bf3f68ea24cd18670/CV___Game_Quality_Assurance_Intern___Mai_Quỳnh_Châu.pdf")</f>
        <v>https://api.typeform.com/responses/files/ba09e09e722c8e5e30caeca9ea3844e7731151ff344fb07bf3f68ea24cd18670/CV___Game_Quality_Assurance_Intern___Mai_Quỳnh_Châu.pdf</v>
      </c>
      <c r="H226" s="29" t="s">
        <v>2331</v>
      </c>
      <c r="I226" s="29" t="s">
        <v>2332</v>
      </c>
      <c r="J226" s="29" t="s">
        <v>842</v>
      </c>
      <c r="L226" s="29" t="s">
        <v>219</v>
      </c>
      <c r="M226" s="29" t="s">
        <v>2333</v>
      </c>
      <c r="N226" s="33">
        <v>46483.0</v>
      </c>
      <c r="O226" s="31" t="s">
        <v>2334</v>
      </c>
      <c r="P226" s="32" t="str">
        <f>HYPERLINK("https://api.typeform.com/responses/files/bb8b79f387d9033fc24a71f84ded902d0a571c992b77feeb8bd5dbd3526048de/Transcript___Game_Quality_Assurance_Intern___Mai_Quỳnh_Châu.pdf")</f>
        <v>https://api.typeform.com/responses/files/bb8b79f387d9033fc24a71f84ded902d0a571c992b77feeb8bd5dbd3526048de/Transcript___Game_Quality_Assurance_Intern___Mai_Quỳnh_Châu.pdf</v>
      </c>
      <c r="Q226" s="29" t="b">
        <v>1</v>
      </c>
      <c r="R226" s="29" t="s">
        <v>2335</v>
      </c>
      <c r="S226" s="29" t="s">
        <v>2336</v>
      </c>
      <c r="T226" s="29" t="s">
        <v>72</v>
      </c>
      <c r="U226" s="29" t="s">
        <v>72</v>
      </c>
      <c r="V226" s="29" t="s">
        <v>73</v>
      </c>
      <c r="X226" s="29" t="s">
        <v>2337</v>
      </c>
      <c r="Y226" s="34">
        <v>46137.45707175926</v>
      </c>
      <c r="Z226" s="29" t="s">
        <v>2338</v>
      </c>
      <c r="AA226" s="6">
        <v>2.0</v>
      </c>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row>
    <row r="227" ht="22.5" hidden="1" customHeight="1">
      <c r="A227" s="29" t="s">
        <v>2339</v>
      </c>
      <c r="B227" s="30">
        <v>37638.0</v>
      </c>
      <c r="C227" s="29" t="s">
        <v>2340</v>
      </c>
      <c r="D227" s="31" t="s">
        <v>2341</v>
      </c>
      <c r="E227" s="29" t="s">
        <v>61</v>
      </c>
      <c r="F227" s="29" t="s">
        <v>99</v>
      </c>
      <c r="G227" s="32" t="str">
        <f>HYPERLINK("https://api.typeform.com/responses/files/7441aba87699e7da6010fe421d5ae08703b733f697cc48931033cd9aa4d6bea8/CV___Unity_Development_Intern___Nguyễn_Quốc_Tiến.pdf")</f>
        <v>https://api.typeform.com/responses/files/7441aba87699e7da6010fe421d5ae08703b733f697cc48931033cd9aa4d6bea8/CV___Unity_Development_Intern___Nguyễn_Quốc_Tiến.pdf</v>
      </c>
      <c r="H227" s="29" t="s">
        <v>2342</v>
      </c>
      <c r="I227" s="29" t="s">
        <v>2343</v>
      </c>
      <c r="J227" s="29" t="s">
        <v>1023</v>
      </c>
      <c r="K227" s="29" t="s">
        <v>2344</v>
      </c>
      <c r="L227" s="29" t="s">
        <v>2345</v>
      </c>
      <c r="M227" s="29" t="s">
        <v>1830</v>
      </c>
      <c r="N227" s="33">
        <v>45771.0</v>
      </c>
      <c r="O227" s="31" t="s">
        <v>2346</v>
      </c>
      <c r="P227" s="32" t="str">
        <f>HYPERLINK("https://api.typeform.com/responses/files/76b41cd4206e6a0e1726c5c338fd9fc59420d74c840f9a8ca79e0c5d5a9070f0/Transcript___Data_Analysis_Intern___Nguyễn_Quốc_Tiến.pdf")</f>
        <v>https://api.typeform.com/responses/files/76b41cd4206e6a0e1726c5c338fd9fc59420d74c840f9a8ca79e0c5d5a9070f0/Transcript___Data_Analysis_Intern___Nguyễn_Quốc_Tiến.pdf</v>
      </c>
      <c r="Q227" s="29" t="b">
        <v>1</v>
      </c>
      <c r="R227" s="29" t="s">
        <v>2347</v>
      </c>
      <c r="S227" s="29" t="s">
        <v>2348</v>
      </c>
      <c r="T227" s="29" t="s">
        <v>72</v>
      </c>
      <c r="U227" s="29" t="s">
        <v>72</v>
      </c>
      <c r="V227" s="29" t="s">
        <v>90</v>
      </c>
      <c r="X227" s="29" t="s">
        <v>2349</v>
      </c>
      <c r="Y227" s="34">
        <v>46137.469814814816</v>
      </c>
      <c r="Z227" s="29" t="s">
        <v>2350</v>
      </c>
      <c r="AA227" s="6">
        <v>2.0</v>
      </c>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row>
    <row r="228" ht="22.5" customHeight="1">
      <c r="A228" s="29" t="s">
        <v>2351</v>
      </c>
      <c r="B228" s="30">
        <v>37821.0</v>
      </c>
      <c r="C228" s="29" t="s">
        <v>2352</v>
      </c>
      <c r="D228" s="31" t="s">
        <v>2353</v>
      </c>
      <c r="E228" s="29" t="s">
        <v>61</v>
      </c>
      <c r="F228" s="29" t="s">
        <v>61</v>
      </c>
      <c r="G228" s="32" t="str">
        <f>HYPERLINK("https://api.typeform.com/responses/files/4303a000e456246244620fa678852d7773327b01676a3af0fe571f3e26bd4897/CV___Unity_Development_Intern___Trần_Như_Phú_Quang.pdf")</f>
        <v>https://api.typeform.com/responses/files/4303a000e456246244620fa678852d7773327b01676a3af0fe571f3e26bd4897/CV___Unity_Development_Intern___Trần_Như_Phú_Quang.pdf</v>
      </c>
      <c r="H228" s="29" t="s">
        <v>2354</v>
      </c>
      <c r="I228" s="29" t="s">
        <v>2355</v>
      </c>
      <c r="J228" s="29" t="s">
        <v>130</v>
      </c>
      <c r="L228" s="29" t="s">
        <v>103</v>
      </c>
      <c r="M228" s="29" t="s">
        <v>624</v>
      </c>
      <c r="N228" s="33">
        <v>46095.0</v>
      </c>
      <c r="O228" s="31" t="s">
        <v>2356</v>
      </c>
      <c r="P228" s="32" t="str">
        <f>HYPERLINK("https://api.typeform.com/responses/files/a4d813f4c458ad17e1e12d3fbcb21c31ee30101ebbdc120f48e412d423280634/Transcript___Unity_Development_Intern___Trần_Như_Phú_Quang.pdf")</f>
        <v>https://api.typeform.com/responses/files/a4d813f4c458ad17e1e12d3fbcb21c31ee30101ebbdc120f48e412d423280634/Transcript___Unity_Development_Intern___Trần_Như_Phú_Quang.pdf</v>
      </c>
      <c r="Q228" s="29" t="b">
        <v>1</v>
      </c>
      <c r="R228" s="29" t="s">
        <v>2357</v>
      </c>
      <c r="S228" s="29" t="s">
        <v>2358</v>
      </c>
      <c r="T228" s="29" t="s">
        <v>72</v>
      </c>
      <c r="U228" s="29" t="s">
        <v>72</v>
      </c>
      <c r="V228" s="29" t="s">
        <v>236</v>
      </c>
      <c r="X228" s="29" t="s">
        <v>2359</v>
      </c>
      <c r="Y228" s="34">
        <v>46137.473020833335</v>
      </c>
      <c r="Z228" s="29" t="s">
        <v>2360</v>
      </c>
      <c r="AA228" s="6">
        <v>2.0</v>
      </c>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row>
    <row r="229" ht="22.5" hidden="1" customHeight="1">
      <c r="A229" s="29" t="s">
        <v>2361</v>
      </c>
      <c r="B229" s="30">
        <v>37891.0</v>
      </c>
      <c r="C229" s="29" t="s">
        <v>2362</v>
      </c>
      <c r="D229" s="31" t="s">
        <v>2363</v>
      </c>
      <c r="E229" s="29" t="s">
        <v>61</v>
      </c>
      <c r="G229" s="32" t="str">
        <f>HYPERLINK("https://api.typeform.com/responses/files/ab651f3ac3e81e9183575f87cc4ba7a85361a66900c5e3c979c3aa18ebfde276/CV___Unity_Development_Intern___Lê_Thanh_Phát.pdf")</f>
        <v>https://api.typeform.com/responses/files/ab651f3ac3e81e9183575f87cc4ba7a85361a66900c5e3c979c3aa18ebfde276/CV___Unity_Development_Intern___Lê_Thanh_Phát.pdf</v>
      </c>
      <c r="H229" s="29" t="s">
        <v>2364</v>
      </c>
      <c r="I229" s="29" t="s">
        <v>2365</v>
      </c>
      <c r="J229" s="29" t="s">
        <v>326</v>
      </c>
      <c r="L229" s="29" t="s">
        <v>103</v>
      </c>
      <c r="M229" s="29" t="s">
        <v>104</v>
      </c>
      <c r="N229" s="33">
        <v>45966.0</v>
      </c>
      <c r="O229" s="31" t="s">
        <v>1122</v>
      </c>
      <c r="P229" s="32" t="str">
        <f>HYPERLINK("https://api.typeform.com/responses/files/285cb1e483c4039d3df5b21c10609f508454c8bb4f5e1f951ee64db92d317919/Transcript___Unity_Development_Intern___Lê_Thanh_Phát.pdf")</f>
        <v>https://api.typeform.com/responses/files/285cb1e483c4039d3df5b21c10609f508454c8bb4f5e1f951ee64db92d317919/Transcript___Unity_Development_Intern___Lê_Thanh_Phát.pdf</v>
      </c>
      <c r="Q229" s="29" t="b">
        <v>1</v>
      </c>
      <c r="R229" s="29" t="s">
        <v>2366</v>
      </c>
      <c r="S229" s="29" t="s">
        <v>2367</v>
      </c>
      <c r="T229" s="29" t="s">
        <v>72</v>
      </c>
      <c r="U229" s="29" t="s">
        <v>72</v>
      </c>
      <c r="V229" s="29" t="s">
        <v>90</v>
      </c>
      <c r="X229" s="29" t="s">
        <v>2368</v>
      </c>
      <c r="Y229" s="34">
        <v>46137.53113425926</v>
      </c>
      <c r="Z229" s="29" t="s">
        <v>2369</v>
      </c>
      <c r="AA229" s="6">
        <v>2.0</v>
      </c>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row>
    <row r="230" ht="22.5" hidden="1" customHeight="1">
      <c r="A230" s="29" t="s">
        <v>2370</v>
      </c>
      <c r="B230" s="30">
        <v>38126.0</v>
      </c>
      <c r="C230" s="29" t="s">
        <v>2371</v>
      </c>
      <c r="D230" s="31" t="s">
        <v>2372</v>
      </c>
      <c r="E230" s="29" t="s">
        <v>62</v>
      </c>
      <c r="F230" s="29" t="s">
        <v>82</v>
      </c>
      <c r="G230" s="32" t="str">
        <f>HYPERLINK("https://api.typeform.com/responses/files/d383c8c74a6ed143db5cab7cd368019cd7de55e5d037b7006c61c99f41da9ee5/MYCV__4_.pdf")</f>
        <v>https://api.typeform.com/responses/files/d383c8c74a6ed143db5cab7cd368019cd7de55e5d037b7006c61c99f41da9ee5/MYCV__4_.pdf</v>
      </c>
      <c r="H230" s="29" t="s">
        <v>2373</v>
      </c>
      <c r="I230" s="29" t="s">
        <v>2374</v>
      </c>
      <c r="J230" s="29" t="s">
        <v>1069</v>
      </c>
      <c r="L230" s="29" t="s">
        <v>67</v>
      </c>
      <c r="M230" s="29" t="s">
        <v>1183</v>
      </c>
      <c r="N230" s="33">
        <v>46447.0</v>
      </c>
      <c r="O230" s="31" t="s">
        <v>2375</v>
      </c>
      <c r="P230" s="32" t="str">
        <f>HYPERLINK("https://api.typeform.com/responses/files/6be9a1641a72d05dd8ece9e42c9e5c8f89beb9ba535a2041968926de36bf9a9a/Cổng_thông_tin_sinh_viên.pdf")</f>
        <v>https://api.typeform.com/responses/files/6be9a1641a72d05dd8ece9e42c9e5c8f89beb9ba535a2041968926de36bf9a9a/Cổng_thông_tin_sinh_viên.pdf</v>
      </c>
      <c r="Q230" s="29" t="b">
        <v>1</v>
      </c>
      <c r="R230" s="29" t="s">
        <v>2376</v>
      </c>
      <c r="S230" s="29" t="s">
        <v>2377</v>
      </c>
      <c r="T230" s="29" t="s">
        <v>72</v>
      </c>
      <c r="U230" s="29" t="s">
        <v>72</v>
      </c>
      <c r="V230" s="29" t="s">
        <v>236</v>
      </c>
      <c r="X230" s="29" t="s">
        <v>2378</v>
      </c>
      <c r="Y230" s="34">
        <v>46137.57237268519</v>
      </c>
      <c r="Z230" s="29" t="s">
        <v>2379</v>
      </c>
      <c r="AA230" s="6">
        <v>2.0</v>
      </c>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row>
    <row r="231" ht="22.5" hidden="1" customHeight="1">
      <c r="A231" s="29" t="s">
        <v>2380</v>
      </c>
      <c r="B231" s="30">
        <v>38632.0</v>
      </c>
      <c r="C231" s="29" t="s">
        <v>2381</v>
      </c>
      <c r="D231" s="31" t="s">
        <v>2382</v>
      </c>
      <c r="E231" s="29" t="s">
        <v>61</v>
      </c>
      <c r="F231" s="29" t="s">
        <v>99</v>
      </c>
      <c r="G231" s="32" t="str">
        <f>HYPERLINK("https://api.typeform.com/responses/files/c9a83abbc4e5be1b2d6a1147068d5cad6cfa458f92c37e7c0fe2111751bc3308/CV___Unity_Development_Intern___Lê_Công_Tuấn.pdf")</f>
        <v>https://api.typeform.com/responses/files/c9a83abbc4e5be1b2d6a1147068d5cad6cfa458f92c37e7c0fe2111751bc3308/CV___Unity_Development_Intern___Lê_Công_Tuấn.pdf</v>
      </c>
      <c r="H231" s="29" t="s">
        <v>2383</v>
      </c>
      <c r="I231" s="29" t="s">
        <v>2384</v>
      </c>
      <c r="J231" s="29" t="s">
        <v>326</v>
      </c>
      <c r="L231" s="29" t="s">
        <v>219</v>
      </c>
      <c r="M231" s="29" t="s">
        <v>2385</v>
      </c>
      <c r="N231" s="33">
        <v>46583.0</v>
      </c>
      <c r="O231" s="31" t="s">
        <v>2386</v>
      </c>
      <c r="P231" s="32" t="str">
        <f>HYPERLINK("https://api.typeform.com/responses/files/c26d01a5171c1a4094d54d30dad638deec63028546e24930aa44a07f72d3cbde/Transcript___Unity_Development_Intern___Lê_Công_Tuấn.pdf")</f>
        <v>https://api.typeform.com/responses/files/c26d01a5171c1a4094d54d30dad638deec63028546e24930aa44a07f72d3cbde/Transcript___Unity_Development_Intern___Lê_Công_Tuấn.pdf</v>
      </c>
      <c r="Q231" s="29" t="b">
        <v>1</v>
      </c>
      <c r="R231" s="29" t="s">
        <v>2387</v>
      </c>
      <c r="S231" s="29" t="s">
        <v>2388</v>
      </c>
      <c r="T231" s="29" t="s">
        <v>72</v>
      </c>
      <c r="U231" s="29" t="s">
        <v>72</v>
      </c>
      <c r="V231" s="29" t="s">
        <v>2389</v>
      </c>
      <c r="Y231" s="34">
        <v>46137.64020833333</v>
      </c>
      <c r="Z231" s="29" t="s">
        <v>2390</v>
      </c>
      <c r="AA231" s="6">
        <v>2.0</v>
      </c>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row>
    <row r="232" ht="22.5" hidden="1" customHeight="1">
      <c r="A232" s="29" t="s">
        <v>2391</v>
      </c>
      <c r="B232" s="30">
        <v>38643.0</v>
      </c>
      <c r="C232" s="29" t="s">
        <v>2392</v>
      </c>
      <c r="D232" s="31" t="s">
        <v>2393</v>
      </c>
      <c r="E232" s="29" t="s">
        <v>633</v>
      </c>
      <c r="G232" s="32" t="str">
        <f>HYPERLINK("https://api.typeform.com/responses/files/22118bf1b12d3163d0c3018c948cbaad9fbb1c697f6739c53102b4c352afdd07/CV___Human_Resources_Intern___Nguyễn_Vy_Thảo.pdf")</f>
        <v>https://api.typeform.com/responses/files/22118bf1b12d3163d0c3018c948cbaad9fbb1c697f6739c53102b4c352afdd07/CV___Human_Resources_Intern___Nguyễn_Vy_Thảo.pdf</v>
      </c>
      <c r="H232" s="29" t="s">
        <v>2394</v>
      </c>
      <c r="I232" s="29" t="s">
        <v>2395</v>
      </c>
      <c r="J232" s="29" t="s">
        <v>842</v>
      </c>
      <c r="L232" s="29" t="s">
        <v>219</v>
      </c>
      <c r="M232" s="29" t="s">
        <v>2396</v>
      </c>
      <c r="N232" s="33">
        <v>46447.0</v>
      </c>
      <c r="O232" s="31" t="s">
        <v>2397</v>
      </c>
      <c r="P232" s="32" t="str">
        <f>HYPERLINK("https://api.typeform.com/responses/files/0bafccbd9fc7414bf400d0911e62921b956ace8fdc522592b6c4a077189b6974/Transcript__Human_Resources_Intern___Nguyễn_Vy_Thảo.pdf")</f>
        <v>https://api.typeform.com/responses/files/0bafccbd9fc7414bf400d0911e62921b956ace8fdc522592b6c4a077189b6974/Transcript__Human_Resources_Intern___Nguyễn_Vy_Thảo.pdf</v>
      </c>
      <c r="Q232" s="29" t="b">
        <v>1</v>
      </c>
      <c r="R232" s="29" t="s">
        <v>2398</v>
      </c>
      <c r="S232" s="29" t="s">
        <v>318</v>
      </c>
      <c r="T232" s="29" t="s">
        <v>72</v>
      </c>
      <c r="U232" s="29" t="s">
        <v>72</v>
      </c>
      <c r="V232" s="29" t="s">
        <v>73</v>
      </c>
      <c r="Y232" s="34">
        <v>46137.656319444446</v>
      </c>
      <c r="Z232" s="29" t="s">
        <v>2399</v>
      </c>
      <c r="AA232" s="6">
        <v>2.0</v>
      </c>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row>
    <row r="233" ht="22.5" hidden="1" customHeight="1">
      <c r="A233" s="29" t="s">
        <v>2400</v>
      </c>
      <c r="B233" s="30">
        <v>36080.0</v>
      </c>
      <c r="C233" s="29" t="s">
        <v>2401</v>
      </c>
      <c r="D233" s="31" t="s">
        <v>2402</v>
      </c>
      <c r="E233" s="29" t="s">
        <v>127</v>
      </c>
      <c r="F233" s="29" t="s">
        <v>99</v>
      </c>
      <c r="G233" s="32" t="str">
        <f>HYPERLINK("https://api.typeform.com/responses/files/f16c5c6b277399f3d8fc4d9ef4b6b2d4ff2476b98c7201a801d9953cfe01e8a9/CV_IT.pdf")</f>
        <v>https://api.typeform.com/responses/files/f16c5c6b277399f3d8fc4d9ef4b6b2d4ff2476b98c7201a801d9953cfe01e8a9/CV_IT.pdf</v>
      </c>
      <c r="H233" s="29" t="s">
        <v>2403</v>
      </c>
      <c r="I233" s="29" t="s">
        <v>2404</v>
      </c>
      <c r="J233" s="29" t="s">
        <v>326</v>
      </c>
      <c r="L233" s="29" t="s">
        <v>169</v>
      </c>
      <c r="M233" s="29" t="s">
        <v>132</v>
      </c>
      <c r="N233" s="33">
        <v>46692.0</v>
      </c>
      <c r="O233" s="31" t="s">
        <v>317</v>
      </c>
      <c r="P233" s="32" t="str">
        <f>HYPERLINK("https://api.typeform.com/responses/files/31ca3eb24336e3e79e5f71b1e5ed57eefd261c6f1bed067dfbc255c45c092689/Transcript___Game_Quality_Assurance_Intern___Lê_Minh_Chiến.jpg")</f>
        <v>https://api.typeform.com/responses/files/31ca3eb24336e3e79e5f71b1e5ed57eefd261c6f1bed067dfbc255c45c092689/Transcript___Game_Quality_Assurance_Intern___Lê_Minh_Chiến.jpg</v>
      </c>
      <c r="Q233" s="29" t="b">
        <v>0</v>
      </c>
      <c r="R233" s="29" t="s">
        <v>2405</v>
      </c>
      <c r="S233" s="29" t="s">
        <v>2406</v>
      </c>
      <c r="T233" s="29" t="s">
        <v>72</v>
      </c>
      <c r="U233" s="29" t="s">
        <v>72</v>
      </c>
      <c r="V233" s="29" t="s">
        <v>2389</v>
      </c>
      <c r="X233" s="29" t="s">
        <v>2407</v>
      </c>
      <c r="Y233" s="34">
        <v>46137.66002314815</v>
      </c>
      <c r="Z233" s="29" t="s">
        <v>2408</v>
      </c>
      <c r="AA233" s="6">
        <v>2.0</v>
      </c>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row>
    <row r="234" ht="22.5" hidden="1" customHeight="1">
      <c r="A234" s="29" t="s">
        <v>2409</v>
      </c>
      <c r="B234" s="30">
        <v>38123.0</v>
      </c>
      <c r="C234" s="29" t="s">
        <v>2410</v>
      </c>
      <c r="D234" s="31" t="s">
        <v>2411</v>
      </c>
      <c r="E234" s="29" t="s">
        <v>127</v>
      </c>
      <c r="F234" s="29" t="s">
        <v>82</v>
      </c>
      <c r="G234" s="32" t="str">
        <f>HYPERLINK("https://api.typeform.com/responses/files/fb9eaee8d8f3a7dd135e45ab694d23c4bb2313f2f7d9ca4b8a980d354ad152b8/NguyThanhDat_CV_Tester.pdf")</f>
        <v>https://api.typeform.com/responses/files/fb9eaee8d8f3a7dd135e45ab694d23c4bb2313f2f7d9ca4b8a980d354ad152b8/NguyThanhDat_CV_Tester.pdf</v>
      </c>
      <c r="H234" s="29" t="s">
        <v>2412</v>
      </c>
      <c r="I234" s="29" t="s">
        <v>2413</v>
      </c>
      <c r="J234" s="29" t="s">
        <v>326</v>
      </c>
      <c r="L234" s="29" t="s">
        <v>67</v>
      </c>
      <c r="M234" s="29" t="s">
        <v>132</v>
      </c>
      <c r="N234" s="33">
        <v>46328.0</v>
      </c>
      <c r="O234" s="31" t="s">
        <v>1132</v>
      </c>
      <c r="P234" s="32" t="str">
        <f>HYPERLINK("https://api.typeform.com/responses/files/f3ad80031664f70fbd69bb11a55406dcad1b5107b5670e6e2fe0bce7ca5d2576/Transcript___Quality_Assurance_Intern___Ngụy_Thành_Đạt.pdf")</f>
        <v>https://api.typeform.com/responses/files/f3ad80031664f70fbd69bb11a55406dcad1b5107b5670e6e2fe0bce7ca5d2576/Transcript___Quality_Assurance_Intern___Ngụy_Thành_Đạt.pdf</v>
      </c>
      <c r="Q234" s="29" t="b">
        <v>0</v>
      </c>
      <c r="R234" s="29" t="s">
        <v>268</v>
      </c>
      <c r="S234" s="29" t="s">
        <v>2414</v>
      </c>
      <c r="T234" s="29" t="s">
        <v>72</v>
      </c>
      <c r="U234" s="29" t="s">
        <v>72</v>
      </c>
      <c r="V234" s="29" t="s">
        <v>269</v>
      </c>
      <c r="X234" s="29" t="s">
        <v>2415</v>
      </c>
      <c r="Y234" s="34">
        <v>46137.6772337963</v>
      </c>
      <c r="Z234" s="29" t="s">
        <v>2416</v>
      </c>
      <c r="AA234" s="6">
        <v>2.0</v>
      </c>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row>
    <row r="235" ht="22.5" hidden="1" customHeight="1">
      <c r="A235" s="29" t="s">
        <v>2417</v>
      </c>
      <c r="B235" s="30">
        <v>38169.0</v>
      </c>
      <c r="C235" s="29" t="s">
        <v>2418</v>
      </c>
      <c r="D235" s="31" t="s">
        <v>2419</v>
      </c>
      <c r="E235" s="29" t="s">
        <v>61</v>
      </c>
      <c r="F235" s="29" t="s">
        <v>61</v>
      </c>
      <c r="G235" s="32" t="str">
        <f>HYPERLINK("https://api.typeform.com/responses/files/2a72add1e00ea0a993249cf6cfb00292d381ad4f7835381fd70f4e105c5c72f8/CV___Unity_Developer_Intern___Nguyen_Phi_Long")</f>
        <v>https://api.typeform.com/responses/files/2a72add1e00ea0a993249cf6cfb00292d381ad4f7835381fd70f4e105c5c72f8/CV___Unity_Developer_Intern___Nguyen_Phi_Long</v>
      </c>
      <c r="H235" s="29" t="s">
        <v>2420</v>
      </c>
      <c r="I235" s="29" t="s">
        <v>2421</v>
      </c>
      <c r="J235" s="29" t="s">
        <v>65</v>
      </c>
      <c r="K235" s="29" t="s">
        <v>102</v>
      </c>
      <c r="L235" s="29" t="s">
        <v>67</v>
      </c>
      <c r="M235" s="29" t="s">
        <v>104</v>
      </c>
      <c r="N235" s="33">
        <v>46174.0</v>
      </c>
      <c r="O235" s="31" t="s">
        <v>663</v>
      </c>
      <c r="P235" s="32" t="str">
        <f>HYPERLINK("https://api.typeform.com/responses/files/113f3ed0f567ccf5aed589a138e7ef77b597ca856068c6ed414e9c159391194f/Transcript___Unity_Developer_Intern___Nguyen_Phi_Long")</f>
        <v>https://api.typeform.com/responses/files/113f3ed0f567ccf5aed589a138e7ef77b597ca856068c6ed414e9c159391194f/Transcript___Unity_Developer_Intern___Nguyen_Phi_Long</v>
      </c>
      <c r="Q235" s="29" t="b">
        <v>1</v>
      </c>
      <c r="R235" s="29" t="s">
        <v>2422</v>
      </c>
      <c r="S235" s="29" t="s">
        <v>2423</v>
      </c>
      <c r="T235" s="29" t="s">
        <v>72</v>
      </c>
      <c r="U235" s="29" t="s">
        <v>72</v>
      </c>
      <c r="V235" s="29" t="s">
        <v>2424</v>
      </c>
      <c r="W235" s="29" t="s">
        <v>2425</v>
      </c>
      <c r="Y235" s="34">
        <v>46137.74180555555</v>
      </c>
      <c r="Z235" s="29" t="s">
        <v>2426</v>
      </c>
      <c r="AA235" s="6">
        <v>2.0</v>
      </c>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row>
    <row r="236" ht="22.5" hidden="1" customHeight="1">
      <c r="A236" s="29" t="s">
        <v>2427</v>
      </c>
      <c r="B236" s="30">
        <v>38583.0</v>
      </c>
      <c r="C236" s="29" t="s">
        <v>2428</v>
      </c>
      <c r="D236" s="31" t="s">
        <v>2429</v>
      </c>
      <c r="E236" s="29" t="s">
        <v>61</v>
      </c>
      <c r="F236" s="29" t="s">
        <v>99</v>
      </c>
      <c r="G236" s="32" t="str">
        <f>HYPERLINK("https://api.typeform.com/responses/files/e3f1a89f4965ca2cae7ed9c88c44df2986febfdf5988acd60244306923b31a4e/CV___Unity_Developer_Intern___Lê_Nguyễn_Nhật_Trường.pdf")</f>
        <v>https://api.typeform.com/responses/files/e3f1a89f4965ca2cae7ed9c88c44df2986febfdf5988acd60244306923b31a4e/CV___Unity_Developer_Intern___Lê_Nguyễn_Nhật_Trường.pdf</v>
      </c>
      <c r="H236" s="29" t="s">
        <v>2430</v>
      </c>
      <c r="I236" s="29" t="s">
        <v>2431</v>
      </c>
      <c r="J236" s="29" t="s">
        <v>326</v>
      </c>
      <c r="L236" s="29" t="s">
        <v>219</v>
      </c>
      <c r="M236" s="29" t="s">
        <v>104</v>
      </c>
      <c r="N236" s="33">
        <v>46660.0</v>
      </c>
      <c r="O236" s="31" t="s">
        <v>2432</v>
      </c>
      <c r="P236" s="32" t="str">
        <f>HYPERLINK("https://api.typeform.com/responses/files/eb36b46cf444c77c326bdff52d056ac23e5d5aaaf3d266d300cac817c1489ea5/Transcript___Unity_Developer_Intern___Lê_Nguyễn_Nhật_Trường.png")</f>
        <v>https://api.typeform.com/responses/files/eb36b46cf444c77c326bdff52d056ac23e5d5aaaf3d266d300cac817c1489ea5/Transcript___Unity_Developer_Intern___Lê_Nguyễn_Nhật_Trường.png</v>
      </c>
      <c r="Q236" s="29" t="b">
        <v>1</v>
      </c>
      <c r="R236" s="29" t="s">
        <v>2433</v>
      </c>
      <c r="S236" s="29" t="s">
        <v>2434</v>
      </c>
      <c r="T236" s="29" t="s">
        <v>72</v>
      </c>
      <c r="U236" s="29" t="s">
        <v>72</v>
      </c>
      <c r="V236" s="29" t="s">
        <v>90</v>
      </c>
      <c r="X236" s="29" t="s">
        <v>2435</v>
      </c>
      <c r="Y236" s="34">
        <v>46137.75386574074</v>
      </c>
      <c r="Z236" s="29" t="s">
        <v>2436</v>
      </c>
      <c r="AA236" s="6">
        <v>2.0</v>
      </c>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row>
    <row r="237" ht="22.5" hidden="1" customHeight="1">
      <c r="A237" s="29" t="s">
        <v>2437</v>
      </c>
      <c r="B237" s="30">
        <v>38482.0</v>
      </c>
      <c r="C237" s="29" t="s">
        <v>2438</v>
      </c>
      <c r="D237" s="31" t="s">
        <v>2439</v>
      </c>
      <c r="E237" s="29" t="s">
        <v>99</v>
      </c>
      <c r="F237" s="29" t="s">
        <v>61</v>
      </c>
      <c r="G237" s="32" t="str">
        <f>HYPERLINK("https://api.typeform.com/responses/files/189fd0bcb6db50cd7511926601665cbe3572b046e4791afe3bbd6a288bd77db6/CV___Game_Design_Intern___Hoàng_Hữu_Nhân.pdf")</f>
        <v>https://api.typeform.com/responses/files/189fd0bcb6db50cd7511926601665cbe3572b046e4791afe3bbd6a288bd77db6/CV___Game_Design_Intern___Hoàng_Hữu_Nhân.pdf</v>
      </c>
      <c r="H237" s="29" t="s">
        <v>2440</v>
      </c>
      <c r="I237" s="29" t="s">
        <v>2441</v>
      </c>
      <c r="J237" s="29" t="s">
        <v>715</v>
      </c>
      <c r="L237" s="29" t="s">
        <v>219</v>
      </c>
      <c r="M237" s="29" t="s">
        <v>1830</v>
      </c>
      <c r="N237" s="33">
        <v>46716.0</v>
      </c>
      <c r="O237" s="31" t="s">
        <v>1230</v>
      </c>
      <c r="P237" s="32" t="str">
        <f>HYPERLINK("https://api.typeform.com/responses/files/73846813c6c83191fe6bd55a329961eb0ef119b4d53b8786a1bc20c6bdd7ed9f/Transcript___Game_Design_Intern___Hoàng_Hữu_Nhân.pdf")</f>
        <v>https://api.typeform.com/responses/files/73846813c6c83191fe6bd55a329961eb0ef119b4d53b8786a1bc20c6bdd7ed9f/Transcript___Game_Design_Intern___Hoàng_Hữu_Nhân.pdf</v>
      </c>
      <c r="Q237" s="29" t="b">
        <v>0</v>
      </c>
      <c r="R237" s="29" t="s">
        <v>2442</v>
      </c>
      <c r="S237" s="29" t="s">
        <v>2443</v>
      </c>
      <c r="T237" s="29" t="s">
        <v>72</v>
      </c>
      <c r="U237" s="29" t="s">
        <v>72</v>
      </c>
      <c r="V237" s="29" t="s">
        <v>73</v>
      </c>
      <c r="X237" s="29" t="s">
        <v>2444</v>
      </c>
      <c r="Y237" s="34">
        <v>46137.76224537037</v>
      </c>
      <c r="Z237" s="29" t="s">
        <v>2445</v>
      </c>
      <c r="AA237" s="6">
        <v>2.0</v>
      </c>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row>
    <row r="238" ht="22.5" hidden="1" customHeight="1">
      <c r="A238" s="29" t="s">
        <v>2446</v>
      </c>
      <c r="B238" s="30">
        <v>38357.0</v>
      </c>
      <c r="C238" s="29" t="s">
        <v>2447</v>
      </c>
      <c r="D238" s="31" t="s">
        <v>2448</v>
      </c>
      <c r="E238" s="29" t="s">
        <v>61</v>
      </c>
      <c r="F238" s="29" t="s">
        <v>82</v>
      </c>
      <c r="G238" s="32" t="str">
        <f>HYPERLINK("https://api.typeform.com/responses/files/52c68ec8be38cd62f7bcf84bdea68c516ff993f55954b7ad4b74368fc7fca156/CV___Unity_Development_Intern___Trần_Khánh_An.pdf")</f>
        <v>https://api.typeform.com/responses/files/52c68ec8be38cd62f7bcf84bdea68c516ff993f55954b7ad4b74368fc7fca156/CV___Unity_Development_Intern___Trần_Khánh_An.pdf</v>
      </c>
      <c r="H238" s="29" t="s">
        <v>2449</v>
      </c>
      <c r="I238" s="29" t="s">
        <v>2450</v>
      </c>
      <c r="J238" s="29" t="s">
        <v>715</v>
      </c>
      <c r="L238" s="29" t="s">
        <v>219</v>
      </c>
      <c r="M238" s="29" t="s">
        <v>399</v>
      </c>
      <c r="N238" s="33">
        <v>46718.0</v>
      </c>
      <c r="O238" s="31" t="s">
        <v>2451</v>
      </c>
      <c r="P238" s="32" t="str">
        <f>HYPERLINK("https://api.typeform.com/responses/files/4004659545817475238cc8feda509f2f4f58d74bf397d328969d76ec484e43f0/Transcript___Unity_Development_Intern___Trần_Khánh_An.pdf")</f>
        <v>https://api.typeform.com/responses/files/4004659545817475238cc8feda509f2f4f58d74bf397d328969d76ec484e43f0/Transcript___Unity_Development_Intern___Trần_Khánh_An.pdf</v>
      </c>
      <c r="Q238" s="29" t="b">
        <v>0</v>
      </c>
      <c r="R238" s="29" t="s">
        <v>2452</v>
      </c>
      <c r="S238" s="29" t="s">
        <v>2453</v>
      </c>
      <c r="T238" s="29" t="s">
        <v>72</v>
      </c>
      <c r="U238" s="29" t="s">
        <v>72</v>
      </c>
      <c r="V238" s="29" t="s">
        <v>2389</v>
      </c>
      <c r="X238" s="29" t="s">
        <v>2454</v>
      </c>
      <c r="Y238" s="34">
        <v>46137.78055555555</v>
      </c>
      <c r="Z238" s="29" t="s">
        <v>2455</v>
      </c>
      <c r="AA238" s="6">
        <v>2.0</v>
      </c>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row>
    <row r="239" ht="22.5" hidden="1" customHeight="1">
      <c r="A239" s="29" t="s">
        <v>2456</v>
      </c>
      <c r="B239" s="30">
        <v>38709.0</v>
      </c>
      <c r="C239" s="29" t="s">
        <v>2457</v>
      </c>
      <c r="D239" s="31" t="s">
        <v>2458</v>
      </c>
      <c r="E239" s="29" t="s">
        <v>99</v>
      </c>
      <c r="F239" s="29" t="s">
        <v>61</v>
      </c>
      <c r="G239" s="32" t="str">
        <f>HYPERLINK("https://api.typeform.com/responses/files/a26369c808a556bd4bf96a84d4eee6becedf6be00b0c210df5984714b2473790/CV___Game_Design_Intern___Trần_Tiến_Cường.pdf")</f>
        <v>https://api.typeform.com/responses/files/a26369c808a556bd4bf96a84d4eee6becedf6be00b0c210df5984714b2473790/CV___Game_Design_Intern___Trần_Tiến_Cường.pdf</v>
      </c>
      <c r="H239" s="29" t="s">
        <v>2459</v>
      </c>
      <c r="I239" s="29" t="s">
        <v>2460</v>
      </c>
      <c r="J239" s="29" t="s">
        <v>326</v>
      </c>
      <c r="L239" s="29" t="s">
        <v>219</v>
      </c>
      <c r="M239" s="29" t="s">
        <v>86</v>
      </c>
      <c r="N239" s="33">
        <v>46539.0</v>
      </c>
      <c r="O239" s="31" t="s">
        <v>2461</v>
      </c>
      <c r="P239" s="32" t="str">
        <f>HYPERLINK("https://api.typeform.com/responses/files/1293d8574505ef8f7037ba11bb16520bbaf14d30dbd684bbec29810801f15b08/Transcript___Game_Design_Intern___Trần_Tiến_Cường.pdf")</f>
        <v>https://api.typeform.com/responses/files/1293d8574505ef8f7037ba11bb16520bbaf14d30dbd684bbec29810801f15b08/Transcript___Game_Design_Intern___Trần_Tiến_Cường.pdf</v>
      </c>
      <c r="Q239" s="29" t="b">
        <v>1</v>
      </c>
      <c r="R239" s="29" t="s">
        <v>2462</v>
      </c>
      <c r="S239" s="29" t="s">
        <v>2463</v>
      </c>
      <c r="T239" s="29" t="s">
        <v>72</v>
      </c>
      <c r="U239" s="29" t="s">
        <v>72</v>
      </c>
      <c r="V239" s="29" t="s">
        <v>2389</v>
      </c>
      <c r="X239" s="29" t="s">
        <v>2464</v>
      </c>
      <c r="Y239" s="34">
        <v>46137.79474537037</v>
      </c>
      <c r="Z239" s="29" t="s">
        <v>2465</v>
      </c>
      <c r="AA239" s="6">
        <v>2.0</v>
      </c>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row>
    <row r="240" ht="22.5" hidden="1" customHeight="1">
      <c r="A240" s="29" t="s">
        <v>2466</v>
      </c>
      <c r="B240" s="30">
        <v>38533.0</v>
      </c>
      <c r="C240" s="29" t="s">
        <v>2467</v>
      </c>
      <c r="D240" s="31" t="s">
        <v>2468</v>
      </c>
      <c r="E240" s="29" t="s">
        <v>99</v>
      </c>
      <c r="F240" s="29" t="s">
        <v>61</v>
      </c>
      <c r="G240" s="32" t="str">
        <f>HYPERLINK("https://api.typeform.com/responses/files/083140d9954080659f330e9804ec412b89412c2289ae22a67b1a6c3dbe4616b2/CV___Game_Design_Intern___Võ_Anh_Khải.pdf")</f>
        <v>https://api.typeform.com/responses/files/083140d9954080659f330e9804ec412b89412c2289ae22a67b1a6c3dbe4616b2/CV___Game_Design_Intern___Võ_Anh_Khải.pdf</v>
      </c>
      <c r="H240" s="29" t="s">
        <v>2469</v>
      </c>
      <c r="I240" s="29" t="s">
        <v>2470</v>
      </c>
      <c r="J240" s="29" t="s">
        <v>468</v>
      </c>
      <c r="L240" s="29" t="s">
        <v>219</v>
      </c>
      <c r="M240" s="29" t="s">
        <v>132</v>
      </c>
      <c r="N240" s="33">
        <v>46478.0</v>
      </c>
      <c r="O240" s="29" t="s">
        <v>2471</v>
      </c>
      <c r="P240" s="32" t="str">
        <f>HYPERLINK("https://api.typeform.com/responses/files/aab8bddceef1687ec09fe80dca9c4733e173702e3f4979a3791836116d1af7cb/Transcript___Game_Design_Intern___Võ_Anh_Khải.zip")</f>
        <v>https://api.typeform.com/responses/files/aab8bddceef1687ec09fe80dca9c4733e173702e3f4979a3791836116d1af7cb/Transcript___Game_Design_Intern___Võ_Anh_Khải.zip</v>
      </c>
      <c r="Q240" s="29" t="b">
        <v>0</v>
      </c>
      <c r="R240" s="29" t="s">
        <v>375</v>
      </c>
      <c r="S240" s="29" t="s">
        <v>2472</v>
      </c>
      <c r="T240" s="29" t="s">
        <v>72</v>
      </c>
      <c r="U240" s="29" t="s">
        <v>72</v>
      </c>
      <c r="V240" s="29" t="s">
        <v>188</v>
      </c>
      <c r="Y240" s="34">
        <v>46138.168229166666</v>
      </c>
      <c r="Z240" s="29" t="s">
        <v>2473</v>
      </c>
      <c r="AA240" s="6">
        <v>2.0</v>
      </c>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row>
    <row r="241" ht="22.5" hidden="1" customHeight="1">
      <c r="A241" s="29" t="s">
        <v>2474</v>
      </c>
      <c r="B241" s="30">
        <v>37603.0</v>
      </c>
      <c r="C241" s="29" t="s">
        <v>2475</v>
      </c>
      <c r="D241" s="31" t="s">
        <v>2476</v>
      </c>
      <c r="E241" s="29" t="s">
        <v>61</v>
      </c>
      <c r="F241" s="29" t="s">
        <v>99</v>
      </c>
      <c r="G241" s="32" t="str">
        <f>HYPERLINK("https://api.typeform.com/responses/files/5213fdb460af39f703b9ba43ed43a3691a2c1a37b7cd097ec2dc8f0de8d4b924/CV___Unity_Development_Intern___Trần_Tấn_Vạn.pdf")</f>
        <v>https://api.typeform.com/responses/files/5213fdb460af39f703b9ba43ed43a3691a2c1a37b7cd097ec2dc8f0de8d4b924/CV___Unity_Development_Intern___Trần_Tấn_Vạn.pdf</v>
      </c>
      <c r="H241" s="29" t="s">
        <v>2477</v>
      </c>
      <c r="I241" s="29" t="s">
        <v>2478</v>
      </c>
      <c r="J241" s="29" t="s">
        <v>65</v>
      </c>
      <c r="K241" s="29" t="s">
        <v>2479</v>
      </c>
      <c r="L241" s="29" t="s">
        <v>103</v>
      </c>
      <c r="M241" s="29" t="s">
        <v>624</v>
      </c>
      <c r="N241" s="33">
        <v>45976.0</v>
      </c>
      <c r="O241" s="31" t="s">
        <v>2480</v>
      </c>
      <c r="P241" s="32" t="str">
        <f>HYPERLINK("https://api.typeform.com/responses/files/3641bb2b1361e3acd3c3cb14441bd93708a4ac2ce04ac154189e6bbc81ff8b2a/Transcript___Unity_Development_Intern___Trần_Tấn_Vạn.pdf")</f>
        <v>https://api.typeform.com/responses/files/3641bb2b1361e3acd3c3cb14441bd93708a4ac2ce04ac154189e6bbc81ff8b2a/Transcript___Unity_Development_Intern___Trần_Tấn_Vạn.pdf</v>
      </c>
      <c r="Q241" s="29" t="b">
        <v>1</v>
      </c>
      <c r="R241" s="29" t="s">
        <v>2481</v>
      </c>
      <c r="S241" s="29" t="s">
        <v>2482</v>
      </c>
      <c r="T241" s="29" t="s">
        <v>72</v>
      </c>
      <c r="U241" s="29" t="s">
        <v>72</v>
      </c>
      <c r="V241" s="29" t="s">
        <v>90</v>
      </c>
      <c r="X241" s="29" t="s">
        <v>2483</v>
      </c>
      <c r="Y241" s="34">
        <v>46138.28826388889</v>
      </c>
      <c r="Z241" s="29" t="s">
        <v>2484</v>
      </c>
      <c r="AA241" s="6">
        <v>2.0</v>
      </c>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row>
    <row r="242" ht="22.5" hidden="1" customHeight="1">
      <c r="A242" s="29" t="s">
        <v>2485</v>
      </c>
      <c r="B242" s="30">
        <v>38230.0</v>
      </c>
      <c r="C242" s="29" t="s">
        <v>2486</v>
      </c>
      <c r="D242" s="31" t="s">
        <v>2487</v>
      </c>
      <c r="E242" s="29" t="s">
        <v>62</v>
      </c>
      <c r="F242" s="29" t="s">
        <v>82</v>
      </c>
      <c r="G242" s="32" t="str">
        <f>HYPERLINK("https://api.typeform.com/responses/files/3c7c11e92b5df2357cdae867f6469a6e2aabaa06c8c59f714c0210e5d9511ad2/CV_AI_Engineer_Intern_TranGiaHy.pdf")</f>
        <v>https://api.typeform.com/responses/files/3c7c11e92b5df2357cdae867f6469a6e2aabaa06c8c59f714c0210e5d9511ad2/CV_AI_Engineer_Intern_TranGiaHy.pdf</v>
      </c>
      <c r="H242" s="29" t="s">
        <v>2488</v>
      </c>
      <c r="I242" s="29" t="s">
        <v>2489</v>
      </c>
      <c r="J242" s="29" t="s">
        <v>65</v>
      </c>
      <c r="K242" s="29" t="s">
        <v>2490</v>
      </c>
      <c r="L242" s="29" t="s">
        <v>103</v>
      </c>
      <c r="M242" s="29" t="s">
        <v>2491</v>
      </c>
      <c r="N242" s="33">
        <v>46118.0</v>
      </c>
      <c r="O242" s="31" t="s">
        <v>2492</v>
      </c>
      <c r="P242" s="32" t="str">
        <f>HYPERLINK("https://api.typeform.com/responses/files/bb788f3bf50b366e0465dd44960796f637a34cf190603d4d467bed2a7653bd26/Transcript_AI_Engineer_Intern_TranGiaHy.pdf")</f>
        <v>https://api.typeform.com/responses/files/bb788f3bf50b366e0465dd44960796f637a34cf190603d4d467bed2a7653bd26/Transcript_AI_Engineer_Intern_TranGiaHy.pdf</v>
      </c>
      <c r="Q242" s="29" t="b">
        <v>1</v>
      </c>
      <c r="R242" s="29" t="s">
        <v>2493</v>
      </c>
      <c r="S242" s="29" t="s">
        <v>2494</v>
      </c>
      <c r="T242" s="29" t="s">
        <v>72</v>
      </c>
      <c r="U242" s="29" t="s">
        <v>72</v>
      </c>
      <c r="V242" s="29" t="s">
        <v>236</v>
      </c>
      <c r="X242" s="29" t="s">
        <v>2495</v>
      </c>
      <c r="Y242" s="34">
        <v>46138.29846064815</v>
      </c>
      <c r="Z242" s="29" t="s">
        <v>2496</v>
      </c>
      <c r="AA242" s="6">
        <v>2.0</v>
      </c>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row>
    <row r="243" ht="22.5" hidden="1" customHeight="1">
      <c r="A243" s="29" t="s">
        <v>2497</v>
      </c>
      <c r="B243" s="30">
        <v>38040.0</v>
      </c>
      <c r="C243" s="29" t="s">
        <v>2498</v>
      </c>
      <c r="D243" s="31" t="s">
        <v>2499</v>
      </c>
      <c r="E243" s="29" t="s">
        <v>99</v>
      </c>
      <c r="G243" s="32" t="str">
        <f>HYPERLINK("https://api.typeform.com/responses/files/4d4a97d2df444a5575d2900d633803c4f0711498a935869a099080786f4ba35c/CV___Game_Design_Intern___Nguyễn_Xuân_Duy.pdf")</f>
        <v>https://api.typeform.com/responses/files/4d4a97d2df444a5575d2900d633803c4f0711498a935869a099080786f4ba35c/CV___Game_Design_Intern___Nguyễn_Xuân_Duy.pdf</v>
      </c>
      <c r="H243" s="29" t="s">
        <v>2500</v>
      </c>
      <c r="I243" s="29" t="s">
        <v>2501</v>
      </c>
      <c r="J243" s="29" t="s">
        <v>65</v>
      </c>
      <c r="K243" s="8" t="s">
        <v>2502</v>
      </c>
      <c r="L243" s="29" t="s">
        <v>67</v>
      </c>
      <c r="M243" s="29" t="s">
        <v>581</v>
      </c>
      <c r="N243" s="33">
        <v>46273.0</v>
      </c>
      <c r="O243" s="31" t="s">
        <v>2503</v>
      </c>
      <c r="P243" s="32" t="str">
        <f>HYPERLINK("https://api.typeform.com/responses/files/c19c086381bec5756a13ebb791a0eb047e7dca8e0cea586ad855c8ce87ce3db6/Transcript___Game_Design_Intern___Nguyễn_Xuân_Duy.pdf")</f>
        <v>https://api.typeform.com/responses/files/c19c086381bec5756a13ebb791a0eb047e7dca8e0cea586ad855c8ce87ce3db6/Transcript___Game_Design_Intern___Nguyễn_Xuân_Duy.pdf</v>
      </c>
      <c r="Q243" s="29" t="b">
        <v>1</v>
      </c>
      <c r="R243" s="29" t="s">
        <v>2504</v>
      </c>
      <c r="S243" s="29" t="s">
        <v>2505</v>
      </c>
      <c r="T243" s="29" t="s">
        <v>72</v>
      </c>
      <c r="U243" s="29" t="s">
        <v>72</v>
      </c>
      <c r="V243" s="29" t="s">
        <v>236</v>
      </c>
      <c r="X243" s="29" t="s">
        <v>2506</v>
      </c>
      <c r="Y243" s="34">
        <v>46138.41420138889</v>
      </c>
      <c r="Z243" s="29" t="s">
        <v>2507</v>
      </c>
      <c r="AA243" s="6">
        <v>2.0</v>
      </c>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row>
    <row r="244" ht="22.5" hidden="1" customHeight="1">
      <c r="A244" s="29" t="s">
        <v>2508</v>
      </c>
      <c r="B244" s="30">
        <v>38199.0</v>
      </c>
      <c r="C244" s="29" t="s">
        <v>2509</v>
      </c>
      <c r="D244" s="31" t="s">
        <v>2510</v>
      </c>
      <c r="E244" s="29" t="s">
        <v>62</v>
      </c>
      <c r="F244" s="29" t="s">
        <v>127</v>
      </c>
      <c r="G244" s="32" t="str">
        <f>HYPERLINK("https://api.typeform.com/responses/files/188c9453c76d9e2d2e36e578bb23715065269138300e90536e37b9ea69ccf521/CV___AI_Engineering_Intern___Phạm_Nguyễn_Quang_Thoạ.pdf")</f>
        <v>https://api.typeform.com/responses/files/188c9453c76d9e2d2e36e578bb23715065269138300e90536e37b9ea69ccf521/CV___AI_Engineering_Intern___Phạm_Nguyễn_Quang_Thoạ.pdf</v>
      </c>
      <c r="H244" s="29" t="s">
        <v>2511</v>
      </c>
      <c r="I244" s="29" t="s">
        <v>2512</v>
      </c>
      <c r="J244" s="29" t="s">
        <v>326</v>
      </c>
      <c r="L244" s="29" t="s">
        <v>67</v>
      </c>
      <c r="M244" s="29" t="s">
        <v>399</v>
      </c>
      <c r="N244" s="33">
        <v>46203.0</v>
      </c>
      <c r="O244" s="31" t="s">
        <v>233</v>
      </c>
      <c r="P244" s="32" t="str">
        <f>HYPERLINK("https://api.typeform.com/responses/files/65aac48c32c9c6150d022d89763d50a5d972a85356ccb600682013b6a3b843a5/Transcript___AI_Engineering_Intern___Phạm_Nguyễn_Quang_Thoại.pdf")</f>
        <v>https://api.typeform.com/responses/files/65aac48c32c9c6150d022d89763d50a5d972a85356ccb600682013b6a3b843a5/Transcript___AI_Engineering_Intern___Phạm_Nguyễn_Quang_Thoại.pdf</v>
      </c>
      <c r="Q244" s="29" t="b">
        <v>0</v>
      </c>
      <c r="R244" s="29" t="s">
        <v>2513</v>
      </c>
      <c r="S244" s="29" t="s">
        <v>268</v>
      </c>
      <c r="T244" s="29" t="s">
        <v>72</v>
      </c>
      <c r="U244" s="29" t="s">
        <v>72</v>
      </c>
      <c r="V244" s="29" t="s">
        <v>2389</v>
      </c>
      <c r="X244" s="29" t="s">
        <v>2514</v>
      </c>
      <c r="Y244" s="34">
        <v>46138.42550925926</v>
      </c>
      <c r="Z244" s="29" t="s">
        <v>2515</v>
      </c>
      <c r="AA244" s="6">
        <v>2.0</v>
      </c>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row>
    <row r="245" ht="22.5" hidden="1" customHeight="1">
      <c r="A245" s="29" t="s">
        <v>2516</v>
      </c>
      <c r="B245" s="30">
        <v>38660.0</v>
      </c>
      <c r="C245" s="29" t="s">
        <v>2517</v>
      </c>
      <c r="D245" s="31" t="s">
        <v>2518</v>
      </c>
      <c r="E245" s="29" t="s">
        <v>99</v>
      </c>
      <c r="F245" s="29" t="s">
        <v>127</v>
      </c>
      <c r="G245" s="32" t="str">
        <f>HYPERLINK("https://api.typeform.com/responses/files/bc310a4ade9a8a6e849d0947cdb06243ff3bdaa0d2fa87b4323196f46ccad487/CV___Game_Design_Intern___Trần_Thị_Thanh_Vi.pdf")</f>
        <v>https://api.typeform.com/responses/files/bc310a4ade9a8a6e849d0947cdb06243ff3bdaa0d2fa87b4323196f46ccad487/CV___Game_Design_Intern___Trần_Thị_Thanh_Vi.pdf</v>
      </c>
      <c r="H245" s="29" t="s">
        <v>2519</v>
      </c>
      <c r="I245" s="29" t="s">
        <v>2520</v>
      </c>
      <c r="J245" s="29" t="s">
        <v>842</v>
      </c>
      <c r="L245" s="29" t="s">
        <v>219</v>
      </c>
      <c r="M245" s="29" t="s">
        <v>2521</v>
      </c>
      <c r="N245" s="33">
        <v>46483.0</v>
      </c>
      <c r="O245" s="31" t="s">
        <v>2522</v>
      </c>
      <c r="P245" s="32" t="str">
        <f>HYPERLINK("https://api.typeform.com/responses/files/cc729938d88ad95adc4885f7926a25b2fae36e16d71ffccdb7c8de83d5e4aa50/Transcript___Game_Design_Intern___Trần_Thị_Thanh_Vi.pdf")</f>
        <v>https://api.typeform.com/responses/files/cc729938d88ad95adc4885f7926a25b2fae36e16d71ffccdb7c8de83d5e4aa50/Transcript___Game_Design_Intern___Trần_Thị_Thanh_Vi.pdf</v>
      </c>
      <c r="Q245" s="29" t="b">
        <v>1</v>
      </c>
      <c r="R245" s="29" t="s">
        <v>2523</v>
      </c>
      <c r="S245" s="29" t="s">
        <v>2524</v>
      </c>
      <c r="T245" s="29" t="s">
        <v>72</v>
      </c>
      <c r="U245" s="29" t="s">
        <v>72</v>
      </c>
      <c r="V245" s="29" t="s">
        <v>2525</v>
      </c>
      <c r="W245" s="29" t="s">
        <v>2526</v>
      </c>
      <c r="X245" s="29" t="s">
        <v>2527</v>
      </c>
      <c r="Y245" s="34">
        <v>46138.5724537037</v>
      </c>
      <c r="Z245" s="29" t="s">
        <v>2528</v>
      </c>
      <c r="AA245" s="6">
        <v>2.0</v>
      </c>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row>
    <row r="246" ht="22.5" hidden="1" customHeight="1">
      <c r="A246" s="29" t="s">
        <v>2529</v>
      </c>
      <c r="B246" s="30">
        <v>37213.0</v>
      </c>
      <c r="C246" s="29" t="s">
        <v>2530</v>
      </c>
      <c r="D246" s="31" t="s">
        <v>2531</v>
      </c>
      <c r="E246" s="29" t="s">
        <v>99</v>
      </c>
      <c r="F246" s="29" t="s">
        <v>61</v>
      </c>
      <c r="G246" s="32" t="str">
        <f>HYPERLINK("https://api.typeform.com/responses/files/a180a95d9d219b315c044159366e43b0cfd3fd6c2351bcab95201dd91b44e6b3/CV___Game_Designer__TranNhatDuy.pdf")</f>
        <v>https://api.typeform.com/responses/files/a180a95d9d219b315c044159366e43b0cfd3fd6c2351bcab95201dd91b44e6b3/CV___Game_Designer__TranNhatDuy.pdf</v>
      </c>
      <c r="H246" s="29" t="s">
        <v>2532</v>
      </c>
      <c r="I246" s="29" t="s">
        <v>2533</v>
      </c>
      <c r="J246" s="29" t="s">
        <v>144</v>
      </c>
      <c r="L246" s="29" t="s">
        <v>103</v>
      </c>
      <c r="M246" s="29" t="s">
        <v>2534</v>
      </c>
      <c r="N246" s="33">
        <v>46048.0</v>
      </c>
      <c r="O246" s="31" t="s">
        <v>1679</v>
      </c>
      <c r="P246" s="32" t="str">
        <f>HYPERLINK("https://api.typeform.com/responses/files/42fc6a2d0fe2617a190b4d0fdd47f4266192fad0c2b26d4adc0c046b82db9c28/Transcript___Game_Designer___Tran_Nhat_Duy.pdf")</f>
        <v>https://api.typeform.com/responses/files/42fc6a2d0fe2617a190b4d0fdd47f4266192fad0c2b26d4adc0c046b82db9c28/Transcript___Game_Designer___Tran_Nhat_Duy.pdf</v>
      </c>
      <c r="Q246" s="29" t="b">
        <v>1</v>
      </c>
      <c r="R246" s="29" t="s">
        <v>2535</v>
      </c>
      <c r="S246" s="29" t="s">
        <v>2536</v>
      </c>
      <c r="T246" s="29" t="s">
        <v>72</v>
      </c>
      <c r="U246" s="29" t="s">
        <v>72</v>
      </c>
      <c r="V246" s="29" t="s">
        <v>90</v>
      </c>
      <c r="X246" s="29" t="s">
        <v>2537</v>
      </c>
      <c r="Y246" s="34">
        <v>46138.655590277776</v>
      </c>
      <c r="Z246" s="29" t="s">
        <v>2538</v>
      </c>
      <c r="AA246" s="6">
        <v>2.0</v>
      </c>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row>
    <row r="247" ht="22.5" hidden="1" customHeight="1">
      <c r="A247" s="29" t="s">
        <v>2539</v>
      </c>
      <c r="B247" s="30">
        <v>38951.0</v>
      </c>
      <c r="C247" s="29" t="s">
        <v>2540</v>
      </c>
      <c r="D247" s="31" t="s">
        <v>2541</v>
      </c>
      <c r="E247" s="29" t="s">
        <v>61</v>
      </c>
      <c r="F247" s="29" t="s">
        <v>99</v>
      </c>
      <c r="G247" s="32" t="str">
        <f>HYPERLINK("https://api.typeform.com/responses/files/17cf28b4d4a1a46fd0bc1a5b590712045838319e8192f1cfcb539e4016a69a56/Unity_Development_Intern___Trương_Gia_Hào.pdf")</f>
        <v>https://api.typeform.com/responses/files/17cf28b4d4a1a46fd0bc1a5b590712045838319e8192f1cfcb539e4016a69a56/Unity_Development_Intern___Trương_Gia_Hào.pdf</v>
      </c>
      <c r="H247" s="29" t="s">
        <v>2542</v>
      </c>
      <c r="I247" s="29" t="s">
        <v>2543</v>
      </c>
      <c r="J247" s="29" t="s">
        <v>1069</v>
      </c>
      <c r="L247" s="29" t="s">
        <v>169</v>
      </c>
      <c r="M247" s="29" t="s">
        <v>624</v>
      </c>
      <c r="N247" s="33">
        <v>47268.0</v>
      </c>
      <c r="O247" s="31" t="s">
        <v>2544</v>
      </c>
      <c r="P247" s="32" t="str">
        <f>HYPERLINK("https://api.typeform.com/responses/files/3875033f3d752ec437adb0257b1a41836878d649e511801629d55b21de707056/Unity_Development_Intern___Trương_Gia_Hào.pdf")</f>
        <v>https://api.typeform.com/responses/files/3875033f3d752ec437adb0257b1a41836878d649e511801629d55b21de707056/Unity_Development_Intern___Trương_Gia_Hào.pdf</v>
      </c>
      <c r="Q247" s="29" t="b">
        <v>0</v>
      </c>
      <c r="R247" s="29" t="s">
        <v>2545</v>
      </c>
      <c r="S247" s="29" t="s">
        <v>2545</v>
      </c>
      <c r="T247" s="29" t="s">
        <v>72</v>
      </c>
      <c r="U247" s="29" t="s">
        <v>72</v>
      </c>
      <c r="V247" s="29" t="s">
        <v>224</v>
      </c>
      <c r="X247" s="29" t="s">
        <v>2546</v>
      </c>
      <c r="Y247" s="34">
        <v>46138.661770833336</v>
      </c>
      <c r="Z247" s="29" t="s">
        <v>2547</v>
      </c>
      <c r="AA247" s="6">
        <v>2.0</v>
      </c>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row>
    <row r="248" ht="22.5" hidden="1" customHeight="1">
      <c r="A248" s="29" t="s">
        <v>2548</v>
      </c>
      <c r="B248" s="30">
        <v>38529.0</v>
      </c>
      <c r="C248" s="29" t="s">
        <v>2549</v>
      </c>
      <c r="D248" s="31" t="s">
        <v>2550</v>
      </c>
      <c r="E248" s="29" t="s">
        <v>61</v>
      </c>
      <c r="G248" s="32" t="str">
        <f>HYPERLINK("https://api.typeform.com/responses/files/51894bcece1f450ece2454ea0b57e60d1fe2be1a451044eb27fadd96ef6883d3/CV___Unity_Developer_Intern___Võ_Văn_Giang.pdf")</f>
        <v>https://api.typeform.com/responses/files/51894bcece1f450ece2454ea0b57e60d1fe2be1a451044eb27fadd96ef6883d3/CV___Unity_Developer_Intern___Võ_Văn_Giang.pdf</v>
      </c>
      <c r="H248" s="29" t="s">
        <v>2551</v>
      </c>
      <c r="I248" s="29" t="s">
        <v>2552</v>
      </c>
      <c r="J248" s="29" t="s">
        <v>144</v>
      </c>
      <c r="L248" s="29" t="s">
        <v>103</v>
      </c>
      <c r="M248" s="29" t="s">
        <v>2063</v>
      </c>
      <c r="N248" s="33">
        <v>45896.0</v>
      </c>
      <c r="O248" s="31" t="s">
        <v>2553</v>
      </c>
      <c r="P248" s="32" t="str">
        <f>HYPERLINK("https://api.typeform.com/responses/files/07f3273d694c19a4e1692c975568631d0d6031e55d305449a388928d6e8a0d00/Bảng_điểm__FPT_Polytechnic.pdf")</f>
        <v>https://api.typeform.com/responses/files/07f3273d694c19a4e1692c975568631d0d6031e55d305449a388928d6e8a0d00/Bảng_điểm__FPT_Polytechnic.pdf</v>
      </c>
      <c r="Q248" s="29" t="b">
        <v>1</v>
      </c>
      <c r="R248" s="29" t="s">
        <v>2554</v>
      </c>
      <c r="S248" s="29" t="s">
        <v>2555</v>
      </c>
      <c r="T248" s="29" t="s">
        <v>72</v>
      </c>
      <c r="U248" s="29" t="s">
        <v>72</v>
      </c>
      <c r="V248" s="29" t="s">
        <v>2556</v>
      </c>
      <c r="X248" s="29" t="s">
        <v>2557</v>
      </c>
      <c r="Y248" s="34">
        <v>46138.70479166666</v>
      </c>
      <c r="Z248" s="29" t="s">
        <v>2558</v>
      </c>
      <c r="AA248" s="6">
        <v>2.0</v>
      </c>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row>
    <row r="249" ht="22.5" hidden="1" customHeight="1">
      <c r="A249" s="29" t="s">
        <v>2559</v>
      </c>
      <c r="B249" s="30">
        <v>38475.0</v>
      </c>
      <c r="C249" s="29" t="s">
        <v>2560</v>
      </c>
      <c r="D249" s="31" t="s">
        <v>2561</v>
      </c>
      <c r="E249" s="29" t="s">
        <v>61</v>
      </c>
      <c r="F249" s="29" t="s">
        <v>99</v>
      </c>
      <c r="G249" s="32" t="str">
        <f>HYPERLINK("https://api.typeform.com/responses/files/247682e65c80f841d60386bc3b26f8dc5f179f06caa432a0ff2ab39cc6ba7b7a/CV___Unity_Developer_Intern___Phạm_Tấn_Đạt.pdf")</f>
        <v>https://api.typeform.com/responses/files/247682e65c80f841d60386bc3b26f8dc5f179f06caa432a0ff2ab39cc6ba7b7a/CV___Unity_Developer_Intern___Phạm_Tấn_Đạt.pdf</v>
      </c>
      <c r="H249" s="29" t="s">
        <v>2562</v>
      </c>
      <c r="I249" s="29" t="s">
        <v>2563</v>
      </c>
      <c r="J249" s="29" t="s">
        <v>715</v>
      </c>
      <c r="L249" s="29" t="s">
        <v>219</v>
      </c>
      <c r="M249" s="29" t="s">
        <v>930</v>
      </c>
      <c r="N249" s="33">
        <v>46661.0</v>
      </c>
      <c r="O249" s="31" t="s">
        <v>1357</v>
      </c>
      <c r="P249" s="32" t="str">
        <f>HYPERLINK("https://api.typeform.com/responses/files/613e5bacacea9ff25fb519b06c33dac6fa6dd23d576076efe83df6cb1139417d/Transcript___Unity_Developer_Intern___Phạm_Tấn_Đạt.pdf")</f>
        <v>https://api.typeform.com/responses/files/613e5bacacea9ff25fb519b06c33dac6fa6dd23d576076efe83df6cb1139417d/Transcript___Unity_Developer_Intern___Phạm_Tấn_Đạt.pdf</v>
      </c>
      <c r="Q249" s="29" t="b">
        <v>1</v>
      </c>
      <c r="R249" s="29" t="s">
        <v>2564</v>
      </c>
      <c r="S249" s="29" t="s">
        <v>2565</v>
      </c>
      <c r="T249" s="29" t="s">
        <v>72</v>
      </c>
      <c r="U249" s="29" t="s">
        <v>72</v>
      </c>
      <c r="V249" s="29" t="s">
        <v>2566</v>
      </c>
      <c r="X249" s="29" t="s">
        <v>2567</v>
      </c>
      <c r="Y249" s="34">
        <v>46138.75771990741</v>
      </c>
      <c r="Z249" s="29" t="s">
        <v>2568</v>
      </c>
      <c r="AA249" s="6">
        <v>2.0</v>
      </c>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row>
    <row r="250" ht="22.5" hidden="1" customHeight="1">
      <c r="A250" s="29" t="s">
        <v>2569</v>
      </c>
      <c r="B250" s="30">
        <v>38684.0</v>
      </c>
      <c r="C250" s="29" t="s">
        <v>2570</v>
      </c>
      <c r="D250" s="31" t="s">
        <v>2571</v>
      </c>
      <c r="E250" s="29" t="s">
        <v>62</v>
      </c>
      <c r="G250" s="32" t="str">
        <f>HYPERLINK("https://api.typeform.com/responses/files/7c54b072397e6b1f182a3f387ac0efd0223eace7d19762733342deb650e53738/MinhNguyenAnh_5.pdf")</f>
        <v>https://api.typeform.com/responses/files/7c54b072397e6b1f182a3f387ac0efd0223eace7d19762733342deb650e53738/MinhNguyenAnh_5.pdf</v>
      </c>
      <c r="H250" s="29" t="s">
        <v>2572</v>
      </c>
      <c r="I250" s="29" t="s">
        <v>2573</v>
      </c>
      <c r="J250" s="29" t="s">
        <v>85</v>
      </c>
      <c r="L250" s="29" t="s">
        <v>219</v>
      </c>
      <c r="M250" s="29" t="s">
        <v>399</v>
      </c>
      <c r="N250" s="33">
        <v>46447.0</v>
      </c>
      <c r="O250" s="31" t="s">
        <v>2346</v>
      </c>
      <c r="P250" s="32" t="str">
        <f>HYPERLINK("https://api.typeform.com/responses/files/2ff00ebc129e64c095cac0f20267aa9c0c45555de34d8218f3c67771ae457104/MinhNguyenAnh_5.pdf")</f>
        <v>https://api.typeform.com/responses/files/2ff00ebc129e64c095cac0f20267aa9c0c45555de34d8218f3c67771ae457104/MinhNguyenAnh_5.pdf</v>
      </c>
      <c r="Q250" s="29" t="b">
        <v>0</v>
      </c>
      <c r="R250" s="29" t="s">
        <v>300</v>
      </c>
      <c r="S250" s="29" t="s">
        <v>2574</v>
      </c>
      <c r="T250" s="29" t="s">
        <v>72</v>
      </c>
      <c r="U250" s="29" t="s">
        <v>72</v>
      </c>
      <c r="V250" s="29" t="s">
        <v>269</v>
      </c>
      <c r="X250" s="29" t="s">
        <v>300</v>
      </c>
      <c r="Y250" s="34">
        <v>46138.76070601852</v>
      </c>
      <c r="Z250" s="29" t="s">
        <v>2575</v>
      </c>
      <c r="AA250" s="6">
        <v>2.0</v>
      </c>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row>
    <row r="251" ht="22.5" hidden="1" customHeight="1">
      <c r="A251" s="29" t="s">
        <v>2576</v>
      </c>
      <c r="B251" s="30">
        <v>38467.0</v>
      </c>
      <c r="C251" s="29" t="s">
        <v>2577</v>
      </c>
      <c r="D251" s="31" t="s">
        <v>2578</v>
      </c>
      <c r="E251" s="29" t="s">
        <v>82</v>
      </c>
      <c r="F251" s="29" t="s">
        <v>62</v>
      </c>
      <c r="G251" s="32" t="str">
        <f>HYPERLINK("https://api.typeform.com/responses/files/f2866c6ef1746bdf6ccdde93f7cb527771e6e7a64ee512ae21b2439b163bec8c/CV___Data_Analysis_Intern___Lê_Bảo_Quốc.pdf")</f>
        <v>https://api.typeform.com/responses/files/f2866c6ef1746bdf6ccdde93f7cb527771e6e7a64ee512ae21b2439b163bec8c/CV___Data_Analysis_Intern___Lê_Bảo_Quốc.pdf</v>
      </c>
      <c r="H251" s="29" t="s">
        <v>2579</v>
      </c>
      <c r="I251" s="29" t="s">
        <v>2580</v>
      </c>
      <c r="J251" s="29" t="s">
        <v>2581</v>
      </c>
      <c r="L251" s="29" t="s">
        <v>219</v>
      </c>
      <c r="M251" s="29" t="s">
        <v>2582</v>
      </c>
      <c r="N251" s="33">
        <v>38467.0</v>
      </c>
      <c r="O251" s="31" t="s">
        <v>2583</v>
      </c>
      <c r="P251" s="32" t="str">
        <f>HYPERLINK("https://api.typeform.com/responses/files/d961099181fa37a2aad9dad5fc1401378ffe218777d0e1523a3c6c7449188a10/Transcript___Data_Analysis_Intern___Lê_Bảo_Quốc.pdf")</f>
        <v>https://api.typeform.com/responses/files/d961099181fa37a2aad9dad5fc1401378ffe218777d0e1523a3c6c7449188a10/Transcript___Data_Analysis_Intern___Lê_Bảo_Quốc.pdf</v>
      </c>
      <c r="Q251" s="29" t="b">
        <v>1</v>
      </c>
      <c r="R251" s="29" t="s">
        <v>2584</v>
      </c>
      <c r="S251" s="29" t="s">
        <v>300</v>
      </c>
      <c r="T251" s="29" t="s">
        <v>72</v>
      </c>
      <c r="U251" s="29" t="s">
        <v>72</v>
      </c>
      <c r="V251" s="29" t="s">
        <v>90</v>
      </c>
      <c r="X251" s="29" t="s">
        <v>2585</v>
      </c>
      <c r="Y251" s="34">
        <v>46138.80268518518</v>
      </c>
      <c r="Z251" s="29" t="s">
        <v>2586</v>
      </c>
      <c r="AA251" s="6">
        <v>2.0</v>
      </c>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row>
    <row r="252" ht="22.5" hidden="1" customHeight="1">
      <c r="A252" s="29" t="s">
        <v>2587</v>
      </c>
      <c r="B252" s="30">
        <v>38344.0</v>
      </c>
      <c r="C252" s="29" t="s">
        <v>2588</v>
      </c>
      <c r="D252" s="31" t="s">
        <v>2589</v>
      </c>
      <c r="E252" s="29" t="s">
        <v>62</v>
      </c>
      <c r="F252" s="29" t="s">
        <v>82</v>
      </c>
      <c r="G252" s="32" t="str">
        <f>HYPERLINK("https://api.typeform.com/responses/files/782fd12e657afeaa5f7a63a19d27303c02044c068201e4b67ccd05fbcbef98fc/main_tex__16_.pdf")</f>
        <v>https://api.typeform.com/responses/files/782fd12e657afeaa5f7a63a19d27303c02044c068201e4b67ccd05fbcbef98fc/main_tex__16_.pdf</v>
      </c>
      <c r="H252" s="29" t="s">
        <v>2590</v>
      </c>
      <c r="I252" s="29" t="s">
        <v>2591</v>
      </c>
      <c r="J252" s="29" t="s">
        <v>326</v>
      </c>
      <c r="L252" s="29" t="s">
        <v>219</v>
      </c>
      <c r="M252" s="29" t="s">
        <v>132</v>
      </c>
      <c r="N252" s="33">
        <v>46607.0</v>
      </c>
      <c r="O252" s="31" t="s">
        <v>2592</v>
      </c>
      <c r="P252" s="32" t="str">
        <f>HYPERLINK("https://api.typeform.com/responses/files/52f67e76f031affe6d5faaf0fd8e31a01d1798b5bec5a0f67b5af832f33ce78e/Transcript___AI_Engineer_Intern___Lai_Ngoc_Phuong_Nam.pdf")</f>
        <v>https://api.typeform.com/responses/files/52f67e76f031affe6d5faaf0fd8e31a01d1798b5bec5a0f67b5af832f33ce78e/Transcript___AI_Engineer_Intern___Lai_Ngoc_Phuong_Nam.pdf</v>
      </c>
      <c r="Q252" s="29" t="b">
        <v>1</v>
      </c>
      <c r="R252" s="29" t="s">
        <v>2593</v>
      </c>
      <c r="S252" s="29" t="s">
        <v>2594</v>
      </c>
      <c r="T252" s="29" t="s">
        <v>72</v>
      </c>
      <c r="U252" s="29" t="s">
        <v>72</v>
      </c>
      <c r="V252" s="29" t="s">
        <v>90</v>
      </c>
      <c r="X252" s="29" t="s">
        <v>2595</v>
      </c>
      <c r="Y252" s="34">
        <v>46139.12100694444</v>
      </c>
      <c r="Z252" s="29" t="s">
        <v>2596</v>
      </c>
      <c r="AA252" s="6">
        <v>2.0</v>
      </c>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row>
    <row r="253" ht="22.5" hidden="1" customHeight="1">
      <c r="A253" s="29" t="s">
        <v>2597</v>
      </c>
      <c r="B253" s="30">
        <v>37044.0</v>
      </c>
      <c r="C253" s="29" t="s">
        <v>2598</v>
      </c>
      <c r="D253" s="31" t="s">
        <v>2599</v>
      </c>
      <c r="E253" s="29" t="s">
        <v>62</v>
      </c>
      <c r="F253" s="29" t="s">
        <v>82</v>
      </c>
      <c r="G253" s="32" t="str">
        <f>HYPERLINK("https://api.typeform.com/responses/files/2fd4c7d57f5b248de6db2c980c3dd8b42483170b29f1af8145c7f7ab4d859cca/CV___AI_Engineer_Intern___Mai_Anh_Sơn.pdf")</f>
        <v>https://api.typeform.com/responses/files/2fd4c7d57f5b248de6db2c980c3dd8b42483170b29f1af8145c7f7ab4d859cca/CV___AI_Engineer_Intern___Mai_Anh_Sơn.pdf</v>
      </c>
      <c r="H253" s="29" t="s">
        <v>2600</v>
      </c>
      <c r="I253" s="29" t="s">
        <v>2601</v>
      </c>
      <c r="J253" s="29" t="s">
        <v>326</v>
      </c>
      <c r="L253" s="29" t="s">
        <v>67</v>
      </c>
      <c r="M253" s="29" t="s">
        <v>2602</v>
      </c>
      <c r="N253" s="33">
        <v>46275.0</v>
      </c>
      <c r="O253" s="31" t="s">
        <v>328</v>
      </c>
      <c r="P253" s="32" t="str">
        <f>HYPERLINK("https://api.typeform.com/responses/files/e3ba2603ae7a2a753893aecbcbe788e185a007bfbae324de822fdded04fe0974/CV___AI_Engineer_Intern___Mai_Anh_Sơn.pdf")</f>
        <v>https://api.typeform.com/responses/files/e3ba2603ae7a2a753893aecbcbe788e185a007bfbae324de822fdded04fe0974/CV___AI_Engineer_Intern___Mai_Anh_Sơn.pdf</v>
      </c>
      <c r="Q253" s="29" t="b">
        <v>1</v>
      </c>
      <c r="R253" s="29" t="s">
        <v>2603</v>
      </c>
      <c r="S253" s="29" t="s">
        <v>2604</v>
      </c>
      <c r="T253" s="29" t="s">
        <v>72</v>
      </c>
      <c r="U253" s="29" t="s">
        <v>72</v>
      </c>
      <c r="V253" s="29" t="s">
        <v>90</v>
      </c>
      <c r="X253" s="29" t="s">
        <v>2605</v>
      </c>
      <c r="Y253" s="34">
        <v>46139.124189814815</v>
      </c>
      <c r="Z253" s="29" t="s">
        <v>2606</v>
      </c>
      <c r="AA253" s="6">
        <v>2.0</v>
      </c>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row>
    <row r="254" ht="22.5" hidden="1" customHeight="1">
      <c r="A254" s="29" t="s">
        <v>2607</v>
      </c>
      <c r="B254" s="30">
        <v>37943.0</v>
      </c>
      <c r="C254" s="29" t="s">
        <v>2608</v>
      </c>
      <c r="D254" s="31" t="s">
        <v>2609</v>
      </c>
      <c r="E254" s="29" t="s">
        <v>61</v>
      </c>
      <c r="F254" s="29" t="s">
        <v>127</v>
      </c>
      <c r="G254" s="32" t="str">
        <f>HYPERLINK("https://api.typeform.com/responses/files/04be3b5c43c476b956fb8172b0154a0d410b29abffb086509567491a7f5c5104/CV___Unity_Development_Intern___NguyenXuanDangTrinh.pdf")</f>
        <v>https://api.typeform.com/responses/files/04be3b5c43c476b956fb8172b0154a0d410b29abffb086509567491a7f5c5104/CV___Unity_Development_Intern___NguyenXuanDangTrinh.pdf</v>
      </c>
      <c r="H254" s="29" t="s">
        <v>2610</v>
      </c>
      <c r="I254" s="29" t="s">
        <v>2611</v>
      </c>
      <c r="J254" s="29" t="s">
        <v>85</v>
      </c>
      <c r="L254" s="29" t="s">
        <v>103</v>
      </c>
      <c r="M254" s="29" t="s">
        <v>2612</v>
      </c>
      <c r="N254" s="33">
        <v>45989.0</v>
      </c>
      <c r="O254" s="31" t="s">
        <v>2613</v>
      </c>
      <c r="P254" s="32" t="str">
        <f>HYPERLINK("https://api.typeform.com/responses/files/a84b9139751bf135320ce85ced6ebac08645437c5abe0b141b5fe7b3c2d97677/Transcript___Unity_Developent_Intern___NguyenXuanDangTrinh.html")</f>
        <v>https://api.typeform.com/responses/files/a84b9139751bf135320ce85ced6ebac08645437c5abe0b141b5fe7b3c2d97677/Transcript___Unity_Developent_Intern___NguyenXuanDangTrinh.html</v>
      </c>
      <c r="Q254" s="29" t="b">
        <v>1</v>
      </c>
      <c r="R254" s="29" t="s">
        <v>2614</v>
      </c>
      <c r="S254" s="29" t="s">
        <v>2615</v>
      </c>
      <c r="T254" s="29" t="s">
        <v>72</v>
      </c>
      <c r="U254" s="29" t="s">
        <v>72</v>
      </c>
      <c r="V254" s="29" t="s">
        <v>2616</v>
      </c>
      <c r="X254" s="29" t="s">
        <v>2617</v>
      </c>
      <c r="Y254" s="34">
        <v>46139.15127314815</v>
      </c>
      <c r="Z254" s="29" t="s">
        <v>2618</v>
      </c>
      <c r="AA254" s="6">
        <v>2.0</v>
      </c>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row>
    <row r="255" ht="22.5" hidden="1" customHeight="1">
      <c r="A255" s="29" t="s">
        <v>1324</v>
      </c>
      <c r="B255" s="30">
        <v>38960.0</v>
      </c>
      <c r="C255" s="29" t="s">
        <v>1325</v>
      </c>
      <c r="D255" s="31" t="s">
        <v>1326</v>
      </c>
      <c r="E255" s="29" t="s">
        <v>61</v>
      </c>
      <c r="F255" s="29" t="s">
        <v>99</v>
      </c>
      <c r="G255" s="32" t="str">
        <f>HYPERLINK("https://api.typeform.com/responses/files/0462e6e49f1e3b7e21ab1fd59bcf2d2212481abf2b02b0a2882b8751c2dfc04d/CV__Unity_Developer_Intern_Ngô_Gia_Thịnh.docx")</f>
        <v>https://api.typeform.com/responses/files/0462e6e49f1e3b7e21ab1fd59bcf2d2212481abf2b02b0a2882b8751c2dfc04d/CV__Unity_Developer_Intern_Ngô_Gia_Thịnh.docx</v>
      </c>
      <c r="H255" s="29" t="s">
        <v>2619</v>
      </c>
      <c r="I255" s="29" t="s">
        <v>2620</v>
      </c>
      <c r="J255" s="29" t="s">
        <v>144</v>
      </c>
      <c r="L255" s="29" t="s">
        <v>2621</v>
      </c>
      <c r="M255" s="29" t="s">
        <v>170</v>
      </c>
      <c r="N255" s="33">
        <v>46265.0</v>
      </c>
      <c r="O255" s="31" t="s">
        <v>159</v>
      </c>
      <c r="P255" s="32" t="str">
        <f>HYPERLINK("https://api.typeform.com/responses/files/8e10a01856cfd053bfcb5ecd4c216e5ddc23b5cd033cde6f70e33d7a349f2276/Transcript_Unity_Developer_Intern_Ngô_Gia_Thịnh.pdf")</f>
        <v>https://api.typeform.com/responses/files/8e10a01856cfd053bfcb5ecd4c216e5ddc23b5cd033cde6f70e33d7a349f2276/Transcript_Unity_Developer_Intern_Ngô_Gia_Thịnh.pdf</v>
      </c>
      <c r="Q255" s="29" t="b">
        <v>1</v>
      </c>
      <c r="R255" s="29" t="s">
        <v>2622</v>
      </c>
      <c r="S255" s="29" t="s">
        <v>2623</v>
      </c>
      <c r="T255" s="29" t="s">
        <v>72</v>
      </c>
      <c r="U255" s="29" t="s">
        <v>72</v>
      </c>
      <c r="V255" s="29" t="s">
        <v>2624</v>
      </c>
      <c r="W255" s="29" t="s">
        <v>2625</v>
      </c>
      <c r="X255" s="29" t="s">
        <v>2626</v>
      </c>
      <c r="Y255" s="34">
        <v>46139.17184027778</v>
      </c>
      <c r="Z255" s="29" t="s">
        <v>2627</v>
      </c>
      <c r="AA255" s="6">
        <v>2.0</v>
      </c>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row>
    <row r="256" ht="22.5" hidden="1" customHeight="1">
      <c r="A256" s="29" t="s">
        <v>2628</v>
      </c>
      <c r="B256" s="30">
        <v>38325.0</v>
      </c>
      <c r="C256" s="29" t="s">
        <v>2629</v>
      </c>
      <c r="D256" s="31" t="s">
        <v>2630</v>
      </c>
      <c r="E256" s="29" t="s">
        <v>61</v>
      </c>
      <c r="F256" s="29" t="s">
        <v>61</v>
      </c>
      <c r="G256" s="32" t="str">
        <f>HYPERLINK("https://api.typeform.com/responses/files/c4daa3a4149d81004712def39cd1bcebba5ecc93beba62bcab0b0fa5624b34db/CV___Unity_Development_Intern___Mai_Xuân_Thường.pdf")</f>
        <v>https://api.typeform.com/responses/files/c4daa3a4149d81004712def39cd1bcebba5ecc93beba62bcab0b0fa5624b34db/CV___Unity_Development_Intern___Mai_Xuân_Thường.pdf</v>
      </c>
      <c r="H256" s="29" t="s">
        <v>2631</v>
      </c>
      <c r="I256" s="29" t="s">
        <v>2632</v>
      </c>
      <c r="J256" s="29" t="s">
        <v>326</v>
      </c>
      <c r="L256" s="29" t="s">
        <v>67</v>
      </c>
      <c r="M256" s="29" t="s">
        <v>2633</v>
      </c>
      <c r="N256" s="33">
        <v>46146.0</v>
      </c>
      <c r="O256" s="31" t="s">
        <v>374</v>
      </c>
      <c r="P256" s="32" t="str">
        <f>HYPERLINK("https://api.typeform.com/responses/files/0f7c826bee059d0a24833e75a565a373a0fe9227704b70c3e18aab591f98e866/Transcript___Unity_Development_Intern___Mai_Xuân_Thường.xlsx")</f>
        <v>https://api.typeform.com/responses/files/0f7c826bee059d0a24833e75a565a373a0fe9227704b70c3e18aab591f98e866/Transcript___Unity_Development_Intern___Mai_Xuân_Thường.xlsx</v>
      </c>
      <c r="Q256" s="29" t="b">
        <v>1</v>
      </c>
      <c r="R256" s="29" t="s">
        <v>2634</v>
      </c>
      <c r="S256" s="29" t="s">
        <v>2635</v>
      </c>
      <c r="T256" s="29" t="s">
        <v>72</v>
      </c>
      <c r="U256" s="29" t="s">
        <v>72</v>
      </c>
      <c r="V256" s="29" t="s">
        <v>90</v>
      </c>
      <c r="X256" s="29" t="s">
        <v>2636</v>
      </c>
      <c r="Y256" s="34">
        <v>46139.177303240744</v>
      </c>
      <c r="Z256" s="29" t="s">
        <v>2637</v>
      </c>
      <c r="AA256" s="6">
        <v>2.0</v>
      </c>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row>
    <row r="257" ht="22.5" hidden="1" customHeight="1">
      <c r="A257" s="29" t="s">
        <v>2638</v>
      </c>
      <c r="B257" s="30">
        <v>37149.0</v>
      </c>
      <c r="C257" s="29" t="s">
        <v>2639</v>
      </c>
      <c r="D257" s="31" t="s">
        <v>2640</v>
      </c>
      <c r="E257" s="29" t="s">
        <v>82</v>
      </c>
      <c r="F257" s="29" t="s">
        <v>99</v>
      </c>
      <c r="G257" s="32" t="str">
        <f>HYPERLINK("https://api.typeform.com/responses/files/8785ab50551a31ea4415eab55c6edf1a3183a86565919034bd082dd42fe9f5fc/CV___Data_Analysis_Intern___Trần_Tiến_Lực.pdf")</f>
        <v>https://api.typeform.com/responses/files/8785ab50551a31ea4415eab55c6edf1a3183a86565919034bd082dd42fe9f5fc/CV___Data_Analysis_Intern___Trần_Tiến_Lực.pdf</v>
      </c>
      <c r="H257" s="29" t="s">
        <v>2641</v>
      </c>
      <c r="I257" s="29" t="s">
        <v>2642</v>
      </c>
      <c r="J257" s="29" t="s">
        <v>715</v>
      </c>
      <c r="L257" s="29" t="s">
        <v>103</v>
      </c>
      <c r="M257" s="29" t="s">
        <v>399</v>
      </c>
      <c r="N257" s="33">
        <v>45986.0</v>
      </c>
      <c r="O257" s="31" t="s">
        <v>2643</v>
      </c>
      <c r="P257" s="32" t="str">
        <f>HYPERLINK("https://api.typeform.com/responses/files/61c8175d00238d8f237b66da705427c7f45ffdeb6f6b0c69ae55a13cdf2b82fe/Transcript___Data_Analysis_Intern___Trần_Tiến_Lực.jpg")</f>
        <v>https://api.typeform.com/responses/files/61c8175d00238d8f237b66da705427c7f45ffdeb6f6b0c69ae55a13cdf2b82fe/Transcript___Data_Analysis_Intern___Trần_Tiến_Lực.jpg</v>
      </c>
      <c r="Q257" s="29" t="b">
        <v>0</v>
      </c>
      <c r="R257" s="29" t="s">
        <v>2644</v>
      </c>
      <c r="S257" s="29" t="s">
        <v>2645</v>
      </c>
      <c r="T257" s="29" t="s">
        <v>72</v>
      </c>
      <c r="U257" s="29" t="s">
        <v>72</v>
      </c>
      <c r="V257" s="29" t="s">
        <v>90</v>
      </c>
      <c r="Y257" s="34">
        <v>46139.19453703704</v>
      </c>
      <c r="Z257" s="29" t="s">
        <v>2646</v>
      </c>
      <c r="AA257" s="6">
        <v>2.0</v>
      </c>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row>
    <row r="258" ht="22.5" hidden="1" customHeight="1">
      <c r="A258" s="29" t="s">
        <v>2647</v>
      </c>
      <c r="B258" s="30">
        <v>38294.0</v>
      </c>
      <c r="C258" s="29" t="s">
        <v>2648</v>
      </c>
      <c r="D258" s="31" t="s">
        <v>2649</v>
      </c>
      <c r="E258" s="29" t="s">
        <v>62</v>
      </c>
      <c r="F258" s="29" t="s">
        <v>82</v>
      </c>
      <c r="G258" s="32" t="str">
        <f>HYPERLINK("https://api.typeform.com/responses/files/7b610dcaa4a722a6d97480ccae7a1e8be31f03a21b9f46534a70d8de9b5fd13b/CV___AI_Engineer_Intern___Thạch_Nhựt_Hào.pdf")</f>
        <v>https://api.typeform.com/responses/files/7b610dcaa4a722a6d97480ccae7a1e8be31f03a21b9f46534a70d8de9b5fd13b/CV___AI_Engineer_Intern___Thạch_Nhựt_Hào.pdf</v>
      </c>
      <c r="H258" s="29" t="s">
        <v>2650</v>
      </c>
      <c r="I258" s="29" t="s">
        <v>2651</v>
      </c>
      <c r="J258" s="29" t="s">
        <v>1610</v>
      </c>
      <c r="L258" s="29" t="s">
        <v>67</v>
      </c>
      <c r="M258" s="29" t="s">
        <v>624</v>
      </c>
      <c r="N258" s="33">
        <v>46188.0</v>
      </c>
      <c r="O258" s="31" t="s">
        <v>625</v>
      </c>
      <c r="P258" s="32" t="str">
        <f>HYPERLINK("https://api.typeform.com/responses/files/d814802f1a062b144ee1984917cdbee0ecbec672909a7b9924c0ff72cbfebfcc/Transcript___AI_Engineer_Intern___Thạch_Nhựt_Hào.pdf")</f>
        <v>https://api.typeform.com/responses/files/d814802f1a062b144ee1984917cdbee0ecbec672909a7b9924c0ff72cbfebfcc/Transcript___AI_Engineer_Intern___Thạch_Nhựt_Hào.pdf</v>
      </c>
      <c r="Q258" s="29" t="b">
        <v>1</v>
      </c>
      <c r="R258" s="29" t="s">
        <v>2652</v>
      </c>
      <c r="S258" s="29" t="s">
        <v>2653</v>
      </c>
      <c r="T258" s="29" t="s">
        <v>72</v>
      </c>
      <c r="U258" s="29" t="s">
        <v>72</v>
      </c>
      <c r="V258" s="29" t="s">
        <v>90</v>
      </c>
      <c r="X258" s="29" t="s">
        <v>2654</v>
      </c>
      <c r="Y258" s="34">
        <v>46139.19724537037</v>
      </c>
      <c r="Z258" s="29" t="s">
        <v>2655</v>
      </c>
      <c r="AA258" s="6">
        <v>2.0</v>
      </c>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row>
    <row r="259" ht="22.5" hidden="1" customHeight="1">
      <c r="A259" s="29" t="s">
        <v>139</v>
      </c>
      <c r="B259" s="30">
        <v>38931.0</v>
      </c>
      <c r="C259" s="29" t="s">
        <v>140</v>
      </c>
      <c r="D259" s="31" t="s">
        <v>141</v>
      </c>
      <c r="E259" s="29" t="s">
        <v>61</v>
      </c>
      <c r="F259" s="29" t="s">
        <v>99</v>
      </c>
      <c r="G259" s="32" t="str">
        <f>HYPERLINK("https://api.typeform.com/responses/files/438622fce62417b4369660adf0b46a3b018773e3a551877a316e47799644dc00/CV_UnityDevelopment_Intern_TranDoHoangTan.pdf")</f>
        <v>https://api.typeform.com/responses/files/438622fce62417b4369660adf0b46a3b018773e3a551877a316e47799644dc00/CV_UnityDevelopment_Intern_TranDoHoangTan.pdf</v>
      </c>
      <c r="H259" s="29" t="s">
        <v>2656</v>
      </c>
      <c r="I259" s="29" t="s">
        <v>2657</v>
      </c>
      <c r="J259" s="29" t="s">
        <v>144</v>
      </c>
      <c r="L259" s="29" t="s">
        <v>2658</v>
      </c>
      <c r="M259" s="29" t="s">
        <v>2659</v>
      </c>
      <c r="N259" s="33">
        <v>46235.0</v>
      </c>
      <c r="O259" s="31" t="s">
        <v>147</v>
      </c>
      <c r="P259" s="32" t="str">
        <f>HYPERLINK("https://api.typeform.com/responses/files/9c222ed6be83d164fe4845b5a51426e3f0cb4fea0f9be970c104f913d56606fd/Transcript_intern_TranDoHoangTan.png")</f>
        <v>https://api.typeform.com/responses/files/9c222ed6be83d164fe4845b5a51426e3f0cb4fea0f9be970c104f913d56606fd/Transcript_intern_TranDoHoangTan.png</v>
      </c>
      <c r="Q259" s="29" t="b">
        <v>1</v>
      </c>
      <c r="R259" s="29" t="s">
        <v>2660</v>
      </c>
      <c r="S259" s="29" t="s">
        <v>2661</v>
      </c>
      <c r="T259" s="29" t="s">
        <v>72</v>
      </c>
      <c r="U259" s="29" t="s">
        <v>72</v>
      </c>
      <c r="V259" s="29" t="s">
        <v>73</v>
      </c>
      <c r="X259" s="29" t="s">
        <v>2662</v>
      </c>
      <c r="Y259" s="34">
        <v>46139.209444444445</v>
      </c>
      <c r="Z259" s="29" t="s">
        <v>2663</v>
      </c>
      <c r="AA259" s="6">
        <v>2.0</v>
      </c>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row>
    <row r="260" ht="22.5" hidden="1" customHeight="1">
      <c r="A260" s="29" t="s">
        <v>2664</v>
      </c>
      <c r="B260" s="30">
        <v>38664.0</v>
      </c>
      <c r="C260" s="29" t="s">
        <v>2665</v>
      </c>
      <c r="D260" s="31" t="s">
        <v>2666</v>
      </c>
      <c r="E260" s="29" t="s">
        <v>127</v>
      </c>
      <c r="F260" s="29" t="s">
        <v>82</v>
      </c>
      <c r="G260" s="32" t="str">
        <f>HYPERLINK("https://api.typeform.com/responses/files/559e2c4af90f2911ffc274ba45e513082e37d9614e0f12416179d4e67cd9d91a/CV_Data_Analysis_Intern_Võ_Thị_Tiên_Phước.pdf")</f>
        <v>https://api.typeform.com/responses/files/559e2c4af90f2911ffc274ba45e513082e37d9614e0f12416179d4e67cd9d91a/CV_Data_Analysis_Intern_Võ_Thị_Tiên_Phước.pdf</v>
      </c>
      <c r="H260" s="29" t="s">
        <v>2667</v>
      </c>
      <c r="I260" s="29" t="s">
        <v>2668</v>
      </c>
      <c r="J260" s="29" t="s">
        <v>2293</v>
      </c>
      <c r="L260" s="29" t="s">
        <v>219</v>
      </c>
      <c r="M260" s="29" t="s">
        <v>1773</v>
      </c>
      <c r="N260" s="33">
        <v>46499.0</v>
      </c>
      <c r="O260" s="31" t="s">
        <v>2669</v>
      </c>
      <c r="P260" s="32" t="str">
        <f>HYPERLINK("https://api.typeform.com/responses/files/405441be9c82bff237a03580acb983eac9d9a07adb2e0c26854debe15ea6eee9/Transcript_Data_Analysis_Intern_Võ_Thị_Tiên_Phước.pdf")</f>
        <v>https://api.typeform.com/responses/files/405441be9c82bff237a03580acb983eac9d9a07adb2e0c26854debe15ea6eee9/Transcript_Data_Analysis_Intern_Võ_Thị_Tiên_Phước.pdf</v>
      </c>
      <c r="Q260" s="29" t="b">
        <v>1</v>
      </c>
      <c r="R260" s="29" t="s">
        <v>2670</v>
      </c>
      <c r="S260" s="29" t="s">
        <v>2671</v>
      </c>
      <c r="T260" s="29" t="s">
        <v>72</v>
      </c>
      <c r="U260" s="29" t="s">
        <v>72</v>
      </c>
      <c r="V260" s="29" t="s">
        <v>90</v>
      </c>
      <c r="X260" s="29" t="s">
        <v>2672</v>
      </c>
      <c r="Y260" s="34">
        <v>46139.23234953704</v>
      </c>
      <c r="Z260" s="29" t="s">
        <v>2673</v>
      </c>
      <c r="AA260" s="6">
        <v>2.0</v>
      </c>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row>
    <row r="261" ht="22.5" hidden="1" customHeight="1">
      <c r="A261" s="29" t="s">
        <v>2674</v>
      </c>
      <c r="B261" s="30">
        <v>38364.0</v>
      </c>
      <c r="C261" s="29" t="s">
        <v>2675</v>
      </c>
      <c r="D261" s="31" t="s">
        <v>2676</v>
      </c>
      <c r="E261" s="29" t="s">
        <v>82</v>
      </c>
      <c r="G261" s="32" t="str">
        <f>HYPERLINK("https://api.typeform.com/responses/files/ae673a5934b47d0e8d18e2a86e0b8bb21b4a474a1bd723e94c307a7d2914fe69/CV___Data_Analysis_Intern___Lê_Thị_Bích_Trà.pdf")</f>
        <v>https://api.typeform.com/responses/files/ae673a5934b47d0e8d18e2a86e0b8bb21b4a474a1bd723e94c307a7d2914fe69/CV___Data_Analysis_Intern___Lê_Thị_Bích_Trà.pdf</v>
      </c>
      <c r="H261" s="29" t="s">
        <v>2677</v>
      </c>
      <c r="I261" s="29" t="s">
        <v>2678</v>
      </c>
      <c r="J261" s="29" t="s">
        <v>2281</v>
      </c>
      <c r="L261" s="29" t="s">
        <v>219</v>
      </c>
      <c r="M261" s="29" t="s">
        <v>2679</v>
      </c>
      <c r="N261" s="33">
        <v>46376.0</v>
      </c>
      <c r="O261" s="29" t="s">
        <v>2680</v>
      </c>
      <c r="P261" s="32" t="str">
        <f>HYPERLINK("https://api.typeform.com/responses/files/d0c8a57b5d79a7596d83078269d23aef8d697b73b36e1a85fc831bcb9c88f43a/Transcript___Data_Analysis_Intern___Lê_Thị_Bích_Trà.pdf")</f>
        <v>https://api.typeform.com/responses/files/d0c8a57b5d79a7596d83078269d23aef8d697b73b36e1a85fc831bcb9c88f43a/Transcript___Data_Analysis_Intern___Lê_Thị_Bích_Trà.pdf</v>
      </c>
      <c r="Q261" s="29" t="b">
        <v>0</v>
      </c>
      <c r="R261" s="29" t="s">
        <v>2681</v>
      </c>
      <c r="S261" s="29" t="s">
        <v>2682</v>
      </c>
      <c r="T261" s="29" t="s">
        <v>72</v>
      </c>
      <c r="U261" s="29" t="s">
        <v>72</v>
      </c>
      <c r="V261" s="29" t="s">
        <v>90</v>
      </c>
      <c r="Y261" s="34">
        <v>46139.27107638889</v>
      </c>
      <c r="Z261" s="29" t="s">
        <v>2683</v>
      </c>
      <c r="AA261" s="6">
        <v>2.0</v>
      </c>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row>
    <row r="262" ht="22.5" hidden="1" customHeight="1">
      <c r="A262" s="29" t="s">
        <v>2684</v>
      </c>
      <c r="B262" s="30">
        <v>38137.0</v>
      </c>
      <c r="C262" s="29" t="s">
        <v>2685</v>
      </c>
      <c r="D262" s="31" t="s">
        <v>2686</v>
      </c>
      <c r="E262" s="29" t="s">
        <v>82</v>
      </c>
      <c r="F262" s="29" t="s">
        <v>62</v>
      </c>
      <c r="G262" s="32" t="str">
        <f>HYPERLINK("https://api.typeform.com/responses/files/3e002717a6629b6a8b46c28ce24189486792ef38b95b25c89c3d1bd24cc9db51/CV___DataAnalyst___Châu_Gia_Bảo.pdf")</f>
        <v>https://api.typeform.com/responses/files/3e002717a6629b6a8b46c28ce24189486792ef38b95b25c89c3d1bd24cc9db51/CV___DataAnalyst___Châu_Gia_Bảo.pdf</v>
      </c>
      <c r="H262" s="29" t="s">
        <v>2687</v>
      </c>
      <c r="I262" s="29" t="s">
        <v>2688</v>
      </c>
      <c r="J262" s="29" t="s">
        <v>65</v>
      </c>
      <c r="K262" s="29" t="s">
        <v>2689</v>
      </c>
      <c r="L262" s="29" t="s">
        <v>67</v>
      </c>
      <c r="M262" s="29" t="s">
        <v>624</v>
      </c>
      <c r="N262" s="33">
        <v>46235.0</v>
      </c>
      <c r="O262" s="31" t="s">
        <v>2690</v>
      </c>
      <c r="P262" s="32" t="str">
        <f>HYPERLINK("https://api.typeform.com/responses/files/c96bf5183114dfb9d91f43ccc7288b0d7d977787ee9e09f894d62e631da3ec92/Transcript___Data_Analysis_Intern___Châu_Gia_Bảo.png")</f>
        <v>https://api.typeform.com/responses/files/c96bf5183114dfb9d91f43ccc7288b0d7d977787ee9e09f894d62e631da3ec92/Transcript___Data_Analysis_Intern___Châu_Gia_Bảo.png</v>
      </c>
      <c r="Q262" s="29" t="b">
        <v>1</v>
      </c>
      <c r="R262" s="29" t="s">
        <v>2691</v>
      </c>
      <c r="S262" s="29" t="s">
        <v>2692</v>
      </c>
      <c r="T262" s="29" t="s">
        <v>72</v>
      </c>
      <c r="U262" s="29" t="s">
        <v>72</v>
      </c>
      <c r="V262" s="29" t="s">
        <v>236</v>
      </c>
      <c r="X262" s="29" t="s">
        <v>2693</v>
      </c>
      <c r="Y262" s="34">
        <v>46139.28324074074</v>
      </c>
      <c r="Z262" s="29" t="s">
        <v>2694</v>
      </c>
      <c r="AA262" s="6">
        <v>2.0</v>
      </c>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row>
    <row r="263" ht="22.5" hidden="1" customHeight="1">
      <c r="A263" s="29" t="s">
        <v>2695</v>
      </c>
      <c r="B263" s="30">
        <v>38215.0</v>
      </c>
      <c r="C263" s="29" t="s">
        <v>2696</v>
      </c>
      <c r="D263" s="31" t="s">
        <v>2697</v>
      </c>
      <c r="E263" s="29" t="s">
        <v>82</v>
      </c>
      <c r="F263" s="29" t="s">
        <v>62</v>
      </c>
      <c r="G263" s="32" t="str">
        <f>HYPERLINK("https://api.typeform.com/responses/files/736cfecb7989cc074e9177d88534c229fb24e2346d0e3f7df28d09b6dbc90b06/CV___Data_Analysis_Intern___Phùng_Trung_Bắc.pdf")</f>
        <v>https://api.typeform.com/responses/files/736cfecb7989cc074e9177d88534c229fb24e2346d0e3f7df28d09b6dbc90b06/CV___Data_Analysis_Intern___Phùng_Trung_Bắc.pdf</v>
      </c>
      <c r="H263" s="29" t="s">
        <v>2698</v>
      </c>
      <c r="I263" s="29" t="s">
        <v>2699</v>
      </c>
      <c r="J263" s="29" t="s">
        <v>116</v>
      </c>
      <c r="L263" s="29" t="s">
        <v>67</v>
      </c>
      <c r="M263" s="29" t="s">
        <v>1773</v>
      </c>
      <c r="N263" s="33">
        <v>46198.0</v>
      </c>
      <c r="O263" s="29" t="s">
        <v>2700</v>
      </c>
      <c r="P263" s="32" t="str">
        <f>HYPERLINK("https://api.typeform.com/responses/files/8fe70278b146f14bf1a989b0593edcf317a5b40d45caa7b9f0a232c651bc4d53/Transcript___Data_Analysis_Intern___Phùng_Trung_Bắc.xlsx")</f>
        <v>https://api.typeform.com/responses/files/8fe70278b146f14bf1a989b0593edcf317a5b40d45caa7b9f0a232c651bc4d53/Transcript___Data_Analysis_Intern___Phùng_Trung_Bắc.xlsx</v>
      </c>
      <c r="Q263" s="29" t="b">
        <v>0</v>
      </c>
      <c r="R263" s="29" t="s">
        <v>2701</v>
      </c>
      <c r="S263" s="29" t="s">
        <v>2702</v>
      </c>
      <c r="T263" s="29" t="s">
        <v>72</v>
      </c>
      <c r="U263" s="29" t="s">
        <v>72</v>
      </c>
      <c r="V263" s="29" t="s">
        <v>73</v>
      </c>
      <c r="X263" s="29" t="s">
        <v>2703</v>
      </c>
      <c r="Y263" s="34">
        <v>46139.28496527778</v>
      </c>
      <c r="Z263" s="29" t="s">
        <v>2704</v>
      </c>
      <c r="AA263" s="6">
        <v>2.0</v>
      </c>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row>
    <row r="264" ht="22.5" hidden="1" customHeight="1">
      <c r="A264" s="29" t="s">
        <v>2705</v>
      </c>
      <c r="B264" s="30">
        <v>37901.0</v>
      </c>
      <c r="C264" s="29" t="s">
        <v>2706</v>
      </c>
      <c r="D264" s="31" t="s">
        <v>2707</v>
      </c>
      <c r="E264" s="29" t="s">
        <v>82</v>
      </c>
      <c r="F264" s="29" t="s">
        <v>62</v>
      </c>
      <c r="G264" s="32" t="str">
        <f>HYPERLINK("https://api.typeform.com/responses/files/21eab4ca6e6f047df38c831e8e8b2a517192f1c93a36847d3ca69549c5faacb1/CV___Data_Analysis_Intern___Nguyễn_Thị_Ngọc_Minh.pdf")</f>
        <v>https://api.typeform.com/responses/files/21eab4ca6e6f047df38c831e8e8b2a517192f1c93a36847d3ca69549c5faacb1/CV___Data_Analysis_Intern___Nguyễn_Thị_Ngọc_Minh.pdf</v>
      </c>
      <c r="H264" s="29" t="s">
        <v>2708</v>
      </c>
      <c r="I264" s="29" t="s">
        <v>2709</v>
      </c>
      <c r="J264" s="29" t="s">
        <v>2281</v>
      </c>
      <c r="L264" s="29" t="s">
        <v>103</v>
      </c>
      <c r="M264" s="29" t="s">
        <v>2710</v>
      </c>
      <c r="N264" s="33">
        <v>46005.0</v>
      </c>
      <c r="O264" s="31" t="s">
        <v>542</v>
      </c>
      <c r="P264" s="32" t="str">
        <f>HYPERLINK("https://api.typeform.com/responses/files/1e0b5c69bb915f4cef3e4d72ecaecb4698d8aecd476686304ca68c379973ff84/Transcript___Data_Analysis_Intern___Nguyễn_Thị_Ngọc_Minh.pdf")</f>
        <v>https://api.typeform.com/responses/files/1e0b5c69bb915f4cef3e4d72ecaecb4698d8aecd476686304ca68c379973ff84/Transcript___Data_Analysis_Intern___Nguyễn_Thị_Ngọc_Minh.pdf</v>
      </c>
      <c r="Q264" s="29" t="b">
        <v>1</v>
      </c>
      <c r="R264" s="29" t="s">
        <v>2711</v>
      </c>
      <c r="S264" s="29" t="s">
        <v>2712</v>
      </c>
      <c r="T264" s="29" t="s">
        <v>72</v>
      </c>
      <c r="U264" s="29" t="s">
        <v>72</v>
      </c>
      <c r="V264" s="29" t="s">
        <v>236</v>
      </c>
      <c r="X264" s="29" t="s">
        <v>2713</v>
      </c>
      <c r="Y264" s="34">
        <v>46139.32252314815</v>
      </c>
      <c r="Z264" s="29" t="s">
        <v>2714</v>
      </c>
      <c r="AA264" s="6">
        <v>2.0</v>
      </c>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row>
    <row r="265" ht="22.5" hidden="1" customHeight="1">
      <c r="A265" s="29" t="s">
        <v>2715</v>
      </c>
      <c r="B265" s="30">
        <v>38230.0</v>
      </c>
      <c r="C265" s="29" t="s">
        <v>2716</v>
      </c>
      <c r="D265" s="31" t="s">
        <v>2717</v>
      </c>
      <c r="E265" s="29" t="s">
        <v>82</v>
      </c>
      <c r="F265" s="29" t="s">
        <v>62</v>
      </c>
      <c r="G265" s="32" t="str">
        <f>HYPERLINK("https://api.typeform.com/responses/files/c6eb1de938c3bcd00c9460c5ab60db6d96b4de6b05110054d261b9b46e86f22a/CV___Data_Analysis_Intern___Phan_Thảo_Vy.pdf")</f>
        <v>https://api.typeform.com/responses/files/c6eb1de938c3bcd00c9460c5ab60db6d96b4de6b05110054d261b9b46e86f22a/CV___Data_Analysis_Intern___Phan_Thảo_Vy.pdf</v>
      </c>
      <c r="H265" s="29" t="s">
        <v>2718</v>
      </c>
      <c r="I265" s="29" t="s">
        <v>2719</v>
      </c>
      <c r="J265" s="29" t="s">
        <v>715</v>
      </c>
      <c r="L265" s="29" t="s">
        <v>67</v>
      </c>
      <c r="M265" s="29" t="s">
        <v>399</v>
      </c>
      <c r="N265" s="33">
        <v>46341.0</v>
      </c>
      <c r="O265" s="31" t="s">
        <v>2720</v>
      </c>
      <c r="P265" s="32" t="str">
        <f>HYPERLINK("https://api.typeform.com/responses/files/3903894c42a7e8f0c2b4bdca156888493bb282e24fc91a0d4a322558b690f288/CV___Data_Analysis_Intern___Phan_Thảo_Vy.xlsx")</f>
        <v>https://api.typeform.com/responses/files/3903894c42a7e8f0c2b4bdca156888493bb282e24fc91a0d4a322558b690f288/CV___Data_Analysis_Intern___Phan_Thảo_Vy.xlsx</v>
      </c>
      <c r="Q265" s="29" t="b">
        <v>1</v>
      </c>
      <c r="R265" s="29" t="s">
        <v>2721</v>
      </c>
      <c r="S265" s="29" t="s">
        <v>2722</v>
      </c>
      <c r="T265" s="29" t="s">
        <v>72</v>
      </c>
      <c r="U265" s="29" t="s">
        <v>72</v>
      </c>
      <c r="V265" s="29" t="s">
        <v>269</v>
      </c>
      <c r="X265" s="29" t="s">
        <v>2723</v>
      </c>
      <c r="Y265" s="34">
        <v>46139.330104166664</v>
      </c>
      <c r="Z265" s="29" t="s">
        <v>2724</v>
      </c>
      <c r="AA265" s="6">
        <v>2.0</v>
      </c>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row>
    <row r="266" ht="22.5" hidden="1" customHeight="1">
      <c r="A266" s="29" t="s">
        <v>2725</v>
      </c>
      <c r="B266" s="30">
        <v>37783.0</v>
      </c>
      <c r="C266" s="29" t="s">
        <v>2726</v>
      </c>
      <c r="D266" s="31" t="s">
        <v>2727</v>
      </c>
      <c r="E266" s="29" t="s">
        <v>82</v>
      </c>
      <c r="F266" s="29" t="s">
        <v>82</v>
      </c>
      <c r="G266" s="32" t="str">
        <f>HYPERLINK("https://api.typeform.com/responses/files/1d15e3b38ee43cd691dc6082f8364ea5f7c728b1e774a0610fdc099bcb639840/CV_DA_NuyenQuocAn.pdf")</f>
        <v>https://api.typeform.com/responses/files/1d15e3b38ee43cd691dc6082f8364ea5f7c728b1e774a0610fdc099bcb639840/CV_DA_NuyenQuocAn.pdf</v>
      </c>
      <c r="H266" s="29" t="s">
        <v>2728</v>
      </c>
      <c r="I266" s="29" t="s">
        <v>2729</v>
      </c>
      <c r="J266" s="29" t="s">
        <v>85</v>
      </c>
      <c r="L266" s="29" t="s">
        <v>103</v>
      </c>
      <c r="M266" s="29" t="s">
        <v>2730</v>
      </c>
      <c r="N266" s="33">
        <v>45778.0</v>
      </c>
      <c r="O266" s="31" t="s">
        <v>2731</v>
      </c>
      <c r="P266" s="32" t="str">
        <f>HYPERLINK("https://api.typeform.com/responses/files/b39405d40f31bf1f172cb14416893901c7cb4e01cea796bca6e861fd154fe0aa/bangdiem.pdf")</f>
        <v>https://api.typeform.com/responses/files/b39405d40f31bf1f172cb14416893901c7cb4e01cea796bca6e861fd154fe0aa/bangdiem.pdf</v>
      </c>
      <c r="Q266" s="29" t="b">
        <v>1</v>
      </c>
      <c r="R266" s="29" t="s">
        <v>2732</v>
      </c>
      <c r="S266" s="29" t="s">
        <v>1660</v>
      </c>
      <c r="T266" s="29" t="s">
        <v>72</v>
      </c>
      <c r="U266" s="29" t="s">
        <v>72</v>
      </c>
      <c r="V266" s="29" t="s">
        <v>90</v>
      </c>
      <c r="Y266" s="34">
        <v>46139.34275462963</v>
      </c>
      <c r="Z266" s="29" t="s">
        <v>2733</v>
      </c>
      <c r="AA266" s="6">
        <v>2.0</v>
      </c>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row>
    <row r="267" ht="22.5" hidden="1" customHeight="1">
      <c r="A267" s="29" t="s">
        <v>2734</v>
      </c>
      <c r="B267" s="30">
        <v>38584.0</v>
      </c>
      <c r="C267" s="29" t="s">
        <v>2735</v>
      </c>
      <c r="D267" s="31" t="s">
        <v>2736</v>
      </c>
      <c r="E267" s="29" t="s">
        <v>774</v>
      </c>
      <c r="F267" s="29" t="s">
        <v>633</v>
      </c>
      <c r="G267" s="32" t="str">
        <f>HYPERLINK("https://api.typeform.com/responses/files/9d5f406bd2fb60c338fce34cf9a95ab5b6191081609f7b6e4aba2a26cc01f452/CV___Marketing_Intern___To_Vo_Yen_Tho.pdf")</f>
        <v>https://api.typeform.com/responses/files/9d5f406bd2fb60c338fce34cf9a95ab5b6191081609f7b6e4aba2a26cc01f452/CV___Marketing_Intern___To_Vo_Yen_Tho.pdf</v>
      </c>
      <c r="H267" s="29" t="s">
        <v>2737</v>
      </c>
      <c r="I267" s="29" t="s">
        <v>2738</v>
      </c>
      <c r="J267" s="29" t="s">
        <v>842</v>
      </c>
      <c r="L267" s="29" t="s">
        <v>219</v>
      </c>
      <c r="M267" s="29" t="s">
        <v>2739</v>
      </c>
      <c r="N267" s="33">
        <v>46447.0</v>
      </c>
      <c r="O267" s="31" t="s">
        <v>2740</v>
      </c>
      <c r="P267" s="32" t="str">
        <f>HYPERLINK("https://api.typeform.com/responses/files/7efbc8137f36c77a81beea6f530429a28cb1f7b6651ef63bd9a732a3be04c9d2/Transcript___Marketing_Intern___Tô_Võ_Yến_Thơ.pdf")</f>
        <v>https://api.typeform.com/responses/files/7efbc8137f36c77a81beea6f530429a28cb1f7b6651ef63bd9a732a3be04c9d2/Transcript___Marketing_Intern___Tô_Võ_Yến_Thơ.pdf</v>
      </c>
      <c r="Q267" s="29" t="b">
        <v>0</v>
      </c>
      <c r="R267" s="29" t="s">
        <v>280</v>
      </c>
      <c r="S267" s="29" t="s">
        <v>2741</v>
      </c>
      <c r="T267" s="29" t="s">
        <v>72</v>
      </c>
      <c r="U267" s="29" t="s">
        <v>72</v>
      </c>
      <c r="V267" s="29" t="s">
        <v>269</v>
      </c>
      <c r="X267" s="29" t="s">
        <v>222</v>
      </c>
      <c r="Y267" s="34">
        <v>46139.34515046296</v>
      </c>
      <c r="Z267" s="29" t="s">
        <v>2742</v>
      </c>
      <c r="AA267" s="6">
        <v>2.0</v>
      </c>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row>
    <row r="268" ht="22.5" hidden="1" customHeight="1">
      <c r="A268" s="29" t="s">
        <v>2743</v>
      </c>
      <c r="B268" s="30">
        <v>38162.0</v>
      </c>
      <c r="C268" s="29" t="s">
        <v>2744</v>
      </c>
      <c r="D268" s="31" t="s">
        <v>2745</v>
      </c>
      <c r="E268" s="29" t="s">
        <v>62</v>
      </c>
      <c r="F268" s="29" t="s">
        <v>82</v>
      </c>
      <c r="G268" s="32" t="str">
        <f>HYPERLINK("https://api.typeform.com/responses/files/f7c8aae516d221defc9163c76516dbf9ca731976129f631832c0679f4f6fca82/CV___AI_Engineer_Intern___Nguyễn_Nam_Huy.pdf")</f>
        <v>https://api.typeform.com/responses/files/f7c8aae516d221defc9163c76516dbf9ca731976129f631832c0679f4f6fca82/CV___AI_Engineer_Intern___Nguyễn_Nam_Huy.pdf</v>
      </c>
      <c r="H268" s="29" t="s">
        <v>2746</v>
      </c>
      <c r="I268" s="29" t="s">
        <v>2747</v>
      </c>
      <c r="J268" s="29" t="s">
        <v>244</v>
      </c>
      <c r="L268" s="29" t="s">
        <v>67</v>
      </c>
      <c r="M268" s="29" t="s">
        <v>399</v>
      </c>
      <c r="N268" s="33">
        <v>46289.0</v>
      </c>
      <c r="O268" s="31" t="s">
        <v>133</v>
      </c>
      <c r="P268" s="32" t="str">
        <f>HYPERLINK("https://api.typeform.com/responses/files/8fc9c815eea2a0326eded95c88df731d8286de5a7dbe1832bd0db54be9db943d/Transcript___AI_Engineer_Intern___Nguyễn_Nam_Huy.pdf")</f>
        <v>https://api.typeform.com/responses/files/8fc9c815eea2a0326eded95c88df731d8286de5a7dbe1832bd0db54be9db943d/Transcript___AI_Engineer_Intern___Nguyễn_Nam_Huy.pdf</v>
      </c>
      <c r="Q268" s="29" t="b">
        <v>0</v>
      </c>
      <c r="R268" s="29" t="s">
        <v>222</v>
      </c>
      <c r="S268" s="29" t="s">
        <v>2748</v>
      </c>
      <c r="T268" s="29" t="s">
        <v>72</v>
      </c>
      <c r="U268" s="29" t="s">
        <v>72</v>
      </c>
      <c r="V268" s="29" t="s">
        <v>236</v>
      </c>
      <c r="Y268" s="34">
        <v>46139.34657407407</v>
      </c>
      <c r="Z268" s="29" t="s">
        <v>2749</v>
      </c>
      <c r="AA268" s="6">
        <v>2.0</v>
      </c>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row>
    <row r="269" ht="22.5" hidden="1" customHeight="1">
      <c r="A269" s="29" t="s">
        <v>2750</v>
      </c>
      <c r="B269" s="30">
        <v>38396.0</v>
      </c>
      <c r="C269" s="29" t="s">
        <v>2751</v>
      </c>
      <c r="D269" s="31" t="s">
        <v>2752</v>
      </c>
      <c r="E269" s="29" t="s">
        <v>82</v>
      </c>
      <c r="G269" s="32" t="str">
        <f>HYPERLINK("https://api.typeform.com/responses/files/796270f2a66bf2911a91b4455691b7128b9a8e654e44673b010b6b2547fb1b4c/CV___Data_Analysis_Intern___Bui_Thien_Phuc.pdf")</f>
        <v>https://api.typeform.com/responses/files/796270f2a66bf2911a91b4455691b7128b9a8e654e44673b010b6b2547fb1b4c/CV___Data_Analysis_Intern___Bui_Thien_Phuc.pdf</v>
      </c>
      <c r="H269" s="29" t="s">
        <v>2753</v>
      </c>
      <c r="I269" s="29" t="s">
        <v>2754</v>
      </c>
      <c r="J269" s="29" t="s">
        <v>65</v>
      </c>
      <c r="K269" s="29" t="s">
        <v>2755</v>
      </c>
      <c r="L269" s="29" t="s">
        <v>219</v>
      </c>
      <c r="M269" s="29" t="s">
        <v>1348</v>
      </c>
      <c r="N269" s="33">
        <v>46568.0</v>
      </c>
      <c r="O269" s="31" t="s">
        <v>118</v>
      </c>
      <c r="P269" s="32" t="str">
        <f>HYPERLINK("https://api.typeform.com/responses/files/e79e1922a6f9138f49159ba58c8ebf57b5aa9f5993f75cd4ccf5466269980a18/Transcript_Bui_Thien_Phuc.pdf")</f>
        <v>https://api.typeform.com/responses/files/e79e1922a6f9138f49159ba58c8ebf57b5aa9f5993f75cd4ccf5466269980a18/Transcript_Bui_Thien_Phuc.pdf</v>
      </c>
      <c r="Q269" s="29" t="b">
        <v>0</v>
      </c>
      <c r="R269" s="29" t="s">
        <v>300</v>
      </c>
      <c r="S269" s="29" t="s">
        <v>300</v>
      </c>
      <c r="T269" s="29" t="s">
        <v>72</v>
      </c>
      <c r="U269" s="29" t="s">
        <v>72</v>
      </c>
      <c r="V269" s="29" t="s">
        <v>90</v>
      </c>
      <c r="Y269" s="34">
        <v>46139.38130787037</v>
      </c>
      <c r="Z269" s="29" t="s">
        <v>2756</v>
      </c>
      <c r="AA269" s="6">
        <v>2.0</v>
      </c>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row>
    <row r="270" ht="22.5" hidden="1" customHeight="1">
      <c r="A270" s="29" t="s">
        <v>2757</v>
      </c>
      <c r="B270" s="30">
        <v>35741.0</v>
      </c>
      <c r="C270" s="29" t="s">
        <v>2758</v>
      </c>
      <c r="D270" s="31" t="s">
        <v>2759</v>
      </c>
      <c r="E270" s="29" t="s">
        <v>82</v>
      </c>
      <c r="G270" s="32" t="str">
        <f>HYPERLINK("https://api.typeform.com/responses/files/212dcb1d9d6c4f391488bc746a8696fd43b7ab4ee3569d748fa1f86f8f93c48e/CV___Data_Analysis_Intern___Dang_Quynh_Chau.pdf")</f>
        <v>https://api.typeform.com/responses/files/212dcb1d9d6c4f391488bc746a8696fd43b7ab4ee3569d748fa1f86f8f93c48e/CV___Data_Analysis_Intern___Dang_Quynh_Chau.pdf</v>
      </c>
      <c r="H270" s="29" t="s">
        <v>2760</v>
      </c>
      <c r="I270" s="29" t="s">
        <v>2761</v>
      </c>
      <c r="J270" s="29" t="s">
        <v>65</v>
      </c>
      <c r="K270" s="29" t="s">
        <v>2762</v>
      </c>
      <c r="L270" s="29" t="s">
        <v>2763</v>
      </c>
      <c r="M270" s="29" t="s">
        <v>1348</v>
      </c>
      <c r="N270" s="33">
        <v>43617.0</v>
      </c>
      <c r="O270" s="31" t="s">
        <v>2764</v>
      </c>
      <c r="P270" s="32" t="str">
        <f>HYPERLINK("https://api.typeform.com/responses/files/e0db8e5e8644af347c65b9dc336c84ee3dee4c7d4a12238774031fd52f90fb07/Transcript___Data_Analysis_Intern___Dang_Quynh_Chau.pdf")</f>
        <v>https://api.typeform.com/responses/files/e0db8e5e8644af347c65b9dc336c84ee3dee4c7d4a12238774031fd52f90fb07/Transcript___Data_Analysis_Intern___Dang_Quynh_Chau.pdf</v>
      </c>
      <c r="Q270" s="29" t="b">
        <v>1</v>
      </c>
      <c r="R270" s="29" t="s">
        <v>2765</v>
      </c>
      <c r="S270" s="29" t="s">
        <v>2766</v>
      </c>
      <c r="T270" s="29" t="s">
        <v>72</v>
      </c>
      <c r="U270" s="29" t="s">
        <v>72</v>
      </c>
      <c r="V270" s="29" t="s">
        <v>90</v>
      </c>
      <c r="X270" s="29" t="s">
        <v>2767</v>
      </c>
      <c r="Y270" s="34">
        <v>46139.384039351855</v>
      </c>
      <c r="Z270" s="29" t="s">
        <v>2768</v>
      </c>
      <c r="AA270" s="6">
        <v>2.0</v>
      </c>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row>
    <row r="271" ht="22.5" hidden="1" customHeight="1">
      <c r="A271" s="29" t="s">
        <v>2769</v>
      </c>
      <c r="B271" s="30">
        <v>37632.0</v>
      </c>
      <c r="C271" s="29" t="s">
        <v>2770</v>
      </c>
      <c r="D271" s="31" t="s">
        <v>2771</v>
      </c>
      <c r="E271" s="29" t="s">
        <v>62</v>
      </c>
      <c r="F271" s="29" t="s">
        <v>82</v>
      </c>
      <c r="G271" s="32" t="str">
        <f>HYPERLINK("https://api.typeform.com/responses/files/e412f5025cda95d7b3991201ba795a5f7fda8605fb2cbf6bacfb69cf608540b5/CV___AI_Engineer_Intern___Nguyen_Hoang_Long.pdf")</f>
        <v>https://api.typeform.com/responses/files/e412f5025cda95d7b3991201ba795a5f7fda8605fb2cbf6bacfb69cf608540b5/CV___AI_Engineer_Intern___Nguyen_Hoang_Long.pdf</v>
      </c>
      <c r="H271" s="29" t="s">
        <v>2772</v>
      </c>
      <c r="I271" s="29" t="s">
        <v>2773</v>
      </c>
      <c r="J271" s="29" t="s">
        <v>85</v>
      </c>
      <c r="L271" s="29" t="s">
        <v>103</v>
      </c>
      <c r="M271" s="29" t="s">
        <v>2774</v>
      </c>
      <c r="N271" s="33">
        <v>45987.0</v>
      </c>
      <c r="O271" s="31" t="s">
        <v>2775</v>
      </c>
      <c r="P271" s="32" t="str">
        <f>HYPERLINK("https://api.typeform.com/responses/files/2c83f638458062caa684c4f60b3bf72b1eac859662b89b7ad315a620981f193a/Transcript___AI_Engineer_Intern___Nguyễn_Hoàng_Long.pdf")</f>
        <v>https://api.typeform.com/responses/files/2c83f638458062caa684c4f60b3bf72b1eac859662b89b7ad315a620981f193a/Transcript___AI_Engineer_Intern___Nguyễn_Hoàng_Long.pdf</v>
      </c>
      <c r="Q271" s="29" t="b">
        <v>1</v>
      </c>
      <c r="R271" s="29" t="s">
        <v>2776</v>
      </c>
      <c r="S271" s="29" t="s">
        <v>2777</v>
      </c>
      <c r="T271" s="29" t="s">
        <v>72</v>
      </c>
      <c r="U271" s="29" t="s">
        <v>72</v>
      </c>
      <c r="V271" s="29" t="s">
        <v>90</v>
      </c>
      <c r="Y271" s="34">
        <v>46139.38579861111</v>
      </c>
      <c r="Z271" s="29" t="s">
        <v>2778</v>
      </c>
      <c r="AA271" s="6">
        <v>2.0</v>
      </c>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row>
    <row r="272" ht="22.5" hidden="1" customHeight="1">
      <c r="A272" s="29" t="s">
        <v>2779</v>
      </c>
      <c r="B272" s="30">
        <v>38323.0</v>
      </c>
      <c r="C272" s="29" t="s">
        <v>2780</v>
      </c>
      <c r="D272" s="31" t="s">
        <v>2781</v>
      </c>
      <c r="E272" s="29" t="s">
        <v>82</v>
      </c>
      <c r="G272" s="32" t="str">
        <f>HYPERLINK("https://api.typeform.com/responses/files/01cf3652a7cf704cf0888ae4c427f3c60b6ef37f0a430be83c5b997feb4bb997/CV___Data_Analysis_Intern___NguyenKhoaQuangDuy.pdf")</f>
        <v>https://api.typeform.com/responses/files/01cf3652a7cf704cf0888ae4c427f3c60b6ef37f0a430be83c5b997feb4bb997/CV___Data_Analysis_Intern___NguyenKhoaQuangDuy.pdf</v>
      </c>
      <c r="H272" s="29" t="s">
        <v>2782</v>
      </c>
      <c r="I272" s="29" t="s">
        <v>2783</v>
      </c>
      <c r="J272" s="29" t="s">
        <v>65</v>
      </c>
      <c r="K272" s="29" t="s">
        <v>2784</v>
      </c>
      <c r="L272" s="29" t="s">
        <v>103</v>
      </c>
      <c r="M272" s="29" t="s">
        <v>2785</v>
      </c>
      <c r="N272" s="33">
        <v>46131.0</v>
      </c>
      <c r="O272" s="31" t="s">
        <v>2786</v>
      </c>
      <c r="P272" s="32" t="str">
        <f>HYPERLINK("https://api.typeform.com/responses/files/3787794545d411b5dacc46cd5dac51e3fdb04d1e23bc08da215ba5d17a1ca80a/Transcrip___Data_Analysis_Intern___Nguyễn_Khoa_Quang_Duy.png")</f>
        <v>https://api.typeform.com/responses/files/3787794545d411b5dacc46cd5dac51e3fdb04d1e23bc08da215ba5d17a1ca80a/Transcrip___Data_Analysis_Intern___Nguyễn_Khoa_Quang_Duy.png</v>
      </c>
      <c r="Q272" s="29" t="b">
        <v>1</v>
      </c>
      <c r="R272" s="29" t="s">
        <v>2787</v>
      </c>
      <c r="S272" s="29" t="s">
        <v>2788</v>
      </c>
      <c r="T272" s="29" t="s">
        <v>2789</v>
      </c>
      <c r="U272" s="29" t="s">
        <v>72</v>
      </c>
      <c r="V272" s="29" t="s">
        <v>2790</v>
      </c>
      <c r="X272" s="29" t="s">
        <v>2791</v>
      </c>
      <c r="Y272" s="34">
        <v>46139.39877314815</v>
      </c>
      <c r="Z272" s="29" t="s">
        <v>2792</v>
      </c>
      <c r="AA272" s="6">
        <v>2.0</v>
      </c>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row>
    <row r="273" ht="22.5" hidden="1" customHeight="1">
      <c r="A273" s="29" t="s">
        <v>2793</v>
      </c>
      <c r="B273" s="30">
        <v>38662.0</v>
      </c>
      <c r="C273" s="29" t="s">
        <v>2794</v>
      </c>
      <c r="D273" s="31" t="s">
        <v>2795</v>
      </c>
      <c r="E273" s="29" t="s">
        <v>62</v>
      </c>
      <c r="F273" s="29" t="s">
        <v>82</v>
      </c>
      <c r="G273" s="32" t="str">
        <f>HYPERLINK("https://api.typeform.com/responses/files/d709563568aa0556d15da0dcb2ef7af1d79b8e500c0603da7332ed4a554fc469/CV___AI_Engineer_Intern___Trần_Tiến_Đạt.pdf")</f>
        <v>https://api.typeform.com/responses/files/d709563568aa0556d15da0dcb2ef7af1d79b8e500c0603da7332ed4a554fc469/CV___AI_Engineer_Intern___Trần_Tiến_Đạt.pdf</v>
      </c>
      <c r="H273" s="29" t="s">
        <v>2796</v>
      </c>
      <c r="I273" s="29" t="s">
        <v>2797</v>
      </c>
      <c r="J273" s="29" t="s">
        <v>85</v>
      </c>
      <c r="L273" s="29" t="s">
        <v>219</v>
      </c>
      <c r="M273" s="29" t="s">
        <v>2798</v>
      </c>
      <c r="N273" s="33">
        <v>46346.0</v>
      </c>
      <c r="O273" s="31" t="s">
        <v>696</v>
      </c>
      <c r="P273" s="32" t="str">
        <f>HYPERLINK("https://api.typeform.com/responses/files/58d248069c9324142e2874a3325a5789fd036f0728a6b93c8e106d9389ca74c4/Transcript___AI_Engineer_Intern___Trần_Tiến_Đạt.pdf")</f>
        <v>https://api.typeform.com/responses/files/58d248069c9324142e2874a3325a5789fd036f0728a6b93c8e106d9389ca74c4/Transcript___AI_Engineer_Intern___Trần_Tiến_Đạt.pdf</v>
      </c>
      <c r="Q273" s="29" t="b">
        <v>0</v>
      </c>
      <c r="R273" s="29" t="s">
        <v>2799</v>
      </c>
      <c r="S273" s="29" t="s">
        <v>268</v>
      </c>
      <c r="T273" s="29" t="s">
        <v>72</v>
      </c>
      <c r="U273" s="29" t="s">
        <v>72</v>
      </c>
      <c r="V273" s="29" t="s">
        <v>2800</v>
      </c>
      <c r="X273" s="29" t="s">
        <v>2801</v>
      </c>
      <c r="Y273" s="34">
        <v>46139.401655092595</v>
      </c>
      <c r="Z273" s="29" t="s">
        <v>2802</v>
      </c>
      <c r="AA273" s="6">
        <v>2.0</v>
      </c>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row>
    <row r="274" ht="22.5" hidden="1" customHeight="1">
      <c r="A274" s="29" t="s">
        <v>2803</v>
      </c>
      <c r="B274" s="30">
        <v>38269.0</v>
      </c>
      <c r="C274" s="29" t="s">
        <v>2804</v>
      </c>
      <c r="D274" s="31" t="s">
        <v>2805</v>
      </c>
      <c r="E274" s="29" t="s">
        <v>62</v>
      </c>
      <c r="F274" s="29" t="s">
        <v>82</v>
      </c>
      <c r="G274" s="32" t="str">
        <f>HYPERLINK("https://api.typeform.com/responses/files/81f9cf58adb7e2fd987f6a96478e28279c5994b700ac30053702497fdec07b47/NguyenThanhDanh_AIIntern_SUN.pdf")</f>
        <v>https://api.typeform.com/responses/files/81f9cf58adb7e2fd987f6a96478e28279c5994b700ac30053702497fdec07b47/NguyenThanhDanh_AIIntern_SUN.pdf</v>
      </c>
      <c r="H274" s="29" t="s">
        <v>2806</v>
      </c>
      <c r="I274" s="29" t="s">
        <v>2807</v>
      </c>
      <c r="J274" s="29" t="s">
        <v>144</v>
      </c>
      <c r="L274" s="29" t="s">
        <v>103</v>
      </c>
      <c r="M274" s="29" t="s">
        <v>2808</v>
      </c>
      <c r="N274" s="33">
        <v>46068.0</v>
      </c>
      <c r="O274" s="31" t="s">
        <v>1679</v>
      </c>
      <c r="P274" s="32" t="str">
        <f>HYPERLINK("https://api.typeform.com/responses/files/09709a2e2a1dd621fb7420f69e4d5f787c62086bbf341df44ad45747ec955fd5/Transcript___AI_Engineering_Intern___Nguyen_Thanh_Danh.pdf")</f>
        <v>https://api.typeform.com/responses/files/09709a2e2a1dd621fb7420f69e4d5f787c62086bbf341df44ad45747ec955fd5/Transcript___AI_Engineering_Intern___Nguyen_Thanh_Danh.pdf</v>
      </c>
      <c r="Q274" s="29" t="b">
        <v>0</v>
      </c>
      <c r="R274" s="29" t="s">
        <v>375</v>
      </c>
      <c r="S274" s="29" t="s">
        <v>2809</v>
      </c>
      <c r="T274" s="29" t="s">
        <v>72</v>
      </c>
      <c r="U274" s="29" t="s">
        <v>72</v>
      </c>
      <c r="V274" s="29" t="s">
        <v>224</v>
      </c>
      <c r="X274" s="29" t="s">
        <v>2810</v>
      </c>
      <c r="Y274" s="34">
        <v>46139.404699074075</v>
      </c>
      <c r="Z274" s="29" t="s">
        <v>2811</v>
      </c>
      <c r="AA274" s="6">
        <v>2.0</v>
      </c>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row>
    <row r="275" ht="22.5" hidden="1" customHeight="1">
      <c r="A275" s="29" t="s">
        <v>2812</v>
      </c>
      <c r="B275" s="30">
        <v>37306.0</v>
      </c>
      <c r="C275" s="29" t="s">
        <v>2813</v>
      </c>
      <c r="D275" s="31" t="s">
        <v>2814</v>
      </c>
      <c r="E275" s="29" t="s">
        <v>99</v>
      </c>
      <c r="F275" s="29" t="s">
        <v>127</v>
      </c>
      <c r="G275" s="32" t="str">
        <f>HYPERLINK("https://api.typeform.com/responses/files/9edf6aac68d3d5b2aefdf97a1a2319d19e168d98a48c27f055b85647611ef95e/CV___Portfolio___Game_Design_Intern___Bui_Tuan_Hung.pdf")</f>
        <v>https://api.typeform.com/responses/files/9edf6aac68d3d5b2aefdf97a1a2319d19e168d98a48c27f055b85647611ef95e/CV___Portfolio___Game_Design_Intern___Bui_Tuan_Hung.pdf</v>
      </c>
      <c r="H275" s="29" t="s">
        <v>2815</v>
      </c>
      <c r="I275" s="29" t="s">
        <v>2816</v>
      </c>
      <c r="J275" s="29" t="s">
        <v>715</v>
      </c>
      <c r="L275" s="29" t="s">
        <v>103</v>
      </c>
      <c r="M275" s="29" t="s">
        <v>2817</v>
      </c>
      <c r="N275" s="33">
        <v>46136.0</v>
      </c>
      <c r="O275" s="31" t="s">
        <v>2818</v>
      </c>
      <c r="P275" s="32" t="str">
        <f>HYPERLINK("https://api.typeform.com/responses/files/76587f2b3416e2ab0271de7eae5dd0c6c34e34269fe1a3709b2d71e516a533ea/Transcript___Game_Design_Intern___Bui_Tuan_Hung.jpg")</f>
        <v>https://api.typeform.com/responses/files/76587f2b3416e2ab0271de7eae5dd0c6c34e34269fe1a3709b2d71e516a533ea/Transcript___Game_Design_Intern___Bui_Tuan_Hung.jpg</v>
      </c>
      <c r="Q275" s="29" t="b">
        <v>1</v>
      </c>
      <c r="R275" s="29" t="s">
        <v>2819</v>
      </c>
      <c r="S275" s="29" t="s">
        <v>2820</v>
      </c>
      <c r="T275" s="29" t="s">
        <v>72</v>
      </c>
      <c r="U275" s="29" t="s">
        <v>72</v>
      </c>
      <c r="V275" s="29" t="s">
        <v>1632</v>
      </c>
      <c r="X275" s="29" t="s">
        <v>2821</v>
      </c>
      <c r="Y275" s="34">
        <v>46139.41898148148</v>
      </c>
      <c r="Z275" s="29" t="s">
        <v>2822</v>
      </c>
      <c r="AA275" s="6">
        <v>2.0</v>
      </c>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row>
    <row r="276" ht="22.5" hidden="1" customHeight="1">
      <c r="A276" s="29" t="s">
        <v>2823</v>
      </c>
      <c r="B276" s="30">
        <v>38227.0</v>
      </c>
      <c r="C276" s="29" t="s">
        <v>2824</v>
      </c>
      <c r="D276" s="31" t="s">
        <v>2825</v>
      </c>
      <c r="E276" s="29" t="s">
        <v>62</v>
      </c>
      <c r="F276" s="29" t="s">
        <v>82</v>
      </c>
      <c r="G276" s="32" t="str">
        <f>HYPERLINK("https://api.typeform.com/responses/files/53834e495979bc232776a0ccc0f1e5fa8bfb7e5836c71ec87d7a7020c05d6fa8/CV___AI_Engineer_Intern___Lê_Quân_Đạt.pdf")</f>
        <v>https://api.typeform.com/responses/files/53834e495979bc232776a0ccc0f1e5fa8bfb7e5836c71ec87d7a7020c05d6fa8/CV___AI_Engineer_Intern___Lê_Quân_Đạt.pdf</v>
      </c>
      <c r="H276" s="29" t="s">
        <v>2826</v>
      </c>
      <c r="I276" s="29" t="s">
        <v>2827</v>
      </c>
      <c r="J276" s="29" t="s">
        <v>65</v>
      </c>
      <c r="K276" s="29" t="s">
        <v>2828</v>
      </c>
      <c r="L276" s="29" t="s">
        <v>67</v>
      </c>
      <c r="M276" s="29" t="s">
        <v>384</v>
      </c>
      <c r="N276" s="33">
        <v>46181.0</v>
      </c>
      <c r="O276" s="31" t="s">
        <v>374</v>
      </c>
      <c r="P276" s="32" t="str">
        <f>HYPERLINK("https://api.typeform.com/responses/files/ab2b46d5b049036c4edb4465f2561fe171bba806d64cba2ffceaf2eefdd6029f/CV___AI_Engineer_Intern___Lê_Quân_Đạt.pdf")</f>
        <v>https://api.typeform.com/responses/files/ab2b46d5b049036c4edb4465f2561fe171bba806d64cba2ffceaf2eefdd6029f/CV___AI_Engineer_Intern___Lê_Quân_Đạt.pdf</v>
      </c>
      <c r="Q276" s="29" t="b">
        <v>1</v>
      </c>
      <c r="R276" s="29" t="s">
        <v>2829</v>
      </c>
      <c r="S276" s="29" t="s">
        <v>2830</v>
      </c>
      <c r="T276" s="29" t="s">
        <v>72</v>
      </c>
      <c r="U276" s="29" t="s">
        <v>72</v>
      </c>
      <c r="V276" s="29" t="s">
        <v>90</v>
      </c>
      <c r="Y276" s="34">
        <v>46139.4259375</v>
      </c>
      <c r="Z276" s="29" t="s">
        <v>2831</v>
      </c>
      <c r="AA276" s="6">
        <v>2.0</v>
      </c>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row>
    <row r="277" ht="22.5" hidden="1" customHeight="1">
      <c r="A277" s="29" t="s">
        <v>2832</v>
      </c>
      <c r="B277" s="30">
        <v>38169.0</v>
      </c>
      <c r="C277" s="29" t="s">
        <v>2833</v>
      </c>
      <c r="D277" s="31" t="s">
        <v>2834</v>
      </c>
      <c r="E277" s="29" t="s">
        <v>62</v>
      </c>
      <c r="F277" s="29" t="s">
        <v>99</v>
      </c>
      <c r="G277" s="32" t="str">
        <f>HYPERLINK("https://api.typeform.com/responses/files/5afba7a43ae5b9360691e3999a54c4342aba5de785553f61e777cc8df37222ba/CV___AI_Engineering_Intern___Lê_Hoàng_Việt.pdf")</f>
        <v>https://api.typeform.com/responses/files/5afba7a43ae5b9360691e3999a54c4342aba5de785553f61e777cc8df37222ba/CV___AI_Engineering_Intern___Lê_Hoàng_Việt.pdf</v>
      </c>
      <c r="H277" s="29" t="s">
        <v>2835</v>
      </c>
      <c r="I277" s="29" t="s">
        <v>2836</v>
      </c>
      <c r="J277" s="29" t="s">
        <v>85</v>
      </c>
      <c r="L277" s="29" t="s">
        <v>67</v>
      </c>
      <c r="M277" s="29" t="s">
        <v>2837</v>
      </c>
      <c r="N277" s="33">
        <v>46296.0</v>
      </c>
      <c r="O277" s="31" t="s">
        <v>2142</v>
      </c>
      <c r="P277" s="32" t="str">
        <f>HYPERLINK("https://api.typeform.com/responses/files/6ae6c4b3ec19e6711ce3c83e138aafb18c20e9366075f4fd8d4ae9e8fa25566b/Transcript___AI_Engineering_Intern___Lê_Hoàng_Việt.pdf")</f>
        <v>https://api.typeform.com/responses/files/6ae6c4b3ec19e6711ce3c83e138aafb18c20e9366075f4fd8d4ae9e8fa25566b/Transcript___AI_Engineering_Intern___Lê_Hoàng_Việt.pdf</v>
      </c>
      <c r="Q277" s="29" t="b">
        <v>1</v>
      </c>
      <c r="R277" s="29" t="s">
        <v>2838</v>
      </c>
      <c r="S277" s="29" t="s">
        <v>2839</v>
      </c>
      <c r="T277" s="29" t="s">
        <v>72</v>
      </c>
      <c r="U277" s="29" t="s">
        <v>72</v>
      </c>
      <c r="V277" s="29" t="s">
        <v>269</v>
      </c>
      <c r="X277" s="29" t="s">
        <v>2840</v>
      </c>
      <c r="Y277" s="34">
        <v>46139.429976851854</v>
      </c>
      <c r="Z277" s="29" t="s">
        <v>2841</v>
      </c>
      <c r="AA277" s="6">
        <v>2.0</v>
      </c>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row>
    <row r="278" ht="22.5" hidden="1" customHeight="1">
      <c r="A278" s="29" t="s">
        <v>2842</v>
      </c>
      <c r="B278" s="30">
        <v>38712.0</v>
      </c>
      <c r="C278" s="29" t="s">
        <v>2843</v>
      </c>
      <c r="D278" s="31" t="s">
        <v>2844</v>
      </c>
      <c r="E278" s="29" t="s">
        <v>62</v>
      </c>
      <c r="F278" s="29" t="s">
        <v>62</v>
      </c>
      <c r="G278" s="32" t="str">
        <f>HYPERLINK("https://api.typeform.com/responses/files/0c8b72ee6699e33050c92c01eb879238608e518eb432b8fbd2387256e7b09851/CV___AI_Engineer_Intern___Lê_Võ_Xuân_Hưng.pdf")</f>
        <v>https://api.typeform.com/responses/files/0c8b72ee6699e33050c92c01eb879238608e518eb432b8fbd2387256e7b09851/CV___AI_Engineer_Intern___Lê_Võ_Xuân_Hưng.pdf</v>
      </c>
      <c r="H278" s="29" t="s">
        <v>2845</v>
      </c>
      <c r="I278" s="29" t="s">
        <v>2846</v>
      </c>
      <c r="J278" s="29" t="s">
        <v>326</v>
      </c>
      <c r="L278" s="29" t="s">
        <v>219</v>
      </c>
      <c r="M278" s="29" t="s">
        <v>86</v>
      </c>
      <c r="N278" s="33">
        <v>46598.0</v>
      </c>
      <c r="O278" s="31" t="s">
        <v>1382</v>
      </c>
      <c r="P278" s="32" t="str">
        <f>HYPERLINK("https://api.typeform.com/responses/files/cca08a5a64f0991a01cda7d9a26e884c93e33dd8cbccf49b661624765729d270/Transcript___AI_Engineer_Intern___Lê_Võ_Xuân_Hưng.png")</f>
        <v>https://api.typeform.com/responses/files/cca08a5a64f0991a01cda7d9a26e884c93e33dd8cbccf49b661624765729d270/Transcript___AI_Engineer_Intern___Lê_Võ_Xuân_Hưng.png</v>
      </c>
      <c r="Q278" s="29" t="b">
        <v>1</v>
      </c>
      <c r="R278" s="29" t="s">
        <v>2847</v>
      </c>
      <c r="S278" s="29" t="s">
        <v>2848</v>
      </c>
      <c r="T278" s="29" t="s">
        <v>72</v>
      </c>
      <c r="U278" s="29" t="s">
        <v>72</v>
      </c>
      <c r="V278" s="29" t="s">
        <v>269</v>
      </c>
      <c r="Y278" s="34">
        <v>46139.499444444446</v>
      </c>
      <c r="Z278" s="29" t="s">
        <v>2849</v>
      </c>
      <c r="AA278" s="6">
        <v>2.0</v>
      </c>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row>
    <row r="279" ht="22.5" hidden="1" customHeight="1">
      <c r="A279" s="29" t="s">
        <v>2850</v>
      </c>
      <c r="B279" s="30">
        <v>38488.0</v>
      </c>
      <c r="C279" s="29" t="s">
        <v>2851</v>
      </c>
      <c r="D279" s="31" t="s">
        <v>2852</v>
      </c>
      <c r="E279" s="29" t="s">
        <v>99</v>
      </c>
      <c r="F279" s="29" t="s">
        <v>62</v>
      </c>
      <c r="G279" s="32" t="str">
        <f>HYPERLINK("https://api.typeform.com/responses/files/e0a3382deedab1557c705fed0f36732e21d02375144091f75575e067d301d69f/CV___Game_Design_Intern___Võ_Đức_Cao_Thượng.pdf")</f>
        <v>https://api.typeform.com/responses/files/e0a3382deedab1557c705fed0f36732e21d02375144091f75575e067d301d69f/CV___Game_Design_Intern___Võ_Đức_Cao_Thượng.pdf</v>
      </c>
      <c r="H279" s="29" t="s">
        <v>2853</v>
      </c>
      <c r="I279" s="29" t="s">
        <v>2854</v>
      </c>
      <c r="J279" s="29" t="s">
        <v>715</v>
      </c>
      <c r="L279" s="29" t="s">
        <v>219</v>
      </c>
      <c r="M279" s="29" t="s">
        <v>930</v>
      </c>
      <c r="N279" s="33">
        <v>46680.0</v>
      </c>
      <c r="O279" s="31" t="s">
        <v>483</v>
      </c>
      <c r="P279" s="32" t="str">
        <f>HYPERLINK("https://api.typeform.com/responses/files/3a416fa21ce81670b2fa809906de0237cf6097d8578520af81646fbec5c90706/Transcript___Game_Design_Intern___Võ_Đức_Cao_Thượng.pdf")</f>
        <v>https://api.typeform.com/responses/files/3a416fa21ce81670b2fa809906de0237cf6097d8578520af81646fbec5c90706/Transcript___Game_Design_Intern___Võ_Đức_Cao_Thượng.pdf</v>
      </c>
      <c r="Q279" s="29" t="b">
        <v>0</v>
      </c>
      <c r="R279" s="29" t="s">
        <v>2855</v>
      </c>
      <c r="S279" s="29" t="s">
        <v>2856</v>
      </c>
      <c r="T279" s="29" t="s">
        <v>72</v>
      </c>
      <c r="U279" s="29" t="s">
        <v>72</v>
      </c>
      <c r="V279" s="29" t="s">
        <v>2389</v>
      </c>
      <c r="X279" s="29" t="s">
        <v>2857</v>
      </c>
      <c r="Y279" s="34">
        <v>46139.50728009259</v>
      </c>
      <c r="Z279" s="29" t="s">
        <v>2858</v>
      </c>
      <c r="AA279" s="6">
        <v>2.0</v>
      </c>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row>
    <row r="280" ht="22.5" hidden="1" customHeight="1">
      <c r="A280" s="29" t="s">
        <v>2859</v>
      </c>
      <c r="B280" s="30">
        <v>38125.0</v>
      </c>
      <c r="C280" s="29" t="s">
        <v>2860</v>
      </c>
      <c r="D280" s="31" t="s">
        <v>2861</v>
      </c>
      <c r="E280" s="29" t="s">
        <v>61</v>
      </c>
      <c r="F280" s="29" t="s">
        <v>61</v>
      </c>
      <c r="G280" s="32" t="str">
        <f>HYPERLINK("https://api.typeform.com/responses/files/759dadbbc1943f7a6be6dc4443872a44429792740f05307d9f28a7793791229d/CV___Unity_Development_Intern___Lê_Văn_Tài.pdf")</f>
        <v>https://api.typeform.com/responses/files/759dadbbc1943f7a6be6dc4443872a44429792740f05307d9f28a7793791229d/CV___Unity_Development_Intern___Lê_Văn_Tài.pdf</v>
      </c>
      <c r="H280" s="29" t="s">
        <v>2862</v>
      </c>
      <c r="I280" s="29" t="s">
        <v>2863</v>
      </c>
      <c r="J280" s="29" t="s">
        <v>244</v>
      </c>
      <c r="L280" s="29" t="s">
        <v>67</v>
      </c>
      <c r="M280" s="29" t="s">
        <v>104</v>
      </c>
      <c r="N280" s="33">
        <v>46296.0</v>
      </c>
      <c r="O280" s="31" t="s">
        <v>1696</v>
      </c>
      <c r="P280" s="32" t="str">
        <f>HYPERLINK("https://api.typeform.com/responses/files/5236b273f6fe39a03bb742e5a6b72ade9f6e2b266c8a44c93421095855082619/Transcript___Unity_Game_Developer_Internship___Lê_Văn_Tài.pdf")</f>
        <v>https://api.typeform.com/responses/files/5236b273f6fe39a03bb742e5a6b72ade9f6e2b266c8a44c93421095855082619/Transcript___Unity_Game_Developer_Internship___Lê_Văn_Tài.pdf</v>
      </c>
      <c r="Q280" s="29" t="b">
        <v>1</v>
      </c>
      <c r="R280" s="29" t="s">
        <v>2864</v>
      </c>
      <c r="S280" s="29" t="s">
        <v>2865</v>
      </c>
      <c r="T280" s="29" t="s">
        <v>72</v>
      </c>
      <c r="U280" s="29" t="s">
        <v>72</v>
      </c>
      <c r="V280" s="29" t="s">
        <v>90</v>
      </c>
      <c r="Y280" s="34">
        <v>46139.546319444446</v>
      </c>
      <c r="Z280" s="29" t="s">
        <v>2866</v>
      </c>
      <c r="AA280" s="6">
        <v>2.0</v>
      </c>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row>
    <row r="281" ht="22.5" hidden="1" customHeight="1">
      <c r="A281" s="29" t="s">
        <v>2867</v>
      </c>
      <c r="B281" s="30">
        <v>38705.0</v>
      </c>
      <c r="C281" s="29" t="s">
        <v>2868</v>
      </c>
      <c r="D281" s="31" t="s">
        <v>2869</v>
      </c>
      <c r="E281" s="29" t="s">
        <v>61</v>
      </c>
      <c r="F281" s="29" t="s">
        <v>62</v>
      </c>
      <c r="G281" s="32" t="str">
        <f>HYPERLINK("https://api.typeform.com/responses/files/99e7104fcfe1c72adc4920b3cfc4c510080eda8abdb1338177420ee1f488b360/CV_Unity_Developer_Nguyễn_Thanh_Tùng.pdf")</f>
        <v>https://api.typeform.com/responses/files/99e7104fcfe1c72adc4920b3cfc4c510080eda8abdb1338177420ee1f488b360/CV_Unity_Developer_Nguyễn_Thanh_Tùng.pdf</v>
      </c>
      <c r="H281" s="29" t="s">
        <v>2870</v>
      </c>
      <c r="I281" s="29" t="s">
        <v>2871</v>
      </c>
      <c r="J281" s="29" t="s">
        <v>65</v>
      </c>
      <c r="K281" s="29" t="s">
        <v>231</v>
      </c>
      <c r="L281" s="29" t="s">
        <v>169</v>
      </c>
      <c r="M281" s="29" t="s">
        <v>256</v>
      </c>
      <c r="N281" s="33">
        <v>46021.0</v>
      </c>
      <c r="O281" s="31" t="s">
        <v>613</v>
      </c>
      <c r="P281" s="32" t="str">
        <f>HYPERLINK("https://api.typeform.com/responses/files/69d722044344eeef0093c61cc66744d77df15a060cb178c842f068447d35edb6/Transript___Unity_Developer___Nguyễn_Thanh_Tùng.pdf")</f>
        <v>https://api.typeform.com/responses/files/69d722044344eeef0093c61cc66744d77df15a060cb178c842f068447d35edb6/Transript___Unity_Developer___Nguyễn_Thanh_Tùng.pdf</v>
      </c>
      <c r="Q281" s="29" t="b">
        <v>1</v>
      </c>
      <c r="R281" s="29" t="s">
        <v>2872</v>
      </c>
      <c r="S281" s="29" t="s">
        <v>2873</v>
      </c>
      <c r="T281" s="29" t="s">
        <v>72</v>
      </c>
      <c r="U281" s="29" t="s">
        <v>72</v>
      </c>
      <c r="V281" s="29" t="s">
        <v>73</v>
      </c>
      <c r="X281" s="29" t="s">
        <v>2874</v>
      </c>
      <c r="Y281" s="34">
        <v>46139.56791666667</v>
      </c>
      <c r="Z281" s="29" t="s">
        <v>2875</v>
      </c>
      <c r="AA281" s="6">
        <v>2.0</v>
      </c>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row>
    <row r="282" ht="22.5" hidden="1" customHeight="1">
      <c r="A282" s="29" t="s">
        <v>2876</v>
      </c>
      <c r="B282" s="30">
        <v>38654.0</v>
      </c>
      <c r="C282" s="29" t="s">
        <v>2877</v>
      </c>
      <c r="D282" s="31" t="s">
        <v>2878</v>
      </c>
      <c r="E282" s="29" t="s">
        <v>99</v>
      </c>
      <c r="F282" s="29" t="s">
        <v>61</v>
      </c>
      <c r="G282" s="32" t="str">
        <f>HYPERLINK("https://api.typeform.com/responses/files/c3d9e903be390c9dd713a5cc79ca1252f803c9d47e1b29f89deeee549af5fdf6/CV_GameDesignIntern_PhamMinhPhat.pdf")</f>
        <v>https://api.typeform.com/responses/files/c3d9e903be390c9dd713a5cc79ca1252f803c9d47e1b29f89deeee549af5fdf6/CV_GameDesignIntern_PhamMinhPhat.pdf</v>
      </c>
      <c r="H282" s="29" t="s">
        <v>2879</v>
      </c>
      <c r="I282" s="29" t="s">
        <v>2880</v>
      </c>
      <c r="J282" s="29" t="s">
        <v>65</v>
      </c>
      <c r="K282" s="29" t="s">
        <v>2881</v>
      </c>
      <c r="L282" s="29" t="s">
        <v>219</v>
      </c>
      <c r="M282" s="29" t="s">
        <v>2882</v>
      </c>
      <c r="N282" s="33">
        <v>46326.0</v>
      </c>
      <c r="O282" s="31" t="s">
        <v>147</v>
      </c>
      <c r="P282" s="32" t="str">
        <f>HYPERLINK("https://api.typeform.com/responses/files/8424f0cee6b9fc1fd4fd230f27a3e3058e1f87916c4618c1c5ccf4156a700aad/Transcript_GameDesignIntern_PhamMinhPhat.pdf")</f>
        <v>https://api.typeform.com/responses/files/8424f0cee6b9fc1fd4fd230f27a3e3058e1f87916c4618c1c5ccf4156a700aad/Transcript_GameDesignIntern_PhamMinhPhat.pdf</v>
      </c>
      <c r="Q282" s="29" t="b">
        <v>1</v>
      </c>
      <c r="R282" s="29" t="s">
        <v>2883</v>
      </c>
      <c r="S282" s="29" t="s">
        <v>2884</v>
      </c>
      <c r="T282" s="29" t="s">
        <v>72</v>
      </c>
      <c r="U282" s="29" t="s">
        <v>72</v>
      </c>
      <c r="V282" s="29" t="s">
        <v>2885</v>
      </c>
      <c r="X282" s="29" t="s">
        <v>2886</v>
      </c>
      <c r="Y282" s="34">
        <v>46139.57009259259</v>
      </c>
      <c r="Z282" s="29" t="s">
        <v>2887</v>
      </c>
      <c r="AA282" s="6">
        <v>2.0</v>
      </c>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row>
    <row r="283" ht="22.5" hidden="1" customHeight="1">
      <c r="A283" s="29" t="s">
        <v>2888</v>
      </c>
      <c r="B283" s="30">
        <v>38068.0</v>
      </c>
      <c r="C283" s="29" t="s">
        <v>2889</v>
      </c>
      <c r="D283" s="31" t="s">
        <v>2890</v>
      </c>
      <c r="E283" s="29" t="s">
        <v>62</v>
      </c>
      <c r="G283" s="32" t="str">
        <f>HYPERLINK("https://api.typeform.com/responses/files/d9c53c0775a8114c78f7b366c3eb620fae032e08e6bdb4a9f0036fc6f854bba3/CV___AI_Engineer_Intern___Phạm_Anh_Văn.pdf")</f>
        <v>https://api.typeform.com/responses/files/d9c53c0775a8114c78f7b366c3eb620fae032e08e6bdb4a9f0036fc6f854bba3/CV___AI_Engineer_Intern___Phạm_Anh_Văn.pdf</v>
      </c>
      <c r="H283" s="29" t="s">
        <v>2891</v>
      </c>
      <c r="I283" s="29" t="s">
        <v>2892</v>
      </c>
      <c r="J283" s="29" t="s">
        <v>326</v>
      </c>
      <c r="L283" s="29" t="s">
        <v>67</v>
      </c>
      <c r="M283" s="29" t="s">
        <v>384</v>
      </c>
      <c r="N283" s="33">
        <v>46295.0</v>
      </c>
      <c r="O283" s="31" t="s">
        <v>696</v>
      </c>
      <c r="P283" s="32" t="str">
        <f>HYPERLINK("https://api.typeform.com/responses/files/3b95907238ce194913192f7a629ed85d6d42eaa52790a218ff74c7395412251e/Transcript___AI_Engineer_Intern___Phạm_Anh_Văn.pdf")</f>
        <v>https://api.typeform.com/responses/files/3b95907238ce194913192f7a629ed85d6d42eaa52790a218ff74c7395412251e/Transcript___AI_Engineer_Intern___Phạm_Anh_Văn.pdf</v>
      </c>
      <c r="Q283" s="29" t="b">
        <v>0</v>
      </c>
      <c r="R283" s="29" t="s">
        <v>2893</v>
      </c>
      <c r="S283" s="29" t="s">
        <v>2894</v>
      </c>
      <c r="T283" s="29" t="s">
        <v>72</v>
      </c>
      <c r="U283" s="29" t="s">
        <v>72</v>
      </c>
      <c r="V283" s="29" t="s">
        <v>2895</v>
      </c>
      <c r="Y283" s="34">
        <v>46139.579872685186</v>
      </c>
      <c r="Z283" s="29" t="s">
        <v>2896</v>
      </c>
      <c r="AA283" s="6">
        <v>2.0</v>
      </c>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row>
    <row r="284" ht="22.5" hidden="1" customHeight="1">
      <c r="A284" s="29" t="s">
        <v>2897</v>
      </c>
      <c r="B284" s="30">
        <v>38654.0</v>
      </c>
      <c r="C284" s="29" t="s">
        <v>2898</v>
      </c>
      <c r="D284" s="31" t="s">
        <v>2899</v>
      </c>
      <c r="E284" s="29" t="s">
        <v>62</v>
      </c>
      <c r="F284" s="29" t="s">
        <v>82</v>
      </c>
      <c r="G284" s="32" t="str">
        <f>HYPERLINK("https://api.typeform.com/responses/files/e42ad0690863ee0c0807476615fecff714dfb6072bc8d98f5312ebbb85c33e5a/CV___AI_Engineering_Intern___Trần_Phan_Đăng_Khôi.pdf")</f>
        <v>https://api.typeform.com/responses/files/e42ad0690863ee0c0807476615fecff714dfb6072bc8d98f5312ebbb85c33e5a/CV___AI_Engineering_Intern___Trần_Phan_Đăng_Khôi.pdf</v>
      </c>
      <c r="H284" s="29" t="s">
        <v>2900</v>
      </c>
      <c r="I284" s="29" t="s">
        <v>2901</v>
      </c>
      <c r="J284" s="29" t="s">
        <v>715</v>
      </c>
      <c r="L284" s="29" t="s">
        <v>219</v>
      </c>
      <c r="M284" s="29" t="s">
        <v>2902</v>
      </c>
      <c r="N284" s="33">
        <v>46350.0</v>
      </c>
      <c r="O284" s="31" t="s">
        <v>1230</v>
      </c>
      <c r="P284" s="32" t="str">
        <f>HYPERLINK("https://api.typeform.com/responses/files/9398200d847916894d8c486fae0fa72e8ed58f55b905d8a14d3f5b52d4114d41/Transcript___AI_Engineering_Intern___Trần_Phan_Đăng_Khôi.pdf")</f>
        <v>https://api.typeform.com/responses/files/9398200d847916894d8c486fae0fa72e8ed58f55b905d8a14d3f5b52d4114d41/Transcript___AI_Engineering_Intern___Trần_Phan_Đăng_Khôi.pdf</v>
      </c>
      <c r="Q284" s="29" t="b">
        <v>1</v>
      </c>
      <c r="R284" s="29" t="s">
        <v>2903</v>
      </c>
      <c r="S284" s="29" t="s">
        <v>2904</v>
      </c>
      <c r="T284" s="29" t="s">
        <v>72</v>
      </c>
      <c r="U284" s="29" t="s">
        <v>72</v>
      </c>
      <c r="V284" s="29" t="s">
        <v>2556</v>
      </c>
      <c r="X284" s="29" t="s">
        <v>2905</v>
      </c>
      <c r="Y284" s="34">
        <v>46139.611122685186</v>
      </c>
      <c r="Z284" s="29" t="s">
        <v>2906</v>
      </c>
      <c r="AA284" s="6">
        <v>2.0</v>
      </c>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row>
    <row r="285" ht="22.5" hidden="1" customHeight="1">
      <c r="A285" s="29" t="s">
        <v>2907</v>
      </c>
      <c r="B285" s="30">
        <v>34579.0</v>
      </c>
      <c r="C285" s="29" t="s">
        <v>2908</v>
      </c>
      <c r="D285" s="31" t="s">
        <v>2909</v>
      </c>
      <c r="E285" s="29" t="s">
        <v>82</v>
      </c>
      <c r="F285" s="29" t="s">
        <v>99</v>
      </c>
      <c r="G285" s="32" t="str">
        <f>HYPERLINK("https://api.typeform.com/responses/files/a009391b92accbcc8513bff609b0f8fad28c84388d06d2ed975ccbc91761904a/CV___Data_Analysis_Intern___Dang_Quoc_Viet.pdf")</f>
        <v>https://api.typeform.com/responses/files/a009391b92accbcc8513bff609b0f8fad28c84388d06d2ed975ccbc91761904a/CV___Data_Analysis_Intern___Dang_Quoc_Viet.pdf</v>
      </c>
      <c r="H285" s="29" t="s">
        <v>2910</v>
      </c>
      <c r="I285" s="29" t="s">
        <v>2911</v>
      </c>
      <c r="J285" s="29" t="s">
        <v>842</v>
      </c>
      <c r="L285" s="29" t="s">
        <v>103</v>
      </c>
      <c r="M285" s="29" t="s">
        <v>2912</v>
      </c>
      <c r="N285" s="33">
        <v>46280.0</v>
      </c>
      <c r="O285" s="29" t="s">
        <v>2913</v>
      </c>
      <c r="P285" s="32" t="str">
        <f>HYPERLINK("https://api.typeform.com/responses/files/a529b1333b693ccdaed75e268bbabea57c01aad2fe0093200d2d6767750edcd5/Transcript___Data_Analysis_Intern___Dang_Quoc_Viet.pdf")</f>
        <v>https://api.typeform.com/responses/files/a529b1333b693ccdaed75e268bbabea57c01aad2fe0093200d2d6767750edcd5/Transcript___Data_Analysis_Intern___Dang_Quoc_Viet.pdf</v>
      </c>
      <c r="Q285" s="29" t="b">
        <v>1</v>
      </c>
      <c r="R285" s="29" t="s">
        <v>2914</v>
      </c>
      <c r="S285" s="29" t="s">
        <v>2915</v>
      </c>
      <c r="T285" s="29" t="s">
        <v>72</v>
      </c>
      <c r="U285" s="29" t="s">
        <v>72</v>
      </c>
      <c r="V285" s="29" t="s">
        <v>90</v>
      </c>
      <c r="X285" s="29" t="s">
        <v>2916</v>
      </c>
      <c r="Y285" s="34">
        <v>46139.62929398148</v>
      </c>
      <c r="Z285" s="29" t="s">
        <v>2917</v>
      </c>
      <c r="AA285" s="6">
        <v>2.0</v>
      </c>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row>
    <row r="286" ht="22.5" hidden="1" customHeight="1">
      <c r="A286" s="29" t="s">
        <v>2918</v>
      </c>
      <c r="B286" s="30">
        <v>38585.0</v>
      </c>
      <c r="C286" s="29" t="s">
        <v>2919</v>
      </c>
      <c r="D286" s="31" t="s">
        <v>2920</v>
      </c>
      <c r="E286" s="29" t="s">
        <v>62</v>
      </c>
      <c r="F286" s="29" t="s">
        <v>82</v>
      </c>
      <c r="G286" s="32" t="str">
        <f>HYPERLINK("https://api.typeform.com/responses/files/6a2413899bebd7adfa73a2c1dfd53d5c2d5870f423439e228ea905ec1aadda27/CV___AI_Engineer_Intern___Phạm_Thanh_Tùng.pdf")</f>
        <v>https://api.typeform.com/responses/files/6a2413899bebd7adfa73a2c1dfd53d5c2d5870f423439e228ea905ec1aadda27/CV___AI_Engineer_Intern___Phạm_Thanh_Tùng.pdf</v>
      </c>
      <c r="H286" s="29" t="s">
        <v>2921</v>
      </c>
      <c r="I286" s="29" t="s">
        <v>2922</v>
      </c>
      <c r="J286" s="29" t="s">
        <v>338</v>
      </c>
      <c r="L286" s="29" t="s">
        <v>219</v>
      </c>
      <c r="M286" s="29" t="s">
        <v>570</v>
      </c>
      <c r="N286" s="33">
        <v>46508.0</v>
      </c>
      <c r="O286" s="31" t="s">
        <v>147</v>
      </c>
      <c r="P286" s="32" t="str">
        <f>HYPERLINK("https://api.typeform.com/responses/files/319c68364c602301a01cd8d8fab42d04435ea8cb884b93b4a9634f62ced99b24/Transcripit___AI_Engineer_Intern___Phạm_Thanh_Tùng.pdf")</f>
        <v>https://api.typeform.com/responses/files/319c68364c602301a01cd8d8fab42d04435ea8cb884b93b4a9634f62ced99b24/Transcripit___AI_Engineer_Intern___Phạm_Thanh_Tùng.pdf</v>
      </c>
      <c r="Q286" s="29" t="b">
        <v>1</v>
      </c>
      <c r="R286" s="29" t="s">
        <v>2923</v>
      </c>
      <c r="S286" s="29" t="s">
        <v>2924</v>
      </c>
      <c r="T286" s="29" t="s">
        <v>72</v>
      </c>
      <c r="U286" s="29" t="s">
        <v>72</v>
      </c>
      <c r="V286" s="29" t="s">
        <v>90</v>
      </c>
      <c r="Y286" s="34">
        <v>46139.63552083333</v>
      </c>
      <c r="Z286" s="29" t="s">
        <v>2925</v>
      </c>
      <c r="AA286" s="6">
        <v>2.0</v>
      </c>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row>
    <row r="287" ht="22.5" hidden="1" customHeight="1">
      <c r="A287" s="29" t="s">
        <v>2926</v>
      </c>
      <c r="B287" s="30">
        <v>38261.0</v>
      </c>
      <c r="C287" s="29" t="s">
        <v>2927</v>
      </c>
      <c r="D287" s="31" t="s">
        <v>2928</v>
      </c>
      <c r="E287" s="29" t="s">
        <v>99</v>
      </c>
      <c r="F287" s="29" t="s">
        <v>127</v>
      </c>
      <c r="G287" s="32" t="str">
        <f>HYPERLINK("https://api.typeform.com/responses/files/a4a5136dc525001089ee88f240459dccbe2d8761dc44f62d211fcb3767385a9c/CV_Game_Desin_Intern_Đoàn_Nguyễn_Đan_Quỳnh.docx")</f>
        <v>https://api.typeform.com/responses/files/a4a5136dc525001089ee88f240459dccbe2d8761dc44f62d211fcb3767385a9c/CV_Game_Desin_Intern_Đoàn_Nguyễn_Đan_Quỳnh.docx</v>
      </c>
      <c r="H287" s="29" t="s">
        <v>2929</v>
      </c>
      <c r="I287" s="29" t="s">
        <v>2930</v>
      </c>
      <c r="J287" s="29" t="s">
        <v>65</v>
      </c>
      <c r="K287" s="29" t="s">
        <v>2931</v>
      </c>
      <c r="L287" s="29" t="s">
        <v>103</v>
      </c>
      <c r="M287" s="29" t="s">
        <v>624</v>
      </c>
      <c r="N287" s="33">
        <v>46121.0</v>
      </c>
      <c r="O287" s="31" t="s">
        <v>1659</v>
      </c>
      <c r="P287" s="32" t="str">
        <f>HYPERLINK("https://api.typeform.com/responses/files/88e757356362c2bf17123eb28aaf2c12de0312cf9683bca39c6e724ea0f99e22/Transcript_Game_Design_Intern_Đoàn_Nguyễn_Đan_Quỳnh_1.pdf")</f>
        <v>https://api.typeform.com/responses/files/88e757356362c2bf17123eb28aaf2c12de0312cf9683bca39c6e724ea0f99e22/Transcript_Game_Design_Intern_Đoàn_Nguyễn_Đan_Quỳnh_1.pdf</v>
      </c>
      <c r="Q287" s="29" t="b">
        <v>0</v>
      </c>
      <c r="R287" s="29" t="s">
        <v>2932</v>
      </c>
      <c r="S287" s="29" t="s">
        <v>2933</v>
      </c>
      <c r="T287" s="29" t="s">
        <v>72</v>
      </c>
      <c r="U287" s="29" t="s">
        <v>72</v>
      </c>
      <c r="V287" s="29" t="s">
        <v>90</v>
      </c>
      <c r="X287" s="29" t="s">
        <v>2934</v>
      </c>
      <c r="Y287" s="34">
        <v>46139.64256944445</v>
      </c>
      <c r="Z287" s="29" t="s">
        <v>2935</v>
      </c>
      <c r="AA287" s="6">
        <v>2.0</v>
      </c>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row>
    <row r="288" ht="22.5" hidden="1" customHeight="1">
      <c r="A288" s="29" t="s">
        <v>2936</v>
      </c>
      <c r="B288" s="30">
        <v>37846.0</v>
      </c>
      <c r="C288" s="29" t="s">
        <v>2937</v>
      </c>
      <c r="D288" s="31" t="s">
        <v>2938</v>
      </c>
      <c r="E288" s="29" t="s">
        <v>82</v>
      </c>
      <c r="F288" s="29" t="s">
        <v>774</v>
      </c>
      <c r="G288" s="32" t="str">
        <f>HYPERLINK("https://api.typeform.com/responses/files/4235eb66ee30ac658eb78411d60e0ffc74a0a5ca76b0d58e8647da8ae7e094b6/CV___Data_Analysis_Intern___Vo_Thi_Ngoc_Chi.pdf")</f>
        <v>https://api.typeform.com/responses/files/4235eb66ee30ac658eb78411d60e0ffc74a0a5ca76b0d58e8647da8ae7e094b6/CV___Data_Analysis_Intern___Vo_Thi_Ngoc_Chi.pdf</v>
      </c>
      <c r="H288" s="29" t="s">
        <v>2939</v>
      </c>
      <c r="I288" s="29" t="s">
        <v>2940</v>
      </c>
      <c r="J288" s="29" t="s">
        <v>1610</v>
      </c>
      <c r="L288" s="29" t="s">
        <v>67</v>
      </c>
      <c r="M288" s="29" t="s">
        <v>2941</v>
      </c>
      <c r="N288" s="33">
        <v>46244.0</v>
      </c>
      <c r="O288" s="31" t="s">
        <v>105</v>
      </c>
      <c r="P288" s="32" t="str">
        <f>HYPERLINK("https://api.typeform.com/responses/files/9ea942fe5c2bfc84f14dac92144d0c2c46a4c027b71bdbb4f98b6cb060d80e15/Transcript___Data_Analysis_Intern___Vo_Thi_Ngoc_Chi.pdf")</f>
        <v>https://api.typeform.com/responses/files/9ea942fe5c2bfc84f14dac92144d0c2c46a4c027b71bdbb4f98b6cb060d80e15/Transcript___Data_Analysis_Intern___Vo_Thi_Ngoc_Chi.pdf</v>
      </c>
      <c r="Q288" s="29" t="b">
        <v>1</v>
      </c>
      <c r="R288" s="29" t="s">
        <v>2942</v>
      </c>
      <c r="S288" s="29" t="s">
        <v>2943</v>
      </c>
      <c r="T288" s="29" t="s">
        <v>72</v>
      </c>
      <c r="U288" s="29" t="s">
        <v>72</v>
      </c>
      <c r="V288" s="29" t="s">
        <v>90</v>
      </c>
      <c r="X288" s="29" t="s">
        <v>2944</v>
      </c>
      <c r="Y288" s="34">
        <v>46139.64368055556</v>
      </c>
      <c r="Z288" s="29" t="s">
        <v>2945</v>
      </c>
      <c r="AA288" s="6">
        <v>2.0</v>
      </c>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row>
    <row r="289" ht="22.5" hidden="1" customHeight="1">
      <c r="A289" s="29" t="s">
        <v>2946</v>
      </c>
      <c r="B289" s="30">
        <v>38063.0</v>
      </c>
      <c r="C289" s="29" t="s">
        <v>2947</v>
      </c>
      <c r="D289" s="31" t="s">
        <v>2948</v>
      </c>
      <c r="E289" s="29" t="s">
        <v>62</v>
      </c>
      <c r="G289" s="32" t="str">
        <f>HYPERLINK("https://api.typeform.com/responses/files/57a193d4292cbeffd815cdea7810b6833423f3b4c528613ced54b0695bb253d4/CV___AI_Engineering_Intern___Cao_Huyền_My.pdf")</f>
        <v>https://api.typeform.com/responses/files/57a193d4292cbeffd815cdea7810b6833423f3b4c528613ced54b0695bb253d4/CV___AI_Engineering_Intern___Cao_Huyền_My.pdf</v>
      </c>
      <c r="H289" s="29" t="s">
        <v>2949</v>
      </c>
      <c r="I289" s="29" t="s">
        <v>2950</v>
      </c>
      <c r="J289" s="29" t="s">
        <v>85</v>
      </c>
      <c r="L289" s="29" t="s">
        <v>103</v>
      </c>
      <c r="M289" s="29" t="s">
        <v>570</v>
      </c>
      <c r="N289" s="33">
        <v>46111.0</v>
      </c>
      <c r="O289" s="31" t="s">
        <v>2951</v>
      </c>
      <c r="P289" s="32" t="str">
        <f>HYPERLINK("https://api.typeform.com/responses/files/a506b81cb41d7e88f92b76cfca699788d39a0c7747bce125d08c5cc631c442b6/Transcript___AI_Engineering_Intern___Cao_Huyền_My.pdf")</f>
        <v>https://api.typeform.com/responses/files/a506b81cb41d7e88f92b76cfca699788d39a0c7747bce125d08c5cc631c442b6/Transcript___AI_Engineering_Intern___Cao_Huyền_My.pdf</v>
      </c>
      <c r="Q289" s="29" t="b">
        <v>0</v>
      </c>
      <c r="R289" s="29" t="s">
        <v>300</v>
      </c>
      <c r="S289" s="29" t="s">
        <v>2952</v>
      </c>
      <c r="T289" s="29" t="s">
        <v>72</v>
      </c>
      <c r="U289" s="29" t="s">
        <v>72</v>
      </c>
      <c r="V289" s="29" t="s">
        <v>90</v>
      </c>
      <c r="X289" s="29" t="s">
        <v>2953</v>
      </c>
      <c r="Y289" s="34">
        <v>46139.64606481481</v>
      </c>
      <c r="Z289" s="29" t="s">
        <v>2954</v>
      </c>
      <c r="AA289" s="6">
        <v>2.0</v>
      </c>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row>
    <row r="290" ht="22.5" hidden="1" customHeight="1">
      <c r="A290" s="29" t="s">
        <v>2955</v>
      </c>
      <c r="B290" s="30">
        <v>38137.0</v>
      </c>
      <c r="C290" s="29" t="s">
        <v>2956</v>
      </c>
      <c r="D290" s="31" t="s">
        <v>2957</v>
      </c>
      <c r="E290" s="29" t="s">
        <v>62</v>
      </c>
      <c r="F290" s="29" t="s">
        <v>82</v>
      </c>
      <c r="G290" s="32" t="str">
        <f>HYPERLINK("https://api.typeform.com/responses/files/f44d7bbf01dcf39fd3aff62b87099b0c9c89ddec14316e45805cf935348cfe93/TrinhTanHao_internAI.pdf")</f>
        <v>https://api.typeform.com/responses/files/f44d7bbf01dcf39fd3aff62b87099b0c9c89ddec14316e45805cf935348cfe93/TrinhTanHao_internAI.pdf</v>
      </c>
      <c r="H290" s="29" t="s">
        <v>2958</v>
      </c>
      <c r="I290" s="29" t="s">
        <v>2959</v>
      </c>
      <c r="J290" s="29" t="s">
        <v>372</v>
      </c>
      <c r="L290" s="29" t="s">
        <v>67</v>
      </c>
      <c r="M290" s="29" t="s">
        <v>2960</v>
      </c>
      <c r="N290" s="33">
        <v>46476.0</v>
      </c>
      <c r="O290" s="31" t="s">
        <v>1260</v>
      </c>
      <c r="P290" s="32" t="str">
        <f>HYPERLINK("https://api.typeform.com/responses/files/8ad30b30c3120cbff3f892acaaf466a5559ba5039e23b214bb7166c304ac3d2b/Screenshot_2026_04_27_223757.png")</f>
        <v>https://api.typeform.com/responses/files/8ad30b30c3120cbff3f892acaaf466a5559ba5039e23b214bb7166c304ac3d2b/Screenshot_2026_04_27_223757.png</v>
      </c>
      <c r="Q290" s="29" t="b">
        <v>1</v>
      </c>
      <c r="R290" s="29" t="s">
        <v>2961</v>
      </c>
      <c r="S290" s="29" t="s">
        <v>2962</v>
      </c>
      <c r="T290" s="29" t="s">
        <v>72</v>
      </c>
      <c r="U290" s="29" t="s">
        <v>72</v>
      </c>
      <c r="V290" s="29" t="s">
        <v>90</v>
      </c>
      <c r="X290" s="29" t="s">
        <v>2963</v>
      </c>
      <c r="Y290" s="34">
        <v>46139.65324074074</v>
      </c>
      <c r="Z290" s="29" t="s">
        <v>2964</v>
      </c>
      <c r="AA290" s="6">
        <v>2.0</v>
      </c>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row>
    <row r="291" ht="22.5" hidden="1" customHeight="1">
      <c r="A291" s="29" t="s">
        <v>2965</v>
      </c>
      <c r="B291" s="30">
        <v>38442.0</v>
      </c>
      <c r="C291" s="29" t="s">
        <v>2966</v>
      </c>
      <c r="D291" s="31" t="s">
        <v>2967</v>
      </c>
      <c r="E291" s="29" t="s">
        <v>82</v>
      </c>
      <c r="F291" s="29" t="s">
        <v>82</v>
      </c>
      <c r="G291" s="32" t="str">
        <f>HYPERLINK("https://api.typeform.com/responses/files/3dc1e5ef408ff62767bec385b52fc2071c1cf55c97a7502da06ad90becc0c3af/CV_Data_Analysis_Intern_Dụng_Lan_Anh.pdf")</f>
        <v>https://api.typeform.com/responses/files/3dc1e5ef408ff62767bec385b52fc2071c1cf55c97a7502da06ad90becc0c3af/CV_Data_Analysis_Intern_Dụng_Lan_Anh.pdf</v>
      </c>
      <c r="H291" s="29" t="s">
        <v>2968</v>
      </c>
      <c r="I291" s="29" t="s">
        <v>2969</v>
      </c>
      <c r="J291" s="29" t="s">
        <v>1311</v>
      </c>
      <c r="L291" s="29" t="s">
        <v>219</v>
      </c>
      <c r="M291" s="29" t="s">
        <v>2970</v>
      </c>
      <c r="N291" s="33">
        <v>46501.0</v>
      </c>
      <c r="O291" s="31" t="s">
        <v>2397</v>
      </c>
      <c r="P291" s="32" t="str">
        <f>HYPERLINK("https://api.typeform.com/responses/files/b4bcbc0f5e32d0ce75a8e0dfd4b941516e1a907f5f72ee2b52d84261450dee0f/Transcript_Data_Analysis_Intern_Dụng_Lan_Anh.pdf")</f>
        <v>https://api.typeform.com/responses/files/b4bcbc0f5e32d0ce75a8e0dfd4b941516e1a907f5f72ee2b52d84261450dee0f/Transcript_Data_Analysis_Intern_Dụng_Lan_Anh.pdf</v>
      </c>
      <c r="Q291" s="29" t="b">
        <v>1</v>
      </c>
      <c r="R291" s="29" t="s">
        <v>2971</v>
      </c>
      <c r="S291" s="29" t="s">
        <v>2972</v>
      </c>
      <c r="T291" s="29" t="s">
        <v>72</v>
      </c>
      <c r="U291" s="29" t="s">
        <v>72</v>
      </c>
      <c r="V291" s="29" t="s">
        <v>73</v>
      </c>
      <c r="X291" s="29" t="s">
        <v>2973</v>
      </c>
      <c r="Y291" s="34">
        <v>46139.66148148148</v>
      </c>
      <c r="Z291" s="29" t="s">
        <v>2974</v>
      </c>
      <c r="AA291" s="6">
        <v>2.0</v>
      </c>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row>
    <row r="292" ht="22.5" hidden="1" customHeight="1">
      <c r="A292" s="29" t="s">
        <v>2975</v>
      </c>
      <c r="B292" s="30">
        <v>38651.0</v>
      </c>
      <c r="C292" s="29" t="s">
        <v>2976</v>
      </c>
      <c r="D292" s="31" t="s">
        <v>2977</v>
      </c>
      <c r="E292" s="29" t="s">
        <v>82</v>
      </c>
      <c r="F292" s="29" t="s">
        <v>82</v>
      </c>
      <c r="G292" s="32" t="str">
        <f>HYPERLINK("https://api.typeform.com/responses/files/07da1f1ed90e1077579ae4087398c9300aeb9652acd52691cfa163941b66a0cc/CV___Data_Analysis_Intern___Nguyễn_Văn_Lam.pdf")</f>
        <v>https://api.typeform.com/responses/files/07da1f1ed90e1077579ae4087398c9300aeb9652acd52691cfa163941b66a0cc/CV___Data_Analysis_Intern___Nguyễn_Văn_Lam.pdf</v>
      </c>
      <c r="H292" s="29" t="s">
        <v>2978</v>
      </c>
      <c r="I292" s="29" t="s">
        <v>2979</v>
      </c>
      <c r="J292" s="29" t="s">
        <v>2281</v>
      </c>
      <c r="L292" s="29" t="s">
        <v>219</v>
      </c>
      <c r="M292" s="29" t="s">
        <v>2679</v>
      </c>
      <c r="N292" s="33">
        <v>46451.0</v>
      </c>
      <c r="O292" s="31" t="s">
        <v>233</v>
      </c>
      <c r="P292" s="32" t="str">
        <f>HYPERLINK("https://api.typeform.com/responses/files/02dcc5ba5e49d474f704acb299e42fe2ddf89b1af7c001e196366ca70559eb9c/Transcript___Data_Analysis_Intern___Nguyễn_Văn_Lam.pdf")</f>
        <v>https://api.typeform.com/responses/files/02dcc5ba5e49d474f704acb299e42fe2ddf89b1af7c001e196366ca70559eb9c/Transcript___Data_Analysis_Intern___Nguyễn_Văn_Lam.pdf</v>
      </c>
      <c r="Q292" s="29" t="b">
        <v>1</v>
      </c>
      <c r="R292" s="29" t="s">
        <v>2980</v>
      </c>
      <c r="S292" s="29" t="s">
        <v>2981</v>
      </c>
      <c r="T292" s="29" t="s">
        <v>72</v>
      </c>
      <c r="U292" s="29" t="s">
        <v>72</v>
      </c>
      <c r="V292" s="29" t="s">
        <v>90</v>
      </c>
      <c r="X292" s="29" t="s">
        <v>2982</v>
      </c>
      <c r="Y292" s="34">
        <v>46139.66420138889</v>
      </c>
      <c r="Z292" s="29" t="s">
        <v>2983</v>
      </c>
      <c r="AA292" s="6">
        <v>2.0</v>
      </c>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row>
    <row r="293" ht="22.5" hidden="1" customHeight="1">
      <c r="A293" s="29" t="s">
        <v>2984</v>
      </c>
      <c r="B293" s="30">
        <v>38570.0</v>
      </c>
      <c r="C293" s="29" t="s">
        <v>2985</v>
      </c>
      <c r="D293" s="31" t="s">
        <v>2986</v>
      </c>
      <c r="E293" s="29" t="s">
        <v>62</v>
      </c>
      <c r="F293" s="29" t="s">
        <v>82</v>
      </c>
      <c r="G293" s="32" t="str">
        <f>HYPERLINK("https://api.typeform.com/responses/files/59e5af3c95ff53a3810dfc999443fb41b90fa0e34f48f0d05dbf3765ebdc0f20/CV___AI_Engineer_Intern___Nguyễn_Tất_Kiên.pdf")</f>
        <v>https://api.typeform.com/responses/files/59e5af3c95ff53a3810dfc999443fb41b90fa0e34f48f0d05dbf3765ebdc0f20/CV___AI_Engineer_Intern___Nguyễn_Tất_Kiên.pdf</v>
      </c>
      <c r="H293" s="29" t="s">
        <v>2987</v>
      </c>
      <c r="I293" s="29" t="s">
        <v>2988</v>
      </c>
      <c r="J293" s="29" t="s">
        <v>715</v>
      </c>
      <c r="L293" s="29" t="s">
        <v>219</v>
      </c>
      <c r="M293" s="29" t="s">
        <v>930</v>
      </c>
      <c r="N293" s="33">
        <v>46539.0</v>
      </c>
      <c r="O293" s="31" t="s">
        <v>2989</v>
      </c>
      <c r="P293" s="32" t="str">
        <f>HYPERLINK("https://api.typeform.com/responses/files/608bdf1e7840b8662f3f6ca3afff51e6e7bc0570684aabc3370cbfa1dbe534d5/Transcript___AI_Engineer_Intern___Nguyễn_Tất_Kiên.pdf")</f>
        <v>https://api.typeform.com/responses/files/608bdf1e7840b8662f3f6ca3afff51e6e7bc0570684aabc3370cbfa1dbe534d5/Transcript___AI_Engineer_Intern___Nguyễn_Tất_Kiên.pdf</v>
      </c>
      <c r="Q293" s="29" t="b">
        <v>1</v>
      </c>
      <c r="R293" s="29" t="s">
        <v>2990</v>
      </c>
      <c r="S293" s="29" t="s">
        <v>2991</v>
      </c>
      <c r="T293" s="29" t="s">
        <v>72</v>
      </c>
      <c r="U293" s="29" t="s">
        <v>72</v>
      </c>
      <c r="V293" s="29" t="s">
        <v>2992</v>
      </c>
      <c r="X293" s="29" t="s">
        <v>2993</v>
      </c>
      <c r="Y293" s="34">
        <v>46139.666608796295</v>
      </c>
      <c r="Z293" s="29" t="s">
        <v>2994</v>
      </c>
      <c r="AA293" s="6">
        <v>2.0</v>
      </c>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row>
    <row r="294" ht="22.5" hidden="1" customHeight="1">
      <c r="A294" s="29" t="s">
        <v>2995</v>
      </c>
      <c r="B294" s="30">
        <v>38548.0</v>
      </c>
      <c r="C294" s="29" t="s">
        <v>2996</v>
      </c>
      <c r="D294" s="31" t="s">
        <v>2997</v>
      </c>
      <c r="E294" s="29" t="s">
        <v>62</v>
      </c>
      <c r="F294" s="29" t="s">
        <v>82</v>
      </c>
      <c r="G294" s="32" t="str">
        <f>HYPERLINK("https://api.typeform.com/responses/files/605fe83fdfa8901b54f088a98702fcf3dff1a73d24e8da3ee8f85cbfed1f6b62/CV___AI_Engineer_Intern___Bùi_Nam_Việt.pdf")</f>
        <v>https://api.typeform.com/responses/files/605fe83fdfa8901b54f088a98702fcf3dff1a73d24e8da3ee8f85cbfed1f6b62/CV___AI_Engineer_Intern___Bùi_Nam_Việt.pdf</v>
      </c>
      <c r="H294" s="29" t="s">
        <v>2998</v>
      </c>
      <c r="I294" s="29" t="s">
        <v>2999</v>
      </c>
      <c r="J294" s="29" t="s">
        <v>326</v>
      </c>
      <c r="L294" s="29" t="s">
        <v>219</v>
      </c>
      <c r="M294" s="29" t="s">
        <v>384</v>
      </c>
      <c r="N294" s="33">
        <v>46569.0</v>
      </c>
      <c r="O294" s="31" t="s">
        <v>1291</v>
      </c>
      <c r="P294" s="32" t="str">
        <f>HYPERLINK("https://api.typeform.com/responses/files/b65e70b72db3731da6c3b512b1c62caa1531095adf058866c42671b2fbb6f181/Transcript___AI_Engineer_Intern___Bùi_Nam_Việt.pdf")</f>
        <v>https://api.typeform.com/responses/files/b65e70b72db3731da6c3b512b1c62caa1531095adf058866c42671b2fbb6f181/Transcript___AI_Engineer_Intern___Bùi_Nam_Việt.pdf</v>
      </c>
      <c r="Q294" s="29" t="b">
        <v>1</v>
      </c>
      <c r="R294" s="29" t="s">
        <v>3000</v>
      </c>
      <c r="S294" s="29" t="s">
        <v>3001</v>
      </c>
      <c r="T294" s="29" t="s">
        <v>72</v>
      </c>
      <c r="U294" s="29" t="s">
        <v>72</v>
      </c>
      <c r="V294" s="29" t="s">
        <v>2389</v>
      </c>
      <c r="X294" s="29" t="s">
        <v>3002</v>
      </c>
      <c r="Y294" s="34">
        <v>46139.66946759259</v>
      </c>
      <c r="Z294" s="29" t="s">
        <v>3003</v>
      </c>
      <c r="AA294" s="6">
        <v>2.0</v>
      </c>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row>
    <row r="295" ht="22.5" hidden="1" customHeight="1">
      <c r="A295" s="29" t="s">
        <v>3004</v>
      </c>
      <c r="B295" s="30">
        <v>37725.0</v>
      </c>
      <c r="C295" s="29" t="s">
        <v>3005</v>
      </c>
      <c r="D295" s="31" t="s">
        <v>3006</v>
      </c>
      <c r="E295" s="29" t="s">
        <v>99</v>
      </c>
      <c r="F295" s="29" t="s">
        <v>61</v>
      </c>
      <c r="G295" s="32" t="str">
        <f>HYPERLINK("https://api.typeform.com/responses/files/765576b759e215f4d1ebf68e9d63cb43970f761d69b43cf43f27b006ce507f16/CV_Game_Design_TranKhanhLinh.pdf")</f>
        <v>https://api.typeform.com/responses/files/765576b759e215f4d1ebf68e9d63cb43970f761d69b43cf43f27b006ce507f16/CV_Game_Design_TranKhanhLinh.pdf</v>
      </c>
      <c r="H295" s="29" t="s">
        <v>3007</v>
      </c>
      <c r="I295" s="29" t="s">
        <v>3008</v>
      </c>
      <c r="J295" s="29" t="s">
        <v>65</v>
      </c>
      <c r="K295" s="29" t="s">
        <v>231</v>
      </c>
      <c r="L295" s="29" t="s">
        <v>103</v>
      </c>
      <c r="M295" s="29" t="s">
        <v>3009</v>
      </c>
      <c r="N295" s="33">
        <v>45763.0</v>
      </c>
      <c r="O295" s="31" t="s">
        <v>2503</v>
      </c>
      <c r="P295" s="32" t="str">
        <f>HYPERLINK("https://api.typeform.com/responses/files/6a1cf58191681be6abe30e6eb230dfff9c7a5ac42ac1114b3e3e338f547fb488/Transcript_Game_Design_TranKhanhLinh.pdf")</f>
        <v>https://api.typeform.com/responses/files/6a1cf58191681be6abe30e6eb230dfff9c7a5ac42ac1114b3e3e338f547fb488/Transcript_Game_Design_TranKhanhLinh.pdf</v>
      </c>
      <c r="Q295" s="29" t="b">
        <v>1</v>
      </c>
      <c r="R295" s="29" t="s">
        <v>3010</v>
      </c>
      <c r="S295" s="29" t="s">
        <v>3011</v>
      </c>
      <c r="T295" s="29" t="s">
        <v>72</v>
      </c>
      <c r="U295" s="29" t="s">
        <v>72</v>
      </c>
      <c r="V295" s="29" t="s">
        <v>90</v>
      </c>
      <c r="X295" s="29" t="s">
        <v>3012</v>
      </c>
      <c r="Y295" s="34">
        <v>46139.68417824074</v>
      </c>
      <c r="Z295" s="29" t="s">
        <v>3013</v>
      </c>
      <c r="AA295" s="6">
        <v>2.0</v>
      </c>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row>
    <row r="296" ht="22.5" hidden="1" customHeight="1">
      <c r="A296" s="29" t="s">
        <v>3014</v>
      </c>
      <c r="B296" s="30">
        <v>38670.0</v>
      </c>
      <c r="C296" s="29" t="s">
        <v>3015</v>
      </c>
      <c r="D296" s="31" t="s">
        <v>3016</v>
      </c>
      <c r="E296" s="29" t="s">
        <v>127</v>
      </c>
      <c r="G296" s="32" t="str">
        <f>HYPERLINK("https://api.typeform.com/responses/files/4740b469bf5321b0b45603e1dd6c29cd70e1e05bf6a544f35d8dd534a01da1ac/CV___Quality_Assurance_Intern___Phùng_Ngọc_Tuấn.pdf")</f>
        <v>https://api.typeform.com/responses/files/4740b469bf5321b0b45603e1dd6c29cd70e1e05bf6a544f35d8dd534a01da1ac/CV___Quality_Assurance_Intern___Phùng_Ngọc_Tuấn.pdf</v>
      </c>
      <c r="H296" s="29" t="s">
        <v>3017</v>
      </c>
      <c r="I296" s="29" t="s">
        <v>3018</v>
      </c>
      <c r="J296" s="29" t="s">
        <v>326</v>
      </c>
      <c r="L296" s="29" t="s">
        <v>219</v>
      </c>
      <c r="M296" s="29" t="s">
        <v>446</v>
      </c>
      <c r="N296" s="33">
        <v>46631.0</v>
      </c>
      <c r="O296" s="31" t="s">
        <v>1220</v>
      </c>
      <c r="P296" s="32" t="str">
        <f>HYPERLINK("https://api.typeform.com/responses/files/acae2c3a29952c0f5126de6da80e04f3367c392fa9f34da3cc95f183f41affa7/Transcript___Quality_Assurance_Intern___Phùng_Ngọc_Tuấn.pdf")</f>
        <v>https://api.typeform.com/responses/files/acae2c3a29952c0f5126de6da80e04f3367c392fa9f34da3cc95f183f41affa7/Transcript___Quality_Assurance_Intern___Phùng_Ngọc_Tuấn.pdf</v>
      </c>
      <c r="Q296" s="29" t="b">
        <v>1</v>
      </c>
      <c r="R296" s="29" t="s">
        <v>3019</v>
      </c>
      <c r="S296" s="29" t="s">
        <v>883</v>
      </c>
      <c r="T296" s="29" t="s">
        <v>72</v>
      </c>
      <c r="U296" s="29" t="s">
        <v>72</v>
      </c>
      <c r="V296" s="29" t="s">
        <v>2389</v>
      </c>
      <c r="Y296" s="34">
        <v>46139.68792824074</v>
      </c>
      <c r="Z296" s="29" t="s">
        <v>3020</v>
      </c>
      <c r="AA296" s="6">
        <v>2.0</v>
      </c>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row>
    <row r="297" ht="22.5" hidden="1" customHeight="1">
      <c r="A297" s="29" t="s">
        <v>3021</v>
      </c>
      <c r="B297" s="30">
        <v>38129.0</v>
      </c>
      <c r="C297" s="29" t="s">
        <v>3022</v>
      </c>
      <c r="D297" s="31" t="s">
        <v>3023</v>
      </c>
      <c r="E297" s="29" t="s">
        <v>62</v>
      </c>
      <c r="F297" s="29" t="s">
        <v>62</v>
      </c>
      <c r="G297" s="32" t="str">
        <f>HYPERLINK("https://api.typeform.com/responses/files/f15df88fee1de1c86b0b4110bc89a6539851fc94770ab85ca3646600b47f2f3c/CV_AI_Engineer_Intern_Nguyễn_Việt_Hùng.pdf")</f>
        <v>https://api.typeform.com/responses/files/f15df88fee1de1c86b0b4110bc89a6539851fc94770ab85ca3646600b47f2f3c/CV_AI_Engineer_Intern_Nguyễn_Việt_Hùng.pdf</v>
      </c>
      <c r="H297" s="29" t="s">
        <v>3024</v>
      </c>
      <c r="I297" s="29" t="s">
        <v>3025</v>
      </c>
      <c r="J297" s="29" t="s">
        <v>715</v>
      </c>
      <c r="L297" s="29" t="s">
        <v>67</v>
      </c>
      <c r="M297" s="29" t="s">
        <v>3026</v>
      </c>
      <c r="N297" s="33">
        <v>46203.0</v>
      </c>
      <c r="O297" s="31" t="s">
        <v>3027</v>
      </c>
      <c r="P297" s="32" t="str">
        <f>HYPERLINK("https://api.typeform.com/responses/files/c5957033c07fad52838b6df329cfc8cb28ca2d2314b71e009dbb2280c3370c55/Transcript___AI_Engineer_Intern___Nguyễn_Việt_Hùng_.pdf")</f>
        <v>https://api.typeform.com/responses/files/c5957033c07fad52838b6df329cfc8cb28ca2d2314b71e009dbb2280c3370c55/Transcript___AI_Engineer_Intern___Nguyễn_Việt_Hùng_.pdf</v>
      </c>
      <c r="Q297" s="29" t="b">
        <v>1</v>
      </c>
      <c r="R297" s="29" t="s">
        <v>3028</v>
      </c>
      <c r="S297" s="29" t="s">
        <v>3029</v>
      </c>
      <c r="T297" s="29" t="s">
        <v>72</v>
      </c>
      <c r="U297" s="29" t="s">
        <v>72</v>
      </c>
      <c r="V297" s="29" t="s">
        <v>90</v>
      </c>
      <c r="X297" s="29" t="s">
        <v>3030</v>
      </c>
      <c r="Y297" s="34">
        <v>46139.68866898148</v>
      </c>
      <c r="Z297" s="29" t="s">
        <v>3031</v>
      </c>
      <c r="AA297" s="6">
        <v>2.0</v>
      </c>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row>
    <row r="298" ht="22.5" hidden="1" customHeight="1">
      <c r="A298" s="29" t="s">
        <v>3032</v>
      </c>
      <c r="B298" s="30">
        <v>38012.0</v>
      </c>
      <c r="C298" s="29" t="s">
        <v>3033</v>
      </c>
      <c r="D298" s="31" t="s">
        <v>3034</v>
      </c>
      <c r="E298" s="29" t="s">
        <v>62</v>
      </c>
      <c r="F298" s="29" t="s">
        <v>82</v>
      </c>
      <c r="G298" s="32" t="str">
        <f>HYPERLINK("https://api.typeform.com/responses/files/082b3dc6e764006e704a720707998ba7fc60690b0e87d0bbdc53ced84dd431ee/Do_Van_Dat_AI_Intern.pdf")</f>
        <v>https://api.typeform.com/responses/files/082b3dc6e764006e704a720707998ba7fc60690b0e87d0bbdc53ced84dd431ee/Do_Van_Dat_AI_Intern.pdf</v>
      </c>
      <c r="H298" s="29" t="s">
        <v>3035</v>
      </c>
      <c r="I298" s="29" t="s">
        <v>3036</v>
      </c>
      <c r="J298" s="29" t="s">
        <v>85</v>
      </c>
      <c r="L298" s="29" t="s">
        <v>103</v>
      </c>
      <c r="M298" s="29" t="s">
        <v>399</v>
      </c>
      <c r="N298" s="33">
        <v>46112.0</v>
      </c>
      <c r="O298" s="31" t="s">
        <v>1132</v>
      </c>
      <c r="P298" s="32" t="str">
        <f>HYPERLINK("https://api.typeform.com/responses/files/dfd396722b57e88e01526c43f40556b4693846b38e6ed81507b47deb27ee4a2e/Transcript___AI_Engineer_Intern___Đỗ_Văn_Đạt.pdf")</f>
        <v>https://api.typeform.com/responses/files/dfd396722b57e88e01526c43f40556b4693846b38e6ed81507b47deb27ee4a2e/Transcript___AI_Engineer_Intern___Đỗ_Văn_Đạt.pdf</v>
      </c>
      <c r="Q298" s="29" t="b">
        <v>1</v>
      </c>
      <c r="R298" s="29" t="s">
        <v>3037</v>
      </c>
      <c r="S298" s="29" t="s">
        <v>3038</v>
      </c>
      <c r="T298" s="29" t="s">
        <v>72</v>
      </c>
      <c r="U298" s="29" t="s">
        <v>72</v>
      </c>
      <c r="V298" s="29" t="s">
        <v>236</v>
      </c>
      <c r="X298" s="29" t="s">
        <v>3039</v>
      </c>
      <c r="Y298" s="34">
        <v>46139.70039351852</v>
      </c>
      <c r="Z298" s="29" t="s">
        <v>3040</v>
      </c>
      <c r="AA298" s="6">
        <v>2.0</v>
      </c>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row>
    <row r="299" ht="22.5" hidden="1" customHeight="1">
      <c r="A299" s="29" t="s">
        <v>3041</v>
      </c>
      <c r="B299" s="30">
        <v>38012.0</v>
      </c>
      <c r="C299" s="29" t="s">
        <v>3042</v>
      </c>
      <c r="D299" s="31" t="s">
        <v>3043</v>
      </c>
      <c r="E299" s="29" t="s">
        <v>62</v>
      </c>
      <c r="F299" s="29" t="s">
        <v>82</v>
      </c>
      <c r="G299" s="32" t="str">
        <f>HYPERLINK("https://api.typeform.com/responses/files/e3872ca6ef993caba288de80450969ca16c2036bda9b1924da3a84b96154c64b/CV___AI_Engineer_Intern___Lê_Cường_Thịnh.pdf")</f>
        <v>https://api.typeform.com/responses/files/e3872ca6ef993caba288de80450969ca16c2036bda9b1924da3a84b96154c64b/CV___AI_Engineer_Intern___Lê_Cường_Thịnh.pdf</v>
      </c>
      <c r="H299" s="29" t="s">
        <v>3044</v>
      </c>
      <c r="I299" s="29" t="s">
        <v>3045</v>
      </c>
      <c r="J299" s="29" t="s">
        <v>85</v>
      </c>
      <c r="L299" s="29" t="s">
        <v>3046</v>
      </c>
      <c r="M299" s="29" t="s">
        <v>399</v>
      </c>
      <c r="N299" s="33">
        <v>46188.0</v>
      </c>
      <c r="O299" s="31" t="s">
        <v>3047</v>
      </c>
      <c r="P299" s="32" t="str">
        <f>HYPERLINK("https://api.typeform.com/responses/files/273c273b00c812a4091f42be91af6f0142dd6489744f7dc08d6b656228adc72e/Transcript___AI_Engineer_Intern___Lê_Cường_Thịnh.pdf")</f>
        <v>https://api.typeform.com/responses/files/273c273b00c812a4091f42be91af6f0142dd6489744f7dc08d6b656228adc72e/Transcript___AI_Engineer_Intern___Lê_Cường_Thịnh.pdf</v>
      </c>
      <c r="Q299" s="29" t="b">
        <v>1</v>
      </c>
      <c r="R299" s="29" t="s">
        <v>3048</v>
      </c>
      <c r="S299" s="29" t="s">
        <v>3049</v>
      </c>
      <c r="T299" s="29" t="s">
        <v>72</v>
      </c>
      <c r="U299" s="29" t="s">
        <v>72</v>
      </c>
      <c r="V299" s="29" t="s">
        <v>2389</v>
      </c>
      <c r="X299" s="29" t="s">
        <v>3050</v>
      </c>
      <c r="Y299" s="34">
        <v>46139.73875</v>
      </c>
      <c r="Z299" s="29" t="s">
        <v>3051</v>
      </c>
      <c r="AA299" s="6">
        <v>2.0</v>
      </c>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row>
    <row r="300" ht="22.5" hidden="1" customHeight="1">
      <c r="A300" s="29" t="s">
        <v>3052</v>
      </c>
      <c r="B300" s="30">
        <v>37996.0</v>
      </c>
      <c r="C300" s="29" t="s">
        <v>3053</v>
      </c>
      <c r="D300" s="31" t="s">
        <v>3054</v>
      </c>
      <c r="E300" s="29" t="s">
        <v>99</v>
      </c>
      <c r="F300" s="29" t="s">
        <v>99</v>
      </c>
      <c r="G300" s="32" t="str">
        <f>HYPERLINK("https://api.typeform.com/responses/files/deaf0b89238194c92429ecb70ccd6b8e3958dac7f7a67f424e02b9e5cb661d54/CV___Game_Design_Intern___Nguyễn_Thúy_Thương.pdf")</f>
        <v>https://api.typeform.com/responses/files/deaf0b89238194c92429ecb70ccd6b8e3958dac7f7a67f424e02b9e5cb661d54/CV___Game_Design_Intern___Nguyễn_Thúy_Thương.pdf</v>
      </c>
      <c r="H300" s="29" t="s">
        <v>3055</v>
      </c>
      <c r="I300" s="29" t="s">
        <v>3056</v>
      </c>
      <c r="J300" s="29" t="s">
        <v>1069</v>
      </c>
      <c r="L300" s="29" t="s">
        <v>67</v>
      </c>
      <c r="M300" s="29" t="s">
        <v>3057</v>
      </c>
      <c r="N300" s="33">
        <v>37996.0</v>
      </c>
      <c r="O300" s="31" t="s">
        <v>3058</v>
      </c>
      <c r="P300" s="32" t="str">
        <f>HYPERLINK("https://api.typeform.com/responses/files/c2c563cc703208cc9ff3a5b1c8706c6115a041ecbb2bd634e3a41572d19949f0/Transcript___Game_Design_Intern___Nguyễn_Thúy_Thương.xlsx")</f>
        <v>https://api.typeform.com/responses/files/c2c563cc703208cc9ff3a5b1c8706c6115a041ecbb2bd634e3a41572d19949f0/Transcript___Game_Design_Intern___Nguyễn_Thúy_Thương.xlsx</v>
      </c>
      <c r="Q300" s="29" t="b">
        <v>1</v>
      </c>
      <c r="R300" s="29" t="s">
        <v>3059</v>
      </c>
      <c r="S300" s="29" t="s">
        <v>3060</v>
      </c>
      <c r="T300" s="29" t="s">
        <v>72</v>
      </c>
      <c r="U300" s="29" t="s">
        <v>72</v>
      </c>
      <c r="V300" s="29" t="s">
        <v>90</v>
      </c>
      <c r="X300" s="29" t="s">
        <v>3061</v>
      </c>
      <c r="Y300" s="34">
        <v>46139.78836805555</v>
      </c>
      <c r="Z300" s="29" t="s">
        <v>3062</v>
      </c>
      <c r="AA300" s="6">
        <v>2.0</v>
      </c>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row>
    <row r="301" ht="22.5" hidden="1" customHeight="1">
      <c r="A301" s="29" t="s">
        <v>3063</v>
      </c>
      <c r="B301" s="30">
        <v>38594.0</v>
      </c>
      <c r="C301" s="29" t="s">
        <v>3064</v>
      </c>
      <c r="D301" s="31" t="s">
        <v>3065</v>
      </c>
      <c r="E301" s="29" t="s">
        <v>62</v>
      </c>
      <c r="F301" s="29" t="s">
        <v>82</v>
      </c>
      <c r="G301" s="32" t="str">
        <f>HYPERLINK("https://api.typeform.com/responses/files/25ab38e23037137bc16de3dd62334bf293e04a363954386779d6d0c26fdeddd8/CV___AI_Engineer_Intern___Nguyễn_Đồng_Thanh.pdf")</f>
        <v>https://api.typeform.com/responses/files/25ab38e23037137bc16de3dd62334bf293e04a363954386779d6d0c26fdeddd8/CV___AI_Engineer_Intern___Nguyễn_Đồng_Thanh.pdf</v>
      </c>
      <c r="H301" s="29" t="s">
        <v>3066</v>
      </c>
      <c r="I301" s="29" t="s">
        <v>3067</v>
      </c>
      <c r="J301" s="29" t="s">
        <v>326</v>
      </c>
      <c r="L301" s="29" t="s">
        <v>219</v>
      </c>
      <c r="M301" s="29" t="s">
        <v>384</v>
      </c>
      <c r="N301" s="33">
        <v>46631.0</v>
      </c>
      <c r="O301" s="31" t="s">
        <v>3068</v>
      </c>
      <c r="P301" s="32" t="str">
        <f>HYPERLINK("https://api.typeform.com/responses/files/0178355bda90ffad9ca953a4b6eb9e17fc24b31cbf585257cc87e2bf3247e164/Transcript___AI_Engineer_Intern___Nguyễn_Đồng_Thanh.png")</f>
        <v>https://api.typeform.com/responses/files/0178355bda90ffad9ca953a4b6eb9e17fc24b31cbf585257cc87e2bf3247e164/Transcript___AI_Engineer_Intern___Nguyễn_Đồng_Thanh.png</v>
      </c>
      <c r="Q301" s="29" t="b">
        <v>0</v>
      </c>
      <c r="R301" s="29" t="s">
        <v>3069</v>
      </c>
      <c r="S301" s="29" t="s">
        <v>3070</v>
      </c>
      <c r="T301" s="29" t="s">
        <v>72</v>
      </c>
      <c r="U301" s="29" t="s">
        <v>72</v>
      </c>
      <c r="V301" s="29" t="s">
        <v>73</v>
      </c>
      <c r="X301" s="29" t="s">
        <v>3071</v>
      </c>
      <c r="Y301" s="34">
        <v>46140.08491898148</v>
      </c>
      <c r="Z301" s="29" t="s">
        <v>3072</v>
      </c>
      <c r="AA301" s="6">
        <v>2.0</v>
      </c>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row>
    <row r="302" ht="22.5" hidden="1" customHeight="1">
      <c r="A302" s="29" t="s">
        <v>3073</v>
      </c>
      <c r="B302" s="30">
        <v>36613.0</v>
      </c>
      <c r="C302" s="29" t="s">
        <v>3074</v>
      </c>
      <c r="D302" s="31" t="s">
        <v>3075</v>
      </c>
      <c r="E302" s="29" t="s">
        <v>61</v>
      </c>
      <c r="F302" s="29" t="s">
        <v>61</v>
      </c>
      <c r="G302" s="32" t="str">
        <f>HYPERLINK("https://api.typeform.com/responses/files/7aa482b5dfd2f4b3d258f9fab9abea37c2b9f71b2798ece22f4813340cf1702c/Vu_Hoang_Long___Game_Developer.pdf")</f>
        <v>https://api.typeform.com/responses/files/7aa482b5dfd2f4b3d258f9fab9abea37c2b9f71b2798ece22f4813340cf1702c/Vu_Hoang_Long___Game_Developer.pdf</v>
      </c>
      <c r="H302" s="29" t="s">
        <v>3076</v>
      </c>
      <c r="I302" s="29" t="s">
        <v>3077</v>
      </c>
      <c r="J302" s="29" t="s">
        <v>65</v>
      </c>
      <c r="K302" s="29" t="s">
        <v>3078</v>
      </c>
      <c r="L302" s="29" t="s">
        <v>103</v>
      </c>
      <c r="M302" s="29" t="s">
        <v>3079</v>
      </c>
      <c r="N302" s="33">
        <v>46041.0</v>
      </c>
      <c r="O302" s="31" t="s">
        <v>362</v>
      </c>
      <c r="P302" s="32" t="str">
        <f>HYPERLINK("https://api.typeform.com/responses/files/054f4a33d0427be3733dd54cb5ea5629e46e8506d33d41cbcc0c9540484d593e/Transcript___Unity_Game_Developer___Vu_Hoang_Long.PNG")</f>
        <v>https://api.typeform.com/responses/files/054f4a33d0427be3733dd54cb5ea5629e46e8506d33d41cbcc0c9540484d593e/Transcript___Unity_Game_Developer___Vu_Hoang_Long.PNG</v>
      </c>
      <c r="Q302" s="29" t="b">
        <v>1</v>
      </c>
      <c r="R302" s="29" t="s">
        <v>3080</v>
      </c>
      <c r="S302" s="29" t="s">
        <v>3081</v>
      </c>
      <c r="T302" s="29" t="s">
        <v>72</v>
      </c>
      <c r="U302" s="29" t="s">
        <v>72</v>
      </c>
      <c r="V302" s="29" t="s">
        <v>90</v>
      </c>
      <c r="X302" s="29" t="s">
        <v>3082</v>
      </c>
      <c r="Y302" s="34">
        <v>46140.113958333335</v>
      </c>
      <c r="Z302" s="29" t="s">
        <v>3083</v>
      </c>
      <c r="AA302" s="6">
        <v>2.0</v>
      </c>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row>
    <row r="303" ht="22.5" hidden="1" customHeight="1">
      <c r="A303" s="29" t="s">
        <v>3084</v>
      </c>
      <c r="B303" s="30">
        <v>38166.0</v>
      </c>
      <c r="C303" s="29" t="s">
        <v>3085</v>
      </c>
      <c r="D303" s="31" t="s">
        <v>3086</v>
      </c>
      <c r="E303" s="29" t="s">
        <v>62</v>
      </c>
      <c r="F303" s="29" t="s">
        <v>82</v>
      </c>
      <c r="G303" s="32" t="str">
        <f>HYPERLINK("https://api.typeform.com/responses/files/99d71161ed4ecbb00915046c3fabfb2f933f6abb5b0540523508eb2bee23f076/Resume___Nguyen_Duy_Huan_.pdf")</f>
        <v>https://api.typeform.com/responses/files/99d71161ed4ecbb00915046c3fabfb2f933f6abb5b0540523508eb2bee23f076/Resume___Nguyen_Duy_Huan_.pdf</v>
      </c>
      <c r="H303" s="29" t="s">
        <v>3087</v>
      </c>
      <c r="I303" s="29" t="s">
        <v>3088</v>
      </c>
      <c r="J303" s="29" t="s">
        <v>326</v>
      </c>
      <c r="L303" s="29" t="s">
        <v>67</v>
      </c>
      <c r="M303" s="29" t="s">
        <v>86</v>
      </c>
      <c r="N303" s="33">
        <v>46254.0</v>
      </c>
      <c r="O303" s="31" t="s">
        <v>613</v>
      </c>
      <c r="P303" s="32" t="str">
        <f>HYPERLINK("https://api.typeform.com/responses/files/07918f701f043951916e6c9bbfd424c5362f8f18f4588de2def7fdde67094069/Transcript_Nguyen_Duy_Huan.pdf")</f>
        <v>https://api.typeform.com/responses/files/07918f701f043951916e6c9bbfd424c5362f8f18f4588de2def7fdde67094069/Transcript_Nguyen_Duy_Huan.pdf</v>
      </c>
      <c r="Q303" s="29" t="b">
        <v>0</v>
      </c>
      <c r="R303" s="29" t="s">
        <v>3089</v>
      </c>
      <c r="S303" s="29" t="s">
        <v>3090</v>
      </c>
      <c r="T303" s="29" t="s">
        <v>72</v>
      </c>
      <c r="U303" s="29" t="s">
        <v>72</v>
      </c>
      <c r="V303" s="29" t="s">
        <v>269</v>
      </c>
      <c r="X303" s="29" t="s">
        <v>3091</v>
      </c>
      <c r="Y303" s="34">
        <v>46140.11850694445</v>
      </c>
      <c r="Z303" s="29" t="s">
        <v>3092</v>
      </c>
      <c r="AA303" s="6">
        <v>2.0</v>
      </c>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row>
    <row r="304" ht="22.5" hidden="1" customHeight="1">
      <c r="A304" s="29" t="s">
        <v>3093</v>
      </c>
      <c r="B304" s="30">
        <v>38234.0</v>
      </c>
      <c r="C304" s="29" t="s">
        <v>3094</v>
      </c>
      <c r="D304" s="31" t="s">
        <v>3095</v>
      </c>
      <c r="E304" s="29" t="s">
        <v>127</v>
      </c>
      <c r="F304" s="29" t="s">
        <v>127</v>
      </c>
      <c r="G304" s="32" t="str">
        <f>HYPERLINK("https://api.typeform.com/responses/files/de0c4f2ca04b85e6343598dbd053c24a88735017b84e754267d177169c9e8884/CV___Game_QA_Intern___Lê_Thái_Khánh_Ngân.pdf")</f>
        <v>https://api.typeform.com/responses/files/de0c4f2ca04b85e6343598dbd053c24a88735017b84e754267d177169c9e8884/CV___Game_QA_Intern___Lê_Thái_Khánh_Ngân.pdf</v>
      </c>
      <c r="H304" s="29" t="s">
        <v>3096</v>
      </c>
      <c r="I304" s="29" t="s">
        <v>3097</v>
      </c>
      <c r="J304" s="29" t="s">
        <v>85</v>
      </c>
      <c r="L304" s="29" t="s">
        <v>103</v>
      </c>
      <c r="M304" s="29" t="s">
        <v>900</v>
      </c>
      <c r="N304" s="33">
        <v>46182.0</v>
      </c>
      <c r="O304" s="31" t="s">
        <v>1792</v>
      </c>
      <c r="P304" s="32" t="str">
        <f>HYPERLINK("https://api.typeform.com/responses/files/d72291958ed546dae7869acdd92b1954654b69de4c101d4a130fa5c780b792ec/Transcript___Game_QA_Intern___Lê_Thái_Khánh_Ngân.pdf")</f>
        <v>https://api.typeform.com/responses/files/d72291958ed546dae7869acdd92b1954654b69de4c101d4a130fa5c780b792ec/Transcript___Game_QA_Intern___Lê_Thái_Khánh_Ngân.pdf</v>
      </c>
      <c r="Q304" s="29" t="b">
        <v>1</v>
      </c>
      <c r="R304" s="29" t="s">
        <v>3098</v>
      </c>
      <c r="S304" s="29" t="s">
        <v>3099</v>
      </c>
      <c r="T304" s="29" t="s">
        <v>72</v>
      </c>
      <c r="U304" s="29" t="s">
        <v>72</v>
      </c>
      <c r="V304" s="29" t="s">
        <v>236</v>
      </c>
      <c r="X304" s="29" t="s">
        <v>3100</v>
      </c>
      <c r="Y304" s="34">
        <v>46140.13011574074</v>
      </c>
      <c r="Z304" s="29" t="s">
        <v>3101</v>
      </c>
      <c r="AA304" s="6">
        <v>2.0</v>
      </c>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row>
    <row r="305" ht="22.5" hidden="1" customHeight="1">
      <c r="A305" s="29" t="s">
        <v>3102</v>
      </c>
      <c r="B305" s="30">
        <v>38012.0</v>
      </c>
      <c r="C305" s="29" t="s">
        <v>3103</v>
      </c>
      <c r="D305" s="31" t="s">
        <v>3104</v>
      </c>
      <c r="E305" s="29" t="s">
        <v>61</v>
      </c>
      <c r="F305" s="29" t="s">
        <v>99</v>
      </c>
      <c r="G305" s="32" t="str">
        <f>HYPERLINK("https://api.typeform.com/responses/files/12b51474639b922550c1b1c3d0e25dca2e1f47f45dc800ec457ab37fbca86695/CV___Unity_Development_Intern___Nguyễn_Mạnh_Hùng.pdf")</f>
        <v>https://api.typeform.com/responses/files/12b51474639b922550c1b1c3d0e25dca2e1f47f45dc800ec457ab37fbca86695/CV___Unity_Development_Intern___Nguyễn_Mạnh_Hùng.pdf</v>
      </c>
      <c r="H305" s="29" t="s">
        <v>3105</v>
      </c>
      <c r="I305" s="29" t="s">
        <v>3106</v>
      </c>
      <c r="J305" s="29" t="s">
        <v>715</v>
      </c>
      <c r="L305" s="29" t="s">
        <v>67</v>
      </c>
      <c r="M305" s="29" t="s">
        <v>399</v>
      </c>
      <c r="N305" s="33">
        <v>46188.0</v>
      </c>
      <c r="O305" s="31" t="s">
        <v>1260</v>
      </c>
      <c r="P305" s="32" t="str">
        <f>HYPERLINK("https://api.typeform.com/responses/files/d3079af10677f22cae4d51a9a42526f18ad160865807c05a17f8e6bdda682460/Transcript___Unity_Development_Intern___Nguyễn_Mạnh_Hùng.pdf")</f>
        <v>https://api.typeform.com/responses/files/d3079af10677f22cae4d51a9a42526f18ad160865807c05a17f8e6bdda682460/Transcript___Unity_Development_Intern___Nguyễn_Mạnh_Hùng.pdf</v>
      </c>
      <c r="Q305" s="29" t="b">
        <v>1</v>
      </c>
      <c r="R305" s="29" t="s">
        <v>3107</v>
      </c>
      <c r="S305" s="29" t="s">
        <v>3108</v>
      </c>
      <c r="T305" s="29" t="s">
        <v>72</v>
      </c>
      <c r="U305" s="29" t="s">
        <v>72</v>
      </c>
      <c r="V305" s="29" t="s">
        <v>2389</v>
      </c>
      <c r="X305" s="29" t="s">
        <v>3109</v>
      </c>
      <c r="Y305" s="34">
        <v>46140.13439814815</v>
      </c>
      <c r="Z305" s="29" t="s">
        <v>3110</v>
      </c>
      <c r="AA305" s="6">
        <v>2.0</v>
      </c>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row>
    <row r="306" ht="22.5" hidden="1" customHeight="1">
      <c r="A306" s="29" t="s">
        <v>3111</v>
      </c>
      <c r="B306" s="30">
        <v>37353.0</v>
      </c>
      <c r="C306" s="29" t="s">
        <v>3112</v>
      </c>
      <c r="D306" s="31" t="s">
        <v>3113</v>
      </c>
      <c r="E306" s="29" t="s">
        <v>61</v>
      </c>
      <c r="F306" s="29" t="s">
        <v>99</v>
      </c>
      <c r="G306" s="32" t="str">
        <f>HYPERLINK("https://api.typeform.com/responses/files/f4e5dfeb5dc6130a920d9e084ca06253a36359d8b0e743fe15d07d92a2e30e2e/CV___Unity_Development_Intern___NguyenTranPhuocLoc.pdf")</f>
        <v>https://api.typeform.com/responses/files/f4e5dfeb5dc6130a920d9e084ca06253a36359d8b0e743fe15d07d92a2e30e2e/CV___Unity_Development_Intern___NguyenTranPhuocLoc.pdf</v>
      </c>
      <c r="H306" s="29" t="s">
        <v>3114</v>
      </c>
      <c r="I306" s="29" t="s">
        <v>3115</v>
      </c>
      <c r="J306" s="29" t="s">
        <v>3116</v>
      </c>
      <c r="L306" s="29" t="s">
        <v>103</v>
      </c>
      <c r="M306" s="29" t="s">
        <v>132</v>
      </c>
      <c r="N306" s="33">
        <v>45474.0</v>
      </c>
      <c r="O306" s="29" t="s">
        <v>3117</v>
      </c>
      <c r="P306" s="32" t="str">
        <f>HYPERLINK("https://api.typeform.com/responses/files/6f087ab6231e80b1133782c7d35cac9c6dd377a6c1dea6aa8554029334ab08b6/Transcript___Unity_Development_Intern___NguyenTranPhuocLoc.pdf")</f>
        <v>https://api.typeform.com/responses/files/6f087ab6231e80b1133782c7d35cac9c6dd377a6c1dea6aa8554029334ab08b6/Transcript___Unity_Development_Intern___NguyenTranPhuocLoc.pdf</v>
      </c>
      <c r="Q306" s="29" t="b">
        <v>1</v>
      </c>
      <c r="R306" s="29" t="s">
        <v>3118</v>
      </c>
      <c r="S306" s="29" t="s">
        <v>3119</v>
      </c>
      <c r="T306" s="29" t="s">
        <v>72</v>
      </c>
      <c r="U306" s="29" t="s">
        <v>72</v>
      </c>
      <c r="V306" s="29" t="s">
        <v>3120</v>
      </c>
      <c r="X306" s="29" t="s">
        <v>3121</v>
      </c>
      <c r="Y306" s="34">
        <v>46140.14251157407</v>
      </c>
      <c r="Z306" s="29" t="s">
        <v>3122</v>
      </c>
      <c r="AA306" s="6">
        <v>2.0</v>
      </c>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row>
    <row r="307" ht="22.5" hidden="1" customHeight="1">
      <c r="A307" s="29" t="s">
        <v>3123</v>
      </c>
      <c r="B307" s="30">
        <v>37781.0</v>
      </c>
      <c r="C307" s="29" t="s">
        <v>3124</v>
      </c>
      <c r="D307" s="31" t="s">
        <v>3125</v>
      </c>
      <c r="E307" s="29" t="s">
        <v>61</v>
      </c>
      <c r="F307" s="29" t="s">
        <v>774</v>
      </c>
      <c r="G307" s="32" t="str">
        <f>HYPERLINK("https://api.typeform.com/responses/files/dc27ea6fc253615b5599296a3a708360b90b335ecd3063587ff670fcdf80ebec/CV___Unity_Developer_Intern___Trần_Trung_Tuấn_Hưng.pdf")</f>
        <v>https://api.typeform.com/responses/files/dc27ea6fc253615b5599296a3a708360b90b335ecd3063587ff670fcdf80ebec/CV___Unity_Developer_Intern___Trần_Trung_Tuấn_Hưng.pdf</v>
      </c>
      <c r="H307" s="29" t="s">
        <v>3126</v>
      </c>
      <c r="I307" s="29" t="s">
        <v>3127</v>
      </c>
      <c r="J307" s="29" t="s">
        <v>144</v>
      </c>
      <c r="L307" s="29" t="s">
        <v>169</v>
      </c>
      <c r="M307" s="29" t="s">
        <v>457</v>
      </c>
      <c r="N307" s="33">
        <v>46260.0</v>
      </c>
      <c r="O307" s="29" t="s">
        <v>3128</v>
      </c>
      <c r="P307" s="32" t="str">
        <f>HYPERLINK("https://api.typeform.com/responses/files/75dc71c33abcb1889468fd4d02d7ae5ad1a235dcfd2b6ea2219962795cefd2e0/Transcript____Unity_Develeoper_Inter___Trần_Trung_Tuấn_Hưng.pdf")</f>
        <v>https://api.typeform.com/responses/files/75dc71c33abcb1889468fd4d02d7ae5ad1a235dcfd2b6ea2219962795cefd2e0/Transcript____Unity_Develeoper_Inter___Trần_Trung_Tuấn_Hưng.pdf</v>
      </c>
      <c r="Q307" s="29" t="b">
        <v>1</v>
      </c>
      <c r="R307" s="29" t="s">
        <v>3129</v>
      </c>
      <c r="S307" s="29" t="s">
        <v>3130</v>
      </c>
      <c r="T307" s="29" t="s">
        <v>72</v>
      </c>
      <c r="U307" s="29" t="s">
        <v>72</v>
      </c>
      <c r="V307" s="29" t="s">
        <v>236</v>
      </c>
      <c r="X307" s="29" t="s">
        <v>3131</v>
      </c>
      <c r="Y307" s="34">
        <v>46140.14506944444</v>
      </c>
      <c r="Z307" s="29" t="s">
        <v>3132</v>
      </c>
      <c r="AA307" s="6">
        <v>2.0</v>
      </c>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row>
    <row r="308" ht="22.5" hidden="1" customHeight="1">
      <c r="A308" s="29" t="s">
        <v>3133</v>
      </c>
      <c r="B308" s="30">
        <v>37700.0</v>
      </c>
      <c r="C308" s="29" t="s">
        <v>3134</v>
      </c>
      <c r="D308" s="31" t="s">
        <v>3135</v>
      </c>
      <c r="E308" s="29" t="s">
        <v>62</v>
      </c>
      <c r="F308" s="29" t="s">
        <v>82</v>
      </c>
      <c r="G308" s="32" t="str">
        <f>HYPERLINK("https://api.typeform.com/responses/files/a1005cd70a4e4817593810dd0ba50ecb31721b46fe51f56afa75e69f07f769ab/CV___AI_Engineer_Intern___Nguyễn_Minh_Trung.pdf")</f>
        <v>https://api.typeform.com/responses/files/a1005cd70a4e4817593810dd0ba50ecb31721b46fe51f56afa75e69f07f769ab/CV___AI_Engineer_Intern___Nguyễn_Minh_Trung.pdf</v>
      </c>
      <c r="H308" s="29" t="s">
        <v>3136</v>
      </c>
      <c r="I308" s="29" t="s">
        <v>3137</v>
      </c>
      <c r="J308" s="29" t="s">
        <v>338</v>
      </c>
      <c r="L308" s="29" t="s">
        <v>67</v>
      </c>
      <c r="M308" s="29" t="s">
        <v>624</v>
      </c>
      <c r="N308" s="33">
        <v>46387.0</v>
      </c>
      <c r="O308" s="31" t="s">
        <v>171</v>
      </c>
      <c r="P308" s="32" t="str">
        <f>HYPERLINK("https://api.typeform.com/responses/files/a6af48fad382b888b7fa025c4f4d6ef31c70c890e7dbee037e6a4dea8ec4561f/Transcript___AI_Engineer_intern___Nguyễn_Minh_Trung_1.jpeg")</f>
        <v>https://api.typeform.com/responses/files/a6af48fad382b888b7fa025c4f4d6ef31c70c890e7dbee037e6a4dea8ec4561f/Transcript___AI_Engineer_intern___Nguyễn_Minh_Trung_1.jpeg</v>
      </c>
      <c r="Q308" s="29" t="b">
        <v>1</v>
      </c>
      <c r="R308" s="29" t="s">
        <v>3138</v>
      </c>
      <c r="S308" s="29" t="s">
        <v>3139</v>
      </c>
      <c r="T308" s="29" t="s">
        <v>72</v>
      </c>
      <c r="U308" s="29" t="s">
        <v>72</v>
      </c>
      <c r="V308" s="29" t="s">
        <v>90</v>
      </c>
      <c r="X308" s="29" t="s">
        <v>3140</v>
      </c>
      <c r="Y308" s="34">
        <v>46140.15163194444</v>
      </c>
      <c r="Z308" s="29" t="s">
        <v>3141</v>
      </c>
      <c r="AA308" s="6">
        <v>2.0</v>
      </c>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row>
    <row r="309" ht="22.5" hidden="1" customHeight="1">
      <c r="A309" s="29" t="s">
        <v>3142</v>
      </c>
      <c r="B309" s="30">
        <v>37938.0</v>
      </c>
      <c r="C309" s="29" t="s">
        <v>3143</v>
      </c>
      <c r="D309" s="31" t="s">
        <v>3144</v>
      </c>
      <c r="E309" s="29" t="s">
        <v>62</v>
      </c>
      <c r="F309" s="29" t="s">
        <v>82</v>
      </c>
      <c r="G309" s="32" t="str">
        <f>HYPERLINK("https://api.typeform.com/responses/files/6019859376673d0f8fffe84970bd9f96da63e7a6bed3566f9b0154c678cd1dd0/SoftwareEngineer__NguyenPhuThinh.pdf")</f>
        <v>https://api.typeform.com/responses/files/6019859376673d0f8fffe84970bd9f96da63e7a6bed3566f9b0154c678cd1dd0/SoftwareEngineer__NguyenPhuThinh.pdf</v>
      </c>
      <c r="H309" s="29" t="s">
        <v>3145</v>
      </c>
      <c r="I309" s="29" t="s">
        <v>3146</v>
      </c>
      <c r="J309" s="29" t="s">
        <v>65</v>
      </c>
      <c r="K309" s="29" t="s">
        <v>3147</v>
      </c>
      <c r="L309" s="29" t="s">
        <v>103</v>
      </c>
      <c r="M309" s="29" t="s">
        <v>3148</v>
      </c>
      <c r="N309" s="33">
        <v>46131.0</v>
      </c>
      <c r="O309" s="31" t="s">
        <v>696</v>
      </c>
      <c r="P309" s="32" t="str">
        <f>HYPERLINK("https://api.typeform.com/responses/files/69c086d97da8e731bbb239654feca8b2e7a7d46f1d08e22ba031a5977b5ab1f1/SoftwareEngineer__NguyenPhuThinh.pdf")</f>
        <v>https://api.typeform.com/responses/files/69c086d97da8e731bbb239654feca8b2e7a7d46f1d08e22ba031a5977b5ab1f1/SoftwareEngineer__NguyenPhuThinh.pdf</v>
      </c>
      <c r="Q309" s="29" t="b">
        <v>1</v>
      </c>
      <c r="R309" s="29" t="s">
        <v>3149</v>
      </c>
      <c r="S309" s="29" t="s">
        <v>3150</v>
      </c>
      <c r="T309" s="29" t="s">
        <v>72</v>
      </c>
      <c r="U309" s="29" t="s">
        <v>72</v>
      </c>
      <c r="V309" s="29" t="s">
        <v>90</v>
      </c>
      <c r="Y309" s="34">
        <v>46140.154016203705</v>
      </c>
      <c r="Z309" s="29" t="s">
        <v>3151</v>
      </c>
      <c r="AA309" s="6">
        <v>2.0</v>
      </c>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row>
    <row r="310" ht="22.5" hidden="1" customHeight="1">
      <c r="A310" s="29" t="s">
        <v>3152</v>
      </c>
      <c r="B310" s="30">
        <v>37926.0</v>
      </c>
      <c r="C310" s="29" t="s">
        <v>3153</v>
      </c>
      <c r="D310" s="31" t="s">
        <v>3154</v>
      </c>
      <c r="E310" s="29" t="s">
        <v>62</v>
      </c>
      <c r="F310" s="29" t="s">
        <v>82</v>
      </c>
      <c r="G310" s="32" t="str">
        <f>HYPERLINK("https://api.typeform.com/responses/files/c93877eb33c528f94de13c8a894b58470372878066d63c73f2728d0ad1a2bc9c/CV__AI_engineering___Intern__Nguyễn_Trần_Mạnh_Thắng.pdf")</f>
        <v>https://api.typeform.com/responses/files/c93877eb33c528f94de13c8a894b58470372878066d63c73f2728d0ad1a2bc9c/CV__AI_engineering___Intern__Nguyễn_Trần_Mạnh_Thắng.pdf</v>
      </c>
      <c r="H310" s="29" t="s">
        <v>3155</v>
      </c>
      <c r="I310" s="29" t="s">
        <v>3156</v>
      </c>
      <c r="J310" s="29" t="s">
        <v>65</v>
      </c>
      <c r="K310" s="29" t="s">
        <v>102</v>
      </c>
      <c r="L310" s="29" t="s">
        <v>103</v>
      </c>
      <c r="M310" s="29" t="s">
        <v>570</v>
      </c>
      <c r="N310" s="33">
        <v>46086.0</v>
      </c>
      <c r="O310" s="31" t="s">
        <v>2503</v>
      </c>
      <c r="P310" s="32" t="str">
        <f>HYPERLINK("https://api.typeform.com/responses/files/18f9fab060350696abc06435c0a8063d9f98c700d1434aad7b79f5a21f0a1a78/Transcript___AI_engineering__Intern___Nguyễn_Trần_Mạnh_Thắng.pdf")</f>
        <v>https://api.typeform.com/responses/files/18f9fab060350696abc06435c0a8063d9f98c700d1434aad7b79f5a21f0a1a78/Transcript___AI_engineering__Intern___Nguyễn_Trần_Mạnh_Thắng.pdf</v>
      </c>
      <c r="Q310" s="29" t="b">
        <v>1</v>
      </c>
      <c r="R310" s="29" t="s">
        <v>3157</v>
      </c>
      <c r="S310" s="29" t="s">
        <v>3158</v>
      </c>
      <c r="T310" s="29" t="s">
        <v>72</v>
      </c>
      <c r="U310" s="29" t="s">
        <v>72</v>
      </c>
      <c r="V310" s="29" t="s">
        <v>90</v>
      </c>
      <c r="Y310" s="34">
        <v>46140.16270833334</v>
      </c>
      <c r="Z310" s="29" t="s">
        <v>3159</v>
      </c>
      <c r="AA310" s="6">
        <v>2.0</v>
      </c>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row>
    <row r="311" ht="22.5" hidden="1" customHeight="1">
      <c r="A311" s="29" t="s">
        <v>3160</v>
      </c>
      <c r="B311" s="30">
        <v>38456.0</v>
      </c>
      <c r="C311" s="29" t="s">
        <v>3161</v>
      </c>
      <c r="D311" s="31" t="s">
        <v>3162</v>
      </c>
      <c r="E311" s="29" t="s">
        <v>82</v>
      </c>
      <c r="F311" s="29" t="s">
        <v>62</v>
      </c>
      <c r="G311" s="32" t="str">
        <f>HYPERLINK("https://api.typeform.com/responses/files/cfb3606fd962c9d53dfa9fa5d84763fceade3a4eeaa23f32a283a3830e861ecf/CV___Data_Analysis_Intern___Nguyễn_Thanh_Quân.pdf")</f>
        <v>https://api.typeform.com/responses/files/cfb3606fd962c9d53dfa9fa5d84763fceade3a4eeaa23f32a283a3830e861ecf/CV___Data_Analysis_Intern___Nguyễn_Thanh_Quân.pdf</v>
      </c>
      <c r="H311" s="29" t="s">
        <v>3163</v>
      </c>
      <c r="I311" s="29" t="s">
        <v>3164</v>
      </c>
      <c r="J311" s="29" t="s">
        <v>85</v>
      </c>
      <c r="L311" s="29" t="s">
        <v>219</v>
      </c>
      <c r="M311" s="29" t="s">
        <v>220</v>
      </c>
      <c r="N311" s="33">
        <v>46538.0</v>
      </c>
      <c r="O311" s="29" t="s">
        <v>3165</v>
      </c>
      <c r="P311" s="32" t="str">
        <f>HYPERLINK("https://api.typeform.com/responses/files/a82fd054e4f7f7dbd845aba82116ec73700a31dcfe562db375c3ae23d734a0a6/Transcript___Data_Analysis_Intern___Nguyễn_Thanh_Quân.html")</f>
        <v>https://api.typeform.com/responses/files/a82fd054e4f7f7dbd845aba82116ec73700a31dcfe562db375c3ae23d734a0a6/Transcript___Data_Analysis_Intern___Nguyễn_Thanh_Quân.html</v>
      </c>
      <c r="Q311" s="29" t="b">
        <v>1</v>
      </c>
      <c r="R311" s="29" t="s">
        <v>3166</v>
      </c>
      <c r="S311" s="29" t="s">
        <v>3167</v>
      </c>
      <c r="T311" s="29" t="s">
        <v>72</v>
      </c>
      <c r="U311" s="29" t="s">
        <v>72</v>
      </c>
      <c r="V311" s="29" t="s">
        <v>3168</v>
      </c>
      <c r="Y311" s="34">
        <v>46140.16939814815</v>
      </c>
      <c r="Z311" s="29" t="s">
        <v>3169</v>
      </c>
      <c r="AA311" s="6">
        <v>2.0</v>
      </c>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row>
    <row r="312" ht="22.5" hidden="1" customHeight="1">
      <c r="A312" s="29" t="s">
        <v>3170</v>
      </c>
      <c r="B312" s="30">
        <v>37988.0</v>
      </c>
      <c r="C312" s="29" t="s">
        <v>3171</v>
      </c>
      <c r="D312" s="31" t="s">
        <v>3172</v>
      </c>
      <c r="E312" s="29" t="s">
        <v>61</v>
      </c>
      <c r="F312" s="29" t="s">
        <v>62</v>
      </c>
      <c r="G312" s="32" t="str">
        <f>HYPERLINK("https://api.typeform.com/responses/files/493c34e89b61ad58f6a00d439ba0d99bed21f31c5bbce827ca27c853f53bd08c/CV___Unity_Development_Intern___Tran_Dinh_Phu.pdf")</f>
        <v>https://api.typeform.com/responses/files/493c34e89b61ad58f6a00d439ba0d99bed21f31c5bbce827ca27c853f53bd08c/CV___Unity_Development_Intern___Tran_Dinh_Phu.pdf</v>
      </c>
      <c r="H312" s="29" t="s">
        <v>3173</v>
      </c>
      <c r="I312" s="29" t="s">
        <v>3174</v>
      </c>
      <c r="J312" s="29" t="s">
        <v>116</v>
      </c>
      <c r="L312" s="29" t="s">
        <v>67</v>
      </c>
      <c r="M312" s="29" t="s">
        <v>1830</v>
      </c>
      <c r="N312" s="33">
        <v>46248.0</v>
      </c>
      <c r="O312" s="31" t="s">
        <v>3175</v>
      </c>
      <c r="P312" s="32" t="str">
        <f>HYPERLINK("https://api.typeform.com/responses/files/c2c8fa9e0bec5781299ed65600ceab916165d7a2f82cd426856c259f95743b34/Transcript____Unity_Development_Intern___Trần_Đình_Phú.xls")</f>
        <v>https://api.typeform.com/responses/files/c2c8fa9e0bec5781299ed65600ceab916165d7a2f82cd426856c259f95743b34/Transcript____Unity_Development_Intern___Trần_Đình_Phú.xls</v>
      </c>
      <c r="Q312" s="29" t="b">
        <v>1</v>
      </c>
      <c r="R312" s="29" t="s">
        <v>3176</v>
      </c>
      <c r="S312" s="29" t="s">
        <v>3177</v>
      </c>
      <c r="T312" s="29" t="s">
        <v>72</v>
      </c>
      <c r="U312" s="29" t="s">
        <v>72</v>
      </c>
      <c r="V312" s="29" t="s">
        <v>3178</v>
      </c>
      <c r="X312" s="29" t="s">
        <v>3179</v>
      </c>
      <c r="Y312" s="34">
        <v>46140.17145833333</v>
      </c>
      <c r="Z312" s="29" t="s">
        <v>3180</v>
      </c>
      <c r="AA312" s="6">
        <v>2.0</v>
      </c>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row>
    <row r="313" ht="22.5" hidden="1" customHeight="1">
      <c r="A313" s="29" t="s">
        <v>3181</v>
      </c>
      <c r="B313" s="30">
        <v>38435.0</v>
      </c>
      <c r="C313" s="29" t="s">
        <v>3182</v>
      </c>
      <c r="D313" s="31" t="s">
        <v>3183</v>
      </c>
      <c r="E313" s="29" t="s">
        <v>82</v>
      </c>
      <c r="G313" s="32" t="str">
        <f>HYPERLINK("https://api.typeform.com/responses/files/01ff4828982e67dad0c5dfe4cd89b12a9c1e62ca22a62e87ec23bd51047c4c76/CV___Data_Analysis_Intern___Nguyễn_Trọng_Khôi.pdf")</f>
        <v>https://api.typeform.com/responses/files/01ff4828982e67dad0c5dfe4cd89b12a9c1e62ca22a62e87ec23bd51047c4c76/CV___Data_Analysis_Intern___Nguyễn_Trọng_Khôi.pdf</v>
      </c>
      <c r="H313" s="29" t="s">
        <v>3184</v>
      </c>
      <c r="I313" s="29" t="s">
        <v>3185</v>
      </c>
      <c r="J313" s="29" t="s">
        <v>85</v>
      </c>
      <c r="L313" s="29" t="s">
        <v>219</v>
      </c>
      <c r="M313" s="29" t="s">
        <v>384</v>
      </c>
      <c r="N313" s="33">
        <v>46388.0</v>
      </c>
      <c r="O313" s="31" t="s">
        <v>2142</v>
      </c>
      <c r="P313" s="32" t="str">
        <f>HYPERLINK("https://api.typeform.com/responses/files/eef5959ed955f0e5c1cbdac6f1d8278a8a14dcacdb1bbfb5fdebabf218473ef4/Transcript___Data_Analysis_Intern___Nguyễn_Trọng_Khôi.pdf")</f>
        <v>https://api.typeform.com/responses/files/eef5959ed955f0e5c1cbdac6f1d8278a8a14dcacdb1bbfb5fdebabf218473ef4/Transcript___Data_Analysis_Intern___Nguyễn_Trọng_Khôi.pdf</v>
      </c>
      <c r="Q313" s="29" t="b">
        <v>0</v>
      </c>
      <c r="R313" s="29" t="s">
        <v>268</v>
      </c>
      <c r="S313" s="29" t="s">
        <v>3186</v>
      </c>
      <c r="T313" s="29" t="s">
        <v>72</v>
      </c>
      <c r="U313" s="29" t="s">
        <v>72</v>
      </c>
      <c r="V313" s="29" t="s">
        <v>1061</v>
      </c>
      <c r="X313" s="29" t="s">
        <v>3187</v>
      </c>
      <c r="Y313" s="34">
        <v>46140.17392361111</v>
      </c>
      <c r="Z313" s="29" t="s">
        <v>3188</v>
      </c>
      <c r="AA313" s="6">
        <v>2.0</v>
      </c>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row>
    <row r="314" ht="22.5" hidden="1" customHeight="1">
      <c r="A314" s="29" t="s">
        <v>3189</v>
      </c>
      <c r="B314" s="30">
        <v>38387.0</v>
      </c>
      <c r="C314" s="29" t="s">
        <v>3190</v>
      </c>
      <c r="D314" s="31" t="s">
        <v>3191</v>
      </c>
      <c r="E314" s="29" t="s">
        <v>62</v>
      </c>
      <c r="F314" s="29" t="s">
        <v>82</v>
      </c>
      <c r="G314" s="32" t="str">
        <f>HYPERLINK("https://api.typeform.com/responses/files/6fd11831925e8c077ba0b50b3362fbaf8a77bf834ebc2a75f7a128d5f3444a58/CV___AI_Engineering___Trần_Anh_Huy.pdf")</f>
        <v>https://api.typeform.com/responses/files/6fd11831925e8c077ba0b50b3362fbaf8a77bf834ebc2a75f7a128d5f3444a58/CV___AI_Engineering___Trần_Anh_Huy.pdf</v>
      </c>
      <c r="H314" s="29" t="s">
        <v>3192</v>
      </c>
      <c r="I314" s="29" t="s">
        <v>3193</v>
      </c>
      <c r="J314" s="29" t="s">
        <v>372</v>
      </c>
      <c r="L314" s="29" t="s">
        <v>219</v>
      </c>
      <c r="M314" s="29" t="s">
        <v>624</v>
      </c>
      <c r="N314" s="33">
        <v>46654.0</v>
      </c>
      <c r="O314" s="31" t="s">
        <v>2027</v>
      </c>
      <c r="P314" s="32" t="str">
        <f>HYPERLINK("https://api.typeform.com/responses/files/041e715e81dcd4ad9e7f1c30a630e768411050771c742694451bf6827c102943/Transcript___AI_Engineering_Intern___Trần_Anh_Huy.pdf")</f>
        <v>https://api.typeform.com/responses/files/041e715e81dcd4ad9e7f1c30a630e768411050771c742694451bf6827c102943/Transcript___AI_Engineering_Intern___Trần_Anh_Huy.pdf</v>
      </c>
      <c r="Q314" s="29" t="b">
        <v>0</v>
      </c>
      <c r="R314" s="29" t="s">
        <v>401</v>
      </c>
      <c r="S314" s="29" t="s">
        <v>3194</v>
      </c>
      <c r="T314" s="29" t="s">
        <v>72</v>
      </c>
      <c r="U314" s="29" t="s">
        <v>72</v>
      </c>
      <c r="V314" s="29" t="s">
        <v>3195</v>
      </c>
      <c r="X314" s="29" t="s">
        <v>3196</v>
      </c>
      <c r="Y314" s="34">
        <v>46140.17731481481</v>
      </c>
      <c r="Z314" s="29" t="s">
        <v>3197</v>
      </c>
      <c r="AA314" s="6">
        <v>2.0</v>
      </c>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row>
    <row r="315" ht="22.5" hidden="1" customHeight="1">
      <c r="A315" s="29" t="s">
        <v>3198</v>
      </c>
      <c r="B315" s="30">
        <v>37940.0</v>
      </c>
      <c r="C315" s="29" t="s">
        <v>3199</v>
      </c>
      <c r="D315" s="31" t="s">
        <v>3200</v>
      </c>
      <c r="E315" s="29" t="s">
        <v>82</v>
      </c>
      <c r="F315" s="29" t="s">
        <v>62</v>
      </c>
      <c r="G315" s="32" t="str">
        <f>HYPERLINK("https://api.typeform.com/responses/files/60f10a610e69684fd79d753a77ee55a500411ac0449d904baf71bf766763233e/CV_Data_Analysis_Intern_Nguyen_Duc_Thang.pdf")</f>
        <v>https://api.typeform.com/responses/files/60f10a610e69684fd79d753a77ee55a500411ac0449d904baf71bf766763233e/CV_Data_Analysis_Intern_Nguyen_Duc_Thang.pdf</v>
      </c>
      <c r="H315" s="29" t="s">
        <v>3201</v>
      </c>
      <c r="I315" s="29" t="s">
        <v>3202</v>
      </c>
      <c r="J315" s="29" t="s">
        <v>2180</v>
      </c>
      <c r="L315" s="29" t="s">
        <v>103</v>
      </c>
      <c r="M315" s="29" t="s">
        <v>384</v>
      </c>
      <c r="N315" s="33">
        <v>46006.0</v>
      </c>
      <c r="O315" s="29" t="s">
        <v>3203</v>
      </c>
      <c r="P315" s="32" t="str">
        <f>HYPERLINK("https://api.typeform.com/responses/files/f8fe653a10c2241889182bf24c27a9861c1da47af683c7a5c979959ca282a909/Transcript___Data_Analysis_Intern___Nguyen_Duc_Thang.pdf")</f>
        <v>https://api.typeform.com/responses/files/f8fe653a10c2241889182bf24c27a9861c1da47af683c7a5c979959ca282a909/Transcript___Data_Analysis_Intern___Nguyen_Duc_Thang.pdf</v>
      </c>
      <c r="Q315" s="29" t="b">
        <v>1</v>
      </c>
      <c r="R315" s="29" t="s">
        <v>3204</v>
      </c>
      <c r="S315" s="29" t="s">
        <v>3205</v>
      </c>
      <c r="T315" s="29" t="s">
        <v>72</v>
      </c>
      <c r="U315" s="29" t="s">
        <v>72</v>
      </c>
      <c r="V315" s="29" t="s">
        <v>90</v>
      </c>
      <c r="X315" s="29" t="s">
        <v>3206</v>
      </c>
      <c r="Y315" s="34">
        <v>46140.1781712963</v>
      </c>
      <c r="Z315" s="29" t="s">
        <v>3207</v>
      </c>
      <c r="AA315" s="6">
        <v>2.0</v>
      </c>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row>
    <row r="316" ht="22.5" hidden="1" customHeight="1">
      <c r="A316" s="29" t="s">
        <v>3208</v>
      </c>
      <c r="B316" s="30">
        <v>37622.0</v>
      </c>
      <c r="C316" s="29" t="s">
        <v>3209</v>
      </c>
      <c r="D316" s="31" t="s">
        <v>3210</v>
      </c>
      <c r="E316" s="29" t="s">
        <v>99</v>
      </c>
      <c r="F316" s="29" t="s">
        <v>61</v>
      </c>
      <c r="G316" s="32" t="str">
        <f>HYPERLINK("https://api.typeform.com/responses/files/366385b849f43cce8ba17173f185ee0a557a5ccf2717d7e8d1d7b823037067cc/CV_Game_Developer_Intern_Nguyễn_Nhân_Quỳnh_Như.pdf")</f>
        <v>https://api.typeform.com/responses/files/366385b849f43cce8ba17173f185ee0a557a5ccf2717d7e8d1d7b823037067cc/CV_Game_Developer_Intern_Nguyễn_Nhân_Quỳnh_Như.pdf</v>
      </c>
      <c r="H316" s="29" t="s">
        <v>3211</v>
      </c>
      <c r="I316" s="29" t="s">
        <v>3212</v>
      </c>
      <c r="J316" s="29" t="s">
        <v>116</v>
      </c>
      <c r="L316" s="29" t="s">
        <v>103</v>
      </c>
      <c r="M316" s="29" t="s">
        <v>1830</v>
      </c>
      <c r="N316" s="33">
        <v>46193.0</v>
      </c>
      <c r="O316" s="29" t="s">
        <v>3213</v>
      </c>
      <c r="P316" s="32" t="str">
        <f>HYPERLINK("https://api.typeform.com/responses/files/22c657491499eddf3b82ccf059457264d4fc1b571c7e48e9006c3029bd37d359/Transcript___Game_Developer_Intern___Nguyễn_Nhân_Quỳnh_Như.png")</f>
        <v>https://api.typeform.com/responses/files/22c657491499eddf3b82ccf059457264d4fc1b571c7e48e9006c3029bd37d359/Transcript___Game_Developer_Intern___Nguyễn_Nhân_Quỳnh_Như.png</v>
      </c>
      <c r="Q316" s="29" t="b">
        <v>1</v>
      </c>
      <c r="R316" s="29" t="s">
        <v>3214</v>
      </c>
      <c r="S316" s="29" t="s">
        <v>3215</v>
      </c>
      <c r="T316" s="29" t="s">
        <v>72</v>
      </c>
      <c r="U316" s="29" t="s">
        <v>72</v>
      </c>
      <c r="V316" s="29" t="s">
        <v>90</v>
      </c>
      <c r="Y316" s="34">
        <v>46140.18524305556</v>
      </c>
      <c r="Z316" s="29" t="s">
        <v>3216</v>
      </c>
      <c r="AA316" s="6">
        <v>2.0</v>
      </c>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row>
    <row r="317" ht="22.5" hidden="1" customHeight="1">
      <c r="A317" s="29" t="s">
        <v>3217</v>
      </c>
      <c r="B317" s="30">
        <v>38653.0</v>
      </c>
      <c r="C317" s="29" t="s">
        <v>3218</v>
      </c>
      <c r="D317" s="31" t="s">
        <v>3219</v>
      </c>
      <c r="E317" s="29" t="s">
        <v>82</v>
      </c>
      <c r="F317" s="29" t="s">
        <v>62</v>
      </c>
      <c r="G317" s="32" t="str">
        <f>HYPERLINK("https://api.typeform.com/responses/files/2b9277c5234d83ba09fd1887d85bf0430d24b70449ed4ceae071cf0432b17470/CV___DataAnalyst___Triệu_Đoan_Kỳ.pdf")</f>
        <v>https://api.typeform.com/responses/files/2b9277c5234d83ba09fd1887d85bf0430d24b70449ed4ceae071cf0432b17470/CV___DataAnalyst___Triệu_Đoan_Kỳ.pdf</v>
      </c>
      <c r="H317" s="29" t="s">
        <v>3220</v>
      </c>
      <c r="I317" s="29" t="s">
        <v>3221</v>
      </c>
      <c r="J317" s="29" t="s">
        <v>116</v>
      </c>
      <c r="L317" s="29" t="s">
        <v>219</v>
      </c>
      <c r="M317" s="29" t="s">
        <v>3222</v>
      </c>
      <c r="N317" s="33">
        <v>46505.0</v>
      </c>
      <c r="O317" s="31" t="s">
        <v>663</v>
      </c>
      <c r="P317" s="32" t="str">
        <f>HYPERLINK("https://api.typeform.com/responses/files/7f5642d3e6d49169e284787eb9c73709937e9944eb60c48071823365f8f89c97/Transcript___Data_Analysis_Intern___Triệu_Đoan_Kỳ.xls")</f>
        <v>https://api.typeform.com/responses/files/7f5642d3e6d49169e284787eb9c73709937e9944eb60c48071823365f8f89c97/Transcript___Data_Analysis_Intern___Triệu_Đoan_Kỳ.xls</v>
      </c>
      <c r="Q317" s="29" t="b">
        <v>0</v>
      </c>
      <c r="R317" s="29" t="s">
        <v>3223</v>
      </c>
      <c r="S317" s="29" t="s">
        <v>3224</v>
      </c>
      <c r="T317" s="29" t="s">
        <v>72</v>
      </c>
      <c r="U317" s="29" t="s">
        <v>72</v>
      </c>
      <c r="V317" s="29" t="s">
        <v>236</v>
      </c>
      <c r="X317" s="29" t="s">
        <v>3225</v>
      </c>
      <c r="Y317" s="34">
        <v>46140.18677083333</v>
      </c>
      <c r="Z317" s="29" t="s">
        <v>3226</v>
      </c>
      <c r="AA317" s="6">
        <v>2.0</v>
      </c>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row>
    <row r="318" ht="22.5" hidden="1" customHeight="1">
      <c r="A318" s="29" t="s">
        <v>3227</v>
      </c>
      <c r="B318" s="30">
        <v>38210.0</v>
      </c>
      <c r="C318" s="29" t="s">
        <v>3228</v>
      </c>
      <c r="D318" s="31" t="s">
        <v>3229</v>
      </c>
      <c r="E318" s="29" t="s">
        <v>82</v>
      </c>
      <c r="F318" s="29" t="s">
        <v>62</v>
      </c>
      <c r="G318" s="32" t="str">
        <f>HYPERLINK("https://api.typeform.com/responses/files/45f12a77ddba46f770b4660ac5d2f878e99ef2e4f19c3fc2e53c3cefbacfe839/CV_Data_Analysis_Intern___Nguyen_Van_Quoc.pdf")</f>
        <v>https://api.typeform.com/responses/files/45f12a77ddba46f770b4660ac5d2f878e99ef2e4f19c3fc2e53c3cefbacfe839/CV_Data_Analysis_Intern___Nguyen_Van_Quoc.pdf</v>
      </c>
      <c r="H318" s="29" t="s">
        <v>3230</v>
      </c>
      <c r="I318" s="29" t="s">
        <v>3231</v>
      </c>
      <c r="J318" s="29" t="s">
        <v>65</v>
      </c>
      <c r="K318" s="29" t="s">
        <v>3232</v>
      </c>
      <c r="L318" s="29" t="s">
        <v>67</v>
      </c>
      <c r="M318" s="29" t="s">
        <v>384</v>
      </c>
      <c r="N318" s="33">
        <v>46235.0</v>
      </c>
      <c r="O318" s="31" t="s">
        <v>147</v>
      </c>
      <c r="P318" s="32" t="str">
        <f>HYPERLINK("https://api.typeform.com/responses/files/4900966993706cbddb33f3d6008e9f2432117031fd7a1f0e7e8a2ca86ac4f4e6/Transcript___Data_Analyst_Intern___Nguyen_Van_Quoc.pdf")</f>
        <v>https://api.typeform.com/responses/files/4900966993706cbddb33f3d6008e9f2432117031fd7a1f0e7e8a2ca86ac4f4e6/Transcript___Data_Analyst_Intern___Nguyen_Van_Quoc.pdf</v>
      </c>
      <c r="Q318" s="29" t="b">
        <v>1</v>
      </c>
      <c r="R318" s="29" t="s">
        <v>3233</v>
      </c>
      <c r="S318" s="29" t="s">
        <v>3234</v>
      </c>
      <c r="T318" s="29" t="s">
        <v>72</v>
      </c>
      <c r="U318" s="29" t="s">
        <v>72</v>
      </c>
      <c r="V318" s="29" t="s">
        <v>3235</v>
      </c>
      <c r="Y318" s="34">
        <v>46140.19298611111</v>
      </c>
      <c r="Z318" s="29" t="s">
        <v>3236</v>
      </c>
      <c r="AA318" s="6">
        <v>2.0</v>
      </c>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row>
    <row r="319" ht="22.5" hidden="1" customHeight="1">
      <c r="A319" s="29" t="s">
        <v>1085</v>
      </c>
      <c r="B319" s="30">
        <v>38426.0</v>
      </c>
      <c r="C319" s="29" t="s">
        <v>3237</v>
      </c>
      <c r="D319" s="31" t="s">
        <v>3238</v>
      </c>
      <c r="E319" s="29" t="s">
        <v>62</v>
      </c>
      <c r="G319" s="32" t="str">
        <f>HYPERLINK("https://api.typeform.com/responses/files/4ff2620c66418220bd033574eab3d0c68da34d9e6af7be6bbc0ab097f7e8971e/CV_AI_Engineer_Intern_NguyenHoangQuan.pdf")</f>
        <v>https://api.typeform.com/responses/files/4ff2620c66418220bd033574eab3d0c68da34d9e6af7be6bbc0ab097f7e8971e/CV_AI_Engineer_Intern_NguyenHoangQuan.pdf</v>
      </c>
      <c r="H319" s="29" t="s">
        <v>3239</v>
      </c>
      <c r="I319" s="29" t="s">
        <v>3240</v>
      </c>
      <c r="J319" s="29" t="s">
        <v>715</v>
      </c>
      <c r="L319" s="29" t="s">
        <v>219</v>
      </c>
      <c r="M319" s="29" t="s">
        <v>399</v>
      </c>
      <c r="N319" s="33">
        <v>46692.0</v>
      </c>
      <c r="O319" s="31" t="s">
        <v>3241</v>
      </c>
      <c r="P319" s="32" t="str">
        <f>HYPERLINK("https://api.typeform.com/responses/files/31cd1c8f1591a2c0c460a421ca4a47a8050d64528509945e88824bd954045fb7/Transcript___AI_Engineer___NguyenHoangQuan.pdf")</f>
        <v>https://api.typeform.com/responses/files/31cd1c8f1591a2c0c460a421ca4a47a8050d64528509945e88824bd954045fb7/Transcript___AI_Engineer___NguyenHoangQuan.pdf</v>
      </c>
      <c r="Q319" s="29" t="b">
        <v>1</v>
      </c>
      <c r="R319" s="29" t="s">
        <v>3242</v>
      </c>
      <c r="S319" s="29" t="s">
        <v>3243</v>
      </c>
      <c r="T319" s="29" t="s">
        <v>72</v>
      </c>
      <c r="U319" s="29" t="s">
        <v>72</v>
      </c>
      <c r="V319" s="29" t="s">
        <v>188</v>
      </c>
      <c r="Y319" s="34">
        <v>46140.193564814814</v>
      </c>
      <c r="Z319" s="29" t="s">
        <v>3244</v>
      </c>
      <c r="AA319" s="6">
        <v>2.0</v>
      </c>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row>
    <row r="320" ht="22.5" hidden="1" customHeight="1">
      <c r="A320" s="29" t="s">
        <v>3245</v>
      </c>
      <c r="B320" s="30">
        <v>37677.0</v>
      </c>
      <c r="C320" s="29" t="s">
        <v>3246</v>
      </c>
      <c r="D320" s="31" t="s">
        <v>3247</v>
      </c>
      <c r="E320" s="29" t="s">
        <v>62</v>
      </c>
      <c r="F320" s="29" t="s">
        <v>82</v>
      </c>
      <c r="G320" s="32" t="str">
        <f>HYPERLINK("https://api.typeform.com/responses/files/cd53fa376dcecae2274a86a9bbea77cfbd36d5d11776080c6dfaa03ca7037e9a/CV___AI_Engineering_Intern___Lê_Phước_Thái.pdf")</f>
        <v>https://api.typeform.com/responses/files/cd53fa376dcecae2274a86a9bbea77cfbd36d5d11776080c6dfaa03ca7037e9a/CV___AI_Engineering_Intern___Lê_Phước_Thái.pdf</v>
      </c>
      <c r="H320" s="29" t="s">
        <v>3248</v>
      </c>
      <c r="I320" s="29" t="s">
        <v>3249</v>
      </c>
      <c r="J320" s="29" t="s">
        <v>277</v>
      </c>
      <c r="L320" s="29" t="s">
        <v>103</v>
      </c>
      <c r="M320" s="29" t="s">
        <v>930</v>
      </c>
      <c r="N320" s="33">
        <v>46082.0</v>
      </c>
      <c r="O320" s="31" t="s">
        <v>2375</v>
      </c>
      <c r="P320" s="32" t="str">
        <f>HYPERLINK("https://api.typeform.com/responses/files/ca20ee235d6264931064ccf6396a75c84e14f3b0c680fb094b52a40c9a3fe08b/Transcript___AI_Engineering_Intern___Lê_Phước_Thái.pdf")</f>
        <v>https://api.typeform.com/responses/files/ca20ee235d6264931064ccf6396a75c84e14f3b0c680fb094b52a40c9a3fe08b/Transcript___AI_Engineering_Intern___Lê_Phước_Thái.pdf</v>
      </c>
      <c r="Q320" s="29" t="b">
        <v>1</v>
      </c>
      <c r="R320" s="29" t="s">
        <v>3250</v>
      </c>
      <c r="S320" s="29" t="s">
        <v>3251</v>
      </c>
      <c r="T320" s="29" t="s">
        <v>72</v>
      </c>
      <c r="U320" s="29" t="s">
        <v>72</v>
      </c>
      <c r="V320" s="29" t="s">
        <v>90</v>
      </c>
      <c r="Y320" s="34">
        <v>46140.1944212963</v>
      </c>
      <c r="Z320" s="29" t="s">
        <v>3252</v>
      </c>
      <c r="AA320" s="6">
        <v>2.0</v>
      </c>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row>
    <row r="321" ht="22.5" hidden="1" customHeight="1">
      <c r="A321" s="29" t="s">
        <v>3253</v>
      </c>
      <c r="B321" s="30">
        <v>37965.0</v>
      </c>
      <c r="C321" s="29" t="s">
        <v>3254</v>
      </c>
      <c r="D321" s="31" t="s">
        <v>3255</v>
      </c>
      <c r="E321" s="29" t="s">
        <v>82</v>
      </c>
      <c r="F321" s="29" t="s">
        <v>127</v>
      </c>
      <c r="G321" s="32" t="str">
        <f>HYPERLINK("https://api.typeform.com/responses/files/73dc63d4c8d26934dc624de9481bd65889888d0a873e52ef97f1cc678abe23f1/CV___Data_Analyst_Intern___Lê_Phan_Xuân_Dũng.pdf")</f>
        <v>https://api.typeform.com/responses/files/73dc63d4c8d26934dc624de9481bd65889888d0a873e52ef97f1cc678abe23f1/CV___Data_Analyst_Intern___Lê_Phan_Xuân_Dũng.pdf</v>
      </c>
      <c r="H321" s="29" t="s">
        <v>3256</v>
      </c>
      <c r="I321" s="29" t="s">
        <v>3257</v>
      </c>
      <c r="J321" s="29" t="s">
        <v>326</v>
      </c>
      <c r="L321" s="29" t="s">
        <v>103</v>
      </c>
      <c r="M321" s="29" t="s">
        <v>220</v>
      </c>
      <c r="N321" s="33">
        <v>45938.0</v>
      </c>
      <c r="O321" s="31" t="s">
        <v>105</v>
      </c>
      <c r="P321" s="32" t="str">
        <f>HYPERLINK("https://api.typeform.com/responses/files/a8ae18abc12184f859e395d523ca41b76ea8b37b10bd86a2978dfe88bc5f91b0/Transcript___Data_Analysis_Intern___Lê_Phan_Xuân_Dũng.pdf")</f>
        <v>https://api.typeform.com/responses/files/a8ae18abc12184f859e395d523ca41b76ea8b37b10bd86a2978dfe88bc5f91b0/Transcript___Data_Analysis_Intern___Lê_Phan_Xuân_Dũng.pdf</v>
      </c>
      <c r="Q321" s="29" t="b">
        <v>0</v>
      </c>
      <c r="R321" s="29" t="s">
        <v>222</v>
      </c>
      <c r="S321" s="29" t="s">
        <v>3258</v>
      </c>
      <c r="T321" s="29" t="s">
        <v>72</v>
      </c>
      <c r="U321" s="29" t="s">
        <v>72</v>
      </c>
      <c r="V321" s="29" t="s">
        <v>90</v>
      </c>
      <c r="Y321" s="34">
        <v>46140.19559027778</v>
      </c>
      <c r="Z321" s="29" t="s">
        <v>3259</v>
      </c>
      <c r="AA321" s="6">
        <v>2.0</v>
      </c>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row>
    <row r="322" ht="22.5" hidden="1" customHeight="1">
      <c r="A322" s="29" t="s">
        <v>3260</v>
      </c>
      <c r="B322" s="30">
        <v>38356.0</v>
      </c>
      <c r="C322" s="29" t="s">
        <v>3261</v>
      </c>
      <c r="D322" s="31" t="s">
        <v>3262</v>
      </c>
      <c r="E322" s="29" t="s">
        <v>82</v>
      </c>
      <c r="F322" s="29" t="s">
        <v>82</v>
      </c>
      <c r="G322" s="32" t="str">
        <f>HYPERLINK("https://api.typeform.com/responses/files/0b96e23d90d650bc4a29633ac1bd316ff1585684b19e17981280660557a3cc24/CV___Data_Analysis_Intern___Biện_Hữu_Khang.pdf")</f>
        <v>https://api.typeform.com/responses/files/0b96e23d90d650bc4a29633ac1bd316ff1585684b19e17981280660557a3cc24/CV___Data_Analysis_Intern___Biện_Hữu_Khang.pdf</v>
      </c>
      <c r="H322" s="29" t="s">
        <v>3263</v>
      </c>
      <c r="I322" s="29" t="s">
        <v>3264</v>
      </c>
      <c r="J322" s="29" t="s">
        <v>65</v>
      </c>
      <c r="K322" s="29" t="s">
        <v>3265</v>
      </c>
      <c r="L322" s="29" t="s">
        <v>219</v>
      </c>
      <c r="M322" s="29" t="s">
        <v>86</v>
      </c>
      <c r="N322" s="33">
        <v>46539.0</v>
      </c>
      <c r="O322" s="31" t="s">
        <v>147</v>
      </c>
      <c r="P322" s="32" t="str">
        <f>HYPERLINK("https://api.typeform.com/responses/files/06a72adec2ec70f02eca43134146773001ba633156a92ee9da456351a7b9d274/Transcript___Data_Analysis_Intern___Biện_Hữu_Khang.png")</f>
        <v>https://api.typeform.com/responses/files/06a72adec2ec70f02eca43134146773001ba633156a92ee9da456351a7b9d274/Transcript___Data_Analysis_Intern___Biện_Hữu_Khang.png</v>
      </c>
      <c r="Q322" s="29" t="b">
        <v>1</v>
      </c>
      <c r="R322" s="29" t="s">
        <v>3266</v>
      </c>
      <c r="S322" s="29" t="s">
        <v>3267</v>
      </c>
      <c r="T322" s="29" t="s">
        <v>72</v>
      </c>
      <c r="U322" s="29" t="s">
        <v>72</v>
      </c>
      <c r="V322" s="29" t="s">
        <v>3268</v>
      </c>
      <c r="X322" s="29" t="s">
        <v>3269</v>
      </c>
      <c r="Y322" s="34">
        <v>46140.20369212963</v>
      </c>
      <c r="Z322" s="29" t="s">
        <v>3270</v>
      </c>
      <c r="AA322" s="6">
        <v>2.0</v>
      </c>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row>
    <row r="323" ht="22.5" hidden="1" customHeight="1">
      <c r="A323" s="29" t="s">
        <v>3271</v>
      </c>
      <c r="B323" s="30">
        <v>37515.0</v>
      </c>
      <c r="C323" s="29" t="s">
        <v>3272</v>
      </c>
      <c r="D323" s="31" t="s">
        <v>3273</v>
      </c>
      <c r="E323" s="29" t="s">
        <v>82</v>
      </c>
      <c r="F323" s="29" t="s">
        <v>62</v>
      </c>
      <c r="G323" s="32" t="str">
        <f>HYPERLINK("https://api.typeform.com/responses/files/122be1a3caa7f4d65332df67af7a0ea786cac3ca995ec64b37e7e5cf10059efe/CV___Data_Analysis___Ngô_Nguyên_Thảo.pdf")</f>
        <v>https://api.typeform.com/responses/files/122be1a3caa7f4d65332df67af7a0ea786cac3ca995ec64b37e7e5cf10059efe/CV___Data_Analysis___Ngô_Nguyên_Thảo.pdf</v>
      </c>
      <c r="H323" s="29" t="s">
        <v>3274</v>
      </c>
      <c r="I323" s="29" t="s">
        <v>3275</v>
      </c>
      <c r="J323" s="29" t="s">
        <v>277</v>
      </c>
      <c r="L323" s="29" t="s">
        <v>103</v>
      </c>
      <c r="M323" s="29" t="s">
        <v>3276</v>
      </c>
      <c r="N323" s="33">
        <v>46203.0</v>
      </c>
      <c r="O323" s="29" t="s">
        <v>3277</v>
      </c>
      <c r="P323" s="32" t="str">
        <f>HYPERLINK("https://api.typeform.com/responses/files/e55b79b5f52853282305ba5c27c39dda478c7a42c6863c406fdc471cd77f6008/Transcript___Data_Analysis_Intern___Ngô_Nguyên_Thảo.pdf")</f>
        <v>https://api.typeform.com/responses/files/e55b79b5f52853282305ba5c27c39dda478c7a42c6863c406fdc471cd77f6008/Transcript___Data_Analysis_Intern___Ngô_Nguyên_Thảo.pdf</v>
      </c>
      <c r="Q323" s="29" t="b">
        <v>1</v>
      </c>
      <c r="R323" s="29" t="s">
        <v>3278</v>
      </c>
      <c r="S323" s="29" t="s">
        <v>3279</v>
      </c>
      <c r="T323" s="29" t="s">
        <v>72</v>
      </c>
      <c r="U323" s="29" t="s">
        <v>72</v>
      </c>
      <c r="V323" s="29" t="s">
        <v>90</v>
      </c>
      <c r="X323" s="29" t="s">
        <v>3280</v>
      </c>
      <c r="Y323" s="34">
        <v>46140.210381944446</v>
      </c>
      <c r="Z323" s="29" t="s">
        <v>3281</v>
      </c>
      <c r="AA323" s="6">
        <v>2.0</v>
      </c>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row>
    <row r="324" ht="22.5" hidden="1" customHeight="1">
      <c r="A324" s="29" t="s">
        <v>3282</v>
      </c>
      <c r="B324" s="30">
        <v>38064.0</v>
      </c>
      <c r="C324" s="29" t="s">
        <v>3283</v>
      </c>
      <c r="D324" s="31" t="s">
        <v>3284</v>
      </c>
      <c r="E324" s="29" t="s">
        <v>62</v>
      </c>
      <c r="F324" s="29" t="s">
        <v>82</v>
      </c>
      <c r="G324" s="32" t="str">
        <f>HYPERLINK("https://api.typeform.com/responses/files/295c3c2e962e8eb7cc2416f2d89a422600e7583508862f76a99539bfd78600db/CV___AI_Engineer_Intern___Tiêu_Trí_Bằng.pdf")</f>
        <v>https://api.typeform.com/responses/files/295c3c2e962e8eb7cc2416f2d89a422600e7583508862f76a99539bfd78600db/CV___AI_Engineer_Intern___Tiêu_Trí_Bằng.pdf</v>
      </c>
      <c r="H324" s="29" t="s">
        <v>3285</v>
      </c>
      <c r="I324" s="29" t="s">
        <v>3286</v>
      </c>
      <c r="J324" s="29" t="s">
        <v>715</v>
      </c>
      <c r="L324" s="29" t="s">
        <v>67</v>
      </c>
      <c r="M324" s="29" t="s">
        <v>399</v>
      </c>
      <c r="N324" s="33">
        <v>46336.0</v>
      </c>
      <c r="O324" s="31" t="s">
        <v>1852</v>
      </c>
      <c r="P324" s="32" t="str">
        <f>HYPERLINK("https://api.typeform.com/responses/files/50b34be58b42ac969baf6bf43ac92cdf10161eacb964ae51f19552d6a59569c3/Transcript___AI_Engineer_Intern__Tiêu_Trí_Bằng.pdf")</f>
        <v>https://api.typeform.com/responses/files/50b34be58b42ac969baf6bf43ac92cdf10161eacb964ae51f19552d6a59569c3/Transcript___AI_Engineer_Intern__Tiêu_Trí_Bằng.pdf</v>
      </c>
      <c r="Q324" s="29" t="b">
        <v>1</v>
      </c>
      <c r="R324" s="29" t="s">
        <v>3287</v>
      </c>
      <c r="S324" s="29" t="s">
        <v>3288</v>
      </c>
      <c r="T324" s="29" t="s">
        <v>72</v>
      </c>
      <c r="U324" s="29" t="s">
        <v>72</v>
      </c>
      <c r="V324" s="29" t="s">
        <v>269</v>
      </c>
      <c r="X324" s="29" t="s">
        <v>3289</v>
      </c>
      <c r="Y324" s="34">
        <v>46140.21864583333</v>
      </c>
      <c r="Z324" s="29" t="s">
        <v>3290</v>
      </c>
      <c r="AA324" s="6">
        <v>2.0</v>
      </c>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row>
    <row r="325" ht="22.5" hidden="1" customHeight="1">
      <c r="A325" s="29" t="s">
        <v>3291</v>
      </c>
      <c r="B325" s="30">
        <v>38124.0</v>
      </c>
      <c r="C325" s="29" t="s">
        <v>3292</v>
      </c>
      <c r="D325" s="31" t="s">
        <v>3293</v>
      </c>
      <c r="E325" s="29" t="s">
        <v>82</v>
      </c>
      <c r="F325" s="29" t="s">
        <v>62</v>
      </c>
      <c r="G325" s="32" t="str">
        <f>HYPERLINK("https://api.typeform.com/responses/files/61c3c67b255653ca9e9fa6d15d9728fafefd34b80ecd82f274ebe44bbd5409b4/CV_DataAnalysisIntern_VoNguyenBaoNgoc.pdf")</f>
        <v>https://api.typeform.com/responses/files/61c3c67b255653ca9e9fa6d15d9728fafefd34b80ecd82f274ebe44bbd5409b4/CV_DataAnalysisIntern_VoNguyenBaoNgoc.pdf</v>
      </c>
      <c r="H325" s="29" t="s">
        <v>3294</v>
      </c>
      <c r="I325" s="29" t="s">
        <v>3295</v>
      </c>
      <c r="J325" s="29" t="s">
        <v>777</v>
      </c>
      <c r="L325" s="29" t="s">
        <v>67</v>
      </c>
      <c r="M325" s="29" t="s">
        <v>624</v>
      </c>
      <c r="N325" s="33">
        <v>46368.0</v>
      </c>
      <c r="O325" s="31" t="s">
        <v>118</v>
      </c>
      <c r="P325" s="32" t="str">
        <f>HYPERLINK("https://api.typeform.com/responses/files/d40db7e4108c1546e4c24bf498dd458c41572bdcd61723c2d6c3b0926c2af69e/Transcript___Data_Analysis_Intern___Võ_Nguyễn_Bảo_Ngọc.pdf")</f>
        <v>https://api.typeform.com/responses/files/d40db7e4108c1546e4c24bf498dd458c41572bdcd61723c2d6c3b0926c2af69e/Transcript___Data_Analysis_Intern___Võ_Nguyễn_Bảo_Ngọc.pdf</v>
      </c>
      <c r="Q325" s="29" t="b">
        <v>0</v>
      </c>
      <c r="R325" s="29" t="s">
        <v>3296</v>
      </c>
      <c r="S325" s="29" t="s">
        <v>3297</v>
      </c>
      <c r="T325" s="29" t="s">
        <v>72</v>
      </c>
      <c r="U325" s="29" t="s">
        <v>72</v>
      </c>
      <c r="V325" s="29" t="s">
        <v>90</v>
      </c>
      <c r="Y325" s="34">
        <v>46140.21952546296</v>
      </c>
      <c r="Z325" s="29" t="s">
        <v>3298</v>
      </c>
      <c r="AA325" s="6">
        <v>2.0</v>
      </c>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row>
    <row r="326" ht="22.5" hidden="1" customHeight="1">
      <c r="A326" s="29" t="s">
        <v>3299</v>
      </c>
      <c r="B326" s="30">
        <v>38231.0</v>
      </c>
      <c r="C326" s="29" t="s">
        <v>3300</v>
      </c>
      <c r="D326" s="31" t="s">
        <v>3301</v>
      </c>
      <c r="E326" s="29" t="s">
        <v>62</v>
      </c>
      <c r="F326" s="29" t="s">
        <v>82</v>
      </c>
      <c r="G326" s="32" t="str">
        <f>HYPERLINK("https://api.typeform.com/responses/files/69d359b729b110003d16496405f843c192e6ec2df6f2b4eaf92641d08dc42c0e/CV___AI_Engineering_Intern___Trần_Anh_Thái.pdf")</f>
        <v>https://api.typeform.com/responses/files/69d359b729b110003d16496405f843c192e6ec2df6f2b4eaf92641d08dc42c0e/CV___AI_Engineering_Intern___Trần_Anh_Thái.pdf</v>
      </c>
      <c r="H326" s="29" t="s">
        <v>3302</v>
      </c>
      <c r="I326" s="29" t="s">
        <v>3303</v>
      </c>
      <c r="J326" s="29" t="s">
        <v>65</v>
      </c>
      <c r="K326" s="29" t="s">
        <v>3304</v>
      </c>
      <c r="L326" s="29" t="s">
        <v>67</v>
      </c>
      <c r="M326" s="29" t="s">
        <v>86</v>
      </c>
      <c r="N326" s="33">
        <v>46174.0</v>
      </c>
      <c r="O326" s="31" t="s">
        <v>2346</v>
      </c>
      <c r="P326" s="32" t="str">
        <f>HYPERLINK("https://api.typeform.com/responses/files/35bcda81661c1ccf84833e628913df16041771719939565f4eb15bd709d15f53/Transcript___AI_Engineering_Intern___Trần_Anh_Thái.pdf")</f>
        <v>https://api.typeform.com/responses/files/35bcda81661c1ccf84833e628913df16041771719939565f4eb15bd709d15f53/Transcript___AI_Engineering_Intern___Trần_Anh_Thái.pdf</v>
      </c>
      <c r="Q326" s="29" t="b">
        <v>1</v>
      </c>
      <c r="R326" s="29" t="s">
        <v>3305</v>
      </c>
      <c r="S326" s="29" t="s">
        <v>3306</v>
      </c>
      <c r="T326" s="29" t="s">
        <v>72</v>
      </c>
      <c r="U326" s="29" t="s">
        <v>72</v>
      </c>
      <c r="V326" s="29" t="s">
        <v>90</v>
      </c>
      <c r="X326" s="29" t="s">
        <v>3307</v>
      </c>
      <c r="Y326" s="34">
        <v>46140.227858796294</v>
      </c>
      <c r="Z326" s="29" t="s">
        <v>3308</v>
      </c>
      <c r="AA326" s="6">
        <v>2.0</v>
      </c>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row>
    <row r="327" ht="22.5" hidden="1" customHeight="1">
      <c r="A327" s="29" t="s">
        <v>191</v>
      </c>
      <c r="B327" s="30">
        <v>37380.0</v>
      </c>
      <c r="C327" s="29" t="s">
        <v>3309</v>
      </c>
      <c r="D327" s="31" t="s">
        <v>3310</v>
      </c>
      <c r="E327" s="29" t="s">
        <v>61</v>
      </c>
      <c r="F327" s="29" t="s">
        <v>61</v>
      </c>
      <c r="G327" s="32" t="str">
        <f>HYPERLINK("https://api.typeform.com/responses/files/683cf29f3b6e6fa6aab846a91d52326dd3bed6aac5c414e3bafedd019cf98c51/CV___Unity_Developer_Intern___Trần_Quốc_Đạt.pdf")</f>
        <v>https://api.typeform.com/responses/files/683cf29f3b6e6fa6aab846a91d52326dd3bed6aac5c414e3bafedd019cf98c51/CV___Unity_Developer_Intern___Trần_Quốc_Đạt.pdf</v>
      </c>
      <c r="H327" s="29" t="s">
        <v>3311</v>
      </c>
      <c r="I327" s="29" t="s">
        <v>3312</v>
      </c>
      <c r="J327" s="29" t="s">
        <v>326</v>
      </c>
      <c r="L327" s="29" t="s">
        <v>103</v>
      </c>
      <c r="M327" s="29" t="s">
        <v>308</v>
      </c>
      <c r="N327" s="33">
        <v>46011.0</v>
      </c>
      <c r="O327" s="31" t="s">
        <v>3313</v>
      </c>
      <c r="P327" s="32" t="str">
        <f>HYPERLINK("https://api.typeform.com/responses/files/108d0aa2051e9c3e6220dd3146418e3af7b85e7894b26eb1256dc7c7f0ac6b6f/Transcript___Unity_Developer_Intern___Trần_Quốc_Đạt.pdf")</f>
        <v>https://api.typeform.com/responses/files/108d0aa2051e9c3e6220dd3146418e3af7b85e7894b26eb1256dc7c7f0ac6b6f/Transcript___Unity_Developer_Intern___Trần_Quốc_Đạt.pdf</v>
      </c>
      <c r="Q327" s="29" t="b">
        <v>1</v>
      </c>
      <c r="R327" s="29" t="s">
        <v>3314</v>
      </c>
      <c r="S327" s="29" t="s">
        <v>3315</v>
      </c>
      <c r="T327" s="29" t="s">
        <v>72</v>
      </c>
      <c r="U327" s="29" t="s">
        <v>72</v>
      </c>
      <c r="V327" s="29" t="s">
        <v>90</v>
      </c>
      <c r="X327" s="29" t="s">
        <v>3316</v>
      </c>
      <c r="Y327" s="34">
        <v>46140.22959490741</v>
      </c>
      <c r="Z327" s="29" t="s">
        <v>3317</v>
      </c>
      <c r="AA327" s="6">
        <v>2.0</v>
      </c>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row>
    <row r="328" ht="22.5" hidden="1" customHeight="1">
      <c r="A328" s="29" t="s">
        <v>3318</v>
      </c>
      <c r="B328" s="30">
        <v>37716.0</v>
      </c>
      <c r="C328" s="29" t="s">
        <v>3319</v>
      </c>
      <c r="D328" s="31" t="s">
        <v>3320</v>
      </c>
      <c r="E328" s="29" t="s">
        <v>62</v>
      </c>
      <c r="F328" s="29" t="s">
        <v>61</v>
      </c>
      <c r="G328" s="32" t="str">
        <f>HYPERLINK("https://api.typeform.com/responses/files/47c0e2a67826e5403c1856e4816d82f5c0ebaa42fe330d3f11f61570eba0d629/CV_AI_Engineer_Intern_Nguyễn_Hạnh_Bảo_Ân.pdf")</f>
        <v>https://api.typeform.com/responses/files/47c0e2a67826e5403c1856e4816d82f5c0ebaa42fe330d3f11f61570eba0d629/CV_AI_Engineer_Intern_Nguyễn_Hạnh_Bảo_Ân.pdf</v>
      </c>
      <c r="H328" s="29" t="s">
        <v>3321</v>
      </c>
      <c r="I328" s="29" t="s">
        <v>3322</v>
      </c>
      <c r="J328" s="29" t="s">
        <v>277</v>
      </c>
      <c r="L328" s="29" t="s">
        <v>67</v>
      </c>
      <c r="M328" s="29" t="s">
        <v>930</v>
      </c>
      <c r="N328" s="33">
        <v>46376.0</v>
      </c>
      <c r="O328" s="31" t="s">
        <v>3323</v>
      </c>
      <c r="P328" s="32" t="str">
        <f>HYPERLINK("https://api.typeform.com/responses/files/e98addfbcab47fa2cc3c0b11ce0535b61407de12f121e4b4ecd0948a918073ff/Transcript___AI_Engineer_Intern___Nguyễn_Hạnh_Bảo_Ân.pdf")</f>
        <v>https://api.typeform.com/responses/files/e98addfbcab47fa2cc3c0b11ce0535b61407de12f121e4b4ecd0948a918073ff/Transcript___AI_Engineer_Intern___Nguyễn_Hạnh_Bảo_Ân.pdf</v>
      </c>
      <c r="Q328" s="29" t="b">
        <v>1</v>
      </c>
      <c r="R328" s="29" t="s">
        <v>3324</v>
      </c>
      <c r="S328" s="29" t="s">
        <v>3325</v>
      </c>
      <c r="T328" s="29" t="s">
        <v>72</v>
      </c>
      <c r="U328" s="29" t="s">
        <v>72</v>
      </c>
      <c r="V328" s="29" t="s">
        <v>224</v>
      </c>
      <c r="Y328" s="34">
        <v>46140.23509259259</v>
      </c>
      <c r="Z328" s="29" t="s">
        <v>3326</v>
      </c>
      <c r="AA328" s="6">
        <v>2.0</v>
      </c>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row>
    <row r="329" ht="22.5" hidden="1" customHeight="1">
      <c r="A329" s="29" t="s">
        <v>3327</v>
      </c>
      <c r="B329" s="30">
        <v>38064.0</v>
      </c>
      <c r="C329" s="29" t="s">
        <v>3328</v>
      </c>
      <c r="D329" s="31" t="s">
        <v>3329</v>
      </c>
      <c r="E329" s="29" t="s">
        <v>61</v>
      </c>
      <c r="F329" s="29" t="s">
        <v>99</v>
      </c>
      <c r="G329" s="32" t="str">
        <f>HYPERLINK("https://api.typeform.com/responses/files/f7f6191c374de9cd988c56ac2e6d127b691e484e8656da608dd91f92ab48df80/CV_Đoàn_Minh_Đức.pdf")</f>
        <v>https://api.typeform.com/responses/files/f7f6191c374de9cd988c56ac2e6d127b691e484e8656da608dd91f92ab48df80/CV_Đoàn_Minh_Đức.pdf</v>
      </c>
      <c r="H329" s="29" t="s">
        <v>3330</v>
      </c>
      <c r="I329" s="29" t="s">
        <v>3331</v>
      </c>
      <c r="J329" s="29" t="s">
        <v>130</v>
      </c>
      <c r="K329" s="29" t="s">
        <v>3332</v>
      </c>
      <c r="L329" s="29" t="s">
        <v>67</v>
      </c>
      <c r="M329" s="29" t="s">
        <v>3333</v>
      </c>
      <c r="N329" s="33">
        <v>46387.0</v>
      </c>
      <c r="O329" s="29" t="s">
        <v>3334</v>
      </c>
      <c r="P329" s="32" t="str">
        <f>HYPERLINK("https://api.typeform.com/responses/files/cae5711f2c4e3985149fd97cc42c2e9db4bec9f78abdd90b0dd74719d50b711f/bảng_điểm.jpg")</f>
        <v>https://api.typeform.com/responses/files/cae5711f2c4e3985149fd97cc42c2e9db4bec9f78abdd90b0dd74719d50b711f/bảng_điểm.jpg</v>
      </c>
      <c r="Q329" s="29" t="b">
        <v>1</v>
      </c>
      <c r="R329" s="29" t="s">
        <v>3335</v>
      </c>
      <c r="S329" s="29" t="s">
        <v>3336</v>
      </c>
      <c r="T329" s="29" t="s">
        <v>72</v>
      </c>
      <c r="U329" s="29" t="s">
        <v>72</v>
      </c>
      <c r="V329" s="29" t="s">
        <v>236</v>
      </c>
      <c r="X329" s="29" t="s">
        <v>3337</v>
      </c>
      <c r="Y329" s="34">
        <v>46140.271053240744</v>
      </c>
      <c r="Z329" s="29" t="s">
        <v>3338</v>
      </c>
      <c r="AA329" s="6">
        <v>2.0</v>
      </c>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row>
    <row r="330" ht="22.5" hidden="1" customHeight="1">
      <c r="A330" s="29" t="s">
        <v>3339</v>
      </c>
      <c r="B330" s="30">
        <v>38618.0</v>
      </c>
      <c r="C330" s="29" t="s">
        <v>3340</v>
      </c>
      <c r="D330" s="31" t="s">
        <v>3341</v>
      </c>
      <c r="E330" s="29" t="s">
        <v>82</v>
      </c>
      <c r="F330" s="29" t="s">
        <v>62</v>
      </c>
      <c r="G330" s="32" t="str">
        <f>HYPERLINK("https://api.typeform.com/responses/files/94b1876b6b3cbf11eeb597d7cf9cf7afd3013934c733282588779ba762d23995/CV_Data_Engineer_Intern_HaXuanHoang.pdf")</f>
        <v>https://api.typeform.com/responses/files/94b1876b6b3cbf11eeb597d7cf9cf7afd3013934c733282588779ba762d23995/CV_Data_Engineer_Intern_HaXuanHoang.pdf</v>
      </c>
      <c r="H330" s="29" t="s">
        <v>3342</v>
      </c>
      <c r="I330" s="29" t="s">
        <v>3343</v>
      </c>
      <c r="J330" s="29" t="s">
        <v>85</v>
      </c>
      <c r="L330" s="29" t="s">
        <v>219</v>
      </c>
      <c r="M330" s="29" t="s">
        <v>384</v>
      </c>
      <c r="N330" s="33">
        <v>46402.0</v>
      </c>
      <c r="O330" s="31" t="s">
        <v>738</v>
      </c>
      <c r="P330" s="32" t="str">
        <f>HYPERLINK("https://api.typeform.com/responses/files/bc07ba8bca73ba896d0ef009c5c5a1edb25e8d311ea134f7a42403f32c3e73a5/Transcript___Data_Analysis_Intern___Ha_Xuan_Hoang.html")</f>
        <v>https://api.typeform.com/responses/files/bc07ba8bca73ba896d0ef009c5c5a1edb25e8d311ea134f7a42403f32c3e73a5/Transcript___Data_Analysis_Intern___Ha_Xuan_Hoang.html</v>
      </c>
      <c r="Q330" s="29" t="b">
        <v>1</v>
      </c>
      <c r="R330" s="29" t="s">
        <v>3344</v>
      </c>
      <c r="S330" s="29" t="s">
        <v>3345</v>
      </c>
      <c r="T330" s="29" t="s">
        <v>72</v>
      </c>
      <c r="U330" s="29" t="s">
        <v>72</v>
      </c>
      <c r="V330" s="29" t="s">
        <v>1061</v>
      </c>
      <c r="X330" s="29" t="s">
        <v>3346</v>
      </c>
      <c r="Y330" s="34">
        <v>46140.27789351852</v>
      </c>
      <c r="Z330" s="29" t="s">
        <v>3347</v>
      </c>
      <c r="AA330" s="6">
        <v>2.0</v>
      </c>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row>
    <row r="331" ht="22.5" hidden="1" customHeight="1">
      <c r="A331" s="29" t="s">
        <v>3348</v>
      </c>
      <c r="B331" s="30">
        <v>38154.0</v>
      </c>
      <c r="C331" s="29" t="s">
        <v>3349</v>
      </c>
      <c r="D331" s="31" t="s">
        <v>3350</v>
      </c>
      <c r="E331" s="29" t="s">
        <v>127</v>
      </c>
      <c r="F331" s="29" t="s">
        <v>99</v>
      </c>
      <c r="G331" s="32" t="str">
        <f>HYPERLINK("https://api.typeform.com/responses/files/3bad88bb3211fc7ddb2b2da29e2f80e89ec1f7693db8d5046add7878257a8c7f/CV___TRAN_DOAN_THANH_QUY___TESTER.pdf")</f>
        <v>https://api.typeform.com/responses/files/3bad88bb3211fc7ddb2b2da29e2f80e89ec1f7693db8d5046add7878257a8c7f/CV___TRAN_DOAN_THANH_QUY___TESTER.pdf</v>
      </c>
      <c r="H331" s="29" t="s">
        <v>3351</v>
      </c>
      <c r="I331" s="29" t="s">
        <v>3352</v>
      </c>
      <c r="J331" s="29" t="s">
        <v>326</v>
      </c>
      <c r="L331" s="29" t="s">
        <v>67</v>
      </c>
      <c r="M331" s="29" t="s">
        <v>3353</v>
      </c>
      <c r="N331" s="33">
        <v>46311.0</v>
      </c>
      <c r="O331" s="31" t="s">
        <v>3354</v>
      </c>
      <c r="P331" s="32" t="str">
        <f>HYPERLINK("https://api.typeform.com/responses/files/65e4387582a800677b90df4f6b83e303cf055a3f01a83606353cb710a9e586a5/Transcript___QA___Trần_Doãn_Thanh_Quý.pdf")</f>
        <v>https://api.typeform.com/responses/files/65e4387582a800677b90df4f6b83e303cf055a3f01a83606353cb710a9e586a5/Transcript___QA___Trần_Doãn_Thanh_Quý.pdf</v>
      </c>
      <c r="Q331" s="29" t="b">
        <v>1</v>
      </c>
      <c r="R331" s="29" t="s">
        <v>3355</v>
      </c>
      <c r="S331" s="29" t="s">
        <v>3356</v>
      </c>
      <c r="T331" s="29" t="s">
        <v>72</v>
      </c>
      <c r="U331" s="29" t="s">
        <v>72</v>
      </c>
      <c r="V331" s="29" t="s">
        <v>3357</v>
      </c>
      <c r="X331" s="29" t="s">
        <v>3358</v>
      </c>
      <c r="Y331" s="34">
        <v>46140.308217592596</v>
      </c>
      <c r="Z331" s="29" t="s">
        <v>3359</v>
      </c>
      <c r="AA331" s="6">
        <v>2.0</v>
      </c>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row>
    <row r="332" ht="22.5" hidden="1" customHeight="1">
      <c r="A332" s="29" t="s">
        <v>3360</v>
      </c>
      <c r="B332" s="30">
        <v>38228.0</v>
      </c>
      <c r="C332" s="29" t="s">
        <v>3361</v>
      </c>
      <c r="D332" s="31" t="s">
        <v>3362</v>
      </c>
      <c r="E332" s="29" t="s">
        <v>127</v>
      </c>
      <c r="F332" s="29" t="s">
        <v>99</v>
      </c>
      <c r="G332" s="32" t="str">
        <f>HYPERLINK("https://api.typeform.com/responses/files/518b83a9cbd646d5007c832edd4f7a5332c396e1845818892ca58eede5222fd8/CV___Game_Quality_Assurance_Intern___NguyenTranXuanNhi.pdf")</f>
        <v>https://api.typeform.com/responses/files/518b83a9cbd646d5007c832edd4f7a5332c396e1845818892ca58eede5222fd8/CV___Game_Quality_Assurance_Intern___NguyenTranXuanNhi.pdf</v>
      </c>
      <c r="H332" s="29" t="s">
        <v>3363</v>
      </c>
      <c r="I332" s="29" t="s">
        <v>3364</v>
      </c>
      <c r="J332" s="29" t="s">
        <v>2293</v>
      </c>
      <c r="L332" s="29" t="s">
        <v>103</v>
      </c>
      <c r="M332" s="29" t="s">
        <v>3365</v>
      </c>
      <c r="N332" s="33">
        <v>46134.0</v>
      </c>
      <c r="O332" s="29" t="s">
        <v>3366</v>
      </c>
      <c r="P332" s="32" t="str">
        <f>HYPERLINK("https://api.typeform.com/responses/files/5cbca643946f91e154082095a1f55c16a8671d91faf0e6f9c826be42e16c5799/Transcript___Game_Quality_Assurance_Intern___NguyenTranXuanNhi.pdf")</f>
        <v>https://api.typeform.com/responses/files/5cbca643946f91e154082095a1f55c16a8671d91faf0e6f9c826be42e16c5799/Transcript___Game_Quality_Assurance_Intern___NguyenTranXuanNhi.pdf</v>
      </c>
      <c r="Q332" s="29" t="b">
        <v>1</v>
      </c>
      <c r="R332" s="29" t="s">
        <v>3367</v>
      </c>
      <c r="S332" s="29" t="s">
        <v>3368</v>
      </c>
      <c r="T332" s="29" t="s">
        <v>72</v>
      </c>
      <c r="U332" s="29" t="s">
        <v>72</v>
      </c>
      <c r="V332" s="29" t="s">
        <v>236</v>
      </c>
      <c r="X332" s="29" t="s">
        <v>3369</v>
      </c>
      <c r="Y332" s="34">
        <v>46140.31061342593</v>
      </c>
      <c r="Z332" s="29" t="s">
        <v>3370</v>
      </c>
      <c r="AA332" s="6">
        <v>2.0</v>
      </c>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row>
    <row r="333" ht="22.5" hidden="1" customHeight="1">
      <c r="A333" s="29" t="s">
        <v>3371</v>
      </c>
      <c r="B333" s="30">
        <v>38202.0</v>
      </c>
      <c r="C333" s="29" t="s">
        <v>3372</v>
      </c>
      <c r="D333" s="31" t="s">
        <v>3373</v>
      </c>
      <c r="E333" s="29" t="s">
        <v>61</v>
      </c>
      <c r="F333" s="29" t="s">
        <v>99</v>
      </c>
      <c r="G333" s="32" t="str">
        <f>HYPERLINK("https://api.typeform.com/responses/files/4af73e7e400b574bc0e088d9bacfa6ed81c2e472d12bf8c5a311e1f4e224d120/PhamDoQuangLong_InternUnityDeveloper_CV.pdf")</f>
        <v>https://api.typeform.com/responses/files/4af73e7e400b574bc0e088d9bacfa6ed81c2e472d12bf8c5a311e1f4e224d120/PhamDoQuangLong_InternUnityDeveloper_CV.pdf</v>
      </c>
      <c r="H333" s="29" t="s">
        <v>3374</v>
      </c>
      <c r="I333" s="29" t="s">
        <v>3375</v>
      </c>
      <c r="J333" s="29" t="s">
        <v>116</v>
      </c>
      <c r="L333" s="29" t="s">
        <v>67</v>
      </c>
      <c r="M333" s="29" t="s">
        <v>1830</v>
      </c>
      <c r="N333" s="33">
        <v>46295.0</v>
      </c>
      <c r="O333" s="29" t="s">
        <v>3376</v>
      </c>
      <c r="P333" s="32" t="str">
        <f>HYPERLINK("https://api.typeform.com/responses/files/c3585b9f0afde92207aadc44225126e0b1762a8a439c5d7a74937c3ae5443df6/Transcript_UnityDevelopmentIntern_PhamDoQuangLong.xls")</f>
        <v>https://api.typeform.com/responses/files/c3585b9f0afde92207aadc44225126e0b1762a8a439c5d7a74937c3ae5443df6/Transcript_UnityDevelopmentIntern_PhamDoQuangLong.xls</v>
      </c>
      <c r="Q333" s="29" t="b">
        <v>1</v>
      </c>
      <c r="R333" s="29" t="s">
        <v>3377</v>
      </c>
      <c r="S333" s="29" t="s">
        <v>3378</v>
      </c>
      <c r="T333" s="29" t="s">
        <v>72</v>
      </c>
      <c r="U333" s="29" t="s">
        <v>72</v>
      </c>
      <c r="V333" s="29" t="s">
        <v>3178</v>
      </c>
      <c r="X333" s="29" t="s">
        <v>3379</v>
      </c>
      <c r="Y333" s="34">
        <v>46140.32247685185</v>
      </c>
      <c r="Z333" s="29" t="s">
        <v>3380</v>
      </c>
      <c r="AA333" s="6">
        <v>2.0</v>
      </c>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row>
    <row r="334" ht="22.5" hidden="1" customHeight="1">
      <c r="A334" s="29" t="s">
        <v>3381</v>
      </c>
      <c r="B334" s="30">
        <v>38027.0</v>
      </c>
      <c r="C334" s="29" t="s">
        <v>3382</v>
      </c>
      <c r="D334" s="31" t="s">
        <v>3383</v>
      </c>
      <c r="E334" s="29" t="s">
        <v>61</v>
      </c>
      <c r="F334" s="29" t="s">
        <v>99</v>
      </c>
      <c r="G334" s="32" t="str">
        <f>HYPERLINK("https://api.typeform.com/responses/files/2b7c76213ae07b77dbcc8489af13a92d8975bdf251b94df2ec5ff986d72a85ed/Nguyễn_Duy__CV_updatedMay2026.pdf")</f>
        <v>https://api.typeform.com/responses/files/2b7c76213ae07b77dbcc8489af13a92d8975bdf251b94df2ec5ff986d72a85ed/Nguyễn_Duy__CV_updatedMay2026.pdf</v>
      </c>
      <c r="H334" s="29" t="s">
        <v>3384</v>
      </c>
      <c r="I334" s="29" t="s">
        <v>3385</v>
      </c>
      <c r="J334" s="29" t="s">
        <v>644</v>
      </c>
      <c r="L334" s="29" t="s">
        <v>67</v>
      </c>
      <c r="M334" s="29" t="s">
        <v>3386</v>
      </c>
      <c r="N334" s="33">
        <v>46295.0</v>
      </c>
      <c r="O334" s="31" t="s">
        <v>780</v>
      </c>
      <c r="P334" s="32" t="str">
        <f>HYPERLINK("https://api.typeform.com/responses/files/3191ebc4dbfd8528f3011fc06fe83de5221e818638eeef51f9c6243087687e2e/Nguyễn_Duy__DiemSinhVien.xls")</f>
        <v>https://api.typeform.com/responses/files/3191ebc4dbfd8528f3011fc06fe83de5221e818638eeef51f9c6243087687e2e/Nguyễn_Duy__DiemSinhVien.xls</v>
      </c>
      <c r="Q334" s="29" t="b">
        <v>1</v>
      </c>
      <c r="R334" s="29" t="s">
        <v>3387</v>
      </c>
      <c r="S334" s="29" t="s">
        <v>3388</v>
      </c>
      <c r="T334" s="29" t="s">
        <v>72</v>
      </c>
      <c r="U334" s="29" t="s">
        <v>72</v>
      </c>
      <c r="V334" s="29" t="s">
        <v>90</v>
      </c>
      <c r="X334" s="29" t="s">
        <v>3389</v>
      </c>
      <c r="Y334" s="34">
        <v>46140.3293287037</v>
      </c>
      <c r="Z334" s="29" t="s">
        <v>3390</v>
      </c>
      <c r="AA334" s="6">
        <v>2.0</v>
      </c>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row>
    <row r="335" ht="22.5" hidden="1" customHeight="1">
      <c r="A335" s="29" t="s">
        <v>3391</v>
      </c>
      <c r="B335" s="30">
        <v>38177.0</v>
      </c>
      <c r="C335" s="29" t="s">
        <v>3392</v>
      </c>
      <c r="D335" s="31" t="s">
        <v>3393</v>
      </c>
      <c r="E335" s="29" t="s">
        <v>99</v>
      </c>
      <c r="F335" s="29" t="s">
        <v>61</v>
      </c>
      <c r="G335" s="32" t="str">
        <f>HYPERLINK("https://api.typeform.com/responses/files/4e772294089ebf0bd860fb152567bfe87af601ee76c340a3db4a7aa5adc799ce/CV_LeHaBaoKhanh_Fresher.pdf")</f>
        <v>https://api.typeform.com/responses/files/4e772294089ebf0bd860fb152567bfe87af601ee76c340a3db4a7aa5adc799ce/CV_LeHaBaoKhanh_Fresher.pdf</v>
      </c>
      <c r="H335" s="29" t="s">
        <v>3394</v>
      </c>
      <c r="I335" s="29" t="s">
        <v>3395</v>
      </c>
      <c r="J335" s="29" t="s">
        <v>1023</v>
      </c>
      <c r="L335" s="29" t="s">
        <v>103</v>
      </c>
      <c r="M335" s="29" t="s">
        <v>551</v>
      </c>
      <c r="N335" s="33">
        <v>46136.0</v>
      </c>
      <c r="O335" s="31" t="s">
        <v>1382</v>
      </c>
      <c r="P335" s="32" t="str">
        <f>HYPERLINK("https://api.typeform.com/responses/files/f74e518f23f08a935c07b4fd8f0211d0dda0ccb81ee5084ccb6f3413bab65977/Transcript_Game_Design_Intern___Lê_Hà_Bảo_Khanh.pdf")</f>
        <v>https://api.typeform.com/responses/files/f74e518f23f08a935c07b4fd8f0211d0dda0ccb81ee5084ccb6f3413bab65977/Transcript_Game_Design_Intern___Lê_Hà_Bảo_Khanh.pdf</v>
      </c>
      <c r="Q335" s="29" t="b">
        <v>0</v>
      </c>
      <c r="R335" s="29" t="s">
        <v>686</v>
      </c>
      <c r="S335" s="29" t="s">
        <v>686</v>
      </c>
      <c r="T335" s="29" t="s">
        <v>72</v>
      </c>
      <c r="U335" s="29" t="s">
        <v>72</v>
      </c>
      <c r="V335" s="29" t="s">
        <v>73</v>
      </c>
      <c r="X335" s="29" t="s">
        <v>3396</v>
      </c>
      <c r="Y335" s="34">
        <v>46140.331875</v>
      </c>
      <c r="Z335" s="29" t="s">
        <v>3397</v>
      </c>
      <c r="AA335" s="6">
        <v>2.0</v>
      </c>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row>
    <row r="336" ht="22.5" hidden="1" customHeight="1">
      <c r="A336" s="29" t="s">
        <v>2823</v>
      </c>
      <c r="B336" s="30">
        <v>38227.0</v>
      </c>
      <c r="C336" s="29" t="s">
        <v>2824</v>
      </c>
      <c r="D336" s="31" t="s">
        <v>2825</v>
      </c>
      <c r="E336" s="29" t="s">
        <v>62</v>
      </c>
      <c r="F336" s="29" t="s">
        <v>82</v>
      </c>
      <c r="G336" s="32" t="str">
        <f>HYPERLINK("https://api.typeform.com/responses/files/e0724417490800dd8a50523074390fde2f181c09dd3c7e0940c78cb4728b1ed0/CV___AI_Engineer_Intern___Lê_Quân_Đạt.pdf")</f>
        <v>https://api.typeform.com/responses/files/e0724417490800dd8a50523074390fde2f181c09dd3c7e0940c78cb4728b1ed0/CV___AI_Engineer_Intern___Lê_Quân_Đạt.pdf</v>
      </c>
      <c r="H336" s="29" t="s">
        <v>3398</v>
      </c>
      <c r="I336" s="29" t="s">
        <v>3399</v>
      </c>
      <c r="J336" s="29" t="s">
        <v>65</v>
      </c>
      <c r="K336" s="29" t="s">
        <v>2828</v>
      </c>
      <c r="L336" s="29" t="s">
        <v>67</v>
      </c>
      <c r="M336" s="29" t="s">
        <v>384</v>
      </c>
      <c r="N336" s="33">
        <v>46181.0</v>
      </c>
      <c r="O336" s="31" t="s">
        <v>374</v>
      </c>
      <c r="P336" s="32" t="str">
        <f>HYPERLINK("https://api.typeform.com/responses/files/6ea7b197f3bdd72d5cc46dd869aef8f53efe1d1d260067f40b3cf1041f0ff071/Transcript___AI_Engineer_Intern___Lê_Quân_Đạt.pdf")</f>
        <v>https://api.typeform.com/responses/files/6ea7b197f3bdd72d5cc46dd869aef8f53efe1d1d260067f40b3cf1041f0ff071/Transcript___AI_Engineer_Intern___Lê_Quân_Đạt.pdf</v>
      </c>
      <c r="Q336" s="29" t="b">
        <v>1</v>
      </c>
      <c r="R336" s="29" t="s">
        <v>3400</v>
      </c>
      <c r="S336" s="29" t="s">
        <v>2830</v>
      </c>
      <c r="T336" s="29" t="s">
        <v>72</v>
      </c>
      <c r="U336" s="29" t="s">
        <v>72</v>
      </c>
      <c r="V336" s="29" t="s">
        <v>236</v>
      </c>
      <c r="Y336" s="34">
        <v>46140.33982638889</v>
      </c>
      <c r="Z336" s="29" t="s">
        <v>3401</v>
      </c>
      <c r="AA336" s="6">
        <v>2.0</v>
      </c>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row>
    <row r="337" ht="22.5" hidden="1" customHeight="1">
      <c r="A337" s="29" t="s">
        <v>3402</v>
      </c>
      <c r="B337" s="30">
        <v>38180.0</v>
      </c>
      <c r="C337" s="29" t="s">
        <v>3403</v>
      </c>
      <c r="D337" s="31" t="s">
        <v>3404</v>
      </c>
      <c r="E337" s="29" t="s">
        <v>61</v>
      </c>
      <c r="F337" s="29" t="s">
        <v>61</v>
      </c>
      <c r="G337" s="32" t="str">
        <f>HYPERLINK("https://api.typeform.com/responses/files/0652128d676fb9d92391121b4e131f8188e2bf772a9e06fcd0ce871073292ee5/CV_Nguyen_Hung___Game_Development.pdf")</f>
        <v>https://api.typeform.com/responses/files/0652128d676fb9d92391121b4e131f8188e2bf772a9e06fcd0ce871073292ee5/CV_Nguyen_Hung___Game_Development.pdf</v>
      </c>
      <c r="H337" s="29" t="s">
        <v>3405</v>
      </c>
      <c r="I337" s="29" t="s">
        <v>3406</v>
      </c>
      <c r="J337" s="29" t="s">
        <v>326</v>
      </c>
      <c r="L337" s="29" t="s">
        <v>67</v>
      </c>
      <c r="M337" s="29" t="s">
        <v>3407</v>
      </c>
      <c r="N337" s="33">
        <v>46235.0</v>
      </c>
      <c r="O337" s="31" t="s">
        <v>1132</v>
      </c>
      <c r="P337" s="32" t="str">
        <f>HYPERLINK("https://api.typeform.com/responses/files/0594b4edd3cd039fe46f306258b58eefd0bd99b3c63c554756bc2567e2eed2cd/Transcript___Unity_Development_Intern___Nguyễn_.pdf")</f>
        <v>https://api.typeform.com/responses/files/0594b4edd3cd039fe46f306258b58eefd0bd99b3c63c554756bc2567e2eed2cd/Transcript___Unity_Development_Intern___Nguyễn_.pdf</v>
      </c>
      <c r="Q337" s="29" t="b">
        <v>1</v>
      </c>
      <c r="R337" s="29" t="s">
        <v>3408</v>
      </c>
      <c r="S337" s="29" t="s">
        <v>3409</v>
      </c>
      <c r="T337" s="29" t="s">
        <v>72</v>
      </c>
      <c r="U337" s="29" t="s">
        <v>72</v>
      </c>
      <c r="V337" s="29" t="s">
        <v>90</v>
      </c>
      <c r="X337" s="29" t="s">
        <v>3410</v>
      </c>
      <c r="Y337" s="34">
        <v>46140.356157407405</v>
      </c>
      <c r="Z337" s="29" t="s">
        <v>3411</v>
      </c>
      <c r="AA337" s="6">
        <v>2.0</v>
      </c>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row>
    <row r="338" ht="22.5" hidden="1" customHeight="1">
      <c r="A338" s="29" t="s">
        <v>3412</v>
      </c>
      <c r="B338" s="30">
        <v>38480.0</v>
      </c>
      <c r="C338" s="29" t="s">
        <v>3413</v>
      </c>
      <c r="D338" s="31" t="s">
        <v>3414</v>
      </c>
      <c r="E338" s="29" t="s">
        <v>82</v>
      </c>
      <c r="F338" s="29" t="s">
        <v>82</v>
      </c>
      <c r="G338" s="32" t="str">
        <f>HYPERLINK("https://api.typeform.com/responses/files/ff120effb801bf1b9b4087ecdd4849e4f25ba4acfaa24f4df8fbda05c13096ac/CV___Data_Analysts_Intern___Nguyen_Ngoc_Phuong.pdf")</f>
        <v>https://api.typeform.com/responses/files/ff120effb801bf1b9b4087ecdd4849e4f25ba4acfaa24f4df8fbda05c13096ac/CV___Data_Analysts_Intern___Nguyen_Ngoc_Phuong.pdf</v>
      </c>
      <c r="H338" s="29" t="s">
        <v>3415</v>
      </c>
      <c r="I338" s="29" t="s">
        <v>3416</v>
      </c>
      <c r="J338" s="29" t="s">
        <v>1069</v>
      </c>
      <c r="L338" s="29" t="s">
        <v>219</v>
      </c>
      <c r="M338" s="29" t="s">
        <v>132</v>
      </c>
      <c r="N338" s="33">
        <v>46966.0</v>
      </c>
      <c r="O338" s="31" t="s">
        <v>3417</v>
      </c>
      <c r="P338" s="32" t="str">
        <f>HYPERLINK("https://api.typeform.com/responses/files/cbcd39da2dcf70f373a71eee2b80a8ce0952bb8b213151d3c5ae190c2dfd058f/Transcript___Data_Analysts_Intern___Nguyen_Ngoc_Phuong.pdf")</f>
        <v>https://api.typeform.com/responses/files/cbcd39da2dcf70f373a71eee2b80a8ce0952bb8b213151d3c5ae190c2dfd058f/Transcript___Data_Analysts_Intern___Nguyen_Ngoc_Phuong.pdf</v>
      </c>
      <c r="Q338" s="29" t="b">
        <v>1</v>
      </c>
      <c r="R338" s="29" t="s">
        <v>3418</v>
      </c>
      <c r="S338" s="29" t="s">
        <v>3419</v>
      </c>
      <c r="T338" s="29" t="s">
        <v>72</v>
      </c>
      <c r="U338" s="29" t="s">
        <v>72</v>
      </c>
      <c r="V338" s="29" t="s">
        <v>73</v>
      </c>
      <c r="X338" s="29" t="s">
        <v>3420</v>
      </c>
      <c r="Y338" s="34">
        <v>46140.365219907406</v>
      </c>
      <c r="Z338" s="29" t="s">
        <v>3421</v>
      </c>
      <c r="AA338" s="6">
        <v>2.0</v>
      </c>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row>
    <row r="339" ht="22.5" hidden="1" customHeight="1">
      <c r="A339" s="29" t="s">
        <v>3422</v>
      </c>
      <c r="B339" s="30">
        <v>37980.0</v>
      </c>
      <c r="C339" s="29" t="s">
        <v>3423</v>
      </c>
      <c r="D339" s="31" t="s">
        <v>3424</v>
      </c>
      <c r="E339" s="29" t="s">
        <v>99</v>
      </c>
      <c r="F339" s="29" t="s">
        <v>127</v>
      </c>
      <c r="G339" s="32" t="str">
        <f>HYPERLINK("https://api.typeform.com/responses/files/524fb9bfc5222b8c104b63087f530ad506274b283c8f525d43f6a4e45545949e/ToanPhuc_CV_GameDesign.docx")</f>
        <v>https://api.typeform.com/responses/files/524fb9bfc5222b8c104b63087f530ad506274b283c8f525d43f6a4e45545949e/ToanPhuc_CV_GameDesign.docx</v>
      </c>
      <c r="H339" s="29" t="s">
        <v>3425</v>
      </c>
      <c r="I339" s="29" t="s">
        <v>3426</v>
      </c>
      <c r="J339" s="29" t="s">
        <v>644</v>
      </c>
      <c r="L339" s="29" t="s">
        <v>67</v>
      </c>
      <c r="M339" s="29" t="s">
        <v>3427</v>
      </c>
      <c r="N339" s="33">
        <v>46266.0</v>
      </c>
      <c r="O339" s="31" t="s">
        <v>328</v>
      </c>
      <c r="P339" s="32" t="str">
        <f>HYPERLINK("https://api.typeform.com/responses/files/4870f30309d041b7dfcd103762b312c6afdd04dfc571c04851081ed340138cd1/Transcripts___Game_Design_Intern___Nguyen_Toan_Phuc.xls")</f>
        <v>https://api.typeform.com/responses/files/4870f30309d041b7dfcd103762b312c6afdd04dfc571c04851081ed340138cd1/Transcripts___Game_Design_Intern___Nguyen_Toan_Phuc.xls</v>
      </c>
      <c r="Q339" s="29" t="b">
        <v>1</v>
      </c>
      <c r="R339" s="29" t="s">
        <v>3428</v>
      </c>
      <c r="S339" s="29" t="s">
        <v>3429</v>
      </c>
      <c r="T339" s="29" t="s">
        <v>72</v>
      </c>
      <c r="U339" s="29" t="s">
        <v>72</v>
      </c>
      <c r="V339" s="29" t="s">
        <v>90</v>
      </c>
      <c r="X339" s="29" t="s">
        <v>3430</v>
      </c>
      <c r="Y339" s="34">
        <v>46140.37068287037</v>
      </c>
      <c r="Z339" s="29" t="s">
        <v>3431</v>
      </c>
      <c r="AA339" s="6">
        <v>2.0</v>
      </c>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row>
    <row r="340" ht="22.5" hidden="1" customHeight="1">
      <c r="A340" s="29" t="s">
        <v>3432</v>
      </c>
      <c r="B340" s="30">
        <v>37680.0</v>
      </c>
      <c r="C340" s="29" t="s">
        <v>3433</v>
      </c>
      <c r="D340" s="31" t="s">
        <v>3434</v>
      </c>
      <c r="E340" s="29" t="s">
        <v>82</v>
      </c>
      <c r="F340" s="29" t="s">
        <v>633</v>
      </c>
      <c r="G340" s="32" t="str">
        <f>HYPERLINK("https://api.typeform.com/responses/files/14ec55491914483bdf153eb4e8f3d623cd19d17300ea97e53fa4bcc64870db72/CV_Data_Analyst_Intern_Huỳnh_Duy_Khanh.pdf")</f>
        <v>https://api.typeform.com/responses/files/14ec55491914483bdf153eb4e8f3d623cd19d17300ea97e53fa4bcc64870db72/CV_Data_Analyst_Intern_Huỳnh_Duy_Khanh.pdf</v>
      </c>
      <c r="H340" s="29" t="s">
        <v>3435</v>
      </c>
      <c r="I340" s="29" t="s">
        <v>3436</v>
      </c>
      <c r="J340" s="29" t="s">
        <v>1311</v>
      </c>
      <c r="L340" s="29" t="s">
        <v>103</v>
      </c>
      <c r="M340" s="29" t="s">
        <v>1348</v>
      </c>
      <c r="N340" s="33">
        <v>45923.0</v>
      </c>
      <c r="O340" s="31" t="s">
        <v>1003</v>
      </c>
      <c r="P340" s="32" t="str">
        <f>HYPERLINK("https://api.typeform.com/responses/files/cd63636f6c4271bfae779951cff445da7fc81b65927c469d6a2a26359867d736/Transcript_Data_Analyst_Intern_Huỳnh_Duy_Khanh.pdf")</f>
        <v>https://api.typeform.com/responses/files/cd63636f6c4271bfae779951cff445da7fc81b65927c469d6a2a26359867d736/Transcript_Data_Analyst_Intern_Huỳnh_Duy_Khanh.pdf</v>
      </c>
      <c r="Q340" s="29" t="b">
        <v>1</v>
      </c>
      <c r="R340" s="29" t="s">
        <v>3437</v>
      </c>
      <c r="S340" s="29" t="s">
        <v>3438</v>
      </c>
      <c r="T340" s="29" t="s">
        <v>72</v>
      </c>
      <c r="U340" s="29" t="s">
        <v>72</v>
      </c>
      <c r="V340" s="29" t="s">
        <v>73</v>
      </c>
      <c r="X340" s="29" t="s">
        <v>3439</v>
      </c>
      <c r="Y340" s="34">
        <v>46140.38282407408</v>
      </c>
      <c r="Z340" s="29" t="s">
        <v>3440</v>
      </c>
      <c r="AA340" s="6">
        <v>2.0</v>
      </c>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row>
    <row r="341" ht="22.5" hidden="1" customHeight="1">
      <c r="A341" s="29" t="s">
        <v>3441</v>
      </c>
      <c r="B341" s="30">
        <v>37290.0</v>
      </c>
      <c r="C341" s="29" t="s">
        <v>3442</v>
      </c>
      <c r="D341" s="31" t="s">
        <v>3443</v>
      </c>
      <c r="E341" s="29" t="s">
        <v>127</v>
      </c>
      <c r="F341" s="29" t="s">
        <v>82</v>
      </c>
      <c r="G341" s="32" t="str">
        <f>HYPERLINK("https://api.typeform.com/responses/files/f7a5482d3ec3a138553a6787b80b0827b59b389f28ab7b1b76dc48d1f8cc8123/CV_QAIntern_NguyenThanhTruc.pdf")</f>
        <v>https://api.typeform.com/responses/files/f7a5482d3ec3a138553a6787b80b0827b59b389f28ab7b1b76dc48d1f8cc8123/CV_QAIntern_NguyenThanhTruc.pdf</v>
      </c>
      <c r="H341" s="29" t="s">
        <v>3444</v>
      </c>
      <c r="I341" s="29" t="s">
        <v>3445</v>
      </c>
      <c r="J341" s="29" t="s">
        <v>65</v>
      </c>
      <c r="K341" s="29" t="s">
        <v>3446</v>
      </c>
      <c r="L341" s="29" t="s">
        <v>103</v>
      </c>
      <c r="M341" s="29" t="s">
        <v>3447</v>
      </c>
      <c r="N341" s="33">
        <v>45654.0</v>
      </c>
      <c r="O341" s="31" t="s">
        <v>1935</v>
      </c>
      <c r="P341" s="32" t="str">
        <f>HYPERLINK("https://api.typeform.com/responses/files/073f4b967cceb7b59b99ddf380fb9c85ff6be2b2ba8507269c1dc5af29df424a/bangdiem_QAIntern_NguyenThanhTruc.xlsx")</f>
        <v>https://api.typeform.com/responses/files/073f4b967cceb7b59b99ddf380fb9c85ff6be2b2ba8507269c1dc5af29df424a/bangdiem_QAIntern_NguyenThanhTruc.xlsx</v>
      </c>
      <c r="Q341" s="29" t="b">
        <v>1</v>
      </c>
      <c r="R341" s="29" t="s">
        <v>3448</v>
      </c>
      <c r="S341" s="29" t="s">
        <v>3449</v>
      </c>
      <c r="T341" s="29" t="s">
        <v>72</v>
      </c>
      <c r="U341" s="29" t="s">
        <v>72</v>
      </c>
      <c r="V341" s="29" t="s">
        <v>73</v>
      </c>
      <c r="X341" s="29" t="s">
        <v>3450</v>
      </c>
      <c r="Y341" s="34">
        <v>46140.38706018519</v>
      </c>
      <c r="Z341" s="29" t="s">
        <v>3451</v>
      </c>
      <c r="AA341" s="6">
        <v>2.0</v>
      </c>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row>
    <row r="342" ht="22.5" hidden="1" customHeight="1">
      <c r="A342" s="29" t="s">
        <v>3452</v>
      </c>
      <c r="B342" s="30">
        <v>38053.0</v>
      </c>
      <c r="C342" s="29" t="s">
        <v>3453</v>
      </c>
      <c r="D342" s="31" t="s">
        <v>3454</v>
      </c>
      <c r="E342" s="29" t="s">
        <v>61</v>
      </c>
      <c r="F342" s="29" t="s">
        <v>99</v>
      </c>
      <c r="G342" s="32" t="str">
        <f>HYPERLINK("https://api.typeform.com/responses/files/4033858a0460b53a496a53b19701205315cb9c5b8b7809272ac8ce75126a3eaf/CV___Game_Development_Intern___Bùi_Bình_Nguyên.pdf")</f>
        <v>https://api.typeform.com/responses/files/4033858a0460b53a496a53b19701205315cb9c5b8b7809272ac8ce75126a3eaf/CV___Game_Development_Intern___Bùi_Bình_Nguyên.pdf</v>
      </c>
      <c r="H342" s="29" t="s">
        <v>3455</v>
      </c>
      <c r="I342" s="29" t="s">
        <v>3456</v>
      </c>
      <c r="J342" s="29" t="s">
        <v>116</v>
      </c>
      <c r="L342" s="29" t="s">
        <v>67</v>
      </c>
      <c r="M342" s="29" t="s">
        <v>3457</v>
      </c>
      <c r="N342" s="33">
        <v>46387.0</v>
      </c>
      <c r="O342" s="29" t="s">
        <v>3458</v>
      </c>
      <c r="P342" s="32" t="str">
        <f>HYPERLINK("https://api.typeform.com/responses/files/281095dac50ea0e003ac74573e0b79867153330cde4ac3f08e83c779ef43bdc5/Transcript___Game_Development_Intern___Bùi_Bình_Nguyên.xlsx")</f>
        <v>https://api.typeform.com/responses/files/281095dac50ea0e003ac74573e0b79867153330cde4ac3f08e83c779ef43bdc5/Transcript___Game_Development_Intern___Bùi_Bình_Nguyên.xlsx</v>
      </c>
      <c r="Q342" s="29" t="b">
        <v>1</v>
      </c>
      <c r="R342" s="29" t="s">
        <v>3459</v>
      </c>
      <c r="S342" s="29" t="s">
        <v>3460</v>
      </c>
      <c r="T342" s="29" t="s">
        <v>72</v>
      </c>
      <c r="U342" s="29" t="s">
        <v>72</v>
      </c>
      <c r="V342" s="29" t="s">
        <v>73</v>
      </c>
      <c r="X342" s="29" t="s">
        <v>3461</v>
      </c>
      <c r="Y342" s="34">
        <v>46140.40896990741</v>
      </c>
      <c r="Z342" s="29" t="s">
        <v>3462</v>
      </c>
      <c r="AA342" s="6">
        <v>2.0</v>
      </c>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row>
    <row r="343" ht="22.5" hidden="1" customHeight="1">
      <c r="A343" s="29" t="s">
        <v>3463</v>
      </c>
      <c r="B343" s="30">
        <v>38081.0</v>
      </c>
      <c r="C343" s="29" t="s">
        <v>3464</v>
      </c>
      <c r="D343" s="31" t="s">
        <v>3465</v>
      </c>
      <c r="E343" s="29" t="s">
        <v>61</v>
      </c>
      <c r="F343" s="29" t="s">
        <v>99</v>
      </c>
      <c r="G343" s="32" t="str">
        <f>HYPERLINK("https://api.typeform.com/responses/files/7b4fb2aaf30e858ea994711ce5cb758dae1ee36ec8e8db40e1ed06a2b4011f0d/CV___Unity_Development_Intern___Hồng_Chung_Lâm.pdf")</f>
        <v>https://api.typeform.com/responses/files/7b4fb2aaf30e858ea994711ce5cb758dae1ee36ec8e8db40e1ed06a2b4011f0d/CV___Unity_Development_Intern___Hồng_Chung_Lâm.pdf</v>
      </c>
      <c r="H343" s="29" t="s">
        <v>3466</v>
      </c>
      <c r="I343" s="29" t="s">
        <v>3467</v>
      </c>
      <c r="J343" s="29" t="s">
        <v>85</v>
      </c>
      <c r="L343" s="29" t="s">
        <v>67</v>
      </c>
      <c r="M343" s="29" t="s">
        <v>1425</v>
      </c>
      <c r="N343" s="33">
        <v>46270.0</v>
      </c>
      <c r="O343" s="31" t="s">
        <v>105</v>
      </c>
      <c r="P343" s="32" t="str">
        <f>HYPERLINK("https://api.typeform.com/responses/files/33323c9db922ac831bc1edb5c96d9eaeaa334ab373b5bc1dafd7a4e7c2a2b0e8/Transcript___Unity_Development_Intern___Hồng_Chung_Lâm.pdf")</f>
        <v>https://api.typeform.com/responses/files/33323c9db922ac831bc1edb5c96d9eaeaa334ab373b5bc1dafd7a4e7c2a2b0e8/Transcript___Unity_Development_Intern___Hồng_Chung_Lâm.pdf</v>
      </c>
      <c r="Q343" s="29" t="b">
        <v>1</v>
      </c>
      <c r="R343" s="29" t="s">
        <v>3468</v>
      </c>
      <c r="S343" s="29" t="s">
        <v>3469</v>
      </c>
      <c r="T343" s="29" t="s">
        <v>72</v>
      </c>
      <c r="U343" s="29" t="s">
        <v>72</v>
      </c>
      <c r="V343" s="29" t="s">
        <v>269</v>
      </c>
      <c r="X343" s="29" t="s">
        <v>3470</v>
      </c>
      <c r="Y343" s="34">
        <v>46140.41501157408</v>
      </c>
      <c r="Z343" s="29" t="s">
        <v>3471</v>
      </c>
      <c r="AA343" s="6">
        <v>2.0</v>
      </c>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row>
    <row r="344" ht="22.5" hidden="1" customHeight="1">
      <c r="A344" s="29" t="s">
        <v>3472</v>
      </c>
      <c r="B344" s="30">
        <v>37689.0</v>
      </c>
      <c r="C344" s="29" t="s">
        <v>3473</v>
      </c>
      <c r="D344" s="31" t="s">
        <v>3474</v>
      </c>
      <c r="E344" s="29" t="s">
        <v>62</v>
      </c>
      <c r="G344" s="32" t="str">
        <f>HYPERLINK("https://api.typeform.com/responses/files/fe9151fc1a562e17a5fc228c643d57ec4064fec1c3de823e2395283ce3afc94a/CuThanhTuong_AI_Engineer.pdf")</f>
        <v>https://api.typeform.com/responses/files/fe9151fc1a562e17a5fc228c643d57ec4064fec1c3de823e2395283ce3afc94a/CuThanhTuong_AI_Engineer.pdf</v>
      </c>
      <c r="H344" s="29" t="s">
        <v>3475</v>
      </c>
      <c r="I344" s="29" t="s">
        <v>3476</v>
      </c>
      <c r="J344" s="29" t="s">
        <v>85</v>
      </c>
      <c r="L344" s="29" t="s">
        <v>103</v>
      </c>
      <c r="M344" s="29" t="s">
        <v>3386</v>
      </c>
      <c r="N344" s="33">
        <v>45986.0</v>
      </c>
      <c r="O344" s="31" t="s">
        <v>3477</v>
      </c>
      <c r="P344" s="32" t="str">
        <f>HYPERLINK("https://api.typeform.com/responses/files/7affece3b59943dec900f944585b8f6098547bee27f0d851d8730286fb224466/Transcript___AI_Engineer_Intern___Cu_Thanh_Tuong.pdf")</f>
        <v>https://api.typeform.com/responses/files/7affece3b59943dec900f944585b8f6098547bee27f0d851d8730286fb224466/Transcript___AI_Engineer_Intern___Cu_Thanh_Tuong.pdf</v>
      </c>
      <c r="Q344" s="29" t="b">
        <v>1</v>
      </c>
      <c r="R344" s="29" t="s">
        <v>3478</v>
      </c>
      <c r="S344" s="29" t="s">
        <v>3479</v>
      </c>
      <c r="T344" s="29" t="s">
        <v>72</v>
      </c>
      <c r="U344" s="29" t="s">
        <v>72</v>
      </c>
      <c r="V344" s="29" t="s">
        <v>90</v>
      </c>
      <c r="X344" s="29" t="s">
        <v>3480</v>
      </c>
      <c r="Y344" s="34">
        <v>46140.43388888889</v>
      </c>
      <c r="Z344" s="29" t="s">
        <v>3481</v>
      </c>
      <c r="AA344" s="6">
        <v>2.0</v>
      </c>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row>
    <row r="345" ht="22.5" hidden="1" customHeight="1">
      <c r="A345" s="29" t="s">
        <v>3482</v>
      </c>
      <c r="B345" s="30">
        <v>39031.0</v>
      </c>
      <c r="C345" s="29" t="s">
        <v>3483</v>
      </c>
      <c r="D345" s="31" t="s">
        <v>3484</v>
      </c>
      <c r="E345" s="29" t="s">
        <v>82</v>
      </c>
      <c r="F345" s="29" t="s">
        <v>774</v>
      </c>
      <c r="G345" s="32" t="str">
        <f>HYPERLINK("https://api.typeform.com/responses/files/2676b600bee3f083f734be9ca742dfc88c3a11454b0ec748ba16704cb131ce67/CV___Data_Analysis_Intern___Nguyễn_Thị_Khánh_Đoan.pdf")</f>
        <v>https://api.typeform.com/responses/files/2676b600bee3f083f734be9ca742dfc88c3a11454b0ec748ba16704cb131ce67/CV___Data_Analysis_Intern___Nguyễn_Thị_Khánh_Đoan.pdf</v>
      </c>
      <c r="H345" s="29" t="s">
        <v>3485</v>
      </c>
      <c r="I345" s="29" t="s">
        <v>3486</v>
      </c>
      <c r="J345" s="29" t="s">
        <v>2293</v>
      </c>
      <c r="L345" s="29" t="s">
        <v>169</v>
      </c>
      <c r="M345" s="29" t="s">
        <v>3487</v>
      </c>
      <c r="N345" s="33">
        <v>46858.0</v>
      </c>
      <c r="O345" s="31" t="s">
        <v>3488</v>
      </c>
      <c r="P345" s="32" t="str">
        <f>HYPERLINK("https://api.typeform.com/responses/files/abf1dec5884f570495fe11cfc8c96893b91c3cfdcc1ad86f103d6cedab961112/Transcript___Data_Analysis_Intern____Nguyễn_Thị_Khánh_Đoan.pdf")</f>
        <v>https://api.typeform.com/responses/files/abf1dec5884f570495fe11cfc8c96893b91c3cfdcc1ad86f103d6cedab961112/Transcript___Data_Analysis_Intern____Nguyễn_Thị_Khánh_Đoan.pdf</v>
      </c>
      <c r="Q345" s="29" t="b">
        <v>1</v>
      </c>
      <c r="R345" s="29" t="s">
        <v>3489</v>
      </c>
      <c r="S345" s="29" t="s">
        <v>3490</v>
      </c>
      <c r="T345" s="29" t="s">
        <v>72</v>
      </c>
      <c r="U345" s="29" t="s">
        <v>72</v>
      </c>
      <c r="V345" s="29" t="s">
        <v>90</v>
      </c>
      <c r="X345" s="29" t="s">
        <v>3491</v>
      </c>
      <c r="Y345" s="34">
        <v>46140.4447337963</v>
      </c>
      <c r="Z345" s="29" t="s">
        <v>3492</v>
      </c>
      <c r="AA345" s="6">
        <v>2.0</v>
      </c>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row>
    <row r="346" ht="22.5" hidden="1" customHeight="1">
      <c r="A346" s="29" t="s">
        <v>3493</v>
      </c>
      <c r="B346" s="30">
        <v>38708.0</v>
      </c>
      <c r="C346" s="29" t="s">
        <v>3494</v>
      </c>
      <c r="D346" s="31" t="s">
        <v>3495</v>
      </c>
      <c r="E346" s="29" t="s">
        <v>62</v>
      </c>
      <c r="G346" s="32" t="str">
        <f>HYPERLINK("https://api.typeform.com/responses/files/6e77427eded286645bccf7423e090e1d1ea41f2a1b769512ddb8e8f4c2b5fe58/CV___AI_Engineer_Intern___Lê_Minh_Kha.pdf")</f>
        <v>https://api.typeform.com/responses/files/6e77427eded286645bccf7423e090e1d1ea41f2a1b769512ddb8e8f4c2b5fe58/CV___AI_Engineer_Intern___Lê_Minh_Kha.pdf</v>
      </c>
      <c r="H346" s="29" t="s">
        <v>3496</v>
      </c>
      <c r="I346" s="29" t="s">
        <v>3497</v>
      </c>
      <c r="J346" s="29" t="s">
        <v>85</v>
      </c>
      <c r="L346" s="29" t="s">
        <v>219</v>
      </c>
      <c r="M346" s="29" t="s">
        <v>399</v>
      </c>
      <c r="N346" s="33">
        <v>46418.0</v>
      </c>
      <c r="O346" s="31" t="s">
        <v>2142</v>
      </c>
      <c r="P346" s="32" t="str">
        <f>HYPERLINK("https://api.typeform.com/responses/files/4911e0cf736f938b7ae0c0ab098f7bd8fe726f679b8484ab1f0d24f56a11c075/Transcript___AI_Engineer_Intern___Lê_Minh_Kha.pdf")</f>
        <v>https://api.typeform.com/responses/files/4911e0cf736f938b7ae0c0ab098f7bd8fe726f679b8484ab1f0d24f56a11c075/Transcript___AI_Engineer_Intern___Lê_Minh_Kha.pdf</v>
      </c>
      <c r="Q346" s="29" t="b">
        <v>1</v>
      </c>
      <c r="R346" s="29" t="s">
        <v>3498</v>
      </c>
      <c r="S346" s="29" t="s">
        <v>3499</v>
      </c>
      <c r="T346" s="29" t="s">
        <v>72</v>
      </c>
      <c r="U346" s="29" t="s">
        <v>72</v>
      </c>
      <c r="V346" s="29" t="s">
        <v>73</v>
      </c>
      <c r="X346" s="29" t="s">
        <v>3500</v>
      </c>
      <c r="Y346" s="34">
        <v>46140.45060185185</v>
      </c>
      <c r="Z346" s="29" t="s">
        <v>3501</v>
      </c>
      <c r="AA346" s="6">
        <v>2.0</v>
      </c>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row>
    <row r="347" ht="22.5" hidden="1" customHeight="1">
      <c r="A347" s="29" t="s">
        <v>3502</v>
      </c>
      <c r="B347" s="30">
        <v>36530.0</v>
      </c>
      <c r="C347" s="29" t="s">
        <v>3503</v>
      </c>
      <c r="D347" s="31" t="s">
        <v>3504</v>
      </c>
      <c r="E347" s="29" t="s">
        <v>127</v>
      </c>
      <c r="F347" s="29" t="s">
        <v>774</v>
      </c>
      <c r="G347" s="32" t="str">
        <f>HYPERLINK("https://api.typeform.com/responses/files/91eb0fb0ffca9bddc561b3df876a5a51d49eddf882587f61d0cb2cc221c0b590/CV_VuQuangHuy.pdf")</f>
        <v>https://api.typeform.com/responses/files/91eb0fb0ffca9bddc561b3df876a5a51d49eddf882587f61d0cb2cc221c0b590/CV_VuQuangHuy.pdf</v>
      </c>
      <c r="H347" s="29" t="s">
        <v>3505</v>
      </c>
      <c r="I347" s="29" t="s">
        <v>3506</v>
      </c>
      <c r="J347" s="29" t="s">
        <v>244</v>
      </c>
      <c r="L347" s="29" t="s">
        <v>103</v>
      </c>
      <c r="M347" s="29" t="s">
        <v>104</v>
      </c>
      <c r="N347" s="33">
        <v>46113.0</v>
      </c>
      <c r="O347" s="31" t="s">
        <v>3507</v>
      </c>
      <c r="P347" s="32" t="str">
        <f>HYPERLINK("https://api.typeform.com/responses/files/0ac37181f3a7b728a6b1a8b17d226ec21646b5c6b1bad34a223c27c8b8c8861d/file_không_có_gì.txt")</f>
        <v>https://api.typeform.com/responses/files/0ac37181f3a7b728a6b1a8b17d226ec21646b5c6b1bad34a223c27c8b8c8861d/file_không_có_gì.txt</v>
      </c>
      <c r="Q347" s="29" t="b">
        <v>0</v>
      </c>
      <c r="R347" s="29" t="s">
        <v>268</v>
      </c>
      <c r="S347" s="29" t="s">
        <v>268</v>
      </c>
      <c r="T347" s="29" t="s">
        <v>72</v>
      </c>
      <c r="U347" s="29" t="s">
        <v>72</v>
      </c>
      <c r="V347" s="29" t="s">
        <v>90</v>
      </c>
      <c r="X347" s="29" t="s">
        <v>3508</v>
      </c>
      <c r="Y347" s="34">
        <v>46140.454733796294</v>
      </c>
      <c r="Z347" s="29" t="s">
        <v>3509</v>
      </c>
      <c r="AA347" s="6">
        <v>2.0</v>
      </c>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row>
    <row r="348" ht="22.5" hidden="1" customHeight="1">
      <c r="A348" s="29" t="s">
        <v>3510</v>
      </c>
      <c r="B348" s="30">
        <v>38617.0</v>
      </c>
      <c r="C348" s="29" t="s">
        <v>3511</v>
      </c>
      <c r="D348" s="31" t="s">
        <v>3512</v>
      </c>
      <c r="E348" s="29" t="s">
        <v>62</v>
      </c>
      <c r="F348" s="29" t="s">
        <v>82</v>
      </c>
      <c r="G348" s="32" t="str">
        <f>HYPERLINK("https://api.typeform.com/responses/files/e13f4d928def6bd9949b0ba6ddc742e17ea8d2a1acd8f651e2e5f3b4843d59b6/CV___AI_Engineering_Intern___Phan_Thế_Hoàng.pdf")</f>
        <v>https://api.typeform.com/responses/files/e13f4d928def6bd9949b0ba6ddc742e17ea8d2a1acd8f651e2e5f3b4843d59b6/CV___AI_Engineering_Intern___Phan_Thế_Hoàng.pdf</v>
      </c>
      <c r="H348" s="29" t="s">
        <v>3513</v>
      </c>
      <c r="I348" s="29" t="s">
        <v>3514</v>
      </c>
      <c r="J348" s="29" t="s">
        <v>326</v>
      </c>
      <c r="L348" s="29" t="s">
        <v>219</v>
      </c>
      <c r="M348" s="29" t="s">
        <v>3515</v>
      </c>
      <c r="N348" s="33">
        <v>46599.0</v>
      </c>
      <c r="O348" s="31" t="s">
        <v>2397</v>
      </c>
      <c r="P348" s="32" t="str">
        <f>HYPERLINK("https://api.typeform.com/responses/files/abfdcd463dc8a05a6267c065cdf959dfc4818334bea861f9676448a3d3638e00/Academic_Transcript.pdf")</f>
        <v>https://api.typeform.com/responses/files/abfdcd463dc8a05a6267c065cdf959dfc4818334bea861f9676448a3d3638e00/Academic_Transcript.pdf</v>
      </c>
      <c r="Q348" s="29" t="b">
        <v>1</v>
      </c>
      <c r="R348" s="29" t="s">
        <v>3516</v>
      </c>
      <c r="S348" s="29" t="s">
        <v>3517</v>
      </c>
      <c r="T348" s="29" t="s">
        <v>72</v>
      </c>
      <c r="U348" s="29" t="s">
        <v>72</v>
      </c>
      <c r="V348" s="29" t="s">
        <v>269</v>
      </c>
      <c r="X348" s="29" t="s">
        <v>3518</v>
      </c>
      <c r="Y348" s="34">
        <v>46140.45648148148</v>
      </c>
      <c r="Z348" s="29" t="s">
        <v>3519</v>
      </c>
      <c r="AA348" s="6">
        <v>2.0</v>
      </c>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row>
    <row r="349" ht="22.5" hidden="1" customHeight="1">
      <c r="A349" s="29" t="s">
        <v>3520</v>
      </c>
      <c r="B349" s="30">
        <v>38554.0</v>
      </c>
      <c r="C349" s="29" t="s">
        <v>3521</v>
      </c>
      <c r="D349" s="31" t="s">
        <v>3522</v>
      </c>
      <c r="E349" s="29" t="s">
        <v>82</v>
      </c>
      <c r="G349" s="32" t="str">
        <f>HYPERLINK("https://api.typeform.com/responses/files/c0b7cb95bba05f6cd4b33daedf94d486a797fdb8f08a7138b7274b864f0b01ad/CV_Data_Analysis_Intern_TranDaiHai.pdf")</f>
        <v>https://api.typeform.com/responses/files/c0b7cb95bba05f6cd4b33daedf94d486a797fdb8f08a7138b7274b864f0b01ad/CV_Data_Analysis_Intern_TranDaiHai.pdf</v>
      </c>
      <c r="H349" s="29" t="s">
        <v>3523</v>
      </c>
      <c r="I349" s="29" t="s">
        <v>3524</v>
      </c>
      <c r="J349" s="29" t="s">
        <v>85</v>
      </c>
      <c r="L349" s="29" t="s">
        <v>219</v>
      </c>
      <c r="M349" s="29" t="s">
        <v>220</v>
      </c>
      <c r="N349" s="33">
        <v>46388.0</v>
      </c>
      <c r="O349" s="31" t="s">
        <v>1583</v>
      </c>
      <c r="P349" s="32" t="str">
        <f>HYPERLINK("https://api.typeform.com/responses/files/255e5cbffa6645c86f1fdc8a1835a47854db0aea59bcf97108502c351da73e6e/Bảng_điểm_Tran_Dai_Hai.pdf")</f>
        <v>https://api.typeform.com/responses/files/255e5cbffa6645c86f1fdc8a1835a47854db0aea59bcf97108502c351da73e6e/Bảng_điểm_Tran_Dai_Hai.pdf</v>
      </c>
      <c r="Q349" s="29" t="b">
        <v>1</v>
      </c>
      <c r="R349" s="29" t="s">
        <v>3525</v>
      </c>
      <c r="S349" s="29" t="s">
        <v>3526</v>
      </c>
      <c r="T349" s="29" t="s">
        <v>72</v>
      </c>
      <c r="U349" s="29" t="s">
        <v>72</v>
      </c>
      <c r="V349" s="29" t="s">
        <v>90</v>
      </c>
      <c r="X349" s="29" t="s">
        <v>3527</v>
      </c>
      <c r="Y349" s="34">
        <v>46140.46277777778</v>
      </c>
      <c r="Z349" s="29" t="s">
        <v>3528</v>
      </c>
      <c r="AA349" s="6">
        <v>2.0</v>
      </c>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row>
    <row r="350" ht="22.5" hidden="1" customHeight="1">
      <c r="A350" s="29" t="s">
        <v>3529</v>
      </c>
      <c r="B350" s="30">
        <v>38472.0</v>
      </c>
      <c r="C350" s="29" t="s">
        <v>3530</v>
      </c>
      <c r="D350" s="31" t="s">
        <v>3531</v>
      </c>
      <c r="E350" s="29" t="s">
        <v>82</v>
      </c>
      <c r="G350" s="32" t="str">
        <f>HYPERLINK("https://api.typeform.com/responses/files/f52659d280663792f038a767be8dac16e5ab7ec082a5b2e3997b5ea6b29ea3bc/inbound317632735936504612.pdf")</f>
        <v>https://api.typeform.com/responses/files/f52659d280663792f038a767be8dac16e5ab7ec082a5b2e3997b5ea6b29ea3bc/inbound317632735936504612.pdf</v>
      </c>
      <c r="H350" s="29" t="s">
        <v>3532</v>
      </c>
      <c r="I350" s="29" t="s">
        <v>3533</v>
      </c>
      <c r="J350" s="29" t="s">
        <v>715</v>
      </c>
      <c r="L350" s="29" t="s">
        <v>219</v>
      </c>
      <c r="M350" s="29" t="s">
        <v>930</v>
      </c>
      <c r="N350" s="33">
        <v>46721.0</v>
      </c>
      <c r="O350" s="31" t="s">
        <v>3534</v>
      </c>
      <c r="P350" s="32" t="str">
        <f>HYPERLINK("https://api.typeform.com/responses/files/9300a7c6ad7420557ab24e7381d29fe130cd1d5381121b71f5c09071c2cdf065/inbound8485158347175733156.xlsx")</f>
        <v>https://api.typeform.com/responses/files/9300a7c6ad7420557ab24e7381d29fe130cd1d5381121b71f5c09071c2cdf065/inbound8485158347175733156.xlsx</v>
      </c>
      <c r="Q350" s="29" t="b">
        <v>1</v>
      </c>
      <c r="R350" s="29" t="s">
        <v>3535</v>
      </c>
      <c r="S350" s="29" t="s">
        <v>3536</v>
      </c>
      <c r="T350" s="29" t="s">
        <v>72</v>
      </c>
      <c r="U350" s="29" t="s">
        <v>72</v>
      </c>
      <c r="V350" s="29" t="s">
        <v>73</v>
      </c>
      <c r="X350" s="29" t="s">
        <v>3537</v>
      </c>
      <c r="Y350" s="34">
        <v>46140.5128587963</v>
      </c>
      <c r="Z350" s="29" t="s">
        <v>3538</v>
      </c>
      <c r="AA350" s="6">
        <v>2.0</v>
      </c>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row>
    <row r="351" ht="22.5" hidden="1" customHeight="1">
      <c r="A351" s="29" t="s">
        <v>3539</v>
      </c>
      <c r="B351" s="30">
        <v>38414.0</v>
      </c>
      <c r="C351" s="29" t="s">
        <v>3540</v>
      </c>
      <c r="D351" s="31" t="s">
        <v>3541</v>
      </c>
      <c r="E351" s="29" t="s">
        <v>82</v>
      </c>
      <c r="F351" s="29" t="s">
        <v>82</v>
      </c>
      <c r="G351" s="32" t="str">
        <f>HYPERLINK("https://api.typeform.com/responses/files/b2a94487ca5d75478286d72f85782efc348e0982cc457f76c8a9287665891c22/CV___Data_Analysis_Intern___Trần_Tiến_Dũng.pdf")</f>
        <v>https://api.typeform.com/responses/files/b2a94487ca5d75478286d72f85782efc348e0982cc457f76c8a9287665891c22/CV___Data_Analysis_Intern___Trần_Tiến_Dũng.pdf</v>
      </c>
      <c r="H351" s="29" t="s">
        <v>3542</v>
      </c>
      <c r="I351" s="29" t="s">
        <v>3543</v>
      </c>
      <c r="J351" s="29" t="s">
        <v>1311</v>
      </c>
      <c r="L351" s="29" t="s">
        <v>219</v>
      </c>
      <c r="M351" s="29" t="s">
        <v>3544</v>
      </c>
      <c r="N351" s="33">
        <v>46492.0</v>
      </c>
      <c r="O351" s="31" t="s">
        <v>1620</v>
      </c>
      <c r="P351" s="32" t="str">
        <f>HYPERLINK("https://api.typeform.com/responses/files/917636c0e7a2c7d2c3528abb1aa1a22c944022da0938fa5c17d98e26209bbcc7/Transcript___Data_Analysis_Intern___Trần_Tiến_Dũng.pdf")</f>
        <v>https://api.typeform.com/responses/files/917636c0e7a2c7d2c3528abb1aa1a22c944022da0938fa5c17d98e26209bbcc7/Transcript___Data_Analysis_Intern___Trần_Tiến_Dũng.pdf</v>
      </c>
      <c r="Q351" s="29" t="b">
        <v>1</v>
      </c>
      <c r="R351" s="29" t="s">
        <v>3545</v>
      </c>
      <c r="S351" s="29" t="s">
        <v>3546</v>
      </c>
      <c r="T351" s="29" t="s">
        <v>72</v>
      </c>
      <c r="U351" s="29" t="s">
        <v>72</v>
      </c>
      <c r="V351" s="29" t="s">
        <v>73</v>
      </c>
      <c r="X351" s="29" t="s">
        <v>3547</v>
      </c>
      <c r="Y351" s="34">
        <v>46140.53165509259</v>
      </c>
      <c r="Z351" s="29" t="s">
        <v>3548</v>
      </c>
      <c r="AA351" s="6">
        <v>2.0</v>
      </c>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row>
    <row r="352" ht="22.5" hidden="1" customHeight="1">
      <c r="A352" s="29" t="s">
        <v>3549</v>
      </c>
      <c r="B352" s="30">
        <v>37671.0</v>
      </c>
      <c r="C352" s="29" t="s">
        <v>3550</v>
      </c>
      <c r="D352" s="31" t="s">
        <v>3551</v>
      </c>
      <c r="E352" s="29" t="s">
        <v>62</v>
      </c>
      <c r="F352" s="29" t="s">
        <v>82</v>
      </c>
      <c r="G352" s="32" t="str">
        <f>HYPERLINK("https://api.typeform.com/responses/files/f208e786487c8286d8e2352c666f467a934758082c47529b5c9d9fc6a3de7962/CV___AI_Engineering_Intern___Lê_Nguyễn_Kiều_Oanh.pdf")</f>
        <v>https://api.typeform.com/responses/files/f208e786487c8286d8e2352c666f467a934758082c47529b5c9d9fc6a3de7962/CV___AI_Engineering_Intern___Lê_Nguyễn_Kiều_Oanh.pdf</v>
      </c>
      <c r="H352" s="29" t="s">
        <v>3552</v>
      </c>
      <c r="I352" s="29" t="s">
        <v>3553</v>
      </c>
      <c r="J352" s="29" t="s">
        <v>326</v>
      </c>
      <c r="L352" s="29" t="s">
        <v>103</v>
      </c>
      <c r="M352" s="29" t="s">
        <v>624</v>
      </c>
      <c r="N352" s="33">
        <v>45965.0</v>
      </c>
      <c r="O352" s="31" t="s">
        <v>901</v>
      </c>
      <c r="P352" s="32" t="str">
        <f>HYPERLINK("https://api.typeform.com/responses/files/b95948e937dce5975288cfacb88429c674a8423691a331d6dec90a27f07132f8/Transcript___AI_Engineering_Intern___Lê_Nguyễn_Kiều_Oanh.pdf")</f>
        <v>https://api.typeform.com/responses/files/b95948e937dce5975288cfacb88429c674a8423691a331d6dec90a27f07132f8/Transcript___AI_Engineering_Intern___Lê_Nguyễn_Kiều_Oanh.pdf</v>
      </c>
      <c r="Q352" s="29" t="b">
        <v>1</v>
      </c>
      <c r="R352" s="29" t="s">
        <v>3554</v>
      </c>
      <c r="S352" s="29" t="s">
        <v>3555</v>
      </c>
      <c r="T352" s="29" t="s">
        <v>72</v>
      </c>
      <c r="U352" s="29" t="s">
        <v>72</v>
      </c>
      <c r="V352" s="29" t="s">
        <v>90</v>
      </c>
      <c r="X352" s="29" t="s">
        <v>3556</v>
      </c>
      <c r="Y352" s="34">
        <v>46140.53627314815</v>
      </c>
      <c r="Z352" s="29" t="s">
        <v>3557</v>
      </c>
      <c r="AA352" s="6">
        <v>2.0</v>
      </c>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row>
    <row r="353" ht="22.5" hidden="1" customHeight="1">
      <c r="A353" s="29" t="s">
        <v>3558</v>
      </c>
      <c r="B353" s="30">
        <v>38397.0</v>
      </c>
      <c r="C353" s="29" t="s">
        <v>3559</v>
      </c>
      <c r="D353" s="31" t="s">
        <v>3560</v>
      </c>
      <c r="E353" s="29" t="s">
        <v>62</v>
      </c>
      <c r="F353" s="29" t="s">
        <v>82</v>
      </c>
      <c r="G353" s="32" t="str">
        <f>HYPERLINK("https://api.typeform.com/responses/files/00d04e3d3079dc01ccff888a32e579862e1a7841ebff37e3222e8a2b564a72fd/CV___AI_Engineering_Intern___Nguyễn_Hồng_Yến.pdf")</f>
        <v>https://api.typeform.com/responses/files/00d04e3d3079dc01ccff888a32e579862e1a7841ebff37e3222e8a2b564a72fd/CV___AI_Engineering_Intern___Nguyễn_Hồng_Yến.pdf</v>
      </c>
      <c r="H353" s="29" t="s">
        <v>3561</v>
      </c>
      <c r="I353" s="29" t="s">
        <v>3562</v>
      </c>
      <c r="J353" s="29" t="s">
        <v>326</v>
      </c>
      <c r="L353" s="29" t="s">
        <v>219</v>
      </c>
      <c r="M353" s="29" t="s">
        <v>384</v>
      </c>
      <c r="N353" s="33">
        <v>46583.0</v>
      </c>
      <c r="O353" s="29" t="s">
        <v>3563</v>
      </c>
      <c r="P353" s="32" t="str">
        <f>HYPERLINK("https://api.typeform.com/responses/files/e53a7484052e14c4581f8e2d64331498bcefb5b94b7428478957bb1db7d4f50c/Transcript___AI_Engineering_Intern___Nguyễn_Hồng_Yến.pdf")</f>
        <v>https://api.typeform.com/responses/files/e53a7484052e14c4581f8e2d64331498bcefb5b94b7428478957bb1db7d4f50c/Transcript___AI_Engineering_Intern___Nguyễn_Hồng_Yến.pdf</v>
      </c>
      <c r="Q353" s="29" t="b">
        <v>1</v>
      </c>
      <c r="R353" s="29" t="s">
        <v>3564</v>
      </c>
      <c r="S353" s="29" t="s">
        <v>3565</v>
      </c>
      <c r="T353" s="29" t="s">
        <v>72</v>
      </c>
      <c r="U353" s="29" t="s">
        <v>72</v>
      </c>
      <c r="V353" s="29" t="s">
        <v>90</v>
      </c>
      <c r="Y353" s="34">
        <v>46140.54027777778</v>
      </c>
      <c r="Z353" s="29" t="s">
        <v>3566</v>
      </c>
      <c r="AA353" s="6">
        <v>2.0</v>
      </c>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row>
    <row r="354" ht="22.5" hidden="1" customHeight="1">
      <c r="A354" s="29" t="s">
        <v>3567</v>
      </c>
      <c r="B354" s="30">
        <v>37898.0</v>
      </c>
      <c r="C354" s="29" t="s">
        <v>3568</v>
      </c>
      <c r="D354" s="31" t="s">
        <v>3569</v>
      </c>
      <c r="E354" s="29" t="s">
        <v>61</v>
      </c>
      <c r="F354" s="29" t="s">
        <v>82</v>
      </c>
      <c r="G354" s="32" t="str">
        <f>HYPERLINK("https://api.typeform.com/responses/files/73a39a20cfdf9c1b8c35a140dacc055fb91d2c05dea4e67834ca426363f8885b/CV_Unity_Development_Intern_Phạm_Tuấn_Đăng_Khoa.pdf")</f>
        <v>https://api.typeform.com/responses/files/73a39a20cfdf9c1b8c35a140dacc055fb91d2c05dea4e67834ca426363f8885b/CV_Unity_Development_Intern_Phạm_Tuấn_Đăng_Khoa.pdf</v>
      </c>
      <c r="H354" s="29" t="s">
        <v>3570</v>
      </c>
      <c r="I354" s="29" t="s">
        <v>3571</v>
      </c>
      <c r="J354" s="29" t="s">
        <v>644</v>
      </c>
      <c r="L354" s="29" t="s">
        <v>67</v>
      </c>
      <c r="M354" s="29" t="s">
        <v>624</v>
      </c>
      <c r="N354" s="33">
        <v>45992.0</v>
      </c>
      <c r="O354" s="31" t="s">
        <v>2210</v>
      </c>
      <c r="P354" s="32" t="str">
        <f>HYPERLINK("https://api.typeform.com/responses/files/d4367f0e75e7df144d14254959d2771df6794f39ce81779e41fc9f2bddecb5ec/Transcript_Unity_Development_Intern_Phạm_Tuấn_Đăng_Khoa.pdf")</f>
        <v>https://api.typeform.com/responses/files/d4367f0e75e7df144d14254959d2771df6794f39ce81779e41fc9f2bddecb5ec/Transcript_Unity_Development_Intern_Phạm_Tuấn_Đăng_Khoa.pdf</v>
      </c>
      <c r="Q354" s="29" t="b">
        <v>1</v>
      </c>
      <c r="R354" s="29" t="s">
        <v>3572</v>
      </c>
      <c r="S354" s="29" t="s">
        <v>3573</v>
      </c>
      <c r="T354" s="29" t="s">
        <v>72</v>
      </c>
      <c r="U354" s="29" t="s">
        <v>72</v>
      </c>
      <c r="V354" s="29" t="s">
        <v>269</v>
      </c>
      <c r="X354" s="29" t="s">
        <v>3574</v>
      </c>
      <c r="Y354" s="34">
        <v>46140.56597222222</v>
      </c>
      <c r="Z354" s="29" t="s">
        <v>3575</v>
      </c>
      <c r="AA354" s="6">
        <v>2.0</v>
      </c>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row>
    <row r="355" ht="22.5" hidden="1" customHeight="1">
      <c r="A355" s="29" t="s">
        <v>3576</v>
      </c>
      <c r="B355" s="30">
        <v>38404.0</v>
      </c>
      <c r="C355" s="29" t="s">
        <v>3577</v>
      </c>
      <c r="D355" s="31" t="s">
        <v>3578</v>
      </c>
      <c r="E355" s="29" t="s">
        <v>61</v>
      </c>
      <c r="F355" s="29" t="s">
        <v>99</v>
      </c>
      <c r="G355" s="32" t="str">
        <f>HYPERLINK("https://api.typeform.com/responses/files/c60d8d5f88e4f639f3ef8259a6485ecfe2981b10029c90625f0be3e25f2f1a9f/CV___Unity_Development_Intern___Nguyễn_Trung_Tín.pdf")</f>
        <v>https://api.typeform.com/responses/files/c60d8d5f88e4f639f3ef8259a6485ecfe2981b10029c90625f0be3e25f2f1a9f/CV___Unity_Development_Intern___Nguyễn_Trung_Tín.pdf</v>
      </c>
      <c r="H355" s="29" t="s">
        <v>3579</v>
      </c>
      <c r="I355" s="29" t="s">
        <v>3580</v>
      </c>
      <c r="J355" s="29" t="s">
        <v>715</v>
      </c>
      <c r="L355" s="29" t="s">
        <v>219</v>
      </c>
      <c r="M355" s="29" t="s">
        <v>399</v>
      </c>
      <c r="N355" s="33">
        <v>46539.0</v>
      </c>
      <c r="O355" s="31" t="s">
        <v>780</v>
      </c>
      <c r="P355" s="32" t="str">
        <f>HYPERLINK("https://api.typeform.com/responses/files/ebe2077dc45c5c666d17008d94e763c0bbb9c721f3ec2f642566dda59b7aeca6/Transcript___Unity_Development_Intern___Nguyễn_Trung_Tín.pdf")</f>
        <v>https://api.typeform.com/responses/files/ebe2077dc45c5c666d17008d94e763c0bbb9c721f3ec2f642566dda59b7aeca6/Transcript___Unity_Development_Intern___Nguyễn_Trung_Tín.pdf</v>
      </c>
      <c r="Q355" s="29" t="b">
        <v>1</v>
      </c>
      <c r="R355" s="29" t="s">
        <v>3581</v>
      </c>
      <c r="S355" s="29" t="s">
        <v>3582</v>
      </c>
      <c r="T355" s="29" t="s">
        <v>72</v>
      </c>
      <c r="U355" s="29" t="s">
        <v>72</v>
      </c>
      <c r="V355" s="29" t="s">
        <v>3583</v>
      </c>
      <c r="X355" s="29" t="s">
        <v>3584</v>
      </c>
      <c r="Y355" s="34">
        <v>46140.568923611114</v>
      </c>
      <c r="Z355" s="29" t="s">
        <v>3585</v>
      </c>
      <c r="AA355" s="6">
        <v>2.0</v>
      </c>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row>
    <row r="356" ht="22.5" hidden="1" customHeight="1">
      <c r="A356" s="29" t="s">
        <v>3586</v>
      </c>
      <c r="B356" s="30">
        <v>38132.0</v>
      </c>
      <c r="C356" s="29" t="s">
        <v>3587</v>
      </c>
      <c r="D356" s="31" t="s">
        <v>3588</v>
      </c>
      <c r="E356" s="29" t="s">
        <v>82</v>
      </c>
      <c r="F356" s="29" t="s">
        <v>62</v>
      </c>
      <c r="G356" s="32" t="str">
        <f>HYPERLINK("https://api.typeform.com/responses/files/a49c82c7306d9c565710a38e835c8dda6a7dec7b9993fbe2f383e160d2dbcc05/CV_Trương_Vạn_Niên.pdf")</f>
        <v>https://api.typeform.com/responses/files/a49c82c7306d9c565710a38e835c8dda6a7dec7b9993fbe2f383e160d2dbcc05/CV_Trương_Vạn_Niên.pdf</v>
      </c>
      <c r="H356" s="29" t="s">
        <v>3589</v>
      </c>
      <c r="I356" s="29" t="s">
        <v>3590</v>
      </c>
      <c r="J356" s="29" t="s">
        <v>842</v>
      </c>
      <c r="L356" s="29" t="s">
        <v>67</v>
      </c>
      <c r="M356" s="29" t="s">
        <v>3591</v>
      </c>
      <c r="N356" s="33">
        <v>46233.0</v>
      </c>
      <c r="O356" s="31" t="s">
        <v>2775</v>
      </c>
      <c r="P356" s="32" t="str">
        <f>HYPERLINK("https://api.typeform.com/responses/files/446f2e1282e32c61010d7977dd9c94d761e6c13afe6a8202a795593b2a0ef64d/Screenshot_2026_04_28_210334.png")</f>
        <v>https://api.typeform.com/responses/files/446f2e1282e32c61010d7977dd9c94d761e6c13afe6a8202a795593b2a0ef64d/Screenshot_2026_04_28_210334.png</v>
      </c>
      <c r="Q356" s="29" t="b">
        <v>0</v>
      </c>
      <c r="R356" s="29" t="s">
        <v>268</v>
      </c>
      <c r="S356" s="29" t="s">
        <v>1437</v>
      </c>
      <c r="T356" s="29" t="s">
        <v>72</v>
      </c>
      <c r="U356" s="29" t="s">
        <v>72</v>
      </c>
      <c r="V356" s="29" t="s">
        <v>73</v>
      </c>
      <c r="Y356" s="34">
        <v>46140.58665509259</v>
      </c>
      <c r="Z356" s="29" t="s">
        <v>3592</v>
      </c>
      <c r="AA356" s="6">
        <v>2.0</v>
      </c>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row>
    <row r="357" ht="22.5" hidden="1" customHeight="1">
      <c r="A357" s="29" t="s">
        <v>3593</v>
      </c>
      <c r="B357" s="30">
        <v>38008.0</v>
      </c>
      <c r="C357" s="29" t="s">
        <v>3594</v>
      </c>
      <c r="D357" s="31" t="s">
        <v>3595</v>
      </c>
      <c r="E357" s="29" t="s">
        <v>62</v>
      </c>
      <c r="F357" s="29" t="s">
        <v>82</v>
      </c>
      <c r="G357" s="32" t="str">
        <f>HYPERLINK("https://api.typeform.com/responses/files/115af0d537167c100bd1637b3f0bf415049e3025a5fa5c76a356914d77dd7a9c/CV_AI_DO_TUAN_TRUC.pdf")</f>
        <v>https://api.typeform.com/responses/files/115af0d537167c100bd1637b3f0bf415049e3025a5fa5c76a356914d77dd7a9c/CV_AI_DO_TUAN_TRUC.pdf</v>
      </c>
      <c r="H357" s="29" t="s">
        <v>3596</v>
      </c>
      <c r="I357" s="29" t="s">
        <v>3597</v>
      </c>
      <c r="J357" s="29" t="s">
        <v>85</v>
      </c>
      <c r="L357" s="29" t="s">
        <v>67</v>
      </c>
      <c r="M357" s="29" t="s">
        <v>384</v>
      </c>
      <c r="N357" s="33">
        <v>46188.0</v>
      </c>
      <c r="O357" s="31" t="s">
        <v>2503</v>
      </c>
      <c r="P357" s="32" t="str">
        <f>HYPERLINK("https://api.typeform.com/responses/files/c7822a5d7bd88de88e7c5696e9e1dc1107e0f31d58646896c2852416159615c0/Kết_quả_học_tập.pdf")</f>
        <v>https://api.typeform.com/responses/files/c7822a5d7bd88de88e7c5696e9e1dc1107e0f31d58646896c2852416159615c0/Kết_quả_học_tập.pdf</v>
      </c>
      <c r="Q357" s="29" t="b">
        <v>0</v>
      </c>
      <c r="R357" s="29" t="s">
        <v>1437</v>
      </c>
      <c r="S357" s="29" t="s">
        <v>1437</v>
      </c>
      <c r="T357" s="29" t="s">
        <v>72</v>
      </c>
      <c r="U357" s="29" t="s">
        <v>72</v>
      </c>
      <c r="V357" s="29" t="s">
        <v>269</v>
      </c>
      <c r="X357" s="29" t="s">
        <v>3598</v>
      </c>
      <c r="Y357" s="34">
        <v>46140.58736111111</v>
      </c>
      <c r="Z357" s="29" t="s">
        <v>3599</v>
      </c>
      <c r="AA357" s="6">
        <v>2.0</v>
      </c>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row>
    <row r="358" ht="22.5" hidden="1" customHeight="1">
      <c r="A358" s="29" t="s">
        <v>3600</v>
      </c>
      <c r="B358" s="30">
        <v>38271.0</v>
      </c>
      <c r="C358" s="29" t="s">
        <v>3601</v>
      </c>
      <c r="D358" s="31" t="s">
        <v>3602</v>
      </c>
      <c r="E358" s="29" t="s">
        <v>61</v>
      </c>
      <c r="F358" s="29" t="s">
        <v>99</v>
      </c>
      <c r="G358" s="32" t="str">
        <f>HYPERLINK("https://api.typeform.com/responses/files/c3f13922188a1795b829cb861449f4fb8b7f24325645ab3e3a52f14645738795/Nguyen_Hoang_Phuc_UNITY_GAME_DEVELOPER_.pdf")</f>
        <v>https://api.typeform.com/responses/files/c3f13922188a1795b829cb861449f4fb8b7f24325645ab3e3a52f14645738795/Nguyen_Hoang_Phuc_UNITY_GAME_DEVELOPER_.pdf</v>
      </c>
      <c r="H358" s="29" t="s">
        <v>3603</v>
      </c>
      <c r="I358" s="29" t="s">
        <v>3604</v>
      </c>
      <c r="J358" s="29" t="s">
        <v>3605</v>
      </c>
      <c r="L358" s="29" t="s">
        <v>67</v>
      </c>
      <c r="M358" s="29" t="s">
        <v>1830</v>
      </c>
      <c r="N358" s="33">
        <v>46264.0</v>
      </c>
      <c r="O358" s="31" t="s">
        <v>413</v>
      </c>
      <c r="P358" s="32" t="str">
        <f>HYPERLINK("https://api.typeform.com/responses/files/a77f8b2673efbb5e00d87a81f6e8d019d1573a51f5bbf6e6cf5087c65e738849/Transcript___Game_Unity_Intern___Nguyễn_Hoàng_Phúc.pdf")</f>
        <v>https://api.typeform.com/responses/files/a77f8b2673efbb5e00d87a81f6e8d019d1573a51f5bbf6e6cf5087c65e738849/Transcript___Game_Unity_Intern___Nguyễn_Hoàng_Phúc.pdf</v>
      </c>
      <c r="Q358" s="29" t="b">
        <v>1</v>
      </c>
      <c r="R358" s="29" t="s">
        <v>3606</v>
      </c>
      <c r="S358" s="29" t="s">
        <v>3607</v>
      </c>
      <c r="T358" s="29" t="s">
        <v>3608</v>
      </c>
      <c r="U358" s="29" t="s">
        <v>72</v>
      </c>
      <c r="V358" s="29" t="s">
        <v>90</v>
      </c>
      <c r="X358" s="29" t="s">
        <v>3609</v>
      </c>
      <c r="Y358" s="34">
        <v>46140.59763888889</v>
      </c>
      <c r="Z358" s="29" t="s">
        <v>3610</v>
      </c>
      <c r="AA358" s="6">
        <v>2.0</v>
      </c>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row>
    <row r="359" ht="22.5" hidden="1" customHeight="1">
      <c r="A359" s="29" t="s">
        <v>3611</v>
      </c>
      <c r="B359" s="30">
        <v>38399.0</v>
      </c>
      <c r="C359" s="29" t="s">
        <v>3612</v>
      </c>
      <c r="D359" s="31" t="s">
        <v>3613</v>
      </c>
      <c r="E359" s="29" t="s">
        <v>82</v>
      </c>
      <c r="F359" s="29" t="s">
        <v>774</v>
      </c>
      <c r="G359" s="32" t="str">
        <f>HYPERLINK("https://api.typeform.com/responses/files/1e9ef815db6ab3c36bffdb0b78fd99ec84e824cd2fc98863b3e34814240412a9/CV___Data_Analysis_Intern___Dinh_Bao_Thy.pdf")</f>
        <v>https://api.typeform.com/responses/files/1e9ef815db6ab3c36bffdb0b78fd99ec84e824cd2fc98863b3e34814240412a9/CV___Data_Analysis_Intern___Dinh_Bao_Thy.pdf</v>
      </c>
      <c r="H359" s="29" t="s">
        <v>3614</v>
      </c>
      <c r="I359" s="29" t="s">
        <v>3615</v>
      </c>
      <c r="J359" s="29" t="s">
        <v>85</v>
      </c>
      <c r="L359" s="29" t="s">
        <v>219</v>
      </c>
      <c r="M359" s="29" t="s">
        <v>851</v>
      </c>
      <c r="N359" s="33">
        <v>46387.0</v>
      </c>
      <c r="O359" s="31" t="s">
        <v>1321</v>
      </c>
      <c r="P359" s="32" t="str">
        <f>HYPERLINK("https://api.typeform.com/responses/files/4b725c8f43e6ffdc69c16498806cec8e36e21524f525e7d8bc29e58c11efe152/Transcript___Data_Analysis_Intern___Dinh_Bao_Thy.pdf")</f>
        <v>https://api.typeform.com/responses/files/4b725c8f43e6ffdc69c16498806cec8e36e21524f525e7d8bc29e58c11efe152/Transcript___Data_Analysis_Intern___Dinh_Bao_Thy.pdf</v>
      </c>
      <c r="Q359" s="29" t="b">
        <v>1</v>
      </c>
      <c r="R359" s="29" t="s">
        <v>3616</v>
      </c>
      <c r="S359" s="29" t="s">
        <v>3617</v>
      </c>
      <c r="T359" s="29" t="s">
        <v>72</v>
      </c>
      <c r="U359" s="29" t="s">
        <v>72</v>
      </c>
      <c r="V359" s="29" t="s">
        <v>2389</v>
      </c>
      <c r="Y359" s="34">
        <v>46140.60123842592</v>
      </c>
      <c r="Z359" s="29" t="s">
        <v>3618</v>
      </c>
      <c r="AA359" s="6">
        <v>2.0</v>
      </c>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row>
    <row r="360" ht="22.5" hidden="1" customHeight="1">
      <c r="A360" s="29" t="s">
        <v>3619</v>
      </c>
      <c r="B360" s="30">
        <v>38491.0</v>
      </c>
      <c r="C360" s="29" t="s">
        <v>3620</v>
      </c>
      <c r="D360" s="31" t="s">
        <v>3621</v>
      </c>
      <c r="E360" s="29" t="s">
        <v>61</v>
      </c>
      <c r="F360" s="29" t="s">
        <v>127</v>
      </c>
      <c r="G360" s="32" t="str">
        <f>HYPERLINK("https://api.typeform.com/responses/files/3a8ea45b49431587d6d84ee6f39540109e8e77c6a3618bf34f2497864d4db907/CV___Unity_Development_Intern___Dương_Thị_Bảo_Trân.pdf")</f>
        <v>https://api.typeform.com/responses/files/3a8ea45b49431587d6d84ee6f39540109e8e77c6a3618bf34f2497864d4db907/CV___Unity_Development_Intern___Dương_Thị_Bảo_Trân.pdf</v>
      </c>
      <c r="H360" s="29" t="s">
        <v>3622</v>
      </c>
      <c r="I360" s="29" t="s">
        <v>3623</v>
      </c>
      <c r="J360" s="29" t="s">
        <v>715</v>
      </c>
      <c r="L360" s="29" t="s">
        <v>219</v>
      </c>
      <c r="M360" s="29" t="s">
        <v>930</v>
      </c>
      <c r="N360" s="33">
        <v>46719.0</v>
      </c>
      <c r="O360" s="31" t="s">
        <v>3624</v>
      </c>
      <c r="P360" s="32" t="str">
        <f>HYPERLINK("https://api.typeform.com/responses/files/748f03eb3eebbb27d9119d38dc9f6985db95a2f1b4a4414c795f9151f9fbf8a8/Transcript___Unity_Development_Intern___Dương_Thị_Bảo_Trân.pdf")</f>
        <v>https://api.typeform.com/responses/files/748f03eb3eebbb27d9119d38dc9f6985db95a2f1b4a4414c795f9151f9fbf8a8/Transcript___Unity_Development_Intern___Dương_Thị_Bảo_Trân.pdf</v>
      </c>
      <c r="Q360" s="29" t="b">
        <v>1</v>
      </c>
      <c r="R360" s="29" t="s">
        <v>3625</v>
      </c>
      <c r="S360" s="29" t="s">
        <v>3626</v>
      </c>
      <c r="T360" s="29" t="s">
        <v>3627</v>
      </c>
      <c r="U360" s="29" t="s">
        <v>3628</v>
      </c>
      <c r="V360" s="29" t="s">
        <v>2389</v>
      </c>
      <c r="X360" s="29" t="s">
        <v>3629</v>
      </c>
      <c r="Y360" s="34">
        <v>46140.6156712963</v>
      </c>
      <c r="Z360" s="29" t="s">
        <v>3630</v>
      </c>
      <c r="AA360" s="6">
        <v>2.0</v>
      </c>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row>
    <row r="361" ht="22.5" hidden="1" customHeight="1">
      <c r="A361" s="29" t="s">
        <v>2793</v>
      </c>
      <c r="B361" s="30">
        <v>38709.0</v>
      </c>
      <c r="C361" s="29" t="s">
        <v>3631</v>
      </c>
      <c r="D361" s="31" t="s">
        <v>3632</v>
      </c>
      <c r="E361" s="29" t="s">
        <v>61</v>
      </c>
      <c r="F361" s="29" t="s">
        <v>99</v>
      </c>
      <c r="G361" s="32" t="str">
        <f>HYPERLINK("https://api.typeform.com/responses/files/f4ca096090e0deb44d6cd31f865c2865b1dc2710a2b6209c973486f98e952bb0/TrầnTiếnĐạt_CV_GameDeveloper_Intern.pdf")</f>
        <v>https://api.typeform.com/responses/files/f4ca096090e0deb44d6cd31f865c2865b1dc2710a2b6209c973486f98e952bb0/TrầnTiếnĐạt_CV_GameDeveloper_Intern.pdf</v>
      </c>
      <c r="H361" s="29" t="s">
        <v>3633</v>
      </c>
      <c r="I361" s="29" t="s">
        <v>3634</v>
      </c>
      <c r="J361" s="29" t="s">
        <v>445</v>
      </c>
      <c r="L361" s="29" t="s">
        <v>219</v>
      </c>
      <c r="M361" s="29" t="s">
        <v>551</v>
      </c>
      <c r="N361" s="33">
        <v>46376.0</v>
      </c>
      <c r="O361" s="31" t="s">
        <v>267</v>
      </c>
      <c r="P361" s="32" t="str">
        <f>HYPERLINK("https://api.typeform.com/responses/files/55ba2f35f56fcd41e799f875878da5b2400c450f30eb19277302cc96da946f90/Transcript_Game_Developer_Intern_Trần_Tiến_Đạt.pdf")</f>
        <v>https://api.typeform.com/responses/files/55ba2f35f56fcd41e799f875878da5b2400c450f30eb19277302cc96da946f90/Transcript_Game_Developer_Intern_Trần_Tiến_Đạt.pdf</v>
      </c>
      <c r="Q361" s="29" t="b">
        <v>1</v>
      </c>
      <c r="R361" s="29" t="s">
        <v>3635</v>
      </c>
      <c r="S361" s="29" t="s">
        <v>3636</v>
      </c>
      <c r="T361" s="29" t="s">
        <v>72</v>
      </c>
      <c r="U361" s="29" t="s">
        <v>72</v>
      </c>
      <c r="V361" s="29" t="s">
        <v>73</v>
      </c>
      <c r="X361" s="29" t="s">
        <v>3637</v>
      </c>
      <c r="Y361" s="34">
        <v>46140.62230324074</v>
      </c>
      <c r="Z361" s="29" t="s">
        <v>3638</v>
      </c>
      <c r="AA361" s="6">
        <v>2.0</v>
      </c>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row>
    <row r="362" ht="22.5" hidden="1" customHeight="1">
      <c r="A362" s="29" t="s">
        <v>3639</v>
      </c>
      <c r="B362" s="30">
        <v>38350.0</v>
      </c>
      <c r="C362" s="29" t="s">
        <v>3640</v>
      </c>
      <c r="D362" s="31" t="s">
        <v>3641</v>
      </c>
      <c r="E362" s="29" t="s">
        <v>82</v>
      </c>
      <c r="F362" s="29" t="s">
        <v>82</v>
      </c>
      <c r="G362" s="32" t="str">
        <f>HYPERLINK("https://api.typeform.com/responses/files/ab0677562a7554faf9cc03fdd1f40749a71fda9c076fede83248b0fba552be69/CV___Data_Analysis_Intern___Nguyễn_Quốc_Huy.pdf")</f>
        <v>https://api.typeform.com/responses/files/ab0677562a7554faf9cc03fdd1f40749a71fda9c076fede83248b0fba552be69/CV___Data_Analysis_Intern___Nguyễn_Quốc_Huy.pdf</v>
      </c>
      <c r="H362" s="29" t="s">
        <v>3642</v>
      </c>
      <c r="I362" s="29" t="s">
        <v>3643</v>
      </c>
      <c r="J362" s="29" t="s">
        <v>85</v>
      </c>
      <c r="L362" s="29" t="s">
        <v>67</v>
      </c>
      <c r="M362" s="29" t="s">
        <v>581</v>
      </c>
      <c r="N362" s="33">
        <v>46539.0</v>
      </c>
      <c r="O362" s="31" t="s">
        <v>147</v>
      </c>
      <c r="P362" s="32" t="str">
        <f>HYPERLINK("https://api.typeform.com/responses/files/01e07568ab9ffca741156a54b113fb2915a844e8326f0d9f88423da48a6be628/Transcript___Data_Analysis_Intern___Nguyễn_Quốc_Huy.pdf")</f>
        <v>https://api.typeform.com/responses/files/01e07568ab9ffca741156a54b113fb2915a844e8326f0d9f88423da48a6be628/Transcript___Data_Analysis_Intern___Nguyễn_Quốc_Huy.pdf</v>
      </c>
      <c r="Q362" s="29" t="b">
        <v>0</v>
      </c>
      <c r="R362" s="29" t="s">
        <v>401</v>
      </c>
      <c r="S362" s="29" t="s">
        <v>3644</v>
      </c>
      <c r="T362" s="29" t="s">
        <v>72</v>
      </c>
      <c r="U362" s="29" t="s">
        <v>72</v>
      </c>
      <c r="V362" s="29" t="s">
        <v>73</v>
      </c>
      <c r="X362" s="29" t="s">
        <v>401</v>
      </c>
      <c r="Y362" s="34">
        <v>46140.62577546296</v>
      </c>
      <c r="Z362" s="29" t="s">
        <v>3645</v>
      </c>
      <c r="AA362" s="6">
        <v>2.0</v>
      </c>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row>
    <row r="363" ht="22.5" hidden="1" customHeight="1">
      <c r="A363" s="29" t="s">
        <v>3646</v>
      </c>
      <c r="B363" s="30">
        <v>38545.0</v>
      </c>
      <c r="C363" s="29" t="s">
        <v>3647</v>
      </c>
      <c r="D363" s="31" t="s">
        <v>3648</v>
      </c>
      <c r="E363" s="29" t="s">
        <v>62</v>
      </c>
      <c r="F363" s="29" t="s">
        <v>99</v>
      </c>
      <c r="G363" s="32" t="str">
        <f>HYPERLINK("https://api.typeform.com/responses/files/b19946b6c647d9e736fd39ba852073f4a37d774c472758564410ca7e62b1298f/Nguyen_Thanh_Phong_CV_imaage_.pdf")</f>
        <v>https://api.typeform.com/responses/files/b19946b6c647d9e736fd39ba852073f4a37d774c472758564410ca7e62b1298f/Nguyen_Thanh_Phong_CV_imaage_.pdf</v>
      </c>
      <c r="H363" s="29" t="s">
        <v>3649</v>
      </c>
      <c r="I363" s="29" t="s">
        <v>3650</v>
      </c>
      <c r="J363" s="29" t="s">
        <v>715</v>
      </c>
      <c r="L363" s="29" t="s">
        <v>219</v>
      </c>
      <c r="M363" s="29" t="s">
        <v>399</v>
      </c>
      <c r="N363" s="33">
        <v>46566.0</v>
      </c>
      <c r="O363" s="31" t="s">
        <v>1686</v>
      </c>
      <c r="P363" s="32" t="str">
        <f>HYPERLINK("https://api.typeform.com/responses/files/e2eda6d7f75cc8b4c6db25ede274e1f31b8a66c83a67d4ba8e18dd33da0176bb/Phòng_Đào_tạo___Academic_Affairs_Office.pdf")</f>
        <v>https://api.typeform.com/responses/files/e2eda6d7f75cc8b4c6db25ede274e1f31b8a66c83a67d4ba8e18dd33da0176bb/Phòng_Đào_tạo___Academic_Affairs_Office.pdf</v>
      </c>
      <c r="Q363" s="29" t="b">
        <v>0</v>
      </c>
      <c r="R363" s="29" t="s">
        <v>222</v>
      </c>
      <c r="S363" s="29" t="s">
        <v>3651</v>
      </c>
      <c r="T363" s="29" t="s">
        <v>72</v>
      </c>
      <c r="U363" s="29" t="s">
        <v>3652</v>
      </c>
      <c r="V363" s="29" t="s">
        <v>2389</v>
      </c>
      <c r="X363" s="29" t="s">
        <v>3653</v>
      </c>
      <c r="Y363" s="34">
        <v>46140.633043981485</v>
      </c>
      <c r="Z363" s="29" t="s">
        <v>3654</v>
      </c>
      <c r="AA363" s="6">
        <v>2.0</v>
      </c>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row>
    <row r="364" ht="22.5" hidden="1" customHeight="1">
      <c r="A364" s="29" t="s">
        <v>3655</v>
      </c>
      <c r="B364" s="30">
        <v>38545.0</v>
      </c>
      <c r="C364" s="29" t="s">
        <v>3656</v>
      </c>
      <c r="D364" s="31" t="s">
        <v>3657</v>
      </c>
      <c r="E364" s="29" t="s">
        <v>633</v>
      </c>
      <c r="F364" s="29" t="s">
        <v>633</v>
      </c>
      <c r="G364" s="32" t="str">
        <f>HYPERLINK("https://api.typeform.com/responses/files/1fe8cf128180c1ccea0b85e05f9907d756a0f802916da93b6cc8003df880feac/_VŨ_ĐỖ_BÌNH_AN__CV_APPLY_INTERN_HR.pdf")</f>
        <v>https://api.typeform.com/responses/files/1fe8cf128180c1ccea0b85e05f9907d756a0f802916da93b6cc8003df880feac/_VŨ_ĐỖ_BÌNH_AN__CV_APPLY_INTERN_HR.pdf</v>
      </c>
      <c r="H364" s="29" t="s">
        <v>3658</v>
      </c>
      <c r="I364" s="29" t="s">
        <v>3659</v>
      </c>
      <c r="J364" s="29" t="s">
        <v>842</v>
      </c>
      <c r="L364" s="29" t="s">
        <v>219</v>
      </c>
      <c r="M364" s="29" t="s">
        <v>3660</v>
      </c>
      <c r="N364" s="33">
        <v>46447.0</v>
      </c>
      <c r="O364" s="31" t="s">
        <v>3241</v>
      </c>
      <c r="P364" s="32" t="str">
        <f>HYPERLINK("https://api.typeform.com/responses/files/1a1571085663750d7c1f2ce81e81df49e074caf9760c50524d5a53f00b06192a/KQHT_31231023720__1_.xlsx")</f>
        <v>https://api.typeform.com/responses/files/1a1571085663750d7c1f2ce81e81df49e074caf9760c50524d5a53f00b06192a/KQHT_31231023720__1_.xlsx</v>
      </c>
      <c r="Q364" s="29" t="b">
        <v>1</v>
      </c>
      <c r="R364" s="29" t="s">
        <v>3661</v>
      </c>
      <c r="S364" s="29" t="s">
        <v>3662</v>
      </c>
      <c r="T364" s="29" t="s">
        <v>72</v>
      </c>
      <c r="U364" s="29" t="s">
        <v>72</v>
      </c>
      <c r="V364" s="29" t="s">
        <v>73</v>
      </c>
      <c r="X364" s="29" t="s">
        <v>3663</v>
      </c>
      <c r="Y364" s="34">
        <v>46140.649305555555</v>
      </c>
      <c r="Z364" s="29" t="s">
        <v>3664</v>
      </c>
      <c r="AA364" s="6">
        <v>2.0</v>
      </c>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row>
    <row r="365" ht="22.5" hidden="1" customHeight="1">
      <c r="A365" s="29" t="s">
        <v>3665</v>
      </c>
      <c r="B365" s="30">
        <v>38437.0</v>
      </c>
      <c r="C365" s="29" t="s">
        <v>3666</v>
      </c>
      <c r="D365" s="31" t="s">
        <v>3667</v>
      </c>
      <c r="E365" s="29" t="s">
        <v>62</v>
      </c>
      <c r="F365" s="29" t="s">
        <v>127</v>
      </c>
      <c r="G365" s="32" t="str">
        <f>HYPERLINK("https://api.typeform.com/responses/files/a5fc6b13f3802f22ad2536ae8a874aece613a68978c7aeb5f3ca98064e8cc1ea/CV_AI_Engineering_Intern_Phan_Tấn_Lộc.pdf")</f>
        <v>https://api.typeform.com/responses/files/a5fc6b13f3802f22ad2536ae8a874aece613a68978c7aeb5f3ca98064e8cc1ea/CV_AI_Engineering_Intern_Phan_Tấn_Lộc.pdf</v>
      </c>
      <c r="H365" s="29" t="s">
        <v>3668</v>
      </c>
      <c r="I365" s="29" t="s">
        <v>3669</v>
      </c>
      <c r="J365" s="29" t="s">
        <v>715</v>
      </c>
      <c r="L365" s="29" t="s">
        <v>219</v>
      </c>
      <c r="M365" s="29" t="s">
        <v>399</v>
      </c>
      <c r="N365" s="33">
        <v>46691.0</v>
      </c>
      <c r="O365" s="31" t="s">
        <v>3670</v>
      </c>
      <c r="P365" s="32" t="str">
        <f>HYPERLINK("https://api.typeform.com/responses/files/06e3156e7080ddb9a8d2b58e6549470b15616a6474c8a93ad34421ed274bd5c9/Transcript___AI_Engineer_Intern___Phan_Tấn_Lộc.pdf")</f>
        <v>https://api.typeform.com/responses/files/06e3156e7080ddb9a8d2b58e6549470b15616a6474c8a93ad34421ed274bd5c9/Transcript___AI_Engineer_Intern___Phan_Tấn_Lộc.pdf</v>
      </c>
      <c r="Q365" s="29" t="b">
        <v>0</v>
      </c>
      <c r="R365" s="29" t="s">
        <v>3671</v>
      </c>
      <c r="S365" s="29" t="s">
        <v>3672</v>
      </c>
      <c r="T365" s="29" t="s">
        <v>72</v>
      </c>
      <c r="U365" s="29" t="s">
        <v>72</v>
      </c>
      <c r="V365" s="29" t="s">
        <v>2389</v>
      </c>
      <c r="X365" s="29" t="s">
        <v>3673</v>
      </c>
      <c r="Y365" s="34">
        <v>46140.65167824074</v>
      </c>
      <c r="Z365" s="29" t="s">
        <v>3674</v>
      </c>
      <c r="AA365" s="6">
        <v>2.0</v>
      </c>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row>
    <row r="366" ht="22.5" hidden="1" customHeight="1">
      <c r="A366" s="29" t="s">
        <v>3675</v>
      </c>
      <c r="B366" s="30">
        <v>37107.0</v>
      </c>
      <c r="C366" s="29" t="s">
        <v>3676</v>
      </c>
      <c r="D366" s="31" t="s">
        <v>3677</v>
      </c>
      <c r="E366" s="29" t="s">
        <v>61</v>
      </c>
      <c r="F366" s="29" t="s">
        <v>127</v>
      </c>
      <c r="G366" s="32" t="str">
        <f>HYPERLINK("https://api.typeform.com/responses/files/15c14c9f5125d5ef58c52228dda160d740e013a43235b0fc2ffea99075ee7cc1/CV___Unity_Development_Intern___Lê_Tấn_.pdf")</f>
        <v>https://api.typeform.com/responses/files/15c14c9f5125d5ef58c52228dda160d740e013a43235b0fc2ffea99075ee7cc1/CV___Unity_Development_Intern___Lê_Tấn_.pdf</v>
      </c>
      <c r="H366" s="29" t="s">
        <v>3678</v>
      </c>
      <c r="I366" s="29" t="s">
        <v>3679</v>
      </c>
      <c r="J366" s="29" t="s">
        <v>130</v>
      </c>
      <c r="L366" s="29" t="s">
        <v>67</v>
      </c>
      <c r="M366" s="29" t="s">
        <v>132</v>
      </c>
      <c r="N366" s="33">
        <v>46558.0</v>
      </c>
      <c r="O366" s="31" t="s">
        <v>3680</v>
      </c>
      <c r="P366" s="32" t="str">
        <f>HYPERLINK("https://api.typeform.com/responses/files/80b6610a03cebc2e250a0d3bf5f4f537fb45429ccbf9f216802617067484ba5c/Transcript___Unity_Development_Intern___Lê_Tấn_.pdf")</f>
        <v>https://api.typeform.com/responses/files/80b6610a03cebc2e250a0d3bf5f4f537fb45429ccbf9f216802617067484ba5c/Transcript___Unity_Development_Intern___Lê_Tấn_.pdf</v>
      </c>
      <c r="Q366" s="29" t="b">
        <v>0</v>
      </c>
      <c r="R366" s="29" t="s">
        <v>3681</v>
      </c>
      <c r="S366" s="29" t="s">
        <v>3682</v>
      </c>
      <c r="T366" s="29" t="s">
        <v>72</v>
      </c>
      <c r="U366" s="29" t="s">
        <v>72</v>
      </c>
      <c r="V366" s="29" t="s">
        <v>3683</v>
      </c>
      <c r="X366" s="29" t="s">
        <v>3684</v>
      </c>
      <c r="Y366" s="34">
        <v>46140.663148148145</v>
      </c>
      <c r="Z366" s="29" t="s">
        <v>3685</v>
      </c>
      <c r="AA366" s="6">
        <v>2.0</v>
      </c>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row>
    <row r="367" ht="22.5" hidden="1" customHeight="1">
      <c r="A367" s="29" t="s">
        <v>3686</v>
      </c>
      <c r="B367" s="30">
        <v>35122.0</v>
      </c>
      <c r="C367" s="29" t="s">
        <v>3687</v>
      </c>
      <c r="D367" s="31" t="s">
        <v>3688</v>
      </c>
      <c r="E367" s="29" t="s">
        <v>82</v>
      </c>
      <c r="F367" s="29" t="s">
        <v>62</v>
      </c>
      <c r="G367" s="32" t="str">
        <f>HYPERLINK("https://api.typeform.com/responses/files/17c42f8208fe596b6ea8a9463a6e563f36467aab6798b087a7c729c1214961fb/CV___Data_Analysis_Intern___Lê_Tuấn_Khôi.pdf")</f>
        <v>https://api.typeform.com/responses/files/17c42f8208fe596b6ea8a9463a6e563f36467aab6798b087a7c729c1214961fb/CV___Data_Analysis_Intern___Lê_Tuấn_Khôi.pdf</v>
      </c>
      <c r="H367" s="29" t="s">
        <v>3689</v>
      </c>
      <c r="I367" s="29" t="s">
        <v>3690</v>
      </c>
      <c r="J367" s="29" t="s">
        <v>65</v>
      </c>
      <c r="K367" s="29" t="s">
        <v>102</v>
      </c>
      <c r="L367" s="29" t="s">
        <v>2763</v>
      </c>
      <c r="M367" s="29" t="s">
        <v>3691</v>
      </c>
      <c r="N367" s="33">
        <v>45096.0</v>
      </c>
      <c r="O367" s="31" t="s">
        <v>299</v>
      </c>
      <c r="P367" s="32" t="str">
        <f>HYPERLINK("https://api.typeform.com/responses/files/bdf2847420efd67977237ef01c0bb48b82ddcdae6fdc71b233f157d0b83ba5f7/Transcript___Data_Analysis_Intern___Lê_Tuấn_Khôi.jpg")</f>
        <v>https://api.typeform.com/responses/files/bdf2847420efd67977237ef01c0bb48b82ddcdae6fdc71b233f157d0b83ba5f7/Transcript___Data_Analysis_Intern___Lê_Tuấn_Khôi.jpg</v>
      </c>
      <c r="Q367" s="29" t="b">
        <v>0</v>
      </c>
      <c r="R367" s="29" t="s">
        <v>222</v>
      </c>
      <c r="S367" s="29" t="s">
        <v>3692</v>
      </c>
      <c r="T367" s="29" t="s">
        <v>72</v>
      </c>
      <c r="U367" s="29" t="s">
        <v>72</v>
      </c>
      <c r="V367" s="29" t="s">
        <v>73</v>
      </c>
      <c r="X367" s="29" t="s">
        <v>3693</v>
      </c>
      <c r="Y367" s="34">
        <v>46140.69537037037</v>
      </c>
      <c r="Z367" s="29" t="s">
        <v>3694</v>
      </c>
      <c r="AA367" s="6">
        <v>2.0</v>
      </c>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row>
    <row r="368" ht="22.5" hidden="1" customHeight="1">
      <c r="A368" s="29" t="s">
        <v>3695</v>
      </c>
      <c r="B368" s="30">
        <v>38193.0</v>
      </c>
      <c r="C368" s="29" t="s">
        <v>3696</v>
      </c>
      <c r="D368" s="31" t="s">
        <v>3697</v>
      </c>
      <c r="E368" s="29" t="s">
        <v>127</v>
      </c>
      <c r="F368" s="29" t="s">
        <v>82</v>
      </c>
      <c r="G368" s="32" t="str">
        <f>HYPERLINK("https://api.typeform.com/responses/files/992e4110c5462f01e1f46a83750f5f5481ecf02f5e03535d8c36054b112b898d/CV_GameQAIntern_LamTheRin.pdf")</f>
        <v>https://api.typeform.com/responses/files/992e4110c5462f01e1f46a83750f5f5481ecf02f5e03535d8c36054b112b898d/CV_GameQAIntern_LamTheRin.pdf</v>
      </c>
      <c r="H368" s="29" t="s">
        <v>3698</v>
      </c>
      <c r="I368" s="29" t="s">
        <v>3699</v>
      </c>
      <c r="J368" s="29" t="s">
        <v>65</v>
      </c>
      <c r="K368" s="29" t="s">
        <v>3700</v>
      </c>
      <c r="L368" s="29" t="s">
        <v>103</v>
      </c>
      <c r="M368" s="29" t="s">
        <v>1183</v>
      </c>
      <c r="N368" s="33">
        <v>46119.0</v>
      </c>
      <c r="O368" s="31" t="s">
        <v>3701</v>
      </c>
      <c r="P368" s="32" t="str">
        <f>HYPERLINK("https://api.typeform.com/responses/files/cf9dc8f2b14c4800336fcc3af63cf31eae0308215abf2a9832075c0cdac49cc9/LamTheRin___AcademicTranscript.pdf")</f>
        <v>https://api.typeform.com/responses/files/cf9dc8f2b14c4800336fcc3af63cf31eae0308215abf2a9832075c0cdac49cc9/LamTheRin___AcademicTranscript.pdf</v>
      </c>
      <c r="Q368" s="29" t="b">
        <v>1</v>
      </c>
      <c r="R368" s="29" t="s">
        <v>3702</v>
      </c>
      <c r="S368" s="29" t="s">
        <v>3703</v>
      </c>
      <c r="T368" s="29" t="s">
        <v>72</v>
      </c>
      <c r="U368" s="29" t="s">
        <v>72</v>
      </c>
      <c r="V368" s="29" t="s">
        <v>224</v>
      </c>
      <c r="X368" s="29" t="s">
        <v>3704</v>
      </c>
      <c r="Y368" s="34">
        <v>46140.71270833333</v>
      </c>
      <c r="Z368" s="29" t="s">
        <v>3705</v>
      </c>
      <c r="AA368" s="6">
        <v>2.0</v>
      </c>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row>
    <row r="369" ht="22.5" hidden="1" customHeight="1">
      <c r="A369" s="29" t="s">
        <v>3706</v>
      </c>
      <c r="B369" s="30">
        <v>37861.0</v>
      </c>
      <c r="C369" s="29" t="s">
        <v>3707</v>
      </c>
      <c r="D369" s="31" t="s">
        <v>3708</v>
      </c>
      <c r="E369" s="29" t="s">
        <v>127</v>
      </c>
      <c r="F369" s="29" t="s">
        <v>633</v>
      </c>
      <c r="G369" s="32" t="str">
        <f>HYPERLINK("https://api.typeform.com/responses/files/e7fd7a5333616e04e776e3111076e9bcc00a7e40e37ec5e9cc020dfe154c4a0e/CV___Game_Quality_Assurance_Intern___Tran_Truong_Lan_Anh.pdf.pdf")</f>
        <v>https://api.typeform.com/responses/files/e7fd7a5333616e04e776e3111076e9bcc00a7e40e37ec5e9cc020dfe154c4a0e/CV___Game_Quality_Assurance_Intern___Tran_Truong_Lan_Anh.pdf.pdf</v>
      </c>
      <c r="H369" s="29" t="s">
        <v>3709</v>
      </c>
      <c r="I369" s="29" t="s">
        <v>3710</v>
      </c>
      <c r="J369" s="29" t="s">
        <v>116</v>
      </c>
      <c r="L369" s="29" t="s">
        <v>103</v>
      </c>
      <c r="M369" s="29" t="s">
        <v>3711</v>
      </c>
      <c r="N369" s="33">
        <v>46038.0</v>
      </c>
      <c r="O369" s="29" t="s">
        <v>3712</v>
      </c>
      <c r="P369" s="32" t="str">
        <f>HYPERLINK("https://api.typeform.com/responses/files/2ff98c8072412e0dad09463c0c0e8e912db15ebff0d18a0ed1266cd813237314/Transcript___Game_Quality_Assurance_Intern___Tran_Truong_Lan_Anh.JPG")</f>
        <v>https://api.typeform.com/responses/files/2ff98c8072412e0dad09463c0c0e8e912db15ebff0d18a0ed1266cd813237314/Transcript___Game_Quality_Assurance_Intern___Tran_Truong_Lan_Anh.JPG</v>
      </c>
      <c r="Q369" s="29" t="b">
        <v>1</v>
      </c>
      <c r="R369" s="29" t="s">
        <v>3713</v>
      </c>
      <c r="S369" s="29" t="s">
        <v>3714</v>
      </c>
      <c r="T369" s="29" t="s">
        <v>72</v>
      </c>
      <c r="U369" s="29" t="s">
        <v>72</v>
      </c>
      <c r="V369" s="29" t="s">
        <v>90</v>
      </c>
      <c r="Y369" s="34">
        <v>46140.883101851854</v>
      </c>
      <c r="Z369" s="29" t="s">
        <v>3715</v>
      </c>
      <c r="AA369" s="6">
        <v>2.0</v>
      </c>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row>
    <row r="370" ht="22.5" hidden="1" customHeight="1">
      <c r="A370" s="29" t="s">
        <v>3716</v>
      </c>
      <c r="B370" s="30">
        <v>38508.0</v>
      </c>
      <c r="C370" s="29" t="s">
        <v>3717</v>
      </c>
      <c r="D370" s="31" t="s">
        <v>3718</v>
      </c>
      <c r="E370" s="29" t="s">
        <v>82</v>
      </c>
      <c r="F370" s="29" t="s">
        <v>82</v>
      </c>
      <c r="G370" s="32" t="str">
        <f>HYPERLINK("https://api.typeform.com/responses/files/8ff1a06e336b94ffbe89712d670eb7a2436ea3ee0d4e763146c2d8ea2a549bb6/CV___Data_Analysis_Intern___Nguyễn_Hoàng_Tùng_Linh.pdf")</f>
        <v>https://api.typeform.com/responses/files/8ff1a06e336b94ffbe89712d670eb7a2436ea3ee0d4e763146c2d8ea2a549bb6/CV___Data_Analysis_Intern___Nguyễn_Hoàng_Tùng_Linh.pdf</v>
      </c>
      <c r="H370" s="29" t="s">
        <v>3719</v>
      </c>
      <c r="I370" s="29" t="s">
        <v>3720</v>
      </c>
      <c r="J370" s="29" t="s">
        <v>2581</v>
      </c>
      <c r="L370" s="29" t="s">
        <v>219</v>
      </c>
      <c r="M370" s="29" t="s">
        <v>3721</v>
      </c>
      <c r="N370" s="33">
        <v>46388.0</v>
      </c>
      <c r="O370" s="31" t="s">
        <v>1477</v>
      </c>
      <c r="P370" s="32" t="str">
        <f>HYPERLINK("https://api.typeform.com/responses/files/2466465742b7f24905ac67e4b3d7aba26401dc24cccc8ef12ab83be539e9c660/Transcript___Data_Analysis_Intern___Nguyễn_Hoàng_Tùng_Linh.pdf")</f>
        <v>https://api.typeform.com/responses/files/2466465742b7f24905ac67e4b3d7aba26401dc24cccc8ef12ab83be539e9c660/Transcript___Data_Analysis_Intern___Nguyễn_Hoàng_Tùng_Linh.pdf</v>
      </c>
      <c r="Q370" s="29" t="b">
        <v>1</v>
      </c>
      <c r="R370" s="29" t="s">
        <v>3722</v>
      </c>
      <c r="S370" s="29" t="s">
        <v>3723</v>
      </c>
      <c r="T370" s="29" t="s">
        <v>72</v>
      </c>
      <c r="U370" s="29" t="s">
        <v>72</v>
      </c>
      <c r="V370" s="29" t="s">
        <v>2389</v>
      </c>
      <c r="X370" s="29" t="s">
        <v>3724</v>
      </c>
      <c r="Y370" s="34">
        <v>46141.12287037037</v>
      </c>
      <c r="Z370" s="29" t="s">
        <v>3725</v>
      </c>
      <c r="AA370" s="6">
        <v>2.0</v>
      </c>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row>
    <row r="371" ht="22.5" hidden="1" customHeight="1">
      <c r="A371" s="29" t="s">
        <v>3726</v>
      </c>
      <c r="B371" s="30">
        <v>38652.0</v>
      </c>
      <c r="C371" s="29" t="s">
        <v>3727</v>
      </c>
      <c r="D371" s="31" t="s">
        <v>3728</v>
      </c>
      <c r="E371" s="29" t="s">
        <v>62</v>
      </c>
      <c r="F371" s="29" t="s">
        <v>82</v>
      </c>
      <c r="G371" s="32" t="str">
        <f>HYPERLINK("https://api.typeform.com/responses/files/e84580cb3c6d7287ef93aad625172796d069469b60847830a487658bb7e614ce/CV___AI_Engineer_Intern___Data_Analysis_Intern___Huỳnh_Thái_Bảo.pdf")</f>
        <v>https://api.typeform.com/responses/files/e84580cb3c6d7287ef93aad625172796d069469b60847830a487658bb7e614ce/CV___AI_Engineer_Intern___Data_Analysis_Intern___Huỳnh_Thái_Bảo.pdf</v>
      </c>
      <c r="H371" s="29" t="s">
        <v>3729</v>
      </c>
      <c r="I371" s="29" t="s">
        <v>3730</v>
      </c>
      <c r="J371" s="29" t="s">
        <v>85</v>
      </c>
      <c r="L371" s="29" t="s">
        <v>219</v>
      </c>
      <c r="M371" s="29" t="s">
        <v>570</v>
      </c>
      <c r="N371" s="33">
        <v>46405.0</v>
      </c>
      <c r="O371" s="31" t="s">
        <v>1034</v>
      </c>
      <c r="P371" s="32" t="str">
        <f>HYPERLINK("https://api.typeform.com/responses/files/bf4e693a715446252f8f51cd003b7dcd5dceb4fdd24cead89d487f927658e296/Transcript___AI_Engineer_Intern___Data_Analysis_Intern___Huỳnh_Thái_Bảo.pdf")</f>
        <v>https://api.typeform.com/responses/files/bf4e693a715446252f8f51cd003b7dcd5dceb4fdd24cead89d487f927658e296/Transcript___AI_Engineer_Intern___Data_Analysis_Intern___Huỳnh_Thái_Bảo.pdf</v>
      </c>
      <c r="Q371" s="29" t="b">
        <v>0</v>
      </c>
      <c r="R371" s="29" t="s">
        <v>3731</v>
      </c>
      <c r="S371" s="29" t="s">
        <v>3732</v>
      </c>
      <c r="T371" s="29" t="s">
        <v>72</v>
      </c>
      <c r="U371" s="29" t="s">
        <v>72</v>
      </c>
      <c r="V371" s="29" t="s">
        <v>269</v>
      </c>
      <c r="Y371" s="34">
        <v>46141.13655092593</v>
      </c>
      <c r="Z371" s="29" t="s">
        <v>3733</v>
      </c>
      <c r="AA371" s="6">
        <v>2.0</v>
      </c>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row>
    <row r="372" ht="22.5" hidden="1" customHeight="1">
      <c r="A372" s="29" t="s">
        <v>2803</v>
      </c>
      <c r="B372" s="30">
        <v>38547.0</v>
      </c>
      <c r="C372" s="29" t="s">
        <v>3734</v>
      </c>
      <c r="D372" s="31" t="s">
        <v>3735</v>
      </c>
      <c r="E372" s="29" t="s">
        <v>82</v>
      </c>
      <c r="G372" s="32" t="str">
        <f>HYPERLINK("https://api.typeform.com/responses/files/48ab9a266ecc1f882a60e6d794e59f73029f2c78f59f38d3954364f460f2fdd0/CV___Data_Analysis_Intern___Nguyen_Thanh_Danh.pdf")</f>
        <v>https://api.typeform.com/responses/files/48ab9a266ecc1f882a60e6d794e59f73029f2c78f59f38d3954364f460f2fdd0/CV___Data_Analysis_Intern___Nguyen_Thanh_Danh.pdf</v>
      </c>
      <c r="H372" s="29" t="s">
        <v>3736</v>
      </c>
      <c r="I372" s="29" t="s">
        <v>3737</v>
      </c>
      <c r="J372" s="29" t="s">
        <v>1023</v>
      </c>
      <c r="K372" s="29" t="s">
        <v>3738</v>
      </c>
      <c r="L372" s="29" t="s">
        <v>67</v>
      </c>
      <c r="M372" s="29" t="s">
        <v>1830</v>
      </c>
      <c r="N372" s="33">
        <v>46658.0</v>
      </c>
      <c r="O372" s="31" t="s">
        <v>3739</v>
      </c>
      <c r="P372" s="32" t="str">
        <f>HYPERLINK("https://api.typeform.com/responses/files/45dc1c0b82b25e54a63451a68110ea7db7e8d71ea600f0d96524eafa9e5425cf/Transcript___Data_Analysis_Intern___Nguy.pdf")</f>
        <v>https://api.typeform.com/responses/files/45dc1c0b82b25e54a63451a68110ea7db7e8d71ea600f0d96524eafa9e5425cf/Transcript___Data_Analysis_Intern___Nguy.pdf</v>
      </c>
      <c r="Q372" s="29" t="b">
        <v>0</v>
      </c>
      <c r="R372" s="29" t="s">
        <v>375</v>
      </c>
      <c r="S372" s="29" t="s">
        <v>3740</v>
      </c>
      <c r="T372" s="29" t="s">
        <v>72</v>
      </c>
      <c r="U372" s="29" t="s">
        <v>72</v>
      </c>
      <c r="V372" s="29" t="s">
        <v>90</v>
      </c>
      <c r="X372" s="29" t="s">
        <v>3741</v>
      </c>
      <c r="Y372" s="34">
        <v>46141.14078703704</v>
      </c>
      <c r="Z372" s="29" t="s">
        <v>3742</v>
      </c>
      <c r="AA372" s="6">
        <v>2.0</v>
      </c>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row>
    <row r="373" ht="22.5" hidden="1" customHeight="1">
      <c r="A373" s="29" t="s">
        <v>3743</v>
      </c>
      <c r="B373" s="30">
        <v>37778.0</v>
      </c>
      <c r="C373" s="29" t="s">
        <v>3744</v>
      </c>
      <c r="D373" s="31" t="s">
        <v>3745</v>
      </c>
      <c r="E373" s="29" t="s">
        <v>82</v>
      </c>
      <c r="G373" s="32" t="str">
        <f>HYPERLINK("https://api.typeform.com/responses/files/80dd16ca668a0fbbd79fe4292a8f7e4458aa05effc1390c5d84a56408e43bf14/CV___Data_Analysis_Intern___Thái_Thị_Mỹ_Quyên.pdf")</f>
        <v>https://api.typeform.com/responses/files/80dd16ca668a0fbbd79fe4292a8f7e4458aa05effc1390c5d84a56408e43bf14/CV___Data_Analysis_Intern___Thái_Thị_Mỹ_Quyên.pdf</v>
      </c>
      <c r="H373" s="29" t="s">
        <v>3746</v>
      </c>
      <c r="I373" s="29" t="s">
        <v>3747</v>
      </c>
      <c r="J373" s="29" t="s">
        <v>65</v>
      </c>
      <c r="K373" s="29" t="s">
        <v>3748</v>
      </c>
      <c r="L373" s="29" t="s">
        <v>103</v>
      </c>
      <c r="M373" s="29" t="s">
        <v>3749</v>
      </c>
      <c r="N373" s="33">
        <v>46019.0</v>
      </c>
      <c r="O373" s="31" t="s">
        <v>822</v>
      </c>
      <c r="P373" s="32" t="str">
        <f>HYPERLINK("https://api.typeform.com/responses/files/12f8088c40e19fe383dcafe894a03302b0394f9b9e490275ca47f425c1d5e880/Transcript___Data_Analysis_Intern___Thái_Thị_Mỹ_Quyên.pdf")</f>
        <v>https://api.typeform.com/responses/files/12f8088c40e19fe383dcafe894a03302b0394f9b9e490275ca47f425c1d5e880/Transcript___Data_Analysis_Intern___Thái_Thị_Mỹ_Quyên.pdf</v>
      </c>
      <c r="Q373" s="29" t="b">
        <v>0</v>
      </c>
      <c r="R373" s="29" t="s">
        <v>3750</v>
      </c>
      <c r="S373" s="29" t="s">
        <v>3751</v>
      </c>
      <c r="T373" s="29" t="s">
        <v>72</v>
      </c>
      <c r="U373" s="29" t="s">
        <v>72</v>
      </c>
      <c r="V373" s="29" t="s">
        <v>73</v>
      </c>
      <c r="Y373" s="34">
        <v>46141.147997685184</v>
      </c>
      <c r="Z373" s="29" t="s">
        <v>3752</v>
      </c>
      <c r="AA373" s="6">
        <v>2.0</v>
      </c>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row>
    <row r="374" ht="22.5" hidden="1" customHeight="1">
      <c r="A374" s="29" t="s">
        <v>3753</v>
      </c>
      <c r="B374" s="30">
        <v>38608.0</v>
      </c>
      <c r="C374" s="29" t="s">
        <v>3754</v>
      </c>
      <c r="D374" s="31" t="s">
        <v>3755</v>
      </c>
      <c r="E374" s="29" t="s">
        <v>633</v>
      </c>
      <c r="F374" s="29" t="s">
        <v>633</v>
      </c>
      <c r="G374" s="32" t="str">
        <f>HYPERLINK("https://api.typeform.com/responses/files/743556302d7fe191f5ae9124af2d2a767f43c739ec93bd653b1cd503d99ad6f7/CV___HR_Intern___Võ_Phạm_Gia_Long.pdf")</f>
        <v>https://api.typeform.com/responses/files/743556302d7fe191f5ae9124af2d2a767f43c739ec93bd653b1cd503d99ad6f7/CV___HR_Intern___Võ_Phạm_Gia_Long.pdf</v>
      </c>
      <c r="H374" s="29" t="s">
        <v>3756</v>
      </c>
      <c r="I374" s="29" t="s">
        <v>3757</v>
      </c>
      <c r="J374" s="29" t="s">
        <v>842</v>
      </c>
      <c r="L374" s="29" t="s">
        <v>219</v>
      </c>
      <c r="M374" s="29" t="s">
        <v>3758</v>
      </c>
      <c r="N374" s="33">
        <v>46387.0</v>
      </c>
      <c r="O374" s="29" t="s">
        <v>3759</v>
      </c>
      <c r="P374" s="32" t="str">
        <f>HYPERLINK("https://api.typeform.com/responses/files/3eb718a363b111f561d1c6ba1f16cea0b99d2dacb4ea8a61cf7bad9c0f580958/Transcript___HR_Intern___Võ_Phạm_Gia_Long.pdf")</f>
        <v>https://api.typeform.com/responses/files/3eb718a363b111f561d1c6ba1f16cea0b99d2dacb4ea8a61cf7bad9c0f580958/Transcript___HR_Intern___Võ_Phạm_Gia_Long.pdf</v>
      </c>
      <c r="Q374" s="29" t="b">
        <v>1</v>
      </c>
      <c r="R374" s="29" t="s">
        <v>3760</v>
      </c>
      <c r="S374" s="29" t="s">
        <v>3761</v>
      </c>
      <c r="T374" s="29" t="s">
        <v>72</v>
      </c>
      <c r="U374" s="29" t="s">
        <v>72</v>
      </c>
      <c r="V374" s="29" t="s">
        <v>3762</v>
      </c>
      <c r="X374" s="29" t="s">
        <v>3763</v>
      </c>
      <c r="Y374" s="34">
        <v>46141.1541087963</v>
      </c>
      <c r="Z374" s="29" t="s">
        <v>3764</v>
      </c>
      <c r="AA374" s="6">
        <v>2.0</v>
      </c>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row>
    <row r="375" ht="22.5" hidden="1" customHeight="1">
      <c r="A375" s="29" t="s">
        <v>3765</v>
      </c>
      <c r="B375" s="30">
        <v>38306.0</v>
      </c>
      <c r="C375" s="29" t="s">
        <v>3766</v>
      </c>
      <c r="D375" s="31" t="s">
        <v>3767</v>
      </c>
      <c r="E375" s="29" t="s">
        <v>633</v>
      </c>
      <c r="F375" s="29" t="s">
        <v>633</v>
      </c>
      <c r="G375" s="32" t="str">
        <f>HYPERLINK("https://api.typeform.com/responses/files/a8f9730e9aae6bf78af572cea425980cd5f8e270f11e147ef1293750f2f584e2/CV_HR_INTERN_HO_NGOC_NHUNG_SUNSTUDIO..pdf")</f>
        <v>https://api.typeform.com/responses/files/a8f9730e9aae6bf78af572cea425980cd5f8e270f11e147ef1293750f2f584e2/CV_HR_INTERN_HO_NGOC_NHUNG_SUNSTUDIO..pdf</v>
      </c>
      <c r="H375" s="29" t="s">
        <v>3768</v>
      </c>
      <c r="I375" s="29" t="s">
        <v>3769</v>
      </c>
      <c r="J375" s="29" t="s">
        <v>244</v>
      </c>
      <c r="L375" s="29" t="s">
        <v>67</v>
      </c>
      <c r="M375" s="29" t="s">
        <v>1630</v>
      </c>
      <c r="N375" s="33">
        <v>46567.0</v>
      </c>
      <c r="O375" s="31" t="s">
        <v>299</v>
      </c>
      <c r="P375" s="32" t="str">
        <f>HYPERLINK("https://api.typeform.com/responses/files/1a2e74a3aa3a9c42ed7f54d18a8ae2c8a2552f37bb82bae151bba31c4dceba16/Transcript_HR_INTERN_HO_NGOC_NHUNG.pdf")</f>
        <v>https://api.typeform.com/responses/files/1a2e74a3aa3a9c42ed7f54d18a8ae2c8a2552f37bb82bae151bba31c4dceba16/Transcript_HR_INTERN_HO_NGOC_NHUNG.pdf</v>
      </c>
      <c r="Q375" s="29" t="b">
        <v>1</v>
      </c>
      <c r="R375" s="29" t="s">
        <v>3770</v>
      </c>
      <c r="S375" s="29" t="s">
        <v>3771</v>
      </c>
      <c r="T375" s="29" t="s">
        <v>72</v>
      </c>
      <c r="U375" s="29" t="s">
        <v>72</v>
      </c>
      <c r="V375" s="29" t="s">
        <v>73</v>
      </c>
      <c r="X375" s="29" t="s">
        <v>3772</v>
      </c>
      <c r="Y375" s="34">
        <v>46141.16365740741</v>
      </c>
      <c r="Z375" s="29" t="s">
        <v>3773</v>
      </c>
      <c r="AA375" s="6">
        <v>2.0</v>
      </c>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row>
    <row r="376" ht="22.5" hidden="1" customHeight="1">
      <c r="A376" s="29" t="s">
        <v>2417</v>
      </c>
      <c r="B376" s="30">
        <v>38096.0</v>
      </c>
      <c r="C376" s="29" t="s">
        <v>3774</v>
      </c>
      <c r="D376" s="31" t="s">
        <v>3775</v>
      </c>
      <c r="E376" s="29" t="s">
        <v>82</v>
      </c>
      <c r="F376" s="29" t="s">
        <v>62</v>
      </c>
      <c r="G376" s="32" t="str">
        <f>HYPERLINK("https://api.typeform.com/responses/files/aae3bef7cf8ea98c93dc38bc596a0020259d59c920bb8dca0ff91c63208d9c32/CV___Data_Analysis_Intern___Nguyễn_Phi_Long.pdf")</f>
        <v>https://api.typeform.com/responses/files/aae3bef7cf8ea98c93dc38bc596a0020259d59c920bb8dca0ff91c63208d9c32/CV___Data_Analysis_Intern___Nguyễn_Phi_Long.pdf</v>
      </c>
      <c r="H376" s="29" t="s">
        <v>3776</v>
      </c>
      <c r="I376" s="29" t="s">
        <v>3777</v>
      </c>
      <c r="J376" s="29" t="s">
        <v>85</v>
      </c>
      <c r="L376" s="29" t="s">
        <v>103</v>
      </c>
      <c r="M376" s="29" t="s">
        <v>384</v>
      </c>
      <c r="N376" s="33">
        <v>46182.0</v>
      </c>
      <c r="O376" s="31" t="s">
        <v>3778</v>
      </c>
      <c r="P376" s="32" t="str">
        <f>HYPERLINK("https://api.typeform.com/responses/files/d848efdd81cd15d678794a3c4b827bf3bf31e1a49af5d8fdb657a646db96f0d1/Transcript___Data_Analysis_Intern___Nguyễn_Phi_Long.pdf")</f>
        <v>https://api.typeform.com/responses/files/d848efdd81cd15d678794a3c4b827bf3bf31e1a49af5d8fdb657a646db96f0d1/Transcript___Data_Analysis_Intern___Nguyễn_Phi_Long.pdf</v>
      </c>
      <c r="Q376" s="29" t="b">
        <v>1</v>
      </c>
      <c r="R376" s="29" t="s">
        <v>3779</v>
      </c>
      <c r="S376" s="29" t="s">
        <v>3780</v>
      </c>
      <c r="T376" s="29" t="s">
        <v>72</v>
      </c>
      <c r="U376" s="29" t="s">
        <v>72</v>
      </c>
      <c r="V376" s="29" t="s">
        <v>269</v>
      </c>
      <c r="X376" s="29" t="s">
        <v>3781</v>
      </c>
      <c r="Y376" s="34">
        <v>46141.19960648148</v>
      </c>
      <c r="Z376" s="29" t="s">
        <v>3782</v>
      </c>
      <c r="AA376" s="6">
        <v>2.0</v>
      </c>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row>
    <row r="377" ht="22.5" hidden="1" customHeight="1">
      <c r="A377" s="29" t="s">
        <v>3783</v>
      </c>
      <c r="B377" s="30">
        <v>37272.0</v>
      </c>
      <c r="C377" s="29" t="s">
        <v>3784</v>
      </c>
      <c r="D377" s="31" t="s">
        <v>3785</v>
      </c>
      <c r="E377" s="29" t="s">
        <v>82</v>
      </c>
      <c r="F377" s="29" t="s">
        <v>62</v>
      </c>
      <c r="G377" s="32" t="str">
        <f>HYPERLINK("https://api.typeform.com/responses/files/22dc0b3949cd812c9f5f03f5eecf101c05d96dfb551f3629c10541a0aa71e804/resume_vinh_bao_phuc.pdf")</f>
        <v>https://api.typeform.com/responses/files/22dc0b3949cd812c9f5f03f5eecf101c05d96dfb551f3629c10541a0aa71e804/resume_vinh_bao_phuc.pdf</v>
      </c>
      <c r="H377" s="29" t="s">
        <v>3786</v>
      </c>
      <c r="I377" s="29" t="s">
        <v>3787</v>
      </c>
      <c r="J377" s="29" t="s">
        <v>644</v>
      </c>
      <c r="L377" s="29" t="s">
        <v>103</v>
      </c>
      <c r="M377" s="29" t="s">
        <v>399</v>
      </c>
      <c r="N377" s="33">
        <v>46357.0</v>
      </c>
      <c r="O377" s="31" t="s">
        <v>3788</v>
      </c>
      <c r="P377" s="32" t="str">
        <f>HYPERLINK("https://api.typeform.com/responses/files/5dfe9c684340036fe9cb07573118f09de9c32dd49f3d024b01e25f02c44e8dd6/Bảng_điểm_sinh_viên.pdf")</f>
        <v>https://api.typeform.com/responses/files/5dfe9c684340036fe9cb07573118f09de9c32dd49f3d024b01e25f02c44e8dd6/Bảng_điểm_sinh_viên.pdf</v>
      </c>
      <c r="Q377" s="29" t="b">
        <v>1</v>
      </c>
      <c r="R377" s="29" t="s">
        <v>3789</v>
      </c>
      <c r="S377" s="29" t="s">
        <v>3790</v>
      </c>
      <c r="T377" s="29" t="s">
        <v>72</v>
      </c>
      <c r="U377" s="29" t="s">
        <v>72</v>
      </c>
      <c r="V377" s="29" t="s">
        <v>73</v>
      </c>
      <c r="Y377" s="34">
        <v>46141.209641203706</v>
      </c>
      <c r="Z377" s="29" t="s">
        <v>3791</v>
      </c>
      <c r="AA377" s="6">
        <v>2.0</v>
      </c>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row>
    <row r="378" ht="22.5" hidden="1" customHeight="1">
      <c r="A378" s="29" t="s">
        <v>3792</v>
      </c>
      <c r="B378" s="30">
        <v>39021.0</v>
      </c>
      <c r="C378" s="29" t="s">
        <v>3793</v>
      </c>
      <c r="D378" s="31" t="s">
        <v>3794</v>
      </c>
      <c r="E378" s="29" t="s">
        <v>82</v>
      </c>
      <c r="F378" s="29" t="s">
        <v>82</v>
      </c>
      <c r="G378" s="32" t="str">
        <f>HYPERLINK("https://api.typeform.com/responses/files/9d846a63c4acefa4189888978d736315a8acdfc9110e20a358cccff02bfda417/CV_Data_Analysis_Intern_Nguyen_Thao_Ly.pdf")</f>
        <v>https://api.typeform.com/responses/files/9d846a63c4acefa4189888978d736315a8acdfc9110e20a358cccff02bfda417/CV_Data_Analysis_Intern_Nguyen_Thao_Ly.pdf</v>
      </c>
      <c r="H378" s="29" t="s">
        <v>3795</v>
      </c>
      <c r="I378" s="29" t="s">
        <v>3796</v>
      </c>
      <c r="J378" s="29" t="s">
        <v>1069</v>
      </c>
      <c r="L378" s="29" t="s">
        <v>169</v>
      </c>
      <c r="M378" s="29" t="s">
        <v>3797</v>
      </c>
      <c r="N378" s="33">
        <v>39021.0</v>
      </c>
      <c r="O378" s="29" t="s">
        <v>3798</v>
      </c>
      <c r="P378" s="32" t="str">
        <f>HYPERLINK("https://api.typeform.com/responses/files/bf44dceea9fc1735af5e9a312a3261cd299d33aad8a9a385b90cb5678a405b07/Transcript_Data_Analysis_Intern_Nguyen_Thao_Ly.xlsx")</f>
        <v>https://api.typeform.com/responses/files/bf44dceea9fc1735af5e9a312a3261cd299d33aad8a9a385b90cb5678a405b07/Transcript_Data_Analysis_Intern_Nguyen_Thao_Ly.xlsx</v>
      </c>
      <c r="Q378" s="29" t="b">
        <v>0</v>
      </c>
      <c r="R378" s="29" t="s">
        <v>3799</v>
      </c>
      <c r="S378" s="29" t="s">
        <v>3800</v>
      </c>
      <c r="T378" s="29" t="s">
        <v>72</v>
      </c>
      <c r="U378" s="29" t="s">
        <v>72</v>
      </c>
      <c r="V378" s="29" t="s">
        <v>236</v>
      </c>
      <c r="X378" s="29" t="s">
        <v>3801</v>
      </c>
      <c r="Y378" s="34">
        <v>46141.210497685184</v>
      </c>
      <c r="Z378" s="29" t="s">
        <v>3802</v>
      </c>
      <c r="AA378" s="6">
        <v>2.0</v>
      </c>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row>
    <row r="379" ht="22.5" hidden="1" customHeight="1">
      <c r="A379" s="29" t="s">
        <v>452</v>
      </c>
      <c r="B379" s="30">
        <v>38215.0</v>
      </c>
      <c r="C379" s="29" t="s">
        <v>453</v>
      </c>
      <c r="D379" s="31" t="s">
        <v>454</v>
      </c>
      <c r="E379" s="29" t="s">
        <v>61</v>
      </c>
      <c r="F379" s="29" t="s">
        <v>99</v>
      </c>
      <c r="G379" s="32" t="str">
        <f>HYPERLINK("https://api.typeform.com/responses/files/e2a2b48b08e0a69da089c5f0c3b8d7cdcf9b2d77ce5339e2f2fae26d87c9a38d/NguyenThanhHien.pdf")</f>
        <v>https://api.typeform.com/responses/files/e2a2b48b08e0a69da089c5f0c3b8d7cdcf9b2d77ce5339e2f2fae26d87c9a38d/NguyenThanhHien.pdf</v>
      </c>
      <c r="H379" s="29" t="s">
        <v>3803</v>
      </c>
      <c r="I379" s="29" t="s">
        <v>3804</v>
      </c>
      <c r="J379" s="29" t="s">
        <v>144</v>
      </c>
      <c r="L379" s="29" t="s">
        <v>103</v>
      </c>
      <c r="M379" s="29" t="s">
        <v>3009</v>
      </c>
      <c r="N379" s="33">
        <v>45981.0</v>
      </c>
      <c r="O379" s="31" t="s">
        <v>458</v>
      </c>
      <c r="P379" s="32" t="str">
        <f>HYPERLINK("https://api.typeform.com/responses/files/0b811d1e88c29c52575709f06b43dba7d2450a65f017475bf2f2d66971c2f58a/Bảng_điểm__FPT_Polytechnic.pdf")</f>
        <v>https://api.typeform.com/responses/files/0b811d1e88c29c52575709f06b43dba7d2450a65f017475bf2f2d66971c2f58a/Bảng_điểm__FPT_Polytechnic.pdf</v>
      </c>
      <c r="Q379" s="29" t="b">
        <v>1</v>
      </c>
      <c r="R379" s="29" t="s">
        <v>3805</v>
      </c>
      <c r="S379" s="29" t="s">
        <v>460</v>
      </c>
      <c r="T379" s="29" t="s">
        <v>72</v>
      </c>
      <c r="U379" s="29" t="s">
        <v>72</v>
      </c>
      <c r="V379" s="29" t="s">
        <v>73</v>
      </c>
      <c r="X379" s="29" t="s">
        <v>3806</v>
      </c>
      <c r="Y379" s="34">
        <v>46141.21119212963</v>
      </c>
      <c r="Z379" s="29" t="s">
        <v>3807</v>
      </c>
      <c r="AA379" s="6">
        <v>2.0</v>
      </c>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row>
    <row r="380" ht="22.5" hidden="1" customHeight="1">
      <c r="A380" s="29" t="s">
        <v>3808</v>
      </c>
      <c r="B380" s="30">
        <v>38530.0</v>
      </c>
      <c r="C380" s="29" t="s">
        <v>3809</v>
      </c>
      <c r="D380" s="31" t="s">
        <v>3810</v>
      </c>
      <c r="E380" s="29" t="s">
        <v>62</v>
      </c>
      <c r="F380" s="29" t="s">
        <v>82</v>
      </c>
      <c r="G380" s="32" t="str">
        <f>HYPERLINK("https://api.typeform.com/responses/files/a98dcd99e6c2945daf633b1ce56cc0bb6817c0ef2d60143de27f82de99852bd4/CV_AI_Engineering_Intern_NguyenQuocDuy.pdf")</f>
        <v>https://api.typeform.com/responses/files/a98dcd99e6c2945daf633b1ce56cc0bb6817c0ef2d60143de27f82de99852bd4/CV_AI_Engineering_Intern_NguyenQuocDuy.pdf</v>
      </c>
      <c r="H380" s="29" t="s">
        <v>3811</v>
      </c>
      <c r="I380" s="29" t="s">
        <v>3812</v>
      </c>
      <c r="J380" s="29" t="s">
        <v>715</v>
      </c>
      <c r="L380" s="29" t="s">
        <v>219</v>
      </c>
      <c r="M380" s="29" t="s">
        <v>941</v>
      </c>
      <c r="N380" s="33">
        <v>46692.0</v>
      </c>
      <c r="O380" s="31" t="s">
        <v>881</v>
      </c>
      <c r="P380" s="32" t="str">
        <f>HYPERLINK("https://api.typeform.com/responses/files/d364ab1c0c8f536be92ad775772fdbc842d318bcf2e8319d3237c213fc212e09/Transcipt_AI_Engineering_Nguyễn_Quốc_Duy.pdf")</f>
        <v>https://api.typeform.com/responses/files/d364ab1c0c8f536be92ad775772fdbc842d318bcf2e8319d3237c213fc212e09/Transcipt_AI_Engineering_Nguyễn_Quốc_Duy.pdf</v>
      </c>
      <c r="Q380" s="29" t="b">
        <v>1</v>
      </c>
      <c r="R380" s="29" t="s">
        <v>3813</v>
      </c>
      <c r="S380" s="29" t="s">
        <v>3814</v>
      </c>
      <c r="T380" s="29" t="s">
        <v>72</v>
      </c>
      <c r="U380" s="29" t="s">
        <v>72</v>
      </c>
      <c r="V380" s="29" t="s">
        <v>3815</v>
      </c>
      <c r="X380" s="29" t="s">
        <v>3816</v>
      </c>
      <c r="Y380" s="34">
        <v>46141.24722222222</v>
      </c>
      <c r="Z380" s="29" t="s">
        <v>3817</v>
      </c>
      <c r="AA380" s="6">
        <v>2.0</v>
      </c>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row>
    <row r="381" ht="22.5" hidden="1" customHeight="1">
      <c r="A381" s="29" t="s">
        <v>3818</v>
      </c>
      <c r="B381" s="30">
        <v>38291.0</v>
      </c>
      <c r="C381" s="29" t="s">
        <v>3819</v>
      </c>
      <c r="D381" s="31" t="s">
        <v>3820</v>
      </c>
      <c r="E381" s="29" t="s">
        <v>127</v>
      </c>
      <c r="F381" s="29" t="s">
        <v>774</v>
      </c>
      <c r="G381" s="32" t="str">
        <f>HYPERLINK("https://api.typeform.com/responses/files/8fee4c19c250388c165b45f0338c886973e5d3b20d4ce5e20b1fe8d9cbbc1553/CV___Game_Quality_Assurance_Intern___Hồ_Tài_Liên_Vy_Kha.pdf")</f>
        <v>https://api.typeform.com/responses/files/8fee4c19c250388c165b45f0338c886973e5d3b20d4ce5e20b1fe8d9cbbc1553/CV___Game_Quality_Assurance_Intern___Hồ_Tài_Liên_Vy_Kha.pdf</v>
      </c>
      <c r="H381" s="29" t="s">
        <v>3821</v>
      </c>
      <c r="I381" s="29" t="s">
        <v>3822</v>
      </c>
      <c r="J381" s="29" t="s">
        <v>65</v>
      </c>
      <c r="K381" s="29" t="s">
        <v>961</v>
      </c>
      <c r="L381" s="29" t="s">
        <v>67</v>
      </c>
      <c r="M381" s="29" t="s">
        <v>684</v>
      </c>
      <c r="N381" s="33">
        <v>46203.0</v>
      </c>
      <c r="O381" s="29" t="s">
        <v>3823</v>
      </c>
      <c r="P381" s="32" t="str">
        <f>HYPERLINK("https://api.typeform.com/responses/files/08329fdbfda6c739ede485c94e9c12bea317c442cb59459f740f08ddd81f3489/CV___Game_Quality_Assurance_Intern___Hồ_Tài_Liên_Vy_Kha.pdf")</f>
        <v>https://api.typeform.com/responses/files/08329fdbfda6c739ede485c94e9c12bea317c442cb59459f740f08ddd81f3489/CV___Game_Quality_Assurance_Intern___Hồ_Tài_Liên_Vy_Kha.pdf</v>
      </c>
      <c r="Q381" s="29" t="b">
        <v>1</v>
      </c>
      <c r="R381" s="29" t="s">
        <v>3824</v>
      </c>
      <c r="S381" s="29" t="s">
        <v>3825</v>
      </c>
      <c r="T381" s="29" t="s">
        <v>72</v>
      </c>
      <c r="U381" s="29" t="s">
        <v>72</v>
      </c>
      <c r="V381" s="29" t="s">
        <v>236</v>
      </c>
      <c r="X381" s="29" t="s">
        <v>3826</v>
      </c>
      <c r="Y381" s="34">
        <v>46141.26665509259</v>
      </c>
      <c r="Z381" s="29" t="s">
        <v>3827</v>
      </c>
      <c r="AA381" s="6">
        <v>2.0</v>
      </c>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row>
    <row r="382" ht="22.5" hidden="1" customHeight="1">
      <c r="A382" s="29" t="s">
        <v>3828</v>
      </c>
      <c r="B382" s="30">
        <v>38325.0</v>
      </c>
      <c r="C382" s="29" t="s">
        <v>3829</v>
      </c>
      <c r="D382" s="31" t="s">
        <v>3830</v>
      </c>
      <c r="E382" s="29" t="s">
        <v>62</v>
      </c>
      <c r="F382" s="29" t="s">
        <v>62</v>
      </c>
      <c r="G382" s="32" t="str">
        <f>HYPERLINK("https://api.typeform.com/responses/files/c1dbc4c91813b28b35f87f9f28d2a632a58f75b1e898838bce6891fcdb49c799/CV___AI_Engineer_intern___Pham_Nguyen_Khanh_Minh.pdf")</f>
        <v>https://api.typeform.com/responses/files/c1dbc4c91813b28b35f87f9f28d2a632a58f75b1e898838bce6891fcdb49c799/CV___AI_Engineer_intern___Pham_Nguyen_Khanh_Minh.pdf</v>
      </c>
      <c r="H382" s="29" t="s">
        <v>3831</v>
      </c>
      <c r="I382" s="29" t="s">
        <v>3832</v>
      </c>
      <c r="J382" s="29" t="s">
        <v>65</v>
      </c>
      <c r="K382" s="29" t="s">
        <v>961</v>
      </c>
      <c r="L382" s="29" t="s">
        <v>67</v>
      </c>
      <c r="M382" s="29" t="s">
        <v>3833</v>
      </c>
      <c r="N382" s="33">
        <v>46157.0</v>
      </c>
      <c r="O382" s="31" t="s">
        <v>1212</v>
      </c>
      <c r="P382" s="32" t="str">
        <f>HYPERLINK("https://api.typeform.com/responses/files/75c4f44c21ac5e858f1bdf2c664880cdb3c24ce407cdc706c1e76717cf458d7e/Transcript___AI_Engineer_intern___Pham_Nguyen_Khanh_Minh.pdf")</f>
        <v>https://api.typeform.com/responses/files/75c4f44c21ac5e858f1bdf2c664880cdb3c24ce407cdc706c1e76717cf458d7e/Transcript___AI_Engineer_intern___Pham_Nguyen_Khanh_Minh.pdf</v>
      </c>
      <c r="Q382" s="29" t="b">
        <v>1</v>
      </c>
      <c r="R382" s="29" t="s">
        <v>3834</v>
      </c>
      <c r="S382" s="29" t="s">
        <v>3835</v>
      </c>
      <c r="T382" s="29" t="s">
        <v>72</v>
      </c>
      <c r="U382" s="29" t="s">
        <v>72</v>
      </c>
      <c r="V382" s="29" t="s">
        <v>2389</v>
      </c>
      <c r="Y382" s="34">
        <v>46141.2843287037</v>
      </c>
      <c r="Z382" s="29" t="s">
        <v>3836</v>
      </c>
      <c r="AA382" s="6">
        <v>2.0</v>
      </c>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row>
    <row r="383" ht="22.5" hidden="1" customHeight="1">
      <c r="A383" s="29" t="s">
        <v>3837</v>
      </c>
      <c r="B383" s="30">
        <v>38540.0</v>
      </c>
      <c r="C383" s="29" t="s">
        <v>3838</v>
      </c>
      <c r="D383" s="31" t="s">
        <v>3839</v>
      </c>
      <c r="E383" s="29" t="s">
        <v>61</v>
      </c>
      <c r="F383" s="29" t="s">
        <v>127</v>
      </c>
      <c r="G383" s="32" t="str">
        <f>HYPERLINK("https://api.typeform.com/responses/files/3ad58c06726848cbeb2bc57cdec2e2f69b64ca155904b6e2e316f4ccbb5af784/CV___Unity_Development_Intern___Bùi_Tuấn_Cường.pdf")</f>
        <v>https://api.typeform.com/responses/files/3ad58c06726848cbeb2bc57cdec2e2f69b64ca155904b6e2e316f4ccbb5af784/CV___Unity_Development_Intern___Bùi_Tuấn_Cường.pdf</v>
      </c>
      <c r="H383" s="29" t="s">
        <v>3840</v>
      </c>
      <c r="I383" s="29" t="s">
        <v>3841</v>
      </c>
      <c r="J383" s="29" t="s">
        <v>715</v>
      </c>
      <c r="L383" s="29" t="s">
        <v>219</v>
      </c>
      <c r="M383" s="29" t="s">
        <v>612</v>
      </c>
      <c r="N383" s="33">
        <v>46568.0</v>
      </c>
      <c r="O383" s="31" t="s">
        <v>3842</v>
      </c>
      <c r="P383" s="32" t="str">
        <f>HYPERLINK("https://api.typeform.com/responses/files/d4f84ff943591ed1c9cefc7fbf176ba86e415d6a8232c940ce19fa04c3113935/Transcript___Unity_Development_Intern___Bùi_Tuấn_Cường.pdf")</f>
        <v>https://api.typeform.com/responses/files/d4f84ff943591ed1c9cefc7fbf176ba86e415d6a8232c940ce19fa04c3113935/Transcript___Unity_Development_Intern___Bùi_Tuấn_Cường.pdf</v>
      </c>
      <c r="Q383" s="29" t="b">
        <v>1</v>
      </c>
      <c r="R383" s="29" t="s">
        <v>3843</v>
      </c>
      <c r="S383" s="29" t="s">
        <v>3844</v>
      </c>
      <c r="T383" s="29" t="s">
        <v>72</v>
      </c>
      <c r="U383" s="29" t="s">
        <v>72</v>
      </c>
      <c r="V383" s="29" t="s">
        <v>3845</v>
      </c>
      <c r="X383" s="29" t="s">
        <v>3846</v>
      </c>
      <c r="Y383" s="34">
        <v>46141.287199074075</v>
      </c>
      <c r="Z383" s="29" t="s">
        <v>3847</v>
      </c>
      <c r="AA383" s="6">
        <v>2.0</v>
      </c>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row>
    <row r="384" ht="22.5" hidden="1" customHeight="1">
      <c r="A384" s="29" t="s">
        <v>3848</v>
      </c>
      <c r="B384" s="30">
        <v>38484.0</v>
      </c>
      <c r="C384" s="29" t="s">
        <v>3849</v>
      </c>
      <c r="D384" s="31" t="s">
        <v>3850</v>
      </c>
      <c r="E384" s="29" t="s">
        <v>99</v>
      </c>
      <c r="F384" s="29" t="s">
        <v>82</v>
      </c>
      <c r="G384" s="32" t="str">
        <f>HYPERLINK("https://api.typeform.com/responses/files/cdb0e3bced5d16ce309e1eb376a13ffc5ad6e980d4e77805bdf095417adf0711/DangThiThuyVi_Resume.pdf")</f>
        <v>https://api.typeform.com/responses/files/cdb0e3bced5d16ce309e1eb376a13ffc5ad6e980d4e77805bdf095417adf0711/DangThiThuyVi_Resume.pdf</v>
      </c>
      <c r="H384" s="29" t="s">
        <v>3851</v>
      </c>
      <c r="I384" s="29" t="s">
        <v>3852</v>
      </c>
      <c r="J384" s="29" t="s">
        <v>715</v>
      </c>
      <c r="L384" s="29" t="s">
        <v>219</v>
      </c>
      <c r="M384" s="29" t="s">
        <v>308</v>
      </c>
      <c r="N384" s="33">
        <v>46539.0</v>
      </c>
      <c r="O384" s="29" t="s">
        <v>3853</v>
      </c>
      <c r="P384" s="32" t="str">
        <f>HYPERLINK("https://api.typeform.com/responses/files/2d94e16ebd3551aff7c49b2995ec81e1536b60c0fff63f1139d1d8955db8a73b/DangThiThuyVi_Resume.pdf")</f>
        <v>https://api.typeform.com/responses/files/2d94e16ebd3551aff7c49b2995ec81e1536b60c0fff63f1139d1d8955db8a73b/DangThiThuyVi_Resume.pdf</v>
      </c>
      <c r="Q384" s="29" t="b">
        <v>1</v>
      </c>
      <c r="R384" s="29" t="s">
        <v>3854</v>
      </c>
      <c r="S384" s="29" t="s">
        <v>3855</v>
      </c>
      <c r="T384" s="29" t="s">
        <v>72</v>
      </c>
      <c r="U384" s="29" t="s">
        <v>72</v>
      </c>
      <c r="V384" s="29" t="s">
        <v>2389</v>
      </c>
      <c r="X384" s="29" t="s">
        <v>3856</v>
      </c>
      <c r="Y384" s="34">
        <v>46141.30894675926</v>
      </c>
      <c r="Z384" s="29" t="s">
        <v>3857</v>
      </c>
      <c r="AA384" s="6">
        <v>2.0</v>
      </c>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row>
    <row r="385" ht="22.5" hidden="1" customHeight="1">
      <c r="A385" s="29" t="s">
        <v>3858</v>
      </c>
      <c r="B385" s="30">
        <v>38019.0</v>
      </c>
      <c r="C385" s="29" t="s">
        <v>3859</v>
      </c>
      <c r="D385" s="31" t="s">
        <v>3860</v>
      </c>
      <c r="E385" s="29" t="s">
        <v>62</v>
      </c>
      <c r="F385" s="29" t="s">
        <v>127</v>
      </c>
      <c r="G385" s="32" t="str">
        <f>HYPERLINK("https://api.typeform.com/responses/files/9a3d87d8710b7d68286ffc5f4902e4305588fc40b43731d0bd40de18b23dd130/Vu_Bich_Vi___CV.pdf")</f>
        <v>https://api.typeform.com/responses/files/9a3d87d8710b7d68286ffc5f4902e4305588fc40b43731d0bd40de18b23dd130/Vu_Bich_Vi___CV.pdf</v>
      </c>
      <c r="H385" s="29" t="s">
        <v>3861</v>
      </c>
      <c r="I385" s="29" t="s">
        <v>3862</v>
      </c>
      <c r="J385" s="29" t="s">
        <v>277</v>
      </c>
      <c r="L385" s="29" t="s">
        <v>67</v>
      </c>
      <c r="M385" s="29" t="s">
        <v>3863</v>
      </c>
      <c r="N385" s="33">
        <v>46387.0</v>
      </c>
      <c r="O385" s="31" t="s">
        <v>159</v>
      </c>
      <c r="P385" s="32" t="str">
        <f>HYPERLINK("https://api.typeform.com/responses/files/cf219a7dad9e144cd43ef8d910ba56f9e6b66d3fce5d3533e1007f756e668af4/Vu_Bich_Vi___CV.pdf")</f>
        <v>https://api.typeform.com/responses/files/cf219a7dad9e144cd43ef8d910ba56f9e6b66d3fce5d3533e1007f756e668af4/Vu_Bich_Vi___CV.pdf</v>
      </c>
      <c r="Q385" s="29" t="b">
        <v>0</v>
      </c>
      <c r="R385" s="29" t="s">
        <v>3864</v>
      </c>
      <c r="S385" s="29" t="s">
        <v>3865</v>
      </c>
      <c r="T385" s="29" t="s">
        <v>72</v>
      </c>
      <c r="U385" s="29" t="s">
        <v>72</v>
      </c>
      <c r="V385" s="29" t="s">
        <v>224</v>
      </c>
      <c r="X385" s="29" t="s">
        <v>3866</v>
      </c>
      <c r="Y385" s="34">
        <v>46141.36369212963</v>
      </c>
      <c r="Z385" s="29" t="s">
        <v>3867</v>
      </c>
      <c r="AA385" s="6">
        <v>2.0</v>
      </c>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row>
    <row r="386" ht="22.5" hidden="1" customHeight="1">
      <c r="A386" s="29" t="s">
        <v>3858</v>
      </c>
      <c r="B386" s="30">
        <v>38019.0</v>
      </c>
      <c r="C386" s="29" t="s">
        <v>3859</v>
      </c>
      <c r="D386" s="31" t="s">
        <v>3860</v>
      </c>
      <c r="E386" s="29" t="s">
        <v>62</v>
      </c>
      <c r="F386" s="29" t="s">
        <v>127</v>
      </c>
      <c r="G386" s="32" t="str">
        <f>HYPERLINK("https://api.typeform.com/responses/files/710ca171bf1a3e7412a3ea1cb0874bc4ff48828da4c55ebd750b08e1a9e20ecf/Vu_Bich_Vi___CV.pdf")</f>
        <v>https://api.typeform.com/responses/files/710ca171bf1a3e7412a3ea1cb0874bc4ff48828da4c55ebd750b08e1a9e20ecf/Vu_Bich_Vi___CV.pdf</v>
      </c>
      <c r="H386" s="29" t="s">
        <v>3868</v>
      </c>
      <c r="I386" s="29" t="s">
        <v>3869</v>
      </c>
      <c r="J386" s="29" t="s">
        <v>277</v>
      </c>
      <c r="L386" s="29" t="s">
        <v>67</v>
      </c>
      <c r="M386" s="29" t="s">
        <v>3863</v>
      </c>
      <c r="N386" s="33">
        <v>46387.0</v>
      </c>
      <c r="O386" s="31" t="s">
        <v>159</v>
      </c>
      <c r="P386" s="32" t="str">
        <f>HYPERLINK("https://api.typeform.com/responses/files/1ed1016c2ceef7755cd1cd1a96f90677ad608497fc33751520d945074a4706e3/Vu_Bich_Vi___CV.pdf")</f>
        <v>https://api.typeform.com/responses/files/1ed1016c2ceef7755cd1cd1a96f90677ad608497fc33751520d945074a4706e3/Vu_Bich_Vi___CV.pdf</v>
      </c>
      <c r="Q386" s="29" t="b">
        <v>0</v>
      </c>
      <c r="R386" s="29" t="s">
        <v>3864</v>
      </c>
      <c r="S386" s="29" t="s">
        <v>3865</v>
      </c>
      <c r="T386" s="29" t="s">
        <v>72</v>
      </c>
      <c r="U386" s="29" t="s">
        <v>72</v>
      </c>
      <c r="V386" s="29" t="s">
        <v>224</v>
      </c>
      <c r="X386" s="29" t="s">
        <v>3866</v>
      </c>
      <c r="Y386" s="34">
        <v>46141.366423611114</v>
      </c>
      <c r="Z386" s="29" t="s">
        <v>3870</v>
      </c>
      <c r="AA386" s="6">
        <v>2.0</v>
      </c>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row>
    <row r="387" ht="22.5" hidden="1" customHeight="1">
      <c r="A387" s="29" t="s">
        <v>3871</v>
      </c>
      <c r="B387" s="30">
        <v>38657.0</v>
      </c>
      <c r="C387" s="29" t="s">
        <v>3872</v>
      </c>
      <c r="D387" s="31" t="s">
        <v>3873</v>
      </c>
      <c r="E387" s="29" t="s">
        <v>633</v>
      </c>
      <c r="F387" s="29" t="s">
        <v>633</v>
      </c>
      <c r="G387" s="32" t="str">
        <f>HYPERLINK("https://api.typeform.com/responses/files/195ab61c19a0702579601939a805ec60bde7c44b828dbb8287ea057b1ad03e9a/NGUYEN_VO_VAN_ANH_TA_INTERN.pdf")</f>
        <v>https://api.typeform.com/responses/files/195ab61c19a0702579601939a805ec60bde7c44b828dbb8287ea057b1ad03e9a/NGUYEN_VO_VAN_ANH_TA_INTERN.pdf</v>
      </c>
      <c r="H387" s="29" t="s">
        <v>3874</v>
      </c>
      <c r="I387" s="29" t="s">
        <v>3875</v>
      </c>
      <c r="J387" s="29" t="s">
        <v>715</v>
      </c>
      <c r="L387" s="29" t="s">
        <v>219</v>
      </c>
      <c r="M387" s="29" t="s">
        <v>3876</v>
      </c>
      <c r="N387" s="33">
        <v>46628.0</v>
      </c>
      <c r="O387" s="31" t="s">
        <v>685</v>
      </c>
      <c r="P387" s="32" t="str">
        <f>HYPERLINK("https://api.typeform.com/responses/files/1df14ed49353dbc0eb8900f7ba227103b7ab7bdf2a58d9b7857c7b979b020f77/Phòng_Đào_tạo___Academic_Affairs_Office.pdf")</f>
        <v>https://api.typeform.com/responses/files/1df14ed49353dbc0eb8900f7ba227103b7ab7bdf2a58d9b7857c7b979b020f77/Phòng_Đào_tạo___Academic_Affairs_Office.pdf</v>
      </c>
      <c r="Q387" s="29" t="b">
        <v>1</v>
      </c>
      <c r="R387" s="29" t="s">
        <v>3877</v>
      </c>
      <c r="S387" s="29" t="s">
        <v>3878</v>
      </c>
      <c r="T387" s="29" t="s">
        <v>72</v>
      </c>
      <c r="U387" s="29" t="s">
        <v>72</v>
      </c>
      <c r="V387" s="29" t="s">
        <v>73</v>
      </c>
      <c r="Y387" s="34">
        <v>46141.37236111111</v>
      </c>
      <c r="Z387" s="29" t="s">
        <v>3879</v>
      </c>
      <c r="AA387" s="6">
        <v>2.0</v>
      </c>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row>
    <row r="388" ht="22.5" hidden="1" customHeight="1">
      <c r="A388" s="29" t="s">
        <v>3880</v>
      </c>
      <c r="B388" s="30">
        <v>37991.0</v>
      </c>
      <c r="C388" s="29" t="s">
        <v>3881</v>
      </c>
      <c r="D388" s="31" t="s">
        <v>3882</v>
      </c>
      <c r="E388" s="29" t="s">
        <v>127</v>
      </c>
      <c r="F388" s="29" t="s">
        <v>82</v>
      </c>
      <c r="G388" s="32" t="str">
        <f>HYPERLINK("https://api.typeform.com/responses/files/952bb526c9fb69bf815d43b27d3bbb058fc6cf61615c3449b04d943caf0c5a25/CV_GameQAIntern_LeTruongThienBao.pdf")</f>
        <v>https://api.typeform.com/responses/files/952bb526c9fb69bf815d43b27d3bbb058fc6cf61615c3449b04d943caf0c5a25/CV_GameQAIntern_LeTruongThienBao.pdf</v>
      </c>
      <c r="H388" s="29" t="s">
        <v>3883</v>
      </c>
      <c r="I388" s="29" t="s">
        <v>3884</v>
      </c>
      <c r="J388" s="29" t="s">
        <v>65</v>
      </c>
      <c r="K388" s="29" t="s">
        <v>3885</v>
      </c>
      <c r="L388" s="29" t="s">
        <v>67</v>
      </c>
      <c r="M388" s="29" t="s">
        <v>446</v>
      </c>
      <c r="N388" s="33">
        <v>46260.0</v>
      </c>
      <c r="O388" s="31" t="s">
        <v>105</v>
      </c>
      <c r="P388" s="32" t="str">
        <f>HYPERLINK("https://api.typeform.com/responses/files/9f309a4987210c0eab47c981ec6f1c12fb91474f317c6b3a1b90d26ae4c3b1a0/Transcript___Game_QA_Intern___Lê_Trương_Thiên_Bảo.png")</f>
        <v>https://api.typeform.com/responses/files/9f309a4987210c0eab47c981ec6f1c12fb91474f317c6b3a1b90d26ae4c3b1a0/Transcript___Game_QA_Intern___Lê_Trương_Thiên_Bảo.png</v>
      </c>
      <c r="Q388" s="29" t="b">
        <v>1</v>
      </c>
      <c r="R388" s="29" t="s">
        <v>3886</v>
      </c>
      <c r="S388" s="29" t="s">
        <v>3887</v>
      </c>
      <c r="T388" s="29" t="s">
        <v>72</v>
      </c>
      <c r="U388" s="29" t="s">
        <v>72</v>
      </c>
      <c r="V388" s="29" t="s">
        <v>90</v>
      </c>
      <c r="X388" s="29" t="s">
        <v>3888</v>
      </c>
      <c r="Y388" s="34">
        <v>46141.39895833333</v>
      </c>
      <c r="Z388" s="29" t="s">
        <v>3889</v>
      </c>
      <c r="AA388" s="6">
        <v>2.0</v>
      </c>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row>
    <row r="389" ht="22.5" hidden="1" customHeight="1">
      <c r="A389" s="29" t="s">
        <v>3890</v>
      </c>
      <c r="B389" s="30">
        <v>38267.0</v>
      </c>
      <c r="C389" s="29" t="s">
        <v>3891</v>
      </c>
      <c r="D389" s="31" t="s">
        <v>3892</v>
      </c>
      <c r="E389" s="29" t="s">
        <v>127</v>
      </c>
      <c r="G389" s="32" t="str">
        <f>HYPERLINK("https://api.typeform.com/responses/files/5ad89e456a97fca45b6a112ec00abd5b9867183ed80e0f48c2a68228f9436680/CV___Game_Quality_Assurance_Intern___Vũ_Kim_Khanh.pdf")</f>
        <v>https://api.typeform.com/responses/files/5ad89e456a97fca45b6a112ec00abd5b9867183ed80e0f48c2a68228f9436680/CV___Game_Quality_Assurance_Intern___Vũ_Kim_Khanh.pdf</v>
      </c>
      <c r="H389" s="29" t="s">
        <v>3893</v>
      </c>
      <c r="I389" s="29" t="s">
        <v>3894</v>
      </c>
      <c r="J389" s="29" t="s">
        <v>2293</v>
      </c>
      <c r="L389" s="29" t="s">
        <v>103</v>
      </c>
      <c r="M389" s="29" t="s">
        <v>3895</v>
      </c>
      <c r="N389" s="33">
        <v>46134.0</v>
      </c>
      <c r="O389" s="31" t="s">
        <v>1513</v>
      </c>
      <c r="P389" s="32" t="str">
        <f>HYPERLINK("https://api.typeform.com/responses/files/c4c85713658901ce41343d1d67f99683fbc2bd5b38c9d732e0be9fe3a99282aa/Transcript___Game_Quality_Assurance_Intern___Vũ_Kim_Khanh.pdf")</f>
        <v>https://api.typeform.com/responses/files/c4c85713658901ce41343d1d67f99683fbc2bd5b38c9d732e0be9fe3a99282aa/Transcript___Game_Quality_Assurance_Intern___Vũ_Kim_Khanh.pdf</v>
      </c>
      <c r="Q389" s="29" t="b">
        <v>1</v>
      </c>
      <c r="R389" s="29" t="s">
        <v>3896</v>
      </c>
      <c r="S389" s="29" t="s">
        <v>3897</v>
      </c>
      <c r="T389" s="29" t="s">
        <v>72</v>
      </c>
      <c r="U389" s="29" t="s">
        <v>72</v>
      </c>
      <c r="V389" s="29" t="s">
        <v>90</v>
      </c>
      <c r="X389" s="29" t="s">
        <v>3898</v>
      </c>
      <c r="Y389" s="34">
        <v>46141.42034722222</v>
      </c>
      <c r="Z389" s="29" t="s">
        <v>3899</v>
      </c>
      <c r="AA389" s="6">
        <v>2.0</v>
      </c>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row>
    <row r="390" ht="22.5" hidden="1" customHeight="1">
      <c r="A390" s="29" t="s">
        <v>3900</v>
      </c>
      <c r="B390" s="30">
        <v>38600.0</v>
      </c>
      <c r="C390" s="29" t="s">
        <v>3901</v>
      </c>
      <c r="D390" s="31" t="s">
        <v>3902</v>
      </c>
      <c r="E390" s="29" t="s">
        <v>633</v>
      </c>
      <c r="F390" s="29" t="s">
        <v>774</v>
      </c>
      <c r="G390" s="32" t="str">
        <f>HYPERLINK("https://api.typeform.com/responses/files/4a044940dba2e2c2c586612ee189ba486babdf63a6c3862949cd258847eac32e/CV___Human_Resources_Intern___Trần_Hữu_Kim_Quý.pdf")</f>
        <v>https://api.typeform.com/responses/files/4a044940dba2e2c2c586612ee189ba486babdf63a6c3862949cd258847eac32e/CV___Human_Resources_Intern___Trần_Hữu_Kim_Quý.pdf</v>
      </c>
      <c r="H390" s="29" t="s">
        <v>3903</v>
      </c>
      <c r="I390" s="29" t="s">
        <v>3904</v>
      </c>
      <c r="J390" s="29" t="s">
        <v>842</v>
      </c>
      <c r="L390" s="29" t="s">
        <v>219</v>
      </c>
      <c r="M390" s="29" t="s">
        <v>1348</v>
      </c>
      <c r="N390" s="33">
        <v>46447.0</v>
      </c>
      <c r="O390" s="31" t="s">
        <v>1173</v>
      </c>
      <c r="P390" s="32" t="str">
        <f>HYPERLINK("https://api.typeform.com/responses/files/f9882e203f3438c22e681e3a0308e1451829ba3e3ef2331273603f7c9d00e476/Transcript___Game_User_Acquisition_Intern___Trần_Hữu_Kim_Quý.pdf")</f>
        <v>https://api.typeform.com/responses/files/f9882e203f3438c22e681e3a0308e1451829ba3e3ef2331273603f7c9d00e476/Transcript___Game_User_Acquisition_Intern___Trần_Hữu_Kim_Quý.pdf</v>
      </c>
      <c r="Q390" s="29" t="b">
        <v>1</v>
      </c>
      <c r="R390" s="29" t="s">
        <v>3905</v>
      </c>
      <c r="S390" s="29" t="s">
        <v>3906</v>
      </c>
      <c r="T390" s="29" t="s">
        <v>72</v>
      </c>
      <c r="U390" s="29" t="s">
        <v>72</v>
      </c>
      <c r="V390" s="29" t="s">
        <v>73</v>
      </c>
      <c r="X390" s="29" t="s">
        <v>3907</v>
      </c>
      <c r="Y390" s="34">
        <v>46141.42084490741</v>
      </c>
      <c r="Z390" s="29" t="s">
        <v>3908</v>
      </c>
      <c r="AA390" s="6">
        <v>2.0</v>
      </c>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row>
    <row r="391" ht="22.5" hidden="1" customHeight="1">
      <c r="A391" s="29" t="s">
        <v>3909</v>
      </c>
      <c r="B391" s="30">
        <v>37817.0</v>
      </c>
      <c r="C391" s="29" t="s">
        <v>3910</v>
      </c>
      <c r="D391" s="31" t="s">
        <v>3911</v>
      </c>
      <c r="E391" s="29" t="s">
        <v>774</v>
      </c>
      <c r="F391" s="29" t="s">
        <v>633</v>
      </c>
      <c r="G391" s="32" t="str">
        <f>HYPERLINK("https://api.typeform.com/responses/files/5d7cf0c7da55b1887444fa5f7c21aef16c129678f760ccff20ba97ad148ccd55/CV___Game_User_Acquisition_Intern___Hoàng_Nguyên_Hương.pdf")</f>
        <v>https://api.typeform.com/responses/files/5d7cf0c7da55b1887444fa5f7c21aef16c129678f760ccff20ba97ad148ccd55/CV___Game_User_Acquisition_Intern___Hoàng_Nguyên_Hương.pdf</v>
      </c>
      <c r="H391" s="29" t="s">
        <v>3912</v>
      </c>
      <c r="I391" s="29" t="s">
        <v>3913</v>
      </c>
      <c r="J391" s="29" t="s">
        <v>338</v>
      </c>
      <c r="L391" s="29" t="s">
        <v>103</v>
      </c>
      <c r="M391" s="29" t="s">
        <v>3914</v>
      </c>
      <c r="N391" s="33">
        <v>45885.0</v>
      </c>
      <c r="O391" s="31" t="s">
        <v>920</v>
      </c>
      <c r="P391" s="32" t="str">
        <f>HYPERLINK("https://api.typeform.com/responses/files/e158bc377d387467af20989fe7376bc15f09727e333d4b2fbca15c63d3cd7994/Transcript___Game_User_Acquisition_Intern___Hoàng_Nguyên_Hương.pdf")</f>
        <v>https://api.typeform.com/responses/files/e158bc377d387467af20989fe7376bc15f09727e333d4b2fbca15c63d3cd7994/Transcript___Game_User_Acquisition_Intern___Hoàng_Nguyên_Hương.pdf</v>
      </c>
      <c r="Q391" s="29" t="b">
        <v>0</v>
      </c>
      <c r="R391" s="29" t="s">
        <v>3915</v>
      </c>
      <c r="S391" s="29" t="s">
        <v>3916</v>
      </c>
      <c r="T391" s="29" t="s">
        <v>72</v>
      </c>
      <c r="U391" s="29" t="s">
        <v>72</v>
      </c>
      <c r="V391" s="29" t="s">
        <v>73</v>
      </c>
      <c r="X391" s="29" t="s">
        <v>3917</v>
      </c>
      <c r="Y391" s="34">
        <v>46141.4315625</v>
      </c>
      <c r="Z391" s="29" t="s">
        <v>3918</v>
      </c>
      <c r="AA391" s="6">
        <v>2.0</v>
      </c>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row>
    <row r="392" ht="22.5" hidden="1" customHeight="1">
      <c r="A392" s="29" t="s">
        <v>3919</v>
      </c>
      <c r="B392" s="30">
        <v>37801.0</v>
      </c>
      <c r="C392" s="29" t="s">
        <v>3920</v>
      </c>
      <c r="D392" s="31" t="s">
        <v>3921</v>
      </c>
      <c r="E392" s="29" t="s">
        <v>62</v>
      </c>
      <c r="F392" s="29" t="s">
        <v>62</v>
      </c>
      <c r="G392" s="32" t="str">
        <f>HYPERLINK("https://api.typeform.com/responses/files/2393332c90925568a8fcd106144d3847442b182e9d912b46525fb045ec343e8b/CV___AI_Engineering_Intern___Nguyễn_Văn_Trí.pdf")</f>
        <v>https://api.typeform.com/responses/files/2393332c90925568a8fcd106144d3847442b182e9d912b46525fb045ec343e8b/CV___AI_Engineering_Intern___Nguyễn_Văn_Trí.pdf</v>
      </c>
      <c r="H392" s="29" t="s">
        <v>3922</v>
      </c>
      <c r="I392" s="29" t="s">
        <v>3923</v>
      </c>
      <c r="J392" s="29" t="s">
        <v>326</v>
      </c>
      <c r="L392" s="29" t="s">
        <v>103</v>
      </c>
      <c r="M392" s="29" t="s">
        <v>412</v>
      </c>
      <c r="N392" s="33">
        <v>46202.0</v>
      </c>
      <c r="O392" s="31" t="s">
        <v>2503</v>
      </c>
      <c r="P392" s="32" t="str">
        <f>HYPERLINK("https://api.typeform.com/responses/files/b11b18c345840677e79ac926e2a55d8d64aa18aff3ad7c6127858f7f673507bb/Transcript___AI_Engineering_Intern___Nguyễn_Văn_Trí.pdf")</f>
        <v>https://api.typeform.com/responses/files/b11b18c345840677e79ac926e2a55d8d64aa18aff3ad7c6127858f7f673507bb/Transcript___AI_Engineering_Intern___Nguyễn_Văn_Trí.pdf</v>
      </c>
      <c r="Q392" s="29" t="b">
        <v>1</v>
      </c>
      <c r="R392" s="29" t="s">
        <v>3924</v>
      </c>
      <c r="S392" s="29" t="s">
        <v>3925</v>
      </c>
      <c r="T392" s="29" t="s">
        <v>72</v>
      </c>
      <c r="U392" s="29" t="s">
        <v>72</v>
      </c>
      <c r="V392" s="29" t="s">
        <v>90</v>
      </c>
      <c r="Y392" s="34">
        <v>46141.44351851852</v>
      </c>
      <c r="Z392" s="29" t="s">
        <v>3926</v>
      </c>
      <c r="AA392" s="6">
        <v>2.0</v>
      </c>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row>
    <row r="393" ht="22.5" hidden="1" customHeight="1">
      <c r="A393" s="29" t="s">
        <v>3927</v>
      </c>
      <c r="B393" s="30">
        <v>38224.0</v>
      </c>
      <c r="C393" s="29" t="s">
        <v>3928</v>
      </c>
      <c r="D393" s="31" t="s">
        <v>3929</v>
      </c>
      <c r="E393" s="29" t="s">
        <v>62</v>
      </c>
      <c r="F393" s="29" t="s">
        <v>62</v>
      </c>
      <c r="G393" s="32" t="str">
        <f>HYPERLINK("https://api.typeform.com/responses/files/d1ccf45628677460a5f783f88d92993108cabd7fccaccbd2960035bfed607c76/CV___AI_Engineering_Intern___Nguyễn_Văn_Đăng.pdf")</f>
        <v>https://api.typeform.com/responses/files/d1ccf45628677460a5f783f88d92993108cabd7fccaccbd2960035bfed607c76/CV___AI_Engineering_Intern___Nguyễn_Văn_Đăng.pdf</v>
      </c>
      <c r="H393" s="29" t="s">
        <v>3930</v>
      </c>
      <c r="I393" s="29" t="s">
        <v>3931</v>
      </c>
      <c r="J393" s="29" t="s">
        <v>372</v>
      </c>
      <c r="L393" s="29" t="s">
        <v>67</v>
      </c>
      <c r="M393" s="29" t="s">
        <v>3932</v>
      </c>
      <c r="N393" s="33">
        <v>46287.0</v>
      </c>
      <c r="O393" s="31" t="s">
        <v>2052</v>
      </c>
      <c r="P393" s="32" t="str">
        <f>HYPERLINK("https://api.typeform.com/responses/files/a78e3d80353eef1c65e6aa8ea5b6c324a13886a1c11ab97e9f817901b02c7d91/Transcript___AI_Engineering_Intern___Nguyễn_Văn_Đăng.pdf")</f>
        <v>https://api.typeform.com/responses/files/a78e3d80353eef1c65e6aa8ea5b6c324a13886a1c11ab97e9f817901b02c7d91/Transcript___AI_Engineering_Intern___Nguyễn_Văn_Đăng.pdf</v>
      </c>
      <c r="Q393" s="29" t="b">
        <v>1</v>
      </c>
      <c r="R393" s="29" t="s">
        <v>3933</v>
      </c>
      <c r="S393" s="29" t="s">
        <v>3934</v>
      </c>
      <c r="T393" s="29" t="s">
        <v>72</v>
      </c>
      <c r="U393" s="29" t="s">
        <v>72</v>
      </c>
      <c r="V393" s="29" t="s">
        <v>236</v>
      </c>
      <c r="X393" s="29" t="s">
        <v>3935</v>
      </c>
      <c r="Y393" s="34">
        <v>46141.46015046296</v>
      </c>
      <c r="Z393" s="29" t="s">
        <v>3936</v>
      </c>
      <c r="AA393" s="6">
        <v>2.0</v>
      </c>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row>
    <row r="394" ht="22.5" hidden="1" customHeight="1">
      <c r="A394" s="29" t="s">
        <v>3937</v>
      </c>
      <c r="B394" s="30">
        <v>38392.0</v>
      </c>
      <c r="C394" s="29" t="s">
        <v>3938</v>
      </c>
      <c r="D394" s="31" t="s">
        <v>3939</v>
      </c>
      <c r="E394" s="29" t="s">
        <v>774</v>
      </c>
      <c r="F394" s="29" t="s">
        <v>82</v>
      </c>
      <c r="G394" s="32" t="str">
        <f>HYPERLINK("https://api.typeform.com/responses/files/05718efe011914dba3d14fdf00f7b3091b06ce6a1763bc3a0804b967d4fdb5a5/CV_Game_User_Acquisition_Intern_Trần_Thị_Cát_Tường.pdf")</f>
        <v>https://api.typeform.com/responses/files/05718efe011914dba3d14fdf00f7b3091b06ce6a1763bc3a0804b967d4fdb5a5/CV_Game_User_Acquisition_Intern_Trần_Thị_Cát_Tường.pdf</v>
      </c>
      <c r="H394" s="29" t="s">
        <v>3940</v>
      </c>
      <c r="I394" s="29" t="s">
        <v>3941</v>
      </c>
      <c r="J394" s="29" t="s">
        <v>842</v>
      </c>
      <c r="L394" s="29" t="s">
        <v>219</v>
      </c>
      <c r="M394" s="29" t="s">
        <v>1496</v>
      </c>
      <c r="N394" s="33">
        <v>46577.0</v>
      </c>
      <c r="O394" s="31" t="s">
        <v>118</v>
      </c>
      <c r="P394" s="32" t="str">
        <f>HYPERLINK("https://api.typeform.com/responses/files/a8d74b18ec2e1c2ac595117e670a6133a8a42fec986ef8a11de51bcad1ccde63/Transcript___Game_User_Acquisition_Intern___Trần_Thị_Cát_Tường.pdf")</f>
        <v>https://api.typeform.com/responses/files/a8d74b18ec2e1c2ac595117e670a6133a8a42fec986ef8a11de51bcad1ccde63/Transcript___Game_User_Acquisition_Intern___Trần_Thị_Cát_Tường.pdf</v>
      </c>
      <c r="Q394" s="29" t="b">
        <v>0</v>
      </c>
      <c r="R394" s="29" t="s">
        <v>3942</v>
      </c>
      <c r="S394" s="29" t="s">
        <v>3943</v>
      </c>
      <c r="T394" s="29" t="s">
        <v>72</v>
      </c>
      <c r="U394" s="29" t="s">
        <v>72</v>
      </c>
      <c r="V394" s="29" t="s">
        <v>73</v>
      </c>
      <c r="X394" s="29" t="s">
        <v>3944</v>
      </c>
      <c r="Y394" s="34">
        <v>46141.46324074074</v>
      </c>
      <c r="Z394" s="29" t="s">
        <v>3945</v>
      </c>
      <c r="AA394" s="6">
        <v>2.0</v>
      </c>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row>
    <row r="395" ht="22.5" hidden="1" customHeight="1">
      <c r="A395" s="29" t="s">
        <v>3946</v>
      </c>
      <c r="B395" s="30">
        <v>36302.0</v>
      </c>
      <c r="C395" s="29" t="s">
        <v>3947</v>
      </c>
      <c r="D395" s="31" t="s">
        <v>3948</v>
      </c>
      <c r="E395" s="29" t="s">
        <v>99</v>
      </c>
      <c r="G395" s="32" t="str">
        <f>HYPERLINK("https://api.typeform.com/responses/files/8b5d02d7195d649423d78b1474888ac024d9855d05686b457f8f594c1c302eb4/CV___Game_Design_Intern___Nguyen_Tieu_Anh.pdf")</f>
        <v>https://api.typeform.com/responses/files/8b5d02d7195d649423d78b1474888ac024d9855d05686b457f8f594c1c302eb4/CV___Game_Design_Intern___Nguyen_Tieu_Anh.pdf</v>
      </c>
      <c r="H395" s="29" t="s">
        <v>3949</v>
      </c>
      <c r="I395" s="29" t="s">
        <v>3950</v>
      </c>
      <c r="J395" s="29" t="s">
        <v>715</v>
      </c>
      <c r="L395" s="29" t="s">
        <v>67</v>
      </c>
      <c r="M395" s="29" t="s">
        <v>399</v>
      </c>
      <c r="N395" s="33">
        <v>46348.0</v>
      </c>
      <c r="O395" s="31" t="s">
        <v>3951</v>
      </c>
      <c r="P395" s="32" t="str">
        <f>HYPERLINK("https://api.typeform.com/responses/files/af5a19272fc50f4b46c9bb57385d50cefcc8de943569bfff11cecd5a1670c2ba/Transcript___Game_Design_Intern___Nguyen_Tieu_Anh.pdf")</f>
        <v>https://api.typeform.com/responses/files/af5a19272fc50f4b46c9bb57385d50cefcc8de943569bfff11cecd5a1670c2ba/Transcript___Game_Design_Intern___Nguyen_Tieu_Anh.pdf</v>
      </c>
      <c r="Q395" s="29" t="b">
        <v>0</v>
      </c>
      <c r="R395" s="29" t="s">
        <v>300</v>
      </c>
      <c r="S395" s="29" t="s">
        <v>3952</v>
      </c>
      <c r="T395" s="29" t="s">
        <v>72</v>
      </c>
      <c r="U395" s="29" t="s">
        <v>72</v>
      </c>
      <c r="V395" s="29" t="s">
        <v>90</v>
      </c>
      <c r="Y395" s="34">
        <v>46141.494780092595</v>
      </c>
      <c r="Z395" s="29" t="s">
        <v>3953</v>
      </c>
      <c r="AA395" s="6">
        <v>2.0</v>
      </c>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row>
    <row r="396" ht="22.5" hidden="1" customHeight="1">
      <c r="A396" s="29" t="s">
        <v>3954</v>
      </c>
      <c r="B396" s="30">
        <v>38530.0</v>
      </c>
      <c r="C396" s="29" t="s">
        <v>3955</v>
      </c>
      <c r="D396" s="31" t="s">
        <v>3956</v>
      </c>
      <c r="E396" s="29" t="s">
        <v>62</v>
      </c>
      <c r="F396" s="29" t="s">
        <v>62</v>
      </c>
      <c r="G396" s="32" t="str">
        <f>HYPERLINK("https://api.typeform.com/responses/files/d817dd14c9201142cf9bd328a3e0f1b7ef9ffc9f4ebb9e0adac406a9b4135390/CV___AI_Engineering_Intern___Phạm_Hồng_Nhân.pdf")</f>
        <v>https://api.typeform.com/responses/files/d817dd14c9201142cf9bd328a3e0f1b7ef9ffc9f4ebb9e0adac406a9b4135390/CV___AI_Engineering_Intern___Phạm_Hồng_Nhân.pdf</v>
      </c>
      <c r="H396" s="29" t="s">
        <v>3957</v>
      </c>
      <c r="I396" s="29" t="s">
        <v>3958</v>
      </c>
      <c r="J396" s="29" t="s">
        <v>715</v>
      </c>
      <c r="L396" s="29" t="s">
        <v>219</v>
      </c>
      <c r="M396" s="29" t="s">
        <v>930</v>
      </c>
      <c r="N396" s="33">
        <v>46680.0</v>
      </c>
      <c r="O396" s="31" t="s">
        <v>3959</v>
      </c>
      <c r="P396" s="32" t="str">
        <f>HYPERLINK("https://api.typeform.com/responses/files/ee860ca48d9683da61b7aa8fbf68cbac7ae049de7ec2906f07c6ef1229259f0c/Transcript___AI_Engineering_Intern___Phạm_Hồng_Nhân.pdf")</f>
        <v>https://api.typeform.com/responses/files/ee860ca48d9683da61b7aa8fbf68cbac7ae049de7ec2906f07c6ef1229259f0c/Transcript___AI_Engineering_Intern___Phạm_Hồng_Nhân.pdf</v>
      </c>
      <c r="Q396" s="29" t="b">
        <v>0</v>
      </c>
      <c r="R396" s="29" t="s">
        <v>3960</v>
      </c>
      <c r="S396" s="29" t="s">
        <v>3961</v>
      </c>
      <c r="T396" s="29" t="s">
        <v>72</v>
      </c>
      <c r="U396" s="29" t="s">
        <v>72</v>
      </c>
      <c r="V396" s="29" t="s">
        <v>3962</v>
      </c>
      <c r="Y396" s="34">
        <v>46141.5434375</v>
      </c>
      <c r="Z396" s="29" t="s">
        <v>3963</v>
      </c>
      <c r="AA396" s="6">
        <v>2.0</v>
      </c>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row>
    <row r="397" ht="22.5" hidden="1" customHeight="1">
      <c r="A397" s="29" t="s">
        <v>3964</v>
      </c>
      <c r="B397" s="30">
        <v>38000.0</v>
      </c>
      <c r="C397" s="29" t="s">
        <v>3965</v>
      </c>
      <c r="D397" s="31" t="s">
        <v>3966</v>
      </c>
      <c r="E397" s="29" t="s">
        <v>61</v>
      </c>
      <c r="F397" s="29" t="s">
        <v>99</v>
      </c>
      <c r="G397" s="32" t="str">
        <f>HYPERLINK("https://api.typeform.com/responses/files/48312917141e7603bbafee7596e52af88a59ab17e4a9c68e294db3b593239b83/CV___Unity_Development_Intern___Trương_Dương_Thùy_Trang.pdf")</f>
        <v>https://api.typeform.com/responses/files/48312917141e7603bbafee7596e52af88a59ab17e4a9c68e294db3b593239b83/CV___Unity_Development_Intern___Trương_Dương_Thùy_Trang.pdf</v>
      </c>
      <c r="H397" s="29" t="s">
        <v>3967</v>
      </c>
      <c r="I397" s="29" t="s">
        <v>3968</v>
      </c>
      <c r="J397" s="29" t="s">
        <v>1610</v>
      </c>
      <c r="L397" s="29" t="s">
        <v>67</v>
      </c>
      <c r="M397" s="29" t="s">
        <v>132</v>
      </c>
      <c r="N397" s="33">
        <v>46315.0</v>
      </c>
      <c r="O397" s="31" t="s">
        <v>3969</v>
      </c>
      <c r="P397" s="32" t="str">
        <f>HYPERLINK("https://api.typeform.com/responses/files/a12bdb58a2b75a0f66103d2bcfb43248be6b88f340d5d5d1fafa0b01a260ad5c/Transcript___Unity_Development_Intern___Trương_Dương_Thùy_Trang.pdf")</f>
        <v>https://api.typeform.com/responses/files/a12bdb58a2b75a0f66103d2bcfb43248be6b88f340d5d5d1fafa0b01a260ad5c/Transcript___Unity_Development_Intern___Trương_Dương_Thùy_Trang.pdf</v>
      </c>
      <c r="Q397" s="29" t="b">
        <v>0</v>
      </c>
      <c r="R397" s="29" t="s">
        <v>1437</v>
      </c>
      <c r="S397" s="29" t="s">
        <v>3970</v>
      </c>
      <c r="T397" s="29" t="s">
        <v>72</v>
      </c>
      <c r="U397" s="29" t="s">
        <v>72</v>
      </c>
      <c r="V397" s="29" t="s">
        <v>73</v>
      </c>
      <c r="X397" s="29" t="s">
        <v>3971</v>
      </c>
      <c r="Y397" s="34">
        <v>46141.57776620371</v>
      </c>
      <c r="Z397" s="29" t="s">
        <v>3972</v>
      </c>
      <c r="AA397" s="6">
        <v>2.0</v>
      </c>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row>
    <row r="398" ht="22.5" hidden="1" customHeight="1">
      <c r="A398" s="29" t="s">
        <v>3973</v>
      </c>
      <c r="B398" s="30">
        <v>38037.0</v>
      </c>
      <c r="C398" s="29" t="s">
        <v>3974</v>
      </c>
      <c r="D398" s="31" t="s">
        <v>3975</v>
      </c>
      <c r="E398" s="29" t="s">
        <v>774</v>
      </c>
      <c r="F398" s="29" t="s">
        <v>774</v>
      </c>
      <c r="G398" s="32" t="str">
        <f>HYPERLINK("https://api.typeform.com/responses/files/933b8e11c99182ee9e40889eab50ec326b7ec2f84652d685a5879bb9f486c23a/CV_USER_ACQUISITION_INTERN_Trần_Duy_Phát.pdf")</f>
        <v>https://api.typeform.com/responses/files/933b8e11c99182ee9e40889eab50ec326b7ec2f84652d685a5879bb9f486c23a/CV_USER_ACQUISITION_INTERN_Trần_Duy_Phát.pdf</v>
      </c>
      <c r="H398" s="29" t="s">
        <v>3976</v>
      </c>
      <c r="I398" s="29" t="s">
        <v>3977</v>
      </c>
      <c r="J398" s="29" t="s">
        <v>338</v>
      </c>
      <c r="L398" s="29" t="s">
        <v>67</v>
      </c>
      <c r="M398" s="29" t="s">
        <v>1090</v>
      </c>
      <c r="N398" s="33">
        <v>46235.0</v>
      </c>
      <c r="O398" s="31" t="s">
        <v>2583</v>
      </c>
      <c r="P398" s="32" t="str">
        <f>HYPERLINK("https://api.typeform.com/responses/files/14b50256ddfe71d5f90255a6b45fbba5cdb00574c67b830edb3544456635b556/Transcript_USER_ACQUISITION_INTERN__Trần_Duy_Phát.pdf")</f>
        <v>https://api.typeform.com/responses/files/14b50256ddfe71d5f90255a6b45fbba5cdb00574c67b830edb3544456635b556/Transcript_USER_ACQUISITION_INTERN__Trần_Duy_Phát.pdf</v>
      </c>
      <c r="Q398" s="29" t="b">
        <v>1</v>
      </c>
      <c r="R398" s="29" t="s">
        <v>3978</v>
      </c>
      <c r="S398" s="29" t="s">
        <v>3979</v>
      </c>
      <c r="T398" s="29" t="s">
        <v>72</v>
      </c>
      <c r="U398" s="29" t="s">
        <v>72</v>
      </c>
      <c r="V398" s="29" t="s">
        <v>73</v>
      </c>
      <c r="X398" s="29" t="s">
        <v>3980</v>
      </c>
      <c r="Y398" s="34">
        <v>46141.582233796296</v>
      </c>
      <c r="Z398" s="29" t="s">
        <v>3981</v>
      </c>
      <c r="AA398" s="6">
        <v>2.0</v>
      </c>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row>
    <row r="399" ht="22.5" hidden="1" customHeight="1">
      <c r="A399" s="29" t="s">
        <v>3982</v>
      </c>
      <c r="B399" s="30">
        <v>38196.0</v>
      </c>
      <c r="C399" s="29" t="s">
        <v>3983</v>
      </c>
      <c r="D399" s="31" t="s">
        <v>3984</v>
      </c>
      <c r="E399" s="29" t="s">
        <v>774</v>
      </c>
      <c r="F399" s="29" t="s">
        <v>99</v>
      </c>
      <c r="G399" s="32" t="str">
        <f>HYPERLINK("https://api.typeform.com/responses/files/0b74d62dac2b2fe86da4e331e8e750669cf1612d7667a34d391d297d7636deee/CV___Game_User_Acquisition_Intern___Quach_Thao_Vy.pdf")</f>
        <v>https://api.typeform.com/responses/files/0b74d62dac2b2fe86da4e331e8e750669cf1612d7667a34d391d297d7636deee/CV___Game_User_Acquisition_Intern___Quach_Thao_Vy.pdf</v>
      </c>
      <c r="H399" s="29" t="s">
        <v>3985</v>
      </c>
      <c r="I399" s="29" t="s">
        <v>3986</v>
      </c>
      <c r="J399" s="29" t="s">
        <v>1311</v>
      </c>
      <c r="L399" s="29" t="s">
        <v>103</v>
      </c>
      <c r="M399" s="29" t="s">
        <v>3987</v>
      </c>
      <c r="N399" s="33">
        <v>46130.0</v>
      </c>
      <c r="O399" s="31" t="s">
        <v>1013</v>
      </c>
      <c r="P399" s="32" t="str">
        <f>HYPERLINK("https://api.typeform.com/responses/files/482ebc8f91760a08ca38c3924b208c79756a615c2086389ea33277feb32f1f02/Transcript___Game_User_Acquisition_Intern___Quach_Thao_Vy.pdf")</f>
        <v>https://api.typeform.com/responses/files/482ebc8f91760a08ca38c3924b208c79756a615c2086389ea33277feb32f1f02/Transcript___Game_User_Acquisition_Intern___Quach_Thao_Vy.pdf</v>
      </c>
      <c r="Q399" s="29" t="b">
        <v>1</v>
      </c>
      <c r="R399" s="29" t="s">
        <v>3988</v>
      </c>
      <c r="S399" s="29" t="s">
        <v>3989</v>
      </c>
      <c r="T399" s="29" t="s">
        <v>72</v>
      </c>
      <c r="U399" s="29" t="s">
        <v>72</v>
      </c>
      <c r="V399" s="29" t="s">
        <v>90</v>
      </c>
      <c r="X399" s="29" t="s">
        <v>3990</v>
      </c>
      <c r="Y399" s="34">
        <v>46141.583715277775</v>
      </c>
      <c r="Z399" s="29" t="s">
        <v>3991</v>
      </c>
      <c r="AA399" s="6">
        <v>2.0</v>
      </c>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row>
    <row r="400" ht="22.5" hidden="1" customHeight="1">
      <c r="A400" s="29" t="s">
        <v>3992</v>
      </c>
      <c r="B400" s="30">
        <v>37700.0</v>
      </c>
      <c r="C400" s="29" t="s">
        <v>3993</v>
      </c>
      <c r="D400" s="31" t="s">
        <v>3994</v>
      </c>
      <c r="E400" s="29" t="s">
        <v>774</v>
      </c>
      <c r="F400" s="29" t="s">
        <v>82</v>
      </c>
      <c r="G400" s="32" t="str">
        <f>HYPERLINK("https://api.typeform.com/responses/files/2f005f9d1ca2c67575c62ce9abd5bcb63ed64811073f814bd68b95017aa69f6b/CV___Game_User_Acquisition_Marketing_Intern___Nhi_Nguyen.pdf")</f>
        <v>https://api.typeform.com/responses/files/2f005f9d1ca2c67575c62ce9abd5bcb63ed64811073f814bd68b95017aa69f6b/CV___Game_User_Acquisition_Marketing_Intern___Nhi_Nguyen.pdf</v>
      </c>
      <c r="H400" s="29" t="s">
        <v>3995</v>
      </c>
      <c r="I400" s="29" t="s">
        <v>3996</v>
      </c>
      <c r="J400" s="29" t="s">
        <v>65</v>
      </c>
      <c r="K400" s="29" t="s">
        <v>961</v>
      </c>
      <c r="L400" s="29" t="s">
        <v>103</v>
      </c>
      <c r="M400" s="29" t="s">
        <v>1348</v>
      </c>
      <c r="N400" s="33">
        <v>45875.0</v>
      </c>
      <c r="O400" s="31" t="s">
        <v>3997</v>
      </c>
      <c r="P400" s="32" t="str">
        <f>HYPERLINK("https://api.typeform.com/responses/files/cf6d4977e826340fa8e6b04efe7171058268108cfd3a78f3699e76301a47da0f/Transcript___Game_User_Acquisition_Marketing_Intern___Nhi_Nguyen.pdf")</f>
        <v>https://api.typeform.com/responses/files/cf6d4977e826340fa8e6b04efe7171058268108cfd3a78f3699e76301a47da0f/Transcript___Game_User_Acquisition_Marketing_Intern___Nhi_Nguyen.pdf</v>
      </c>
      <c r="Q400" s="29" t="b">
        <v>0</v>
      </c>
      <c r="R400" s="29" t="s">
        <v>3998</v>
      </c>
      <c r="S400" s="29" t="s">
        <v>3999</v>
      </c>
      <c r="T400" s="29" t="s">
        <v>72</v>
      </c>
      <c r="U400" s="29" t="s">
        <v>72</v>
      </c>
      <c r="V400" s="29" t="s">
        <v>90</v>
      </c>
      <c r="Y400" s="34">
        <v>46141.58451388889</v>
      </c>
      <c r="Z400" s="29" t="s">
        <v>4000</v>
      </c>
      <c r="AA400" s="6">
        <v>2.0</v>
      </c>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row>
    <row r="401" ht="22.5" hidden="1" customHeight="1">
      <c r="A401" s="29" t="s">
        <v>4001</v>
      </c>
      <c r="B401" s="30">
        <v>37782.0</v>
      </c>
      <c r="C401" s="29" t="s">
        <v>4002</v>
      </c>
      <c r="D401" s="31" t="s">
        <v>4003</v>
      </c>
      <c r="E401" s="29" t="s">
        <v>61</v>
      </c>
      <c r="F401" s="29" t="s">
        <v>82</v>
      </c>
      <c r="G401" s="32" t="str">
        <f>HYPERLINK("https://api.typeform.com/responses/files/bb8b74df3da19cf761779b466b6339e8fe7f74ee7d23194b8159b6c8e504174e/CV_Ngo_Chi_Cuong_AI.pdf")</f>
        <v>https://api.typeform.com/responses/files/bb8b74df3da19cf761779b466b6339e8fe7f74ee7d23194b8159b6c8e504174e/CV_Ngo_Chi_Cuong_AI.pdf</v>
      </c>
      <c r="H401" s="29" t="s">
        <v>4004</v>
      </c>
      <c r="I401" s="29" t="s">
        <v>4005</v>
      </c>
      <c r="J401" s="29" t="s">
        <v>326</v>
      </c>
      <c r="L401" s="29" t="s">
        <v>103</v>
      </c>
      <c r="M401" s="29" t="s">
        <v>1183</v>
      </c>
      <c r="N401" s="33">
        <v>45961.0</v>
      </c>
      <c r="O401" s="31" t="s">
        <v>171</v>
      </c>
      <c r="P401" s="32" t="str">
        <f>HYPERLINK("https://api.typeform.com/responses/files/6eddd9d205be05ff8fe34087f189066eb4dbf45d106eed2cfc79a85742a031b1/Bảng_Điểm_NgoChiCuong.pdf")</f>
        <v>https://api.typeform.com/responses/files/6eddd9d205be05ff8fe34087f189066eb4dbf45d106eed2cfc79a85742a031b1/Bảng_Điểm_NgoChiCuong.pdf</v>
      </c>
      <c r="Q401" s="29" t="b">
        <v>0</v>
      </c>
      <c r="R401" s="29" t="s">
        <v>4006</v>
      </c>
      <c r="S401" s="29" t="s">
        <v>4007</v>
      </c>
      <c r="T401" s="29" t="s">
        <v>72</v>
      </c>
      <c r="U401" s="29" t="s">
        <v>72</v>
      </c>
      <c r="V401" s="29" t="s">
        <v>90</v>
      </c>
      <c r="X401" s="29" t="s">
        <v>4008</v>
      </c>
      <c r="Y401" s="34">
        <v>46141.593136574076</v>
      </c>
      <c r="Z401" s="29" t="s">
        <v>4009</v>
      </c>
      <c r="AA401" s="6">
        <v>2.0</v>
      </c>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row>
    <row r="402" ht="22.5" hidden="1" customHeight="1">
      <c r="A402" s="29" t="s">
        <v>4010</v>
      </c>
      <c r="B402" s="30">
        <v>38457.0</v>
      </c>
      <c r="C402" s="29" t="s">
        <v>4011</v>
      </c>
      <c r="D402" s="31" t="s">
        <v>4012</v>
      </c>
      <c r="E402" s="29" t="s">
        <v>61</v>
      </c>
      <c r="F402" s="29" t="s">
        <v>62</v>
      </c>
      <c r="G402" s="32" t="str">
        <f>HYPERLINK("https://api.typeform.com/responses/files/67fbee3239225c01681a7876012af0ab9fb8d4a2206abc820c517147b152baf5/Le_Nhat_Hao_Resume.pdf")</f>
        <v>https://api.typeform.com/responses/files/67fbee3239225c01681a7876012af0ab9fb8d4a2206abc820c517147b152baf5/Le_Nhat_Hao_Resume.pdf</v>
      </c>
      <c r="H402" s="29" t="s">
        <v>4013</v>
      </c>
      <c r="I402" s="29" t="s">
        <v>4014</v>
      </c>
      <c r="J402" s="29" t="s">
        <v>468</v>
      </c>
      <c r="L402" s="29" t="s">
        <v>219</v>
      </c>
      <c r="M402" s="29" t="s">
        <v>551</v>
      </c>
      <c r="N402" s="33">
        <v>46600.0</v>
      </c>
      <c r="O402" s="31" t="s">
        <v>4015</v>
      </c>
      <c r="P402" s="32" t="str">
        <f>HYPERLINK("https://api.typeform.com/responses/files/73342adf3cb852a4f59f3ec9dddb3ad652396f6bd2d5e0ecc47726821356a11a/image.jpg")</f>
        <v>https://api.typeform.com/responses/files/73342adf3cb852a4f59f3ec9dddb3ad652396f6bd2d5e0ecc47726821356a11a/image.jpg</v>
      </c>
      <c r="Q402" s="29" t="b">
        <v>1</v>
      </c>
      <c r="R402" s="29" t="s">
        <v>4016</v>
      </c>
      <c r="S402" s="29" t="s">
        <v>4017</v>
      </c>
      <c r="T402" s="29" t="s">
        <v>72</v>
      </c>
      <c r="U402" s="29" t="s">
        <v>72</v>
      </c>
      <c r="V402" s="29" t="s">
        <v>236</v>
      </c>
      <c r="X402" s="29" t="s">
        <v>4018</v>
      </c>
      <c r="Y402" s="34">
        <v>46141.61785879629</v>
      </c>
      <c r="Z402" s="29" t="s">
        <v>4019</v>
      </c>
      <c r="AA402" s="6">
        <v>2.0</v>
      </c>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row>
    <row r="403" ht="22.5" hidden="1" customHeight="1">
      <c r="A403" s="29" t="s">
        <v>4020</v>
      </c>
      <c r="B403" s="30">
        <v>37923.0</v>
      </c>
      <c r="C403" s="29" t="s">
        <v>4021</v>
      </c>
      <c r="D403" s="31" t="s">
        <v>4022</v>
      </c>
      <c r="E403" s="29" t="s">
        <v>82</v>
      </c>
      <c r="F403" s="29" t="s">
        <v>633</v>
      </c>
      <c r="G403" s="32" t="str">
        <f>HYPERLINK("https://api.typeform.com/responses/files/ffa81d373808ca4ebecb4356fae24cd12818c3a9f11c2170b2cc5fe25a07c4d7/CV___Data_Analysis_Intern___Nguyễn_Phúc_Loan.pdf")</f>
        <v>https://api.typeform.com/responses/files/ffa81d373808ca4ebecb4356fae24cd12818c3a9f11c2170b2cc5fe25a07c4d7/CV___Data_Analysis_Intern___Nguyễn_Phúc_Loan.pdf</v>
      </c>
      <c r="H403" s="29" t="s">
        <v>4023</v>
      </c>
      <c r="I403" s="29" t="s">
        <v>4024</v>
      </c>
      <c r="J403" s="29" t="s">
        <v>326</v>
      </c>
      <c r="L403" s="29" t="s">
        <v>103</v>
      </c>
      <c r="M403" s="29" t="s">
        <v>384</v>
      </c>
      <c r="N403" s="33">
        <v>46019.0</v>
      </c>
      <c r="O403" s="31" t="s">
        <v>221</v>
      </c>
      <c r="P403" s="32" t="str">
        <f>HYPERLINK("https://api.typeform.com/responses/files/612e7296ea8faaa33f179a47924795f3199130cb43781d013d2232168972025e/Transcript___Data_Analysis_Intern___Nguyễn_Phúc_Loan.pdf")</f>
        <v>https://api.typeform.com/responses/files/612e7296ea8faaa33f179a47924795f3199130cb43781d013d2232168972025e/Transcript___Data_Analysis_Intern___Nguyễn_Phúc_Loan.pdf</v>
      </c>
      <c r="Q403" s="29" t="b">
        <v>1</v>
      </c>
      <c r="R403" s="29" t="s">
        <v>4025</v>
      </c>
      <c r="S403" s="29" t="s">
        <v>4026</v>
      </c>
      <c r="T403" s="29" t="s">
        <v>72</v>
      </c>
      <c r="U403" s="29" t="s">
        <v>72</v>
      </c>
      <c r="V403" s="29" t="s">
        <v>90</v>
      </c>
      <c r="X403" s="29" t="s">
        <v>4027</v>
      </c>
      <c r="Y403" s="34">
        <v>46141.64579861111</v>
      </c>
      <c r="Z403" s="29" t="s">
        <v>4028</v>
      </c>
      <c r="AA403" s="6">
        <v>2.0</v>
      </c>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row>
    <row r="404" ht="22.5" hidden="1" customHeight="1">
      <c r="A404" s="29" t="s">
        <v>4029</v>
      </c>
      <c r="B404" s="30">
        <v>38901.0</v>
      </c>
      <c r="C404" s="29" t="s">
        <v>4030</v>
      </c>
      <c r="D404" s="31" t="s">
        <v>4031</v>
      </c>
      <c r="E404" s="29" t="s">
        <v>82</v>
      </c>
      <c r="G404" s="32" t="str">
        <f>HYPERLINK("https://api.typeform.com/responses/files/b287ae7638789c4594952ee30cc4295efa793f3d6db1c9611b58848bca8c2097/CV___Data_Analysis___Cao_Thiên_Quang.pdf")</f>
        <v>https://api.typeform.com/responses/files/b287ae7638789c4594952ee30cc4295efa793f3d6db1c9611b58848bca8c2097/CV___Data_Analysis___Cao_Thiên_Quang.pdf</v>
      </c>
      <c r="H404" s="29" t="s">
        <v>4032</v>
      </c>
      <c r="I404" s="29" t="s">
        <v>4033</v>
      </c>
      <c r="J404" s="29" t="s">
        <v>2581</v>
      </c>
      <c r="L404" s="29" t="s">
        <v>169</v>
      </c>
      <c r="M404" s="29" t="s">
        <v>4034</v>
      </c>
      <c r="N404" s="33">
        <v>46875.0</v>
      </c>
      <c r="O404" s="29" t="s">
        <v>4035</v>
      </c>
      <c r="P404" s="32" t="str">
        <f>HYPERLINK("https://api.typeform.com/responses/files/8085744a4409ee214be12edee9c6ef9cbea7e066764c32d6b24425dac6b284f0/Transcript___Data_Analysis_Intern___Cao_Thiên_Quang.pdf")</f>
        <v>https://api.typeform.com/responses/files/8085744a4409ee214be12edee9c6ef9cbea7e066764c32d6b24425dac6b284f0/Transcript___Data_Analysis_Intern___Cao_Thiên_Quang.pdf</v>
      </c>
      <c r="Q404" s="29" t="b">
        <v>0</v>
      </c>
      <c r="R404" s="29" t="s">
        <v>318</v>
      </c>
      <c r="S404" s="29" t="s">
        <v>4036</v>
      </c>
      <c r="T404" s="29" t="s">
        <v>72</v>
      </c>
      <c r="U404" s="29" t="s">
        <v>72</v>
      </c>
      <c r="V404" s="29" t="s">
        <v>73</v>
      </c>
      <c r="Y404" s="34">
        <v>46141.672314814816</v>
      </c>
      <c r="Z404" s="29" t="s">
        <v>4037</v>
      </c>
      <c r="AA404" s="6">
        <v>2.0</v>
      </c>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row>
    <row r="405" ht="22.5" hidden="1" customHeight="1">
      <c r="A405" s="29" t="s">
        <v>4038</v>
      </c>
      <c r="B405" s="30">
        <v>38535.0</v>
      </c>
      <c r="C405" s="29" t="s">
        <v>4039</v>
      </c>
      <c r="D405" s="31" t="s">
        <v>4040</v>
      </c>
      <c r="E405" s="29" t="s">
        <v>127</v>
      </c>
      <c r="F405" s="29" t="s">
        <v>62</v>
      </c>
      <c r="G405" s="32" t="str">
        <f>HYPERLINK("https://api.typeform.com/responses/files/43f45078031a482fdd2b418a1f2d04625e9097e9cf53a37dfeb489708051d83c/CV_quality_assurance__Lâm_Minh_Tùng_Quân.pdf")</f>
        <v>https://api.typeform.com/responses/files/43f45078031a482fdd2b418a1f2d04625e9097e9cf53a37dfeb489708051d83c/CV_quality_assurance__Lâm_Minh_Tùng_Quân.pdf</v>
      </c>
      <c r="H405" s="29" t="s">
        <v>4041</v>
      </c>
      <c r="I405" s="29" t="s">
        <v>4042</v>
      </c>
      <c r="J405" s="29" t="s">
        <v>715</v>
      </c>
      <c r="L405" s="29" t="s">
        <v>219</v>
      </c>
      <c r="M405" s="29" t="s">
        <v>930</v>
      </c>
      <c r="N405" s="33">
        <v>46570.0</v>
      </c>
      <c r="O405" s="31" t="s">
        <v>4043</v>
      </c>
      <c r="P405" s="32" t="str">
        <f>HYPERLINK("https://api.typeform.com/responses/files/9b70bffdabe7a8df6551d84f1cf8d7979a889f23b4097e5937803ccb482c361f/Mon_hoc_CTDT_2352991.xlsx")</f>
        <v>https://api.typeform.com/responses/files/9b70bffdabe7a8df6551d84f1cf8d7979a889f23b4097e5937803ccb482c361f/Mon_hoc_CTDT_2352991.xlsx</v>
      </c>
      <c r="Q405" s="29" t="b">
        <v>1</v>
      </c>
      <c r="R405" s="29" t="s">
        <v>4044</v>
      </c>
      <c r="S405" s="29" t="s">
        <v>4045</v>
      </c>
      <c r="T405" s="29" t="s">
        <v>72</v>
      </c>
      <c r="U405" s="29" t="s">
        <v>72</v>
      </c>
      <c r="V405" s="29" t="s">
        <v>73</v>
      </c>
      <c r="Y405" s="34">
        <v>46141.693877314814</v>
      </c>
      <c r="Z405" s="29" t="s">
        <v>4046</v>
      </c>
      <c r="AA405" s="6">
        <v>2.0</v>
      </c>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row>
    <row r="406" ht="22.5" hidden="1" customHeight="1">
      <c r="A406" s="29" t="s">
        <v>4047</v>
      </c>
      <c r="B406" s="30">
        <v>37714.0</v>
      </c>
      <c r="C406" s="29" t="s">
        <v>4048</v>
      </c>
      <c r="D406" s="31" t="s">
        <v>4049</v>
      </c>
      <c r="E406" s="29" t="s">
        <v>82</v>
      </c>
      <c r="F406" s="29" t="s">
        <v>62</v>
      </c>
      <c r="G406" s="32" t="str">
        <f>HYPERLINK("https://api.typeform.com/responses/files/9c11b8b657fca81213e25c1b6c262dc94535625642aeac645a9506390753a17e/CV___Data_Analyst_Intern___Nguyễn_Phương_Tùng.pdf")</f>
        <v>https://api.typeform.com/responses/files/9c11b8b657fca81213e25c1b6c262dc94535625642aeac645a9506390753a17e/CV___Data_Analyst_Intern___Nguyễn_Phương_Tùng.pdf</v>
      </c>
      <c r="H406" s="29" t="s">
        <v>4050</v>
      </c>
      <c r="I406" s="29" t="s">
        <v>4051</v>
      </c>
      <c r="J406" s="29" t="s">
        <v>85</v>
      </c>
      <c r="L406" s="29" t="s">
        <v>103</v>
      </c>
      <c r="M406" s="29" t="s">
        <v>399</v>
      </c>
      <c r="N406" s="33">
        <v>45717.0</v>
      </c>
      <c r="O406" s="31" t="s">
        <v>4052</v>
      </c>
      <c r="P406" s="32" t="str">
        <f>HYPERLINK("https://api.typeform.com/responses/files/de9d9bd9b456634cc25f52ee14f6e3d87f673a6ec7cf49657b69f04cb0e8fbcf/Transcript___Data_Analysis_Intern___Nguyễn_Phương_Tùng.zip")</f>
        <v>https://api.typeform.com/responses/files/de9d9bd9b456634cc25f52ee14f6e3d87f673a6ec7cf49657b69f04cb0e8fbcf/Transcript___Data_Analysis_Intern___Nguyễn_Phương_Tùng.zip</v>
      </c>
      <c r="Q406" s="29" t="b">
        <v>0</v>
      </c>
      <c r="R406" s="29" t="s">
        <v>4053</v>
      </c>
      <c r="S406" s="29" t="s">
        <v>4054</v>
      </c>
      <c r="T406" s="29" t="s">
        <v>72</v>
      </c>
      <c r="U406" s="29" t="s">
        <v>72</v>
      </c>
      <c r="V406" s="29" t="s">
        <v>544</v>
      </c>
      <c r="Y406" s="34">
        <v>46141.69520833333</v>
      </c>
      <c r="Z406" s="29" t="s">
        <v>4055</v>
      </c>
      <c r="AA406" s="6">
        <v>2.0</v>
      </c>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row>
    <row r="407" ht="22.5" hidden="1" customHeight="1">
      <c r="A407" s="29" t="s">
        <v>4056</v>
      </c>
      <c r="B407" s="30">
        <v>38455.0</v>
      </c>
      <c r="C407" s="29" t="s">
        <v>4057</v>
      </c>
      <c r="D407" s="31" t="s">
        <v>4058</v>
      </c>
      <c r="E407" s="29" t="s">
        <v>82</v>
      </c>
      <c r="F407" s="29" t="s">
        <v>774</v>
      </c>
      <c r="G407" s="32" t="str">
        <f>HYPERLINK("https://api.typeform.com/responses/files/39a3bd88d0298c65b3530c10c7c67391b7895fd8b5571d04496a4921597a346d/CV___Data_Analysis_Intern___Nguyễn_Thị_Hồng_Nhung.pdf")</f>
        <v>https://api.typeform.com/responses/files/39a3bd88d0298c65b3530c10c7c67391b7895fd8b5571d04496a4921597a346d/CV___Data_Analysis_Intern___Nguyễn_Thị_Hồng_Nhung.pdf</v>
      </c>
      <c r="H407" s="29" t="s">
        <v>4059</v>
      </c>
      <c r="I407" s="29" t="s">
        <v>4060</v>
      </c>
      <c r="J407" s="29" t="s">
        <v>85</v>
      </c>
      <c r="L407" s="29" t="s">
        <v>219</v>
      </c>
      <c r="M407" s="29" t="s">
        <v>726</v>
      </c>
      <c r="N407" s="33">
        <v>38455.0</v>
      </c>
      <c r="O407" s="31" t="s">
        <v>1291</v>
      </c>
      <c r="P407" s="32" t="str">
        <f>HYPERLINK("https://api.typeform.com/responses/files/4f829ff9d06f5d2febf1c7c0bf9e6334782970b55c4be61771adaae121c0cb47/Transcript.pdf")</f>
        <v>https://api.typeform.com/responses/files/4f829ff9d06f5d2febf1c7c0bf9e6334782970b55c4be61771adaae121c0cb47/Transcript.pdf</v>
      </c>
      <c r="Q407" s="29" t="b">
        <v>0</v>
      </c>
      <c r="R407" s="29" t="s">
        <v>222</v>
      </c>
      <c r="S407" s="29" t="s">
        <v>4061</v>
      </c>
      <c r="T407" s="29" t="s">
        <v>72</v>
      </c>
      <c r="U407" s="29" t="s">
        <v>72</v>
      </c>
      <c r="V407" s="29" t="s">
        <v>269</v>
      </c>
      <c r="X407" s="29" t="s">
        <v>4062</v>
      </c>
      <c r="Y407" s="34">
        <v>46141.70946759259</v>
      </c>
      <c r="Z407" s="29" t="s">
        <v>4063</v>
      </c>
      <c r="AA407" s="6">
        <v>2.0</v>
      </c>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row>
    <row r="408" ht="22.5" hidden="1" customHeight="1">
      <c r="A408" s="29" t="s">
        <v>4064</v>
      </c>
      <c r="B408" s="30">
        <v>38285.0</v>
      </c>
      <c r="C408" s="29" t="s">
        <v>4065</v>
      </c>
      <c r="D408" s="31" t="s">
        <v>4066</v>
      </c>
      <c r="E408" s="29" t="s">
        <v>62</v>
      </c>
      <c r="F408" s="29" t="s">
        <v>82</v>
      </c>
      <c r="G408" s="32" t="str">
        <f>HYPERLINK("https://api.typeform.com/responses/files/ab976404941f7e211205d225136058918e6301881e757faea14238fba2a55215/CV_AI_Engineering_Intern_NguyenDinhVietHoang.pdf")</f>
        <v>https://api.typeform.com/responses/files/ab976404941f7e211205d225136058918e6301881e757faea14238fba2a55215/CV_AI_Engineering_Intern_NguyenDinhVietHoang.pdf</v>
      </c>
      <c r="H408" s="29" t="s">
        <v>4067</v>
      </c>
      <c r="I408" s="29" t="s">
        <v>4068</v>
      </c>
      <c r="J408" s="29" t="s">
        <v>244</v>
      </c>
      <c r="L408" s="29" t="s">
        <v>103</v>
      </c>
      <c r="M408" s="29" t="s">
        <v>399</v>
      </c>
      <c r="N408" s="33">
        <v>45930.0</v>
      </c>
      <c r="O408" s="31" t="s">
        <v>4069</v>
      </c>
      <c r="P408" s="32" t="str">
        <f>HYPERLINK("https://api.typeform.com/responses/files/87233d5708452ce06be8d9f9f160d21f400a6b0e48dcef025af54471bf9ecf75/Transcript___AI_Engineering_Intern___Nguyễn_Đình_Việt_Hoàng.pdf")</f>
        <v>https://api.typeform.com/responses/files/87233d5708452ce06be8d9f9f160d21f400a6b0e48dcef025af54471bf9ecf75/Transcript___AI_Engineering_Intern___Nguyễn_Đình_Việt_Hoàng.pdf</v>
      </c>
      <c r="Q408" s="29" t="b">
        <v>0</v>
      </c>
      <c r="R408" s="29" t="s">
        <v>4070</v>
      </c>
      <c r="S408" s="29" t="s">
        <v>4071</v>
      </c>
      <c r="T408" s="29" t="s">
        <v>72</v>
      </c>
      <c r="U408" s="29" t="s">
        <v>72</v>
      </c>
      <c r="V408" s="29" t="s">
        <v>73</v>
      </c>
      <c r="Y408" s="34">
        <v>46141.75680555555</v>
      </c>
      <c r="Z408" s="29" t="s">
        <v>4072</v>
      </c>
      <c r="AA408" s="6">
        <v>2.0</v>
      </c>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row>
    <row r="409" ht="22.5" hidden="1" customHeight="1">
      <c r="A409" s="29" t="s">
        <v>4073</v>
      </c>
      <c r="B409" s="30">
        <v>38304.0</v>
      </c>
      <c r="C409" s="29" t="s">
        <v>4074</v>
      </c>
      <c r="D409" s="31" t="s">
        <v>4075</v>
      </c>
      <c r="E409" s="29" t="s">
        <v>62</v>
      </c>
      <c r="F409" s="29" t="s">
        <v>82</v>
      </c>
      <c r="G409" s="32" t="str">
        <f>HYPERLINK("https://api.typeform.com/responses/files/ee012536d6fb4cc8c4de4d4d01eb196f8bcfebf90e85b442ca63cc151c3b821d/CV_AiEngineerIntern_NguyenNgocThang.docx")</f>
        <v>https://api.typeform.com/responses/files/ee012536d6fb4cc8c4de4d4d01eb196f8bcfebf90e85b442ca63cc151c3b821d/CV_AiEngineerIntern_NguyenNgocThang.docx</v>
      </c>
      <c r="H409" s="29" t="s">
        <v>4076</v>
      </c>
      <c r="I409" s="29" t="s">
        <v>4077</v>
      </c>
      <c r="J409" s="29" t="s">
        <v>1023</v>
      </c>
      <c r="L409" s="29" t="s">
        <v>67</v>
      </c>
      <c r="M409" s="29" t="s">
        <v>1830</v>
      </c>
      <c r="N409" s="33">
        <v>46327.0</v>
      </c>
      <c r="O409" s="31" t="s">
        <v>4078</v>
      </c>
      <c r="P409" s="32" t="str">
        <f>HYPERLINK("https://api.typeform.com/responses/files/a02ea864ad4e7d50d690f2b6711684355cbc9d46e1869ef4c9db14f2a8255966/Official_Academic_Transcript_Nguyen_Ngoc_Thang.pdf")</f>
        <v>https://api.typeform.com/responses/files/a02ea864ad4e7d50d690f2b6711684355cbc9d46e1869ef4c9db14f2a8255966/Official_Academic_Transcript_Nguyen_Ngoc_Thang.pdf</v>
      </c>
      <c r="Q409" s="29" t="b">
        <v>1</v>
      </c>
      <c r="R409" s="29" t="s">
        <v>4079</v>
      </c>
      <c r="S409" s="29" t="s">
        <v>4080</v>
      </c>
      <c r="T409" s="29" t="s">
        <v>72</v>
      </c>
      <c r="U409" s="29" t="s">
        <v>72</v>
      </c>
      <c r="V409" s="29" t="s">
        <v>269</v>
      </c>
      <c r="X409" s="29" t="s">
        <v>4081</v>
      </c>
      <c r="Y409" s="34">
        <v>46142.01657407408</v>
      </c>
      <c r="Z409" s="29" t="s">
        <v>4082</v>
      </c>
      <c r="AA409" s="6">
        <v>2.0</v>
      </c>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row>
    <row r="410" ht="22.5" hidden="1" customHeight="1">
      <c r="A410" s="29" t="s">
        <v>4083</v>
      </c>
      <c r="B410" s="30">
        <v>38655.0</v>
      </c>
      <c r="C410" s="29" t="s">
        <v>4084</v>
      </c>
      <c r="D410" s="31" t="s">
        <v>4085</v>
      </c>
      <c r="E410" s="29" t="s">
        <v>82</v>
      </c>
      <c r="F410" s="29" t="s">
        <v>62</v>
      </c>
      <c r="G410" s="32" t="str">
        <f>HYPERLINK("https://api.typeform.com/responses/files/7d5b05b60821575e970aa078453b4376edbe45a23a9fdbdbd064df12b83a0d8e/CV___Data_Analysis_Intern___Nguyễn_Phú_Toàn.pdf")</f>
        <v>https://api.typeform.com/responses/files/7d5b05b60821575e970aa078453b4376edbe45a23a9fdbdbd064df12b83a0d8e/CV___Data_Analysis_Intern___Nguyễn_Phú_Toàn.pdf</v>
      </c>
      <c r="H410" s="29" t="s">
        <v>4086</v>
      </c>
      <c r="I410" s="29" t="s">
        <v>4087</v>
      </c>
      <c r="J410" s="29" t="s">
        <v>85</v>
      </c>
      <c r="L410" s="29" t="s">
        <v>219</v>
      </c>
      <c r="M410" s="29" t="s">
        <v>298</v>
      </c>
      <c r="N410" s="33">
        <v>46600.0</v>
      </c>
      <c r="O410" s="31" t="s">
        <v>4088</v>
      </c>
      <c r="P410" s="32" t="str">
        <f>HYPERLINK("https://api.typeform.com/responses/files/8c77fb7d03e6dccf667717e95baacb754d21ea52eaf71d4751a87627dbc26040/Transcript___Data_Analysis_Intern___Nguyễn_Phú_Toàn.pdf")</f>
        <v>https://api.typeform.com/responses/files/8c77fb7d03e6dccf667717e95baacb754d21ea52eaf71d4751a87627dbc26040/Transcript___Data_Analysis_Intern___Nguyễn_Phú_Toàn.pdf</v>
      </c>
      <c r="Q410" s="29" t="b">
        <v>1</v>
      </c>
      <c r="R410" s="29" t="s">
        <v>4089</v>
      </c>
      <c r="S410" s="29" t="s">
        <v>4090</v>
      </c>
      <c r="T410" s="29" t="s">
        <v>72</v>
      </c>
      <c r="U410" s="29" t="s">
        <v>72</v>
      </c>
      <c r="V410" s="29" t="s">
        <v>269</v>
      </c>
      <c r="Y410" s="34">
        <v>46142.07135416667</v>
      </c>
      <c r="Z410" s="29" t="s">
        <v>4091</v>
      </c>
      <c r="AA410" s="6">
        <v>2.0</v>
      </c>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row>
    <row r="411" ht="22.5" hidden="1" customHeight="1">
      <c r="A411" s="29" t="s">
        <v>4092</v>
      </c>
      <c r="B411" s="30">
        <v>37900.0</v>
      </c>
      <c r="C411" s="29" t="s">
        <v>4093</v>
      </c>
      <c r="D411" s="31" t="s">
        <v>4094</v>
      </c>
      <c r="E411" s="29" t="s">
        <v>62</v>
      </c>
      <c r="F411" s="29" t="s">
        <v>82</v>
      </c>
      <c r="G411" s="32" t="str">
        <f>HYPERLINK("https://api.typeform.com/responses/files/da41cdc3a34e7e49d80e3370ff9a5c3a0efd897aaaeda88147ede59802cfd20e/CV___AI_Engineering_Intern___NguyenThiYenLinh.pdf")</f>
        <v>https://api.typeform.com/responses/files/da41cdc3a34e7e49d80e3370ff9a5c3a0efd897aaaeda88147ede59802cfd20e/CV___AI_Engineering_Intern___NguyenThiYenLinh.pdf</v>
      </c>
      <c r="H411" s="29" t="s">
        <v>4095</v>
      </c>
      <c r="I411" s="29" t="s">
        <v>4096</v>
      </c>
      <c r="J411" s="29" t="s">
        <v>326</v>
      </c>
      <c r="L411" s="29" t="s">
        <v>67</v>
      </c>
      <c r="M411" s="29" t="s">
        <v>4097</v>
      </c>
      <c r="N411" s="33">
        <v>46325.0</v>
      </c>
      <c r="O411" s="31" t="s">
        <v>1513</v>
      </c>
      <c r="P411" s="32" t="str">
        <f>HYPERLINK("https://api.typeform.com/responses/files/94ba18126cc11d73993d6e38066bb195c9c88932972ef132c106bb9b00292dea/Transcript___AI_Engineering_Intern___NguyenThiYenLinh.pdf")</f>
        <v>https://api.typeform.com/responses/files/94ba18126cc11d73993d6e38066bb195c9c88932972ef132c106bb9b00292dea/Transcript___AI_Engineering_Intern___NguyenThiYenLinh.pdf</v>
      </c>
      <c r="Q411" s="29" t="b">
        <v>1</v>
      </c>
      <c r="R411" s="29" t="s">
        <v>4098</v>
      </c>
      <c r="S411" s="29" t="s">
        <v>4099</v>
      </c>
      <c r="T411" s="29" t="s">
        <v>72</v>
      </c>
      <c r="U411" s="29" t="s">
        <v>72</v>
      </c>
      <c r="V411" s="29" t="s">
        <v>2389</v>
      </c>
      <c r="X411" s="29" t="s">
        <v>4100</v>
      </c>
      <c r="Y411" s="34">
        <v>46142.118310185186</v>
      </c>
      <c r="Z411" s="29" t="s">
        <v>4101</v>
      </c>
      <c r="AA411" s="6">
        <v>2.0</v>
      </c>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row>
    <row r="412" ht="22.5" hidden="1" customHeight="1">
      <c r="A412" s="29" t="s">
        <v>4102</v>
      </c>
      <c r="B412" s="30">
        <v>38426.0</v>
      </c>
      <c r="C412" s="29" t="s">
        <v>4103</v>
      </c>
      <c r="D412" s="31" t="s">
        <v>4104</v>
      </c>
      <c r="E412" s="29" t="s">
        <v>62</v>
      </c>
      <c r="F412" s="29" t="s">
        <v>82</v>
      </c>
      <c r="G412" s="32" t="str">
        <f>HYPERLINK("https://api.typeform.com/responses/files/fad3858ae008c95d2a1dc719a5a84afc8a78e05b1b1b887a9499ec52afd3ed52/CV_AI_Intern_PhamHongPhat.pdf")</f>
        <v>https://api.typeform.com/responses/files/fad3858ae008c95d2a1dc719a5a84afc8a78e05b1b1b887a9499ec52afd3ed52/CV_AI_Intern_PhamHongPhat.pdf</v>
      </c>
      <c r="H412" s="29" t="s">
        <v>4105</v>
      </c>
      <c r="I412" s="29" t="s">
        <v>4106</v>
      </c>
      <c r="J412" s="29" t="s">
        <v>715</v>
      </c>
      <c r="L412" s="29" t="s">
        <v>219</v>
      </c>
      <c r="M412" s="29" t="s">
        <v>399</v>
      </c>
      <c r="N412" s="33">
        <v>46492.0</v>
      </c>
      <c r="O412" s="31" t="s">
        <v>1220</v>
      </c>
      <c r="P412" s="32" t="str">
        <f>HYPERLINK("https://api.typeform.com/responses/files/8961cd1606b031decca85e9149fec8c58a393f0f40123908e0cc102f074f08c1/Transcript_AI_Intern_PhamHongPhat.pdf")</f>
        <v>https://api.typeform.com/responses/files/8961cd1606b031decca85e9149fec8c58a393f0f40123908e0cc102f074f08c1/Transcript_AI_Intern_PhamHongPhat.pdf</v>
      </c>
      <c r="Q412" s="29" t="b">
        <v>1</v>
      </c>
      <c r="R412" s="29" t="s">
        <v>4107</v>
      </c>
      <c r="S412" s="29" t="s">
        <v>4108</v>
      </c>
      <c r="T412" s="29" t="s">
        <v>72</v>
      </c>
      <c r="U412" s="29" t="s">
        <v>72</v>
      </c>
      <c r="V412" s="29" t="s">
        <v>2389</v>
      </c>
      <c r="Y412" s="34">
        <v>46142.15399305556</v>
      </c>
      <c r="Z412" s="29" t="s">
        <v>4109</v>
      </c>
      <c r="AA412" s="6">
        <v>2.0</v>
      </c>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row>
    <row r="413" ht="22.5" hidden="1" customHeight="1">
      <c r="A413" s="29" t="s">
        <v>4110</v>
      </c>
      <c r="B413" s="30">
        <v>38486.0</v>
      </c>
      <c r="C413" s="29" t="s">
        <v>4111</v>
      </c>
      <c r="D413" s="31" t="s">
        <v>4112</v>
      </c>
      <c r="E413" s="29" t="s">
        <v>82</v>
      </c>
      <c r="F413" s="29" t="s">
        <v>61</v>
      </c>
      <c r="G413" s="32" t="str">
        <f>HYPERLINK("https://api.typeform.com/responses/files/d4fa94e9d3a9b2611159b3e38d74ad422ceeeb5750aaa06935ec231c26f8bcdc/CV___Data_Analysis_Intern___Nguyễn_Đức_Toàn.pdf")</f>
        <v>https://api.typeform.com/responses/files/d4fa94e9d3a9b2611159b3e38d74ad422ceeeb5750aaa06935ec231c26f8bcdc/CV___Data_Analysis_Intern___Nguyễn_Đức_Toàn.pdf</v>
      </c>
      <c r="H413" s="29" t="s">
        <v>4113</v>
      </c>
      <c r="I413" s="29" t="s">
        <v>4114</v>
      </c>
      <c r="J413" s="29" t="s">
        <v>715</v>
      </c>
      <c r="L413" s="29" t="s">
        <v>219</v>
      </c>
      <c r="M413" s="29" t="s">
        <v>399</v>
      </c>
      <c r="N413" s="33">
        <v>46521.0</v>
      </c>
      <c r="O413" s="31" t="s">
        <v>613</v>
      </c>
      <c r="P413" s="32" t="str">
        <f>HYPERLINK("https://api.typeform.com/responses/files/d9f6812b7ec84f26c2a70c867e3dfd4689be122752ba4953a50abbf9ba9b1b42/Transcript___Data_Analysis_Intern___Nguyễn_Đức_Toàn.pdf")</f>
        <v>https://api.typeform.com/responses/files/d9f6812b7ec84f26c2a70c867e3dfd4689be122752ba4953a50abbf9ba9b1b42/Transcript___Data_Analysis_Intern___Nguyễn_Đức_Toàn.pdf</v>
      </c>
      <c r="Q413" s="29" t="b">
        <v>1</v>
      </c>
      <c r="R413" s="29" t="s">
        <v>4115</v>
      </c>
      <c r="S413" s="29" t="s">
        <v>4116</v>
      </c>
      <c r="T413" s="29" t="s">
        <v>72</v>
      </c>
      <c r="U413" s="29" t="s">
        <v>72</v>
      </c>
      <c r="V413" s="29" t="s">
        <v>73</v>
      </c>
      <c r="X413" s="29" t="s">
        <v>4117</v>
      </c>
      <c r="Y413" s="34">
        <v>46142.169120370374</v>
      </c>
      <c r="Z413" s="29" t="s">
        <v>4118</v>
      </c>
      <c r="AA413" s="6">
        <v>2.0</v>
      </c>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row>
    <row r="414" ht="22.5" hidden="1" customHeight="1">
      <c r="A414" s="29" t="s">
        <v>4119</v>
      </c>
      <c r="B414" s="30">
        <v>37914.0</v>
      </c>
      <c r="C414" s="29" t="s">
        <v>4120</v>
      </c>
      <c r="D414" s="31" t="s">
        <v>4121</v>
      </c>
      <c r="E414" s="29" t="s">
        <v>99</v>
      </c>
      <c r="F414" s="29" t="s">
        <v>62</v>
      </c>
      <c r="G414" s="32" t="str">
        <f>HYPERLINK("https://api.typeform.com/responses/files/d45aafb70a9ccf02828744235ab73faf224d8cca5b4aa03a54b9e72351f83563/CV___Game_Design_Intern___Nguyễn_Nguyên_Bảo_Phú.pdf")</f>
        <v>https://api.typeform.com/responses/files/d45aafb70a9ccf02828744235ab73faf224d8cca5b4aa03a54b9e72351f83563/CV___Game_Design_Intern___Nguyễn_Nguyên_Bảo_Phú.pdf</v>
      </c>
      <c r="H414" s="29" t="s">
        <v>4122</v>
      </c>
      <c r="I414" s="29" t="s">
        <v>4123</v>
      </c>
      <c r="J414" s="29" t="s">
        <v>644</v>
      </c>
      <c r="L414" s="29" t="s">
        <v>103</v>
      </c>
      <c r="M414" s="29" t="s">
        <v>399</v>
      </c>
      <c r="N414" s="33">
        <v>46052.0</v>
      </c>
      <c r="O414" s="31" t="s">
        <v>4124</v>
      </c>
      <c r="P414" s="32" t="str">
        <f>HYPERLINK("https://api.typeform.com/responses/files/191089411987cbaa6cb3eea5625f78293344c1094b8cd39af458fa157f93464c/Transcript___Game_Designer_Intern___Nguyễn_Nguyên_Bảo_Phú.xlsx")</f>
        <v>https://api.typeform.com/responses/files/191089411987cbaa6cb3eea5625f78293344c1094b8cd39af458fa157f93464c/Transcript___Game_Designer_Intern___Nguyễn_Nguyên_Bảo_Phú.xlsx</v>
      </c>
      <c r="Q414" s="29" t="b">
        <v>1</v>
      </c>
      <c r="R414" s="29" t="s">
        <v>4125</v>
      </c>
      <c r="S414" s="29" t="s">
        <v>4126</v>
      </c>
      <c r="T414" s="29" t="s">
        <v>72</v>
      </c>
      <c r="U414" s="29" t="s">
        <v>72</v>
      </c>
      <c r="V414" s="29" t="s">
        <v>90</v>
      </c>
      <c r="X414" s="29" t="s">
        <v>4127</v>
      </c>
      <c r="Y414" s="34">
        <v>46142.181875</v>
      </c>
      <c r="Z414" s="29" t="s">
        <v>4128</v>
      </c>
      <c r="AA414" s="6">
        <v>2.0</v>
      </c>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row>
    <row r="415" ht="22.5" hidden="1" customHeight="1">
      <c r="A415" s="29" t="s">
        <v>4129</v>
      </c>
      <c r="B415" s="30">
        <v>38290.0</v>
      </c>
      <c r="C415" s="29" t="s">
        <v>4130</v>
      </c>
      <c r="D415" s="31" t="s">
        <v>4131</v>
      </c>
      <c r="E415" s="29" t="s">
        <v>774</v>
      </c>
      <c r="F415" s="29" t="s">
        <v>774</v>
      </c>
      <c r="G415" s="32" t="str">
        <f>HYPERLINK("https://api.typeform.com/responses/files/e4b8c2a5cfdb7b9fd66333821f8449cccf9743024e7242704849eb8aecd99de1/Nguyễn_Thị_Hồng_Nhung_Sun_Studio_Marketing_Intern.pdf")</f>
        <v>https://api.typeform.com/responses/files/e4b8c2a5cfdb7b9fd66333821f8449cccf9743024e7242704849eb8aecd99de1/Nguyễn_Thị_Hồng_Nhung_Sun_Studio_Marketing_Intern.pdf</v>
      </c>
      <c r="H415" s="29" t="s">
        <v>4132</v>
      </c>
      <c r="I415" s="29" t="s">
        <v>4133</v>
      </c>
      <c r="J415" s="29" t="s">
        <v>777</v>
      </c>
      <c r="L415" s="29" t="s">
        <v>67</v>
      </c>
      <c r="M415" s="29" t="s">
        <v>4134</v>
      </c>
      <c r="N415" s="33">
        <v>38290.0</v>
      </c>
      <c r="O415" s="31" t="s">
        <v>3670</v>
      </c>
      <c r="P415" s="32" t="str">
        <f>HYPERLINK("https://api.typeform.com/responses/files/80f265428f5ca9ad9072410d626a247fd2ee9c8828b072cf5660b95a1dcc55eb/Transcript___Marketing_Intern___Nguyễn_Thị_Hồng_Nhung.png")</f>
        <v>https://api.typeform.com/responses/files/80f265428f5ca9ad9072410d626a247fd2ee9c8828b072cf5660b95a1dcc55eb/Transcript___Marketing_Intern___Nguyễn_Thị_Hồng_Nhung.png</v>
      </c>
      <c r="Q415" s="29" t="b">
        <v>0</v>
      </c>
      <c r="R415" s="29" t="s">
        <v>280</v>
      </c>
      <c r="S415" s="29" t="s">
        <v>4135</v>
      </c>
      <c r="T415" s="29" t="s">
        <v>72</v>
      </c>
      <c r="U415" s="29" t="s">
        <v>72</v>
      </c>
      <c r="V415" s="29" t="s">
        <v>90</v>
      </c>
      <c r="Y415" s="34">
        <v>46142.19184027778</v>
      </c>
      <c r="Z415" s="29" t="s">
        <v>4136</v>
      </c>
      <c r="AA415" s="6">
        <v>2.0</v>
      </c>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row>
    <row r="416" ht="22.5" hidden="1" customHeight="1">
      <c r="A416" s="29" t="s">
        <v>4137</v>
      </c>
      <c r="B416" s="30">
        <v>38885.0</v>
      </c>
      <c r="C416" s="29" t="s">
        <v>4138</v>
      </c>
      <c r="D416" s="31" t="s">
        <v>4139</v>
      </c>
      <c r="E416" s="29" t="s">
        <v>61</v>
      </c>
      <c r="G416" s="32" t="str">
        <f>HYPERLINK("https://api.typeform.com/responses/files/73501665a3a2471641d60de976287d510b4d7d198704fe193d10aeeb0e025fe2/CV_NguyễnLâmThao.pdf")</f>
        <v>https://api.typeform.com/responses/files/73501665a3a2471641d60de976287d510b4d7d198704fe193d10aeeb0e025fe2/CV_NguyễnLâmThao.pdf</v>
      </c>
      <c r="H416" s="29" t="s">
        <v>4140</v>
      </c>
      <c r="I416" s="29" t="s">
        <v>4141</v>
      </c>
      <c r="J416" s="29" t="s">
        <v>144</v>
      </c>
      <c r="L416" s="29" t="s">
        <v>169</v>
      </c>
      <c r="M416" s="29" t="s">
        <v>3009</v>
      </c>
      <c r="N416" s="33">
        <v>46239.0</v>
      </c>
      <c r="O416" s="31" t="s">
        <v>2461</v>
      </c>
      <c r="P416" s="32" t="str">
        <f>HYPERLINK("https://api.typeform.com/responses/files/41828a4b1b6ab798cf5c70b50ed9cb4e202e2793a1d739a2bcdaa0ec299a208b/Bảng_điểm__FPT_Polytechnic.pdf")</f>
        <v>https://api.typeform.com/responses/files/41828a4b1b6ab798cf5c70b50ed9cb4e202e2793a1d739a2bcdaa0ec299a208b/Bảng_điểm__FPT_Polytechnic.pdf</v>
      </c>
      <c r="Q416" s="29" t="b">
        <v>1</v>
      </c>
      <c r="R416" s="29" t="s">
        <v>4142</v>
      </c>
      <c r="S416" s="29" t="s">
        <v>4143</v>
      </c>
      <c r="T416" s="29" t="s">
        <v>72</v>
      </c>
      <c r="U416" s="29" t="s">
        <v>72</v>
      </c>
      <c r="V416" s="29" t="s">
        <v>90</v>
      </c>
      <c r="X416" s="29" t="s">
        <v>4144</v>
      </c>
      <c r="Y416" s="34">
        <v>46142.27516203704</v>
      </c>
      <c r="Z416" s="29" t="s">
        <v>4145</v>
      </c>
      <c r="AA416" s="6">
        <v>2.0</v>
      </c>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row>
    <row r="417" ht="22.5" hidden="1" customHeight="1">
      <c r="A417" s="29" t="s">
        <v>4146</v>
      </c>
      <c r="B417" s="30">
        <v>38673.0</v>
      </c>
      <c r="C417" s="29" t="s">
        <v>4147</v>
      </c>
      <c r="D417" s="31" t="s">
        <v>4148</v>
      </c>
      <c r="E417" s="29" t="s">
        <v>633</v>
      </c>
      <c r="G417" s="32" t="str">
        <f>HYPERLINK("https://api.typeform.com/responses/files/2005593a39fde5383c49986b8d339c55806502c130633971f7d53505170dd212/CV___Human_Resource_Intern___Vòng_Nguyên_Hy.pdf")</f>
        <v>https://api.typeform.com/responses/files/2005593a39fde5383c49986b8d339c55806502c130633971f7d53505170dd212/CV___Human_Resource_Intern___Vòng_Nguyên_Hy.pdf</v>
      </c>
      <c r="H417" s="29" t="s">
        <v>4149</v>
      </c>
      <c r="I417" s="29" t="s">
        <v>4150</v>
      </c>
      <c r="J417" s="29" t="s">
        <v>2581</v>
      </c>
      <c r="L417" s="29" t="s">
        <v>219</v>
      </c>
      <c r="M417" s="29" t="s">
        <v>4151</v>
      </c>
      <c r="N417" s="33">
        <v>46508.0</v>
      </c>
      <c r="O417" s="31" t="s">
        <v>267</v>
      </c>
      <c r="P417" s="32" t="str">
        <f>HYPERLINK("https://api.typeform.com/responses/files/78cee04ea9a54a5db1342b702acd46f8c06cefdd99119a13c0e0fae5e218a14a/Transcript___Human_Resource_Intern___Vòng_Nguyên_Hy.pdf")</f>
        <v>https://api.typeform.com/responses/files/78cee04ea9a54a5db1342b702acd46f8c06cefdd99119a13c0e0fae5e218a14a/Transcript___Human_Resource_Intern___Vòng_Nguyên_Hy.pdf</v>
      </c>
      <c r="Q417" s="29" t="b">
        <v>0</v>
      </c>
      <c r="R417" s="29" t="s">
        <v>4152</v>
      </c>
      <c r="S417" s="29" t="s">
        <v>4152</v>
      </c>
      <c r="T417" s="29" t="s">
        <v>72</v>
      </c>
      <c r="U417" s="29" t="s">
        <v>72</v>
      </c>
      <c r="V417" s="29" t="s">
        <v>73</v>
      </c>
      <c r="X417" s="29" t="s">
        <v>4153</v>
      </c>
      <c r="Y417" s="34">
        <v>46142.2977662037</v>
      </c>
      <c r="Z417" s="29" t="s">
        <v>4154</v>
      </c>
      <c r="AA417" s="6">
        <v>2.0</v>
      </c>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row>
    <row r="418" ht="22.5" hidden="1" customHeight="1">
      <c r="A418" s="29" t="s">
        <v>4155</v>
      </c>
      <c r="B418" s="30">
        <v>37768.0</v>
      </c>
      <c r="C418" s="29" t="s">
        <v>4156</v>
      </c>
      <c r="D418" s="31" t="s">
        <v>4157</v>
      </c>
      <c r="E418" s="29" t="s">
        <v>82</v>
      </c>
      <c r="F418" s="29" t="s">
        <v>127</v>
      </c>
      <c r="G418" s="32" t="str">
        <f>HYPERLINK("https://api.typeform.com/responses/files/72c0f66aacfa33924e1c24756bcd83c1df9f242af3ad9a5fe40c90802f4b1178/CV___Data_Analysis_Intern___Lục_Minh_Phú.pdf")</f>
        <v>https://api.typeform.com/responses/files/72c0f66aacfa33924e1c24756bcd83c1df9f242af3ad9a5fe40c90802f4b1178/CV___Data_Analysis_Intern___Lục_Minh_Phú.pdf</v>
      </c>
      <c r="H418" s="29" t="s">
        <v>4158</v>
      </c>
      <c r="I418" s="29" t="s">
        <v>4159</v>
      </c>
      <c r="J418" s="29" t="s">
        <v>2581</v>
      </c>
      <c r="L418" s="29" t="s">
        <v>103</v>
      </c>
      <c r="M418" s="29" t="s">
        <v>4160</v>
      </c>
      <c r="N418" s="33">
        <v>45857.0</v>
      </c>
      <c r="O418" s="31" t="s">
        <v>1679</v>
      </c>
      <c r="P418" s="32" t="str">
        <f>HYPERLINK("https://api.typeform.com/responses/files/cd5a625ba8624d2265d4c4f46506b2d3c3fd3b6bb1b2b1d8eb5a69bb1a3b1fd0/Transcript___Data_Analysis_Intern___Lục_Minh_Phú_.jpg")</f>
        <v>https://api.typeform.com/responses/files/cd5a625ba8624d2265d4c4f46506b2d3c3fd3b6bb1b2b1d8eb5a69bb1a3b1fd0/Transcript___Data_Analysis_Intern___Lục_Minh_Phú_.jpg</v>
      </c>
      <c r="Q418" s="29" t="b">
        <v>1</v>
      </c>
      <c r="R418" s="29" t="s">
        <v>4161</v>
      </c>
      <c r="S418" s="29" t="s">
        <v>4162</v>
      </c>
      <c r="T418" s="29" t="s">
        <v>72</v>
      </c>
      <c r="U418" s="29" t="s">
        <v>72</v>
      </c>
      <c r="V418" s="29" t="s">
        <v>73</v>
      </c>
      <c r="Y418" s="34">
        <v>46142.340995370374</v>
      </c>
      <c r="Z418" s="29" t="s">
        <v>4163</v>
      </c>
      <c r="AA418" s="6">
        <v>2.0</v>
      </c>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row>
    <row r="419" ht="22.5" hidden="1" customHeight="1">
      <c r="A419" s="29" t="s">
        <v>4164</v>
      </c>
      <c r="B419" s="30">
        <v>36782.0</v>
      </c>
      <c r="C419" s="29" t="s">
        <v>4165</v>
      </c>
      <c r="D419" s="31" t="s">
        <v>4166</v>
      </c>
      <c r="E419" s="29" t="s">
        <v>99</v>
      </c>
      <c r="F419" s="29" t="s">
        <v>61</v>
      </c>
      <c r="G419" s="32" t="str">
        <f>HYPERLINK("https://api.typeform.com/responses/files/e6df46de2eeb91739dfe4981c17a5cd05742d2ab0c78bc6990d474e88a6b9287/CV___Game_Design_Intern___Triệu_Hoàng_Duy.pdf")</f>
        <v>https://api.typeform.com/responses/files/e6df46de2eeb91739dfe4981c17a5cd05742d2ab0c78bc6990d474e88a6b9287/CV___Game_Design_Intern___Triệu_Hoàng_Duy.pdf</v>
      </c>
      <c r="H419" s="29" t="s">
        <v>4167</v>
      </c>
      <c r="I419" s="29" t="s">
        <v>4168</v>
      </c>
      <c r="J419" s="29" t="s">
        <v>144</v>
      </c>
      <c r="L419" s="29" t="s">
        <v>67</v>
      </c>
      <c r="M419" s="29" t="s">
        <v>170</v>
      </c>
      <c r="N419" s="33">
        <v>46174.0</v>
      </c>
      <c r="O419" s="31" t="s">
        <v>1426</v>
      </c>
      <c r="P419" s="32" t="str">
        <f>HYPERLINK("https://api.typeform.com/responses/files/23db1d2663ae18aeaed860a3ba9367eb8dae206ce1acd8dc0e58a08223f5ffd3/Transcript___Game_Design_Intern___Triệu_Hoàng_Duy.pdf")</f>
        <v>https://api.typeform.com/responses/files/23db1d2663ae18aeaed860a3ba9367eb8dae206ce1acd8dc0e58a08223f5ffd3/Transcript___Game_Design_Intern___Triệu_Hoàng_Duy.pdf</v>
      </c>
      <c r="Q419" s="29" t="b">
        <v>1</v>
      </c>
      <c r="R419" s="29" t="s">
        <v>4169</v>
      </c>
      <c r="S419" s="29" t="s">
        <v>4170</v>
      </c>
      <c r="T419" s="29" t="s">
        <v>4171</v>
      </c>
      <c r="U419" s="29" t="s">
        <v>72</v>
      </c>
      <c r="V419" s="29" t="s">
        <v>73</v>
      </c>
      <c r="X419" s="29" t="s">
        <v>4172</v>
      </c>
      <c r="Y419" s="34">
        <v>46142.36886574074</v>
      </c>
      <c r="Z419" s="29" t="s">
        <v>4173</v>
      </c>
      <c r="AA419" s="6">
        <v>2.0</v>
      </c>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row>
    <row r="420" ht="22.5" hidden="1" customHeight="1">
      <c r="A420" s="29" t="s">
        <v>4174</v>
      </c>
      <c r="B420" s="30">
        <v>36843.0</v>
      </c>
      <c r="C420" s="29" t="s">
        <v>4175</v>
      </c>
      <c r="D420" s="31" t="s">
        <v>4176</v>
      </c>
      <c r="E420" s="29" t="s">
        <v>633</v>
      </c>
      <c r="F420" s="29" t="s">
        <v>633</v>
      </c>
      <c r="G420" s="32" t="str">
        <f>HYPERLINK("https://api.typeform.com/responses/files/bb91d3a9641cea6760498d8035c5f2f44e49fa4ef09c3e5cb18480cad49c1f05/CV_HR_INTERN_VŨ_TRẦN_KHÁNH_NHƯ_.pdf")</f>
        <v>https://api.typeform.com/responses/files/bb91d3a9641cea6760498d8035c5f2f44e49fa4ef09c3e5cb18480cad49c1f05/CV_HR_INTERN_VŨ_TRẦN_KHÁNH_NHƯ_.pdf</v>
      </c>
      <c r="H420" s="29" t="s">
        <v>4177</v>
      </c>
      <c r="I420" s="29" t="s">
        <v>4178</v>
      </c>
      <c r="J420" s="29" t="s">
        <v>338</v>
      </c>
      <c r="L420" s="29" t="s">
        <v>67</v>
      </c>
      <c r="M420" s="29" t="s">
        <v>4179</v>
      </c>
      <c r="N420" s="33">
        <v>46266.0</v>
      </c>
      <c r="O420" s="31" t="s">
        <v>317</v>
      </c>
      <c r="P420" s="32" t="str">
        <f>HYPERLINK("https://api.typeform.com/responses/files/eb1f8b936b2fec4c67a38e56f690f3449aecfcf1ee7e5a38fb1455d0e2aed445/Transcript_HR_Intern_Vũ_Trần_Khánh_Như.pdf")</f>
        <v>https://api.typeform.com/responses/files/eb1f8b936b2fec4c67a38e56f690f3449aecfcf1ee7e5a38fb1455d0e2aed445/Transcript_HR_Intern_Vũ_Trần_Khánh_Như.pdf</v>
      </c>
      <c r="Q420" s="29" t="b">
        <v>1</v>
      </c>
      <c r="R420" s="29" t="s">
        <v>4180</v>
      </c>
      <c r="S420" s="29" t="s">
        <v>1437</v>
      </c>
      <c r="T420" s="29" t="s">
        <v>72</v>
      </c>
      <c r="U420" s="29" t="s">
        <v>72</v>
      </c>
      <c r="V420" s="29" t="s">
        <v>73</v>
      </c>
      <c r="X420" s="29" t="s">
        <v>4181</v>
      </c>
      <c r="Y420" s="34">
        <v>46142.451469907406</v>
      </c>
      <c r="Z420" s="29" t="s">
        <v>4182</v>
      </c>
      <c r="AA420" s="6">
        <v>2.0</v>
      </c>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row>
    <row r="421" ht="22.5" hidden="1" customHeight="1">
      <c r="A421" s="29" t="s">
        <v>4183</v>
      </c>
      <c r="B421" s="30">
        <v>38132.0</v>
      </c>
      <c r="C421" s="29" t="s">
        <v>4184</v>
      </c>
      <c r="D421" s="31" t="s">
        <v>4185</v>
      </c>
      <c r="E421" s="29" t="s">
        <v>127</v>
      </c>
      <c r="G421" s="32" t="str">
        <f>HYPERLINK("https://api.typeform.com/responses/files/2f14dc09b6169138f9e1c97adf30bca30f43594db3ecf7afeccdec22f032ad3a/CV___Game_Quality_Assurance_Intern___Ngô_Trương_Thiên.pdf")</f>
        <v>https://api.typeform.com/responses/files/2f14dc09b6169138f9e1c97adf30bca30f43594db3ecf7afeccdec22f032ad3a/CV___Game_Quality_Assurance_Intern___Ngô_Trương_Thiên.pdf</v>
      </c>
      <c r="H421" s="29" t="s">
        <v>4186</v>
      </c>
      <c r="I421" s="29" t="s">
        <v>4187</v>
      </c>
      <c r="J421" s="29" t="s">
        <v>2281</v>
      </c>
      <c r="L421" s="29" t="s">
        <v>67</v>
      </c>
      <c r="M421" s="29" t="s">
        <v>1773</v>
      </c>
      <c r="N421" s="33">
        <v>46213.0</v>
      </c>
      <c r="O421" s="31" t="s">
        <v>696</v>
      </c>
      <c r="P421" s="32" t="str">
        <f>HYPERLINK("https://api.typeform.com/responses/files/9d08f9187582d179bdd238f3be5d886f3a185f4dac27d0853c0e50e19b824044/Bảng_điểm___Game_Quality_Assurance_Intern___Ngô_Trương_Thiên.pdf")</f>
        <v>https://api.typeform.com/responses/files/9d08f9187582d179bdd238f3be5d886f3a185f4dac27d0853c0e50e19b824044/Bảng_điểm___Game_Quality_Assurance_Intern___Ngô_Trương_Thiên.pdf</v>
      </c>
      <c r="Q421" s="29" t="b">
        <v>0</v>
      </c>
      <c r="R421" s="29" t="s">
        <v>1437</v>
      </c>
      <c r="S421" s="29" t="s">
        <v>4188</v>
      </c>
      <c r="T421" s="29" t="s">
        <v>72</v>
      </c>
      <c r="U421" s="29" t="s">
        <v>72</v>
      </c>
      <c r="V421" s="29" t="s">
        <v>90</v>
      </c>
      <c r="X421" s="29" t="s">
        <v>4189</v>
      </c>
      <c r="Y421" s="34">
        <v>46142.45377314815</v>
      </c>
      <c r="Z421" s="29" t="s">
        <v>4190</v>
      </c>
      <c r="AA421" s="6">
        <v>2.0</v>
      </c>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row>
    <row r="422" ht="22.5" hidden="1" customHeight="1">
      <c r="A422" s="29" t="s">
        <v>4191</v>
      </c>
      <c r="B422" s="30">
        <v>38339.0</v>
      </c>
      <c r="C422" s="29" t="s">
        <v>4192</v>
      </c>
      <c r="D422" s="31" t="s">
        <v>4193</v>
      </c>
      <c r="E422" s="29" t="s">
        <v>127</v>
      </c>
      <c r="F422" s="29" t="s">
        <v>61</v>
      </c>
      <c r="G422" s="32" t="str">
        <f>HYPERLINK("https://api.typeform.com/responses/files/9956ea841e02ac21188b70b0a1a6484a7b1f383fd9ffe6c5ed06ff4424d8a5d4/CV___Game_Quality_Assurance_Intern___Lê_Anh_Khôi.pdf")</f>
        <v>https://api.typeform.com/responses/files/9956ea841e02ac21188b70b0a1a6484a7b1f383fd9ffe6c5ed06ff4424d8a5d4/CV___Game_Quality_Assurance_Intern___Lê_Anh_Khôi.pdf</v>
      </c>
      <c r="H422" s="29" t="s">
        <v>4194</v>
      </c>
      <c r="I422" s="29" t="s">
        <v>4195</v>
      </c>
      <c r="J422" s="29" t="s">
        <v>715</v>
      </c>
      <c r="L422" s="29" t="s">
        <v>67</v>
      </c>
      <c r="M422" s="29" t="s">
        <v>399</v>
      </c>
      <c r="N422" s="33">
        <v>46298.0</v>
      </c>
      <c r="O422" s="31" t="s">
        <v>1164</v>
      </c>
      <c r="P422" s="32" t="str">
        <f>HYPERLINK("https://api.typeform.com/responses/files/6085dd2179c2d33c8062bac72529b7505288769a99cf42c3cbf1ae06da2f9b24/Transcript___Game_Quality_Assurance_Intern___Lê_Anh_Khôi.pdf")</f>
        <v>https://api.typeform.com/responses/files/6085dd2179c2d33c8062bac72529b7505288769a99cf42c3cbf1ae06da2f9b24/Transcript___Game_Quality_Assurance_Intern___Lê_Anh_Khôi.pdf</v>
      </c>
      <c r="Q422" s="29" t="b">
        <v>0</v>
      </c>
      <c r="R422" s="29" t="s">
        <v>401</v>
      </c>
      <c r="S422" s="29" t="s">
        <v>401</v>
      </c>
      <c r="T422" s="29" t="s">
        <v>72</v>
      </c>
      <c r="U422" s="29" t="s">
        <v>72</v>
      </c>
      <c r="V422" s="29" t="s">
        <v>4196</v>
      </c>
      <c r="Y422" s="34">
        <v>46142.46394675926</v>
      </c>
      <c r="Z422" s="29" t="s">
        <v>4197</v>
      </c>
      <c r="AA422" s="6">
        <v>2.0</v>
      </c>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row>
    <row r="423" ht="22.5" hidden="1" customHeight="1">
      <c r="A423" s="29" t="s">
        <v>4198</v>
      </c>
      <c r="B423" s="30">
        <v>37680.0</v>
      </c>
      <c r="C423" s="29" t="s">
        <v>4199</v>
      </c>
      <c r="D423" s="31" t="s">
        <v>4200</v>
      </c>
      <c r="E423" s="29" t="s">
        <v>82</v>
      </c>
      <c r="F423" s="29" t="s">
        <v>62</v>
      </c>
      <c r="G423" s="32" t="str">
        <f>HYPERLINK("https://api.typeform.com/responses/files/6118178195514e7a74d7d8dfbb4a36438c0d215091e6797e2eea75e34f7c2fea/CV___Data_Analysis_Intern___Duong_Khanh_Trang.pdf")</f>
        <v>https://api.typeform.com/responses/files/6118178195514e7a74d7d8dfbb4a36438c0d215091e6797e2eea75e34f7c2fea/CV___Data_Analysis_Intern___Duong_Khanh_Trang.pdf</v>
      </c>
      <c r="H423" s="29" t="s">
        <v>4201</v>
      </c>
      <c r="I423" s="29" t="s">
        <v>4202</v>
      </c>
      <c r="J423" s="29" t="s">
        <v>644</v>
      </c>
      <c r="L423" s="29" t="s">
        <v>67</v>
      </c>
      <c r="M423" s="29" t="s">
        <v>384</v>
      </c>
      <c r="N423" s="33">
        <v>46143.0</v>
      </c>
      <c r="O423" s="31" t="s">
        <v>4203</v>
      </c>
      <c r="P423" s="32" t="str">
        <f>HYPERLINK("https://api.typeform.com/responses/files/3eafd6265c5125030e7d4790189de6ecb6c25d44a4e4a19a4ad862a570c79d4b/Transcript___Data_Analysis_Intern___Duong_Khanh_Trang.pdf")</f>
        <v>https://api.typeform.com/responses/files/3eafd6265c5125030e7d4790189de6ecb6c25d44a4e4a19a4ad862a570c79d4b/Transcript___Data_Analysis_Intern___Duong_Khanh_Trang.pdf</v>
      </c>
      <c r="Q423" s="29" t="b">
        <v>1</v>
      </c>
      <c r="R423" s="29" t="s">
        <v>4204</v>
      </c>
      <c r="S423" s="29" t="s">
        <v>4205</v>
      </c>
      <c r="T423" s="29" t="s">
        <v>72</v>
      </c>
      <c r="U423" s="29" t="s">
        <v>72</v>
      </c>
      <c r="V423" s="29" t="s">
        <v>2992</v>
      </c>
      <c r="X423" s="29" t="s">
        <v>4206</v>
      </c>
      <c r="Y423" s="34">
        <v>46142.474375</v>
      </c>
      <c r="Z423" s="29" t="s">
        <v>4207</v>
      </c>
      <c r="AA423" s="6">
        <v>2.0</v>
      </c>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row>
    <row r="424" ht="22.5" hidden="1" customHeight="1">
      <c r="A424" s="29" t="s">
        <v>4208</v>
      </c>
      <c r="B424" s="30">
        <v>38719.0</v>
      </c>
      <c r="C424" s="29" t="s">
        <v>4209</v>
      </c>
      <c r="D424" s="31" t="s">
        <v>4210</v>
      </c>
      <c r="E424" s="29" t="s">
        <v>774</v>
      </c>
      <c r="F424" s="29" t="s">
        <v>127</v>
      </c>
      <c r="G424" s="32" t="str">
        <f>HYPERLINK("https://api.typeform.com/responses/files/2bdad125b1c4878d67bff6eb6143989cd44e23e796dd2c89489450051e52b92a/CV___Game_User_Acquisition_Intern___Nguyễn_Phạm_Uyên_Uyên.pdf")</f>
        <v>https://api.typeform.com/responses/files/2bdad125b1c4878d67bff6eb6143989cd44e23e796dd2c89489450051e52b92a/CV___Game_User_Acquisition_Intern___Nguyễn_Phạm_Uyên_Uyên.pdf</v>
      </c>
      <c r="H424" s="29" t="s">
        <v>4211</v>
      </c>
      <c r="I424" s="29" t="s">
        <v>4212</v>
      </c>
      <c r="J424" s="29" t="s">
        <v>1311</v>
      </c>
      <c r="L424" s="29" t="s">
        <v>169</v>
      </c>
      <c r="M424" s="29" t="s">
        <v>1348</v>
      </c>
      <c r="N424" s="33">
        <v>46861.0</v>
      </c>
      <c r="O424" s="31" t="s">
        <v>2132</v>
      </c>
      <c r="P424" s="32" t="str">
        <f>HYPERLINK("https://api.typeform.com/responses/files/990fde180ac0274ab3b18f980742f91ddbdab86d48d2a74e7cc0f7b671197a8c/Phân_hiệu_FTU___Cổng_thông_tin_sinh_viên.pdf")</f>
        <v>https://api.typeform.com/responses/files/990fde180ac0274ab3b18f980742f91ddbdab86d48d2a74e7cc0f7b671197a8c/Phân_hiệu_FTU___Cổng_thông_tin_sinh_viên.pdf</v>
      </c>
      <c r="Q424" s="29" t="b">
        <v>1</v>
      </c>
      <c r="R424" s="29" t="s">
        <v>4213</v>
      </c>
      <c r="S424" s="29" t="s">
        <v>4214</v>
      </c>
      <c r="T424" s="29" t="s">
        <v>72</v>
      </c>
      <c r="U424" s="29" t="s">
        <v>72</v>
      </c>
      <c r="V424" s="29" t="s">
        <v>73</v>
      </c>
      <c r="X424" s="29" t="s">
        <v>4215</v>
      </c>
      <c r="Y424" s="34">
        <v>46142.57224537037</v>
      </c>
      <c r="Z424" s="29" t="s">
        <v>4216</v>
      </c>
      <c r="AA424" s="6">
        <v>2.0</v>
      </c>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row>
    <row r="425" ht="22.5" hidden="1" customHeight="1">
      <c r="A425" s="29" t="s">
        <v>4217</v>
      </c>
      <c r="B425" s="30">
        <v>38653.0</v>
      </c>
      <c r="C425" s="29" t="s">
        <v>4218</v>
      </c>
      <c r="D425" s="31" t="s">
        <v>4219</v>
      </c>
      <c r="E425" s="29" t="s">
        <v>82</v>
      </c>
      <c r="F425" s="29" t="s">
        <v>62</v>
      </c>
      <c r="G425" s="32" t="str">
        <f>HYPERLINK("https://api.typeform.com/responses/files/662e16d885e161527b5359aec37737fb3a1e8e9d960ed718cdb123fb50941893/CV___Data_Analysis_Intern___Nguyễn_Lê_Yến_Nhi.pdf")</f>
        <v>https://api.typeform.com/responses/files/662e16d885e161527b5359aec37737fb3a1e8e9d960ed718cdb123fb50941893/CV___Data_Analysis_Intern___Nguyễn_Lê_Yến_Nhi.pdf</v>
      </c>
      <c r="H425" s="29" t="s">
        <v>4220</v>
      </c>
      <c r="I425" s="29" t="s">
        <v>4221</v>
      </c>
      <c r="J425" s="29" t="s">
        <v>2281</v>
      </c>
      <c r="L425" s="29" t="s">
        <v>219</v>
      </c>
      <c r="M425" s="29" t="s">
        <v>4222</v>
      </c>
      <c r="N425" s="33">
        <v>46418.0</v>
      </c>
      <c r="O425" s="31" t="s">
        <v>2503</v>
      </c>
      <c r="P425" s="32" t="str">
        <f>HYPERLINK("https://api.typeform.com/responses/files/7278cbe0b440cfdef0be431f400eca781f0d189f79eb7e9cfdf1c671ee24c2cb/Transcript___Data_Analysis_Intern___Nguyễn_Lê_Yến_Nhi.pdf")</f>
        <v>https://api.typeform.com/responses/files/7278cbe0b440cfdef0be431f400eca781f0d189f79eb7e9cfdf1c671ee24c2cb/Transcript___Data_Analysis_Intern___Nguyễn_Lê_Yến_Nhi.pdf</v>
      </c>
      <c r="Q425" s="29" t="b">
        <v>0</v>
      </c>
      <c r="R425" s="29" t="s">
        <v>300</v>
      </c>
      <c r="S425" s="29" t="s">
        <v>4223</v>
      </c>
      <c r="T425" s="29" t="s">
        <v>72</v>
      </c>
      <c r="U425" s="29" t="s">
        <v>72</v>
      </c>
      <c r="V425" s="29" t="s">
        <v>4224</v>
      </c>
      <c r="X425" s="29" t="s">
        <v>4225</v>
      </c>
      <c r="Y425" s="34">
        <v>46142.65207175926</v>
      </c>
      <c r="Z425" s="29" t="s">
        <v>4226</v>
      </c>
      <c r="AA425" s="6">
        <v>2.0</v>
      </c>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row>
    <row r="426" ht="22.5" hidden="1" customHeight="1">
      <c r="A426" s="29" t="s">
        <v>4227</v>
      </c>
      <c r="B426" s="30">
        <v>38295.0</v>
      </c>
      <c r="C426" s="29" t="s">
        <v>4228</v>
      </c>
      <c r="D426" s="31" t="s">
        <v>4229</v>
      </c>
      <c r="E426" s="29" t="s">
        <v>62</v>
      </c>
      <c r="F426" s="29" t="s">
        <v>82</v>
      </c>
      <c r="G426" s="32" t="str">
        <f>HYPERLINK("https://api.typeform.com/responses/files/f7662cc72f308ba94c48dda81508cdc28f7a30418e90f47ef1a45bce581df201/Resume_for_AI_Engineer_Intern___Le_Binh_Nguyen_.pdf")</f>
        <v>https://api.typeform.com/responses/files/f7662cc72f308ba94c48dda81508cdc28f7a30418e90f47ef1a45bce581df201/Resume_for_AI_Engineer_Intern___Le_Binh_Nguyen_.pdf</v>
      </c>
      <c r="H426" s="29" t="s">
        <v>4230</v>
      </c>
      <c r="I426" s="29" t="s">
        <v>4231</v>
      </c>
      <c r="J426" s="29" t="s">
        <v>85</v>
      </c>
      <c r="L426" s="29" t="s">
        <v>103</v>
      </c>
      <c r="M426" s="29" t="s">
        <v>399</v>
      </c>
      <c r="N426" s="33">
        <v>46182.0</v>
      </c>
      <c r="O426" s="31" t="s">
        <v>901</v>
      </c>
      <c r="P426" s="32" t="str">
        <f>HYPERLINK("https://api.typeform.com/responses/files/fbcb20924b98c64bb736c9276c4e5232aa439ded6e7a4791fc0561d296194be8/AcademicTranscript_VNese_10.pdf")</f>
        <v>https://api.typeform.com/responses/files/fbcb20924b98c64bb736c9276c4e5232aa439ded6e7a4791fc0561d296194be8/AcademicTranscript_VNese_10.pdf</v>
      </c>
      <c r="Q426" s="29" t="b">
        <v>1</v>
      </c>
      <c r="R426" s="29" t="s">
        <v>4232</v>
      </c>
      <c r="S426" s="29" t="s">
        <v>222</v>
      </c>
      <c r="T426" s="29" t="s">
        <v>72</v>
      </c>
      <c r="U426" s="29" t="s">
        <v>72</v>
      </c>
      <c r="V426" s="29" t="s">
        <v>73</v>
      </c>
      <c r="X426" s="29" t="s">
        <v>4233</v>
      </c>
      <c r="Y426" s="34">
        <v>46142.78402777778</v>
      </c>
      <c r="Z426" s="29" t="s">
        <v>4234</v>
      </c>
      <c r="AA426" s="6">
        <v>2.0</v>
      </c>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row>
    <row r="427" ht="22.5" hidden="1" customHeight="1">
      <c r="A427" s="29" t="s">
        <v>4235</v>
      </c>
      <c r="B427" s="30">
        <v>38600.0</v>
      </c>
      <c r="C427" s="29" t="s">
        <v>4236</v>
      </c>
      <c r="D427" s="31" t="s">
        <v>4237</v>
      </c>
      <c r="E427" s="29" t="s">
        <v>62</v>
      </c>
      <c r="F427" s="29" t="s">
        <v>82</v>
      </c>
      <c r="G427" s="32" t="str">
        <f>HYPERLINK("https://api.typeform.com/responses/files/56b272a3d7c7d9ec19e7efd7803580f4bbe24cc8f9935b65f7e634d26ea8d94c/CV_AI_Engineering_Intern_Phan_Huynh_Chau_Thinh.pdf")</f>
        <v>https://api.typeform.com/responses/files/56b272a3d7c7d9ec19e7efd7803580f4bbe24cc8f9935b65f7e634d26ea8d94c/CV_AI_Engineering_Intern_Phan_Huynh_Chau_Thinh.pdf</v>
      </c>
      <c r="H427" s="29" t="s">
        <v>4238</v>
      </c>
      <c r="I427" s="29" t="s">
        <v>4239</v>
      </c>
      <c r="J427" s="29" t="s">
        <v>326</v>
      </c>
      <c r="L427" s="29" t="s">
        <v>219</v>
      </c>
      <c r="M427" s="29" t="s">
        <v>412</v>
      </c>
      <c r="N427" s="33">
        <v>46721.0</v>
      </c>
      <c r="O427" s="31" t="s">
        <v>1456</v>
      </c>
      <c r="P427" s="32" t="str">
        <f>HYPERLINK("https://api.typeform.com/responses/files/e8ea1d88e1bd4399c5ad09ad672a938de3dfbc44dde05afb0c642124036c99f2/Transcript_AI_Engineering_Intern_Phan_Huynh_Chau_Thinh.pdf")</f>
        <v>https://api.typeform.com/responses/files/e8ea1d88e1bd4399c5ad09ad672a938de3dfbc44dde05afb0c642124036c99f2/Transcript_AI_Engineering_Intern_Phan_Huynh_Chau_Thinh.pdf</v>
      </c>
      <c r="Q427" s="29" t="b">
        <v>1</v>
      </c>
      <c r="R427" s="29" t="s">
        <v>4240</v>
      </c>
      <c r="S427" s="29" t="s">
        <v>4241</v>
      </c>
      <c r="T427" s="29" t="s">
        <v>72</v>
      </c>
      <c r="U427" s="29" t="s">
        <v>72</v>
      </c>
      <c r="V427" s="29" t="s">
        <v>269</v>
      </c>
      <c r="X427" s="29" t="s">
        <v>4242</v>
      </c>
      <c r="Y427" s="34">
        <v>46143.16292824074</v>
      </c>
      <c r="Z427" s="29" t="s">
        <v>4243</v>
      </c>
      <c r="AA427" s="6">
        <v>2.0</v>
      </c>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row>
    <row r="428" ht="22.5" hidden="1" customHeight="1">
      <c r="A428" s="29" t="s">
        <v>2897</v>
      </c>
      <c r="B428" s="30">
        <v>38654.0</v>
      </c>
      <c r="C428" s="29" t="s">
        <v>2898</v>
      </c>
      <c r="D428" s="31" t="s">
        <v>2899</v>
      </c>
      <c r="E428" s="29" t="s">
        <v>62</v>
      </c>
      <c r="F428" s="29" t="s">
        <v>82</v>
      </c>
      <c r="G428" s="32" t="str">
        <f>HYPERLINK("https://api.typeform.com/responses/files/5ef87c18772b3673166d0cf7e19096162ff175728c1d079cf59ee43297cfad84/CV___AI_Engineer_Intern___Trần_Phan_Đăng_Khôi.pdf")</f>
        <v>https://api.typeform.com/responses/files/5ef87c18772b3673166d0cf7e19096162ff175728c1d079cf59ee43297cfad84/CV___AI_Engineer_Intern___Trần_Phan_Đăng_Khôi.pdf</v>
      </c>
      <c r="H428" s="29" t="s">
        <v>4244</v>
      </c>
      <c r="I428" s="29" t="s">
        <v>4245</v>
      </c>
      <c r="J428" s="29" t="s">
        <v>715</v>
      </c>
      <c r="L428" s="29" t="s">
        <v>219</v>
      </c>
      <c r="M428" s="29" t="s">
        <v>2902</v>
      </c>
      <c r="N428" s="33">
        <v>46350.0</v>
      </c>
      <c r="O428" s="31" t="s">
        <v>1230</v>
      </c>
      <c r="P428" s="32" t="str">
        <f>HYPERLINK("https://api.typeform.com/responses/files/16a9664261f28b6f42ea7316010d80fb2325e5972311099b719b7b28f9b58dff/Transcript___AI_Engineering_Intern___Trần_Phan_Đăng_Khôi.pdf")</f>
        <v>https://api.typeform.com/responses/files/16a9664261f28b6f42ea7316010d80fb2325e5972311099b719b7b28f9b58dff/Transcript___AI_Engineering_Intern___Trần_Phan_Đăng_Khôi.pdf</v>
      </c>
      <c r="Q428" s="29" t="b">
        <v>1</v>
      </c>
      <c r="R428" s="29" t="s">
        <v>4246</v>
      </c>
      <c r="S428" s="29" t="s">
        <v>4247</v>
      </c>
      <c r="T428" s="29" t="s">
        <v>72</v>
      </c>
      <c r="U428" s="29" t="s">
        <v>72</v>
      </c>
      <c r="V428" s="29" t="s">
        <v>188</v>
      </c>
      <c r="X428" s="29" t="s">
        <v>4248</v>
      </c>
      <c r="Y428" s="34">
        <v>46143.17828703704</v>
      </c>
      <c r="Z428" s="29" t="s">
        <v>4249</v>
      </c>
      <c r="AA428" s="6">
        <v>2.0</v>
      </c>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row>
    <row r="429" ht="22.5" hidden="1" customHeight="1">
      <c r="A429" s="29" t="s">
        <v>4250</v>
      </c>
      <c r="B429" s="30">
        <v>38445.0</v>
      </c>
      <c r="C429" s="29" t="s">
        <v>4251</v>
      </c>
      <c r="D429" s="31" t="s">
        <v>4252</v>
      </c>
      <c r="E429" s="29" t="s">
        <v>99</v>
      </c>
      <c r="F429" s="29" t="s">
        <v>61</v>
      </c>
      <c r="G429" s="32" t="str">
        <f>HYPERLINK("https://api.typeform.com/responses/files/dbc604a831234c06158bbfa4afcb85455c2fe2bada2c089f29812b4bfa6a1641/CV_Game_Design_Intern_Trần_Duy_Anh_Dũng.pdf")</f>
        <v>https://api.typeform.com/responses/files/dbc604a831234c06158bbfa4afcb85455c2fe2bada2c089f29812b4bfa6a1641/CV_Game_Design_Intern_Trần_Duy_Anh_Dũng.pdf</v>
      </c>
      <c r="H429" s="29" t="s">
        <v>4253</v>
      </c>
      <c r="I429" s="29" t="s">
        <v>4254</v>
      </c>
      <c r="J429" s="29" t="s">
        <v>326</v>
      </c>
      <c r="L429" s="29" t="s">
        <v>219</v>
      </c>
      <c r="M429" s="29" t="s">
        <v>399</v>
      </c>
      <c r="N429" s="33">
        <v>46696.0</v>
      </c>
      <c r="O429" s="31" t="s">
        <v>2775</v>
      </c>
      <c r="P429" s="32" t="str">
        <f>HYPERLINK("https://api.typeform.com/responses/files/4870601bfe848c8d1dfdc89822f46c01449d55d91e0977d9fc91f5f5a8bb3ef9/Transript___Game_Design_Intern___Trần_Duy_Anh_Dũng.pdf")</f>
        <v>https://api.typeform.com/responses/files/4870601bfe848c8d1dfdc89822f46c01449d55d91e0977d9fc91f5f5a8bb3ef9/Transript___Game_Design_Intern___Trần_Duy_Anh_Dũng.pdf</v>
      </c>
      <c r="Q429" s="29" t="b">
        <v>1</v>
      </c>
      <c r="R429" s="29" t="s">
        <v>4255</v>
      </c>
      <c r="S429" s="29" t="s">
        <v>4256</v>
      </c>
      <c r="T429" s="29" t="s">
        <v>72</v>
      </c>
      <c r="U429" s="29" t="s">
        <v>4257</v>
      </c>
      <c r="V429" s="29" t="s">
        <v>4258</v>
      </c>
      <c r="X429" s="29" t="s">
        <v>4259</v>
      </c>
      <c r="Y429" s="34">
        <v>46143.20291666667</v>
      </c>
      <c r="Z429" s="29" t="s">
        <v>4260</v>
      </c>
      <c r="AA429" s="6">
        <v>2.0</v>
      </c>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row>
    <row r="430" ht="22.5" hidden="1" customHeight="1">
      <c r="A430" s="29" t="s">
        <v>4261</v>
      </c>
      <c r="B430" s="30">
        <v>37798.0</v>
      </c>
      <c r="C430" s="29" t="s">
        <v>4262</v>
      </c>
      <c r="D430" s="31" t="s">
        <v>4263</v>
      </c>
      <c r="E430" s="29" t="s">
        <v>82</v>
      </c>
      <c r="F430" s="29" t="s">
        <v>62</v>
      </c>
      <c r="G430" s="32" t="str">
        <f>HYPERLINK("https://api.typeform.com/responses/files/dfa116cd96aad4b18f7bbfa48a68e002a441e4bc4d83aefa585c100bfea2665b/Luong_Nguyen_Anh_Quan___Intern.pdf")</f>
        <v>https://api.typeform.com/responses/files/dfa116cd96aad4b18f7bbfa48a68e002a441e4bc4d83aefa585c100bfea2665b/Luong_Nguyen_Anh_Quan___Intern.pdf</v>
      </c>
      <c r="H430" s="29" t="s">
        <v>4264</v>
      </c>
      <c r="I430" s="29" t="s">
        <v>4265</v>
      </c>
      <c r="J430" s="29" t="s">
        <v>644</v>
      </c>
      <c r="L430" s="29" t="s">
        <v>67</v>
      </c>
      <c r="M430" s="29" t="s">
        <v>4266</v>
      </c>
      <c r="N430" s="33">
        <v>46235.0</v>
      </c>
      <c r="O430" s="31" t="s">
        <v>159</v>
      </c>
      <c r="P430" s="32" t="str">
        <f>HYPERLINK("https://api.typeform.com/responses/files/900c3beae71fe4b01d6805c20750ff31ed56e65bc8ef8b3b6b9c850cb56d254b/Transcript___Data_Analyst_Intern___Luong_Nguyen_Anh_Quan.xls")</f>
        <v>https://api.typeform.com/responses/files/900c3beae71fe4b01d6805c20750ff31ed56e65bc8ef8b3b6b9c850cb56d254b/Transcript___Data_Analyst_Intern___Luong_Nguyen_Anh_Quan.xls</v>
      </c>
      <c r="Q430" s="29" t="b">
        <v>1</v>
      </c>
      <c r="R430" s="29" t="s">
        <v>4267</v>
      </c>
      <c r="S430" s="29" t="s">
        <v>4268</v>
      </c>
      <c r="T430" s="29" t="s">
        <v>72</v>
      </c>
      <c r="U430" s="29" t="s">
        <v>72</v>
      </c>
      <c r="V430" s="29" t="s">
        <v>90</v>
      </c>
      <c r="X430" s="29" t="s">
        <v>4269</v>
      </c>
      <c r="Y430" s="34">
        <v>46143.224074074074</v>
      </c>
      <c r="Z430" s="29" t="s">
        <v>4270</v>
      </c>
      <c r="AA430" s="6">
        <v>2.0</v>
      </c>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row>
    <row r="431" ht="22.5" hidden="1" customHeight="1">
      <c r="A431" s="29" t="s">
        <v>4271</v>
      </c>
      <c r="B431" s="30">
        <v>38903.0</v>
      </c>
      <c r="C431" s="29" t="s">
        <v>4272</v>
      </c>
      <c r="D431" s="31" t="s">
        <v>4273</v>
      </c>
      <c r="E431" s="29" t="s">
        <v>62</v>
      </c>
      <c r="G431" s="32" t="str">
        <f>HYPERLINK("https://api.typeform.com/responses/files/5b959ab2875fb31c399829403a835cc7c091bb91a15fd80ddce77999bf7522a3/24522014.pdf")</f>
        <v>https://api.typeform.com/responses/files/5b959ab2875fb31c399829403a835cc7c091bb91a15fd80ddce77999bf7522a3/24522014.pdf</v>
      </c>
      <c r="H431" s="29" t="s">
        <v>4274</v>
      </c>
      <c r="I431" s="29" t="s">
        <v>4275</v>
      </c>
      <c r="J431" s="29" t="s">
        <v>85</v>
      </c>
      <c r="L431" s="29" t="s">
        <v>169</v>
      </c>
      <c r="M431" s="29" t="s">
        <v>590</v>
      </c>
      <c r="N431" s="33">
        <v>47081.0</v>
      </c>
      <c r="O431" s="31" t="s">
        <v>2592</v>
      </c>
      <c r="P431" s="32" t="str">
        <f>HYPERLINK("https://api.typeform.com/responses/files/8da4d66f7e53b06f638fd4b8ff02cb60b3d821ca8b9d6a3b8e3494f7b09ebef6/Transcript.pdf")</f>
        <v>https://api.typeform.com/responses/files/8da4d66f7e53b06f638fd4b8ff02cb60b3d821ca8b9d6a3b8e3494f7b09ebef6/Transcript.pdf</v>
      </c>
      <c r="Q431" s="29" t="b">
        <v>1</v>
      </c>
      <c r="R431" s="29" t="s">
        <v>4276</v>
      </c>
      <c r="S431" s="29" t="s">
        <v>4277</v>
      </c>
      <c r="T431" s="29" t="s">
        <v>72</v>
      </c>
      <c r="U431" s="29" t="s">
        <v>72</v>
      </c>
      <c r="V431" s="29" t="s">
        <v>90</v>
      </c>
      <c r="X431" s="29" t="s">
        <v>4278</v>
      </c>
      <c r="Y431" s="34">
        <v>46143.23337962963</v>
      </c>
      <c r="Z431" s="29" t="s">
        <v>4279</v>
      </c>
      <c r="AA431" s="6">
        <v>2.0</v>
      </c>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row>
    <row r="432" ht="22.5" hidden="1" customHeight="1">
      <c r="A432" s="29" t="s">
        <v>4280</v>
      </c>
      <c r="B432" s="30">
        <v>37720.0</v>
      </c>
      <c r="C432" s="29" t="s">
        <v>4281</v>
      </c>
      <c r="D432" s="31" t="s">
        <v>4282</v>
      </c>
      <c r="E432" s="29" t="s">
        <v>62</v>
      </c>
      <c r="F432" s="29" t="s">
        <v>82</v>
      </c>
      <c r="G432" s="32" t="str">
        <f>HYPERLINK("https://api.typeform.com/responses/files/8aaf69b079573412173b571a1b15123bcd982d4feb582d0fd0bda328cee6a168/CV_AI_Engineer_Intern_Trương_Hoài_Phong.pdf")</f>
        <v>https://api.typeform.com/responses/files/8aaf69b079573412173b571a1b15123bcd982d4feb582d0fd0bda328cee6a168/CV_AI_Engineer_Intern_Trương_Hoài_Phong.pdf</v>
      </c>
      <c r="H432" s="29" t="s">
        <v>4283</v>
      </c>
      <c r="I432" s="29" t="s">
        <v>4284</v>
      </c>
      <c r="J432" s="29" t="s">
        <v>4285</v>
      </c>
      <c r="L432" s="29" t="s">
        <v>103</v>
      </c>
      <c r="M432" s="29" t="s">
        <v>1830</v>
      </c>
      <c r="N432" s="33">
        <v>46111.0</v>
      </c>
      <c r="O432" s="31" t="s">
        <v>2009</v>
      </c>
      <c r="P432" s="32" t="str">
        <f>HYPERLINK("https://api.typeform.com/responses/files/ecdb1145566fd5cd9066f8821b856caf1705139444cc82c0b0f009f6f66e7967/Transcript___AI_Engineer_Intern___Trương_Hoài_Phong.pdf")</f>
        <v>https://api.typeform.com/responses/files/ecdb1145566fd5cd9066f8821b856caf1705139444cc82c0b0f009f6f66e7967/Transcript___AI_Engineer_Intern___Trương_Hoài_Phong.pdf</v>
      </c>
      <c r="Q432" s="29" t="b">
        <v>0</v>
      </c>
      <c r="R432" s="29" t="s">
        <v>268</v>
      </c>
      <c r="S432" s="29" t="s">
        <v>4286</v>
      </c>
      <c r="T432" s="29" t="s">
        <v>72</v>
      </c>
      <c r="U432" s="29" t="s">
        <v>72</v>
      </c>
      <c r="V432" s="29" t="s">
        <v>224</v>
      </c>
      <c r="X432" s="29" t="s">
        <v>4287</v>
      </c>
      <c r="Y432" s="34">
        <v>46143.3096875</v>
      </c>
      <c r="Z432" s="29" t="s">
        <v>4288</v>
      </c>
      <c r="AA432" s="6">
        <v>2.0</v>
      </c>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row>
    <row r="433" ht="22.5" hidden="1" customHeight="1">
      <c r="A433" s="29" t="s">
        <v>4289</v>
      </c>
      <c r="B433" s="30">
        <v>38078.0</v>
      </c>
      <c r="C433" s="29" t="s">
        <v>4290</v>
      </c>
      <c r="D433" s="31" t="s">
        <v>4291</v>
      </c>
      <c r="E433" s="29" t="s">
        <v>62</v>
      </c>
      <c r="F433" s="29" t="s">
        <v>82</v>
      </c>
      <c r="G433" s="32" t="str">
        <f>HYPERLINK("https://api.typeform.com/responses/files/774fecf463440adc873203c9a1ea1d1916717229a3608962c99124089c79ad8a/TrieuTanHuy_CV.pdf")</f>
        <v>https://api.typeform.com/responses/files/774fecf463440adc873203c9a1ea1d1916717229a3608962c99124089c79ad8a/TrieuTanHuy_CV.pdf</v>
      </c>
      <c r="H433" s="29" t="s">
        <v>4292</v>
      </c>
      <c r="I433" s="29" t="s">
        <v>4293</v>
      </c>
      <c r="J433" s="29" t="s">
        <v>85</v>
      </c>
      <c r="L433" s="29" t="s">
        <v>103</v>
      </c>
      <c r="M433" s="29" t="s">
        <v>399</v>
      </c>
      <c r="N433" s="33">
        <v>46179.0</v>
      </c>
      <c r="O433" s="31" t="s">
        <v>221</v>
      </c>
      <c r="P433" s="32" t="str">
        <f>HYPERLINK("https://api.typeform.com/responses/files/2b5d0e2d7c44563154361af2ced6194e180ebdb67b86f146914a5f1bd3a54572/Transcript___AI_Engineer_Intern___Trieu_Tan_Huy.pdf")</f>
        <v>https://api.typeform.com/responses/files/2b5d0e2d7c44563154361af2ced6194e180ebdb67b86f146914a5f1bd3a54572/Transcript___AI_Engineer_Intern___Trieu_Tan_Huy.pdf</v>
      </c>
      <c r="Q433" s="29" t="b">
        <v>1</v>
      </c>
      <c r="R433" s="29" t="s">
        <v>4294</v>
      </c>
      <c r="S433" s="29" t="s">
        <v>4295</v>
      </c>
      <c r="T433" s="29" t="s">
        <v>72</v>
      </c>
      <c r="U433" s="29" t="s">
        <v>72</v>
      </c>
      <c r="V433" s="29" t="s">
        <v>2389</v>
      </c>
      <c r="X433" s="29" t="s">
        <v>4296</v>
      </c>
      <c r="Y433" s="34">
        <v>46143.407997685186</v>
      </c>
      <c r="Z433" s="29" t="s">
        <v>4297</v>
      </c>
      <c r="AA433" s="6">
        <v>2.0</v>
      </c>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row>
    <row r="434" ht="22.5" hidden="1" customHeight="1">
      <c r="A434" s="29" t="s">
        <v>4298</v>
      </c>
      <c r="B434" s="30">
        <v>39074.0</v>
      </c>
      <c r="C434" s="29" t="s">
        <v>4299</v>
      </c>
      <c r="D434" s="31" t="s">
        <v>4300</v>
      </c>
      <c r="E434" s="29" t="s">
        <v>633</v>
      </c>
      <c r="F434" s="29" t="s">
        <v>774</v>
      </c>
      <c r="G434" s="32" t="str">
        <f>HYPERLINK("https://api.typeform.com/responses/files/a9459d714aeb066d326ac8baa7ee454774af92cced47e9c6a82c004f23187e0c/inbound5812462044915528695.pdf")</f>
        <v>https://api.typeform.com/responses/files/a9459d714aeb066d326ac8baa7ee454774af92cced47e9c6a82c004f23187e0c/inbound5812462044915528695.pdf</v>
      </c>
      <c r="H434" s="29" t="s">
        <v>4301</v>
      </c>
      <c r="I434" s="29" t="s">
        <v>4302</v>
      </c>
      <c r="J434" s="29" t="s">
        <v>1311</v>
      </c>
      <c r="L434" s="29" t="s">
        <v>219</v>
      </c>
      <c r="M434" s="29" t="s">
        <v>4303</v>
      </c>
      <c r="N434" s="33">
        <v>46844.0</v>
      </c>
      <c r="O434" s="29" t="s">
        <v>4304</v>
      </c>
      <c r="P434" s="32" t="str">
        <f>HYPERLINK("https://api.typeform.com/responses/files/c2abf3101259b3f1ffbd8800a119b7dd13c6e3b86f08eba229228a623b3ecf97/inbound8582114021282658067.pdf")</f>
        <v>https://api.typeform.com/responses/files/c2abf3101259b3f1ffbd8800a119b7dd13c6e3b86f08eba229228a623b3ecf97/inbound8582114021282658067.pdf</v>
      </c>
      <c r="Q434" s="29" t="b">
        <v>1</v>
      </c>
      <c r="R434" s="29" t="s">
        <v>4305</v>
      </c>
      <c r="S434" s="29" t="s">
        <v>4306</v>
      </c>
      <c r="T434" s="29" t="s">
        <v>72</v>
      </c>
      <c r="U434" s="29" t="s">
        <v>72</v>
      </c>
      <c r="V434" s="29" t="s">
        <v>73</v>
      </c>
      <c r="X434" s="29" t="s">
        <v>4307</v>
      </c>
      <c r="Y434" s="34">
        <v>46143.41740740741</v>
      </c>
      <c r="Z434" s="29" t="s">
        <v>4308</v>
      </c>
      <c r="AA434" s="6">
        <v>2.0</v>
      </c>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row>
    <row r="435" ht="22.5" hidden="1" customHeight="1">
      <c r="A435" s="29" t="s">
        <v>4309</v>
      </c>
      <c r="B435" s="30">
        <v>37909.0</v>
      </c>
      <c r="C435" s="29" t="s">
        <v>4310</v>
      </c>
      <c r="D435" s="31" t="s">
        <v>4311</v>
      </c>
      <c r="E435" s="29" t="s">
        <v>127</v>
      </c>
      <c r="F435" s="29" t="s">
        <v>62</v>
      </c>
      <c r="G435" s="32" t="str">
        <f>HYPERLINK("https://api.typeform.com/responses/files/efadcdbe381e552780539c0b362373e6060cd5c3798bf73f2104983c763c3cc4/CV_NgoTheKietIS.pdf")</f>
        <v>https://api.typeform.com/responses/files/efadcdbe381e552780539c0b362373e6060cd5c3798bf73f2104983c763c3cc4/CV_NgoTheKietIS.pdf</v>
      </c>
      <c r="H435" s="29" t="s">
        <v>4312</v>
      </c>
      <c r="I435" s="29" t="s">
        <v>4313</v>
      </c>
      <c r="J435" s="29" t="s">
        <v>1023</v>
      </c>
      <c r="L435" s="29" t="s">
        <v>103</v>
      </c>
      <c r="M435" s="29" t="s">
        <v>4314</v>
      </c>
      <c r="N435" s="33">
        <v>45805.0</v>
      </c>
      <c r="O435" s="31" t="s">
        <v>483</v>
      </c>
      <c r="P435" s="32" t="str">
        <f>HYPERLINK("https://api.typeform.com/responses/files/602ddeab97c70b4b827bcc9b843d8b1b5bfc004b1e932d4753b0e4304a842d45/CV_NgoTheKietIS.pdf")</f>
        <v>https://api.typeform.com/responses/files/602ddeab97c70b4b827bcc9b843d8b1b5bfc004b1e932d4753b0e4304a842d45/CV_NgoTheKietIS.pdf</v>
      </c>
      <c r="Q435" s="29" t="b">
        <v>0</v>
      </c>
      <c r="R435" s="29" t="s">
        <v>222</v>
      </c>
      <c r="S435" s="29" t="s">
        <v>300</v>
      </c>
      <c r="T435" s="29" t="s">
        <v>72</v>
      </c>
      <c r="U435" s="29" t="s">
        <v>72</v>
      </c>
      <c r="V435" s="29" t="s">
        <v>90</v>
      </c>
      <c r="Y435" s="34">
        <v>46143.420949074076</v>
      </c>
      <c r="Z435" s="29" t="s">
        <v>4315</v>
      </c>
      <c r="AA435" s="6">
        <v>2.0</v>
      </c>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row>
    <row r="436" ht="22.5" hidden="1" customHeight="1">
      <c r="A436" s="29" t="s">
        <v>4316</v>
      </c>
      <c r="B436" s="30">
        <v>37555.0</v>
      </c>
      <c r="C436" s="29" t="s">
        <v>4317</v>
      </c>
      <c r="D436" s="31" t="s">
        <v>4318</v>
      </c>
      <c r="E436" s="29" t="s">
        <v>82</v>
      </c>
      <c r="F436" s="29" t="s">
        <v>774</v>
      </c>
      <c r="G436" s="32" t="str">
        <f>HYPERLINK("https://api.typeform.com/responses/files/61ad82d8d88c6bbf079d5576f571578c596af9dea272aea878b1d32f072da126/CV_Data_Analyst_Intern_Nguyen_Thi_Anh_Thanh.pdf")</f>
        <v>https://api.typeform.com/responses/files/61ad82d8d88c6bbf079d5576f571578c596af9dea272aea878b1d32f072da126/CV_Data_Analyst_Intern_Nguyen_Thi_Anh_Thanh.pdf</v>
      </c>
      <c r="H436" s="29" t="s">
        <v>4319</v>
      </c>
      <c r="I436" s="29" t="s">
        <v>4320</v>
      </c>
      <c r="J436" s="29" t="s">
        <v>338</v>
      </c>
      <c r="L436" s="29" t="s">
        <v>103</v>
      </c>
      <c r="M436" s="29" t="s">
        <v>132</v>
      </c>
      <c r="N436" s="33">
        <v>45883.0</v>
      </c>
      <c r="O436" s="31" t="s">
        <v>4321</v>
      </c>
      <c r="P436" s="32" t="str">
        <f>HYPERLINK("https://api.typeform.com/responses/files/9130f0bd6aca5f3235642ae1c8415ecbe99085528cad2382c3acf72bd548c791/CV_Data_Analyst_Intern_Nguyen_Thi_Anh_Thanh.pdf")</f>
        <v>https://api.typeform.com/responses/files/9130f0bd6aca5f3235642ae1c8415ecbe99085528cad2382c3acf72bd548c791/CV_Data_Analyst_Intern_Nguyen_Thi_Anh_Thanh.pdf</v>
      </c>
      <c r="Q436" s="29" t="b">
        <v>1</v>
      </c>
      <c r="R436" s="29" t="s">
        <v>4322</v>
      </c>
      <c r="S436" s="29" t="s">
        <v>4323</v>
      </c>
      <c r="T436" s="29" t="s">
        <v>72</v>
      </c>
      <c r="U436" s="29" t="s">
        <v>72</v>
      </c>
      <c r="V436" s="29" t="s">
        <v>90</v>
      </c>
      <c r="X436" s="29" t="s">
        <v>4324</v>
      </c>
      <c r="Y436" s="34">
        <v>46143.487650462965</v>
      </c>
      <c r="Z436" s="29" t="s">
        <v>4325</v>
      </c>
      <c r="AA436" s="6">
        <v>2.0</v>
      </c>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row>
    <row r="437" ht="22.5" hidden="1" customHeight="1">
      <c r="A437" s="29" t="s">
        <v>4326</v>
      </c>
      <c r="B437" s="30">
        <v>37980.0</v>
      </c>
      <c r="C437" s="29" t="s">
        <v>4327</v>
      </c>
      <c r="D437" s="31" t="s">
        <v>4328</v>
      </c>
      <c r="E437" s="29" t="s">
        <v>774</v>
      </c>
      <c r="G437" s="32" t="str">
        <f>HYPERLINK("https://api.typeform.com/responses/files/49914017047ecf29aa38c89cd9c8474bb0e21155ab3d986d3d29cf806dc7ad56/CV___Game_User_Acquisition_Intern___Nguyễn_Thị_Tuyết_Nữ.pdf")</f>
        <v>https://api.typeform.com/responses/files/49914017047ecf29aa38c89cd9c8474bb0e21155ab3d986d3d29cf806dc7ad56/CV___Game_User_Acquisition_Intern___Nguyễn_Thị_Tuyết_Nữ.pdf</v>
      </c>
      <c r="H437" s="29" t="s">
        <v>4329</v>
      </c>
      <c r="I437" s="29" t="s">
        <v>4330</v>
      </c>
      <c r="J437" s="29" t="s">
        <v>2281</v>
      </c>
      <c r="L437" s="29" t="s">
        <v>67</v>
      </c>
      <c r="M437" s="29" t="s">
        <v>1348</v>
      </c>
      <c r="N437" s="33">
        <v>46341.0</v>
      </c>
      <c r="O437" s="31" t="s">
        <v>4331</v>
      </c>
      <c r="P437" s="32" t="str">
        <f>HYPERLINK("https://api.typeform.com/responses/files/071f03bed2692d94bc4feba9742bfa849803525871850928619ff80b90b44448/Transcript___Game_User_Acquisition_Intern___Nguyễn_Thị_Tuyết_Nữ.pdf")</f>
        <v>https://api.typeform.com/responses/files/071f03bed2692d94bc4feba9742bfa849803525871850928619ff80b90b44448/Transcript___Game_User_Acquisition_Intern___Nguyễn_Thị_Tuyết_Nữ.pdf</v>
      </c>
      <c r="Q437" s="29" t="b">
        <v>0</v>
      </c>
      <c r="R437" s="29" t="s">
        <v>4332</v>
      </c>
      <c r="S437" s="29" t="s">
        <v>401</v>
      </c>
      <c r="T437" s="29" t="s">
        <v>72</v>
      </c>
      <c r="U437" s="29" t="s">
        <v>72</v>
      </c>
      <c r="V437" s="29" t="s">
        <v>73</v>
      </c>
      <c r="X437" s="29" t="s">
        <v>4333</v>
      </c>
      <c r="Y437" s="34">
        <v>46143.57796296296</v>
      </c>
      <c r="Z437" s="29" t="s">
        <v>4334</v>
      </c>
      <c r="AA437" s="6">
        <v>3.0</v>
      </c>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row>
    <row r="438" ht="22.5" hidden="1" customHeight="1">
      <c r="A438" s="29" t="s">
        <v>4335</v>
      </c>
      <c r="B438" s="30">
        <v>38230.0</v>
      </c>
      <c r="C438" s="29" t="s">
        <v>4336</v>
      </c>
      <c r="D438" s="31" t="s">
        <v>4337</v>
      </c>
      <c r="E438" s="29" t="s">
        <v>62</v>
      </c>
      <c r="F438" s="29" t="s">
        <v>82</v>
      </c>
      <c r="G438" s="32" t="str">
        <f>HYPERLINK("https://api.typeform.com/responses/files/ba7d85aa3096688023c9b20963039d62768d888c85f5daddb4090c306569f32a/CV___AI_Engineering_Intern___Le_Duc_Long.pdf")</f>
        <v>https://api.typeform.com/responses/files/ba7d85aa3096688023c9b20963039d62768d888c85f5daddb4090c306569f32a/CV___AI_Engineering_Intern___Le_Duc_Long.pdf</v>
      </c>
      <c r="H438" s="29" t="s">
        <v>4338</v>
      </c>
      <c r="I438" s="29" t="s">
        <v>4339</v>
      </c>
      <c r="J438" s="29" t="s">
        <v>65</v>
      </c>
      <c r="K438" s="29" t="s">
        <v>4340</v>
      </c>
      <c r="L438" s="29" t="s">
        <v>67</v>
      </c>
      <c r="M438" s="29" t="s">
        <v>132</v>
      </c>
      <c r="N438" s="33">
        <v>46235.0</v>
      </c>
      <c r="O438" s="31" t="s">
        <v>4341</v>
      </c>
      <c r="P438" s="32" t="str">
        <f>HYPERLINK("https://api.typeform.com/responses/files/6b6e0fc8783520ea4d22a0096f9c81bba61338472b147f0f58574118c1d88b86/Transcript___AI_Engineering_Intern___Le_Duc_Long.pdf")</f>
        <v>https://api.typeform.com/responses/files/6b6e0fc8783520ea4d22a0096f9c81bba61338472b147f0f58574118c1d88b86/Transcript___AI_Engineering_Intern___Le_Duc_Long.pdf</v>
      </c>
      <c r="Q438" s="29" t="b">
        <v>1</v>
      </c>
      <c r="R438" s="29" t="s">
        <v>4342</v>
      </c>
      <c r="S438" s="29" t="s">
        <v>4343</v>
      </c>
      <c r="T438" s="29" t="s">
        <v>72</v>
      </c>
      <c r="U438" s="29" t="s">
        <v>72</v>
      </c>
      <c r="V438" s="29" t="s">
        <v>90</v>
      </c>
      <c r="Y438" s="34">
        <v>46143.59289351852</v>
      </c>
      <c r="Z438" s="29" t="s">
        <v>4344</v>
      </c>
      <c r="AA438" s="6">
        <v>3.0</v>
      </c>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row>
    <row r="439" ht="22.5" hidden="1" customHeight="1">
      <c r="A439" s="29" t="s">
        <v>4345</v>
      </c>
      <c r="B439" s="30">
        <v>38002.0</v>
      </c>
      <c r="C439" s="29" t="s">
        <v>4346</v>
      </c>
      <c r="D439" s="31" t="s">
        <v>4347</v>
      </c>
      <c r="E439" s="29" t="s">
        <v>61</v>
      </c>
      <c r="G439" s="32" t="str">
        <f>HYPERLINK("https://api.typeform.com/responses/files/36fd2c809b26d4e6b489a8575399ff4e76c3e59258dd6c0e910acc5d8b79819a/CV_Unity_Development_Intern_Huỳnh_Thị_Kim_Ngọc.pdf")</f>
        <v>https://api.typeform.com/responses/files/36fd2c809b26d4e6b489a8575399ff4e76c3e59258dd6c0e910acc5d8b79819a/CV_Unity_Development_Intern_Huỳnh_Thị_Kim_Ngọc.pdf</v>
      </c>
      <c r="H439" s="29" t="s">
        <v>4348</v>
      </c>
      <c r="I439" s="29" t="s">
        <v>4349</v>
      </c>
      <c r="J439" s="29" t="s">
        <v>65</v>
      </c>
      <c r="K439" s="29" t="s">
        <v>4350</v>
      </c>
      <c r="L439" s="29" t="s">
        <v>67</v>
      </c>
      <c r="M439" s="29" t="s">
        <v>2491</v>
      </c>
      <c r="N439" s="33">
        <v>46421.0</v>
      </c>
      <c r="O439" s="31" t="s">
        <v>159</v>
      </c>
      <c r="P439" s="32" t="str">
        <f>HYPERLINK("https://api.typeform.com/responses/files/b76bbc604592c37edc225107e70ee5d206ca569e37a1d8432fb9bc2537513069/Transcript___Unity_Development_Intern___Huỳnh_Thị_Kim_Ngọc.docx")</f>
        <v>https://api.typeform.com/responses/files/b76bbc604592c37edc225107e70ee5d206ca569e37a1d8432fb9bc2537513069/Transcript___Unity_Development_Intern___Huỳnh_Thị_Kim_Ngọc.docx</v>
      </c>
      <c r="Q439" s="29" t="b">
        <v>1</v>
      </c>
      <c r="R439" s="29" t="s">
        <v>4351</v>
      </c>
      <c r="S439" s="29" t="s">
        <v>4352</v>
      </c>
      <c r="T439" s="29" t="s">
        <v>72</v>
      </c>
      <c r="U439" s="29" t="s">
        <v>72</v>
      </c>
      <c r="V439" s="29" t="s">
        <v>90</v>
      </c>
      <c r="X439" s="29" t="s">
        <v>4353</v>
      </c>
      <c r="Y439" s="34">
        <v>46143.628113425926</v>
      </c>
      <c r="Z439" s="29" t="s">
        <v>4354</v>
      </c>
      <c r="AA439" s="6">
        <v>3.0</v>
      </c>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row>
    <row r="440" ht="22.5" hidden="1" customHeight="1">
      <c r="A440" s="29" t="s">
        <v>4355</v>
      </c>
      <c r="B440" s="30">
        <v>37917.0</v>
      </c>
      <c r="C440" s="29" t="s">
        <v>4356</v>
      </c>
      <c r="D440" s="31" t="s">
        <v>4357</v>
      </c>
      <c r="E440" s="29" t="s">
        <v>62</v>
      </c>
      <c r="F440" s="29" t="s">
        <v>61</v>
      </c>
      <c r="G440" s="32" t="str">
        <f>HYPERLINK("https://api.typeform.com/responses/files/1abd3ff6c86bb06949d67c3d2903fa37b028d8796a9941af006dba69c93dcc4a/CV___AI_ENGINEER___HOÀNG_HUY_TỚI.pdf")</f>
        <v>https://api.typeform.com/responses/files/1abd3ff6c86bb06949d67c3d2903fa37b028d8796a9941af006dba69c93dcc4a/CV___AI_ENGINEER___HOÀNG_HUY_TỚI.pdf</v>
      </c>
      <c r="H440" s="29" t="s">
        <v>4358</v>
      </c>
      <c r="I440" s="29" t="s">
        <v>4359</v>
      </c>
      <c r="J440" s="29" t="s">
        <v>277</v>
      </c>
      <c r="L440" s="29" t="s">
        <v>103</v>
      </c>
      <c r="M440" s="29" t="s">
        <v>104</v>
      </c>
      <c r="N440" s="33">
        <v>46117.0</v>
      </c>
      <c r="O440" s="31" t="s">
        <v>696</v>
      </c>
      <c r="P440" s="32" t="str">
        <f>HYPERLINK("https://api.typeform.com/responses/files/028601f8448ef4f630cbd02ca787bc68e7c0c0b67d1db87674628bcf27fe90dd/bangdiem.pdf")</f>
        <v>https://api.typeform.com/responses/files/028601f8448ef4f630cbd02ca787bc68e7c0c0b67d1db87674628bcf27fe90dd/bangdiem.pdf</v>
      </c>
      <c r="Q440" s="29" t="b">
        <v>1</v>
      </c>
      <c r="R440" s="29" t="s">
        <v>4360</v>
      </c>
      <c r="S440" s="29" t="s">
        <v>4361</v>
      </c>
      <c r="T440" s="29" t="s">
        <v>72</v>
      </c>
      <c r="U440" s="29" t="s">
        <v>72</v>
      </c>
      <c r="V440" s="29" t="s">
        <v>73</v>
      </c>
      <c r="Y440" s="34">
        <v>46143.678090277775</v>
      </c>
      <c r="Z440" s="29" t="s">
        <v>4362</v>
      </c>
      <c r="AA440" s="6">
        <v>3.0</v>
      </c>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row>
    <row r="441" ht="22.5" hidden="1" customHeight="1">
      <c r="A441" s="29" t="s">
        <v>4363</v>
      </c>
      <c r="B441" s="30">
        <v>38513.0</v>
      </c>
      <c r="C441" s="29" t="s">
        <v>4364</v>
      </c>
      <c r="D441" s="31" t="s">
        <v>4365</v>
      </c>
      <c r="E441" s="29" t="s">
        <v>82</v>
      </c>
      <c r="F441" s="29" t="s">
        <v>62</v>
      </c>
      <c r="G441" s="32" t="str">
        <f>HYPERLINK("https://api.typeform.com/responses/files/baa29c84a12d250db6d69b432a9edcf991b2ef6371e92de9f276eff4f54256ef/CV___Data_Analysis_Intern___Đỗ_Nguyễn_Khoa_Duy.pdf")</f>
        <v>https://api.typeform.com/responses/files/baa29c84a12d250db6d69b432a9edcf991b2ef6371e92de9f276eff4f54256ef/CV___Data_Analysis_Intern___Đỗ_Nguyễn_Khoa_Duy.pdf</v>
      </c>
      <c r="H441" s="29" t="s">
        <v>4366</v>
      </c>
      <c r="I441" s="29" t="s">
        <v>4367</v>
      </c>
      <c r="J441" s="29" t="s">
        <v>842</v>
      </c>
      <c r="L441" s="29" t="s">
        <v>219</v>
      </c>
      <c r="M441" s="29" t="s">
        <v>4368</v>
      </c>
      <c r="N441" s="33">
        <v>46447.0</v>
      </c>
      <c r="O441" s="31" t="s">
        <v>881</v>
      </c>
      <c r="P441" s="32" t="str">
        <f>HYPERLINK("https://api.typeform.com/responses/files/93b878e83a3d33af0689914fc7678ee190675ecd526f89669378a9ab09358807/Transcript___Data_Analysis_Intern___Đỗ_Nguyễn_Khoa_Duy.pdf")</f>
        <v>https://api.typeform.com/responses/files/93b878e83a3d33af0689914fc7678ee190675ecd526f89669378a9ab09358807/Transcript___Data_Analysis_Intern___Đỗ_Nguyễn_Khoa_Duy.pdf</v>
      </c>
      <c r="Q441" s="29" t="b">
        <v>0</v>
      </c>
      <c r="R441" s="29" t="s">
        <v>4369</v>
      </c>
      <c r="S441" s="29" t="s">
        <v>4369</v>
      </c>
      <c r="T441" s="29" t="s">
        <v>72</v>
      </c>
      <c r="U441" s="29" t="s">
        <v>72</v>
      </c>
      <c r="V441" s="29" t="s">
        <v>73</v>
      </c>
      <c r="X441" s="29" t="s">
        <v>4370</v>
      </c>
      <c r="Y441" s="34">
        <v>46144.030694444446</v>
      </c>
      <c r="Z441" s="29" t="s">
        <v>4371</v>
      </c>
      <c r="AA441" s="6">
        <v>3.0</v>
      </c>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row>
    <row r="442" ht="22.5" hidden="1" customHeight="1">
      <c r="A442" s="29" t="s">
        <v>4372</v>
      </c>
      <c r="B442" s="30">
        <v>38331.0</v>
      </c>
      <c r="C442" s="29" t="s">
        <v>4373</v>
      </c>
      <c r="D442" s="31" t="s">
        <v>4374</v>
      </c>
      <c r="E442" s="29" t="s">
        <v>61</v>
      </c>
      <c r="F442" s="29" t="s">
        <v>127</v>
      </c>
      <c r="G442" s="32" t="str">
        <f>HYPERLINK("https://api.typeform.com/responses/files/c1bd34278f9d207f06282b1cad2ec24171686e60036405ad5282a013c3ca7280/CV___Unity_Development_Intern___Hồ_Nhật_Tiến.pdf")</f>
        <v>https://api.typeform.com/responses/files/c1bd34278f9d207f06282b1cad2ec24171686e60036405ad5282a013c3ca7280/CV___Unity_Development_Intern___Hồ_Nhật_Tiến.pdf</v>
      </c>
      <c r="H442" s="29" t="s">
        <v>4375</v>
      </c>
      <c r="I442" s="29" t="s">
        <v>4376</v>
      </c>
      <c r="J442" s="29" t="s">
        <v>65</v>
      </c>
      <c r="K442" s="29" t="s">
        <v>961</v>
      </c>
      <c r="L442" s="29" t="s">
        <v>103</v>
      </c>
      <c r="M442" s="29" t="s">
        <v>4377</v>
      </c>
      <c r="N442" s="33">
        <v>46086.0</v>
      </c>
      <c r="O442" s="31" t="s">
        <v>890</v>
      </c>
      <c r="P442" s="32" t="str">
        <f>HYPERLINK("https://api.typeform.com/responses/files/f721d468bfc862d0092fd219b7fd0c70682d4423a105e6bfbac23bf877ece142/Transcript___Unity_Development_Intern___Hồ_Nhật_Tiến.pdf")</f>
        <v>https://api.typeform.com/responses/files/f721d468bfc862d0092fd219b7fd0c70682d4423a105e6bfbac23bf877ece142/Transcript___Unity_Development_Intern___Hồ_Nhật_Tiến.pdf</v>
      </c>
      <c r="Q442" s="29" t="b">
        <v>1</v>
      </c>
      <c r="R442" s="29" t="s">
        <v>4378</v>
      </c>
      <c r="S442" s="29" t="s">
        <v>4379</v>
      </c>
      <c r="T442" s="29" t="s">
        <v>72</v>
      </c>
      <c r="U442" s="29" t="s">
        <v>72</v>
      </c>
      <c r="V442" s="29" t="s">
        <v>4380</v>
      </c>
      <c r="Y442" s="34">
        <v>46144.069074074076</v>
      </c>
      <c r="Z442" s="29" t="s">
        <v>4381</v>
      </c>
      <c r="AA442" s="6">
        <v>3.0</v>
      </c>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row>
    <row r="443" ht="22.5" hidden="1" customHeight="1">
      <c r="A443" s="29" t="s">
        <v>4382</v>
      </c>
      <c r="B443" s="30">
        <v>38600.0</v>
      </c>
      <c r="C443" s="29" t="s">
        <v>4383</v>
      </c>
      <c r="D443" s="31" t="s">
        <v>4384</v>
      </c>
      <c r="E443" s="29" t="s">
        <v>62</v>
      </c>
      <c r="F443" s="29" t="s">
        <v>82</v>
      </c>
      <c r="G443" s="32" t="str">
        <f>HYPERLINK("https://api.typeform.com/responses/files/54f3de6e685d334bab5ffd155e35e0cca7fdb91e2e338893a157633f40a18698/CV___AI_Engineer_Intern___Châu_Văn_Minh_Khoa.pdf")</f>
        <v>https://api.typeform.com/responses/files/54f3de6e685d334bab5ffd155e35e0cca7fdb91e2e338893a157633f40a18698/CV___AI_Engineer_Intern___Châu_Văn_Minh_Khoa.pdf</v>
      </c>
      <c r="H443" s="29" t="s">
        <v>4385</v>
      </c>
      <c r="I443" s="29" t="s">
        <v>4386</v>
      </c>
      <c r="J443" s="29" t="s">
        <v>326</v>
      </c>
      <c r="L443" s="29" t="s">
        <v>219</v>
      </c>
      <c r="M443" s="29" t="s">
        <v>4387</v>
      </c>
      <c r="N443" s="33">
        <v>46569.0</v>
      </c>
      <c r="O443" s="31" t="s">
        <v>1291</v>
      </c>
      <c r="P443" s="32" t="str">
        <f>HYPERLINK("https://api.typeform.com/responses/files/9a4db6219821113a693bfef6df7574f1585272f6765fc2a82a71fa9fe72145ce/Transcript___AI_Engineer_Intern___Châu_Văn_Minh_Khoa.pdf")</f>
        <v>https://api.typeform.com/responses/files/9a4db6219821113a693bfef6df7574f1585272f6765fc2a82a71fa9fe72145ce/Transcript___AI_Engineer_Intern___Châu_Văn_Minh_Khoa.pdf</v>
      </c>
      <c r="Q443" s="29" t="b">
        <v>1</v>
      </c>
      <c r="R443" s="29" t="s">
        <v>4388</v>
      </c>
      <c r="S443" s="29" t="s">
        <v>4389</v>
      </c>
      <c r="T443" s="29" t="s">
        <v>72</v>
      </c>
      <c r="U443" s="29" t="s">
        <v>72</v>
      </c>
      <c r="V443" s="29" t="s">
        <v>269</v>
      </c>
      <c r="X443" s="29" t="s">
        <v>4390</v>
      </c>
      <c r="Y443" s="34">
        <v>46144.136030092595</v>
      </c>
      <c r="Z443" s="29" t="s">
        <v>4391</v>
      </c>
      <c r="AA443" s="6">
        <v>3.0</v>
      </c>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row>
    <row r="444" ht="22.5" hidden="1" customHeight="1">
      <c r="A444" s="29" t="s">
        <v>4392</v>
      </c>
      <c r="B444" s="30">
        <v>38231.0</v>
      </c>
      <c r="C444" s="29" t="s">
        <v>4393</v>
      </c>
      <c r="D444" s="31" t="s">
        <v>4394</v>
      </c>
      <c r="E444" s="29" t="s">
        <v>62</v>
      </c>
      <c r="F444" s="29" t="s">
        <v>82</v>
      </c>
      <c r="G444" s="32" t="str">
        <f>HYPERLINK("https://api.typeform.com/responses/files/598bf7fff1505d81b481e8cebf485eb50f425e8fe38a822666ecd595a6b8d33b/CV___AI_Engineer_Intern___Trần_Đắc_Thịnh.pdf")</f>
        <v>https://api.typeform.com/responses/files/598bf7fff1505d81b481e8cebf485eb50f425e8fe38a822666ecd595a6b8d33b/CV___AI_Engineer_Intern___Trần_Đắc_Thịnh.pdf</v>
      </c>
      <c r="H444" s="29" t="s">
        <v>4395</v>
      </c>
      <c r="I444" s="29" t="s">
        <v>4396</v>
      </c>
      <c r="J444" s="29" t="s">
        <v>326</v>
      </c>
      <c r="L444" s="29" t="s">
        <v>67</v>
      </c>
      <c r="M444" s="29" t="s">
        <v>4397</v>
      </c>
      <c r="N444" s="33">
        <v>46157.0</v>
      </c>
      <c r="O444" s="31" t="s">
        <v>233</v>
      </c>
      <c r="P444" s="32" t="str">
        <f>HYPERLINK("https://api.typeform.com/responses/files/43893d85106c80e9519ef9020246bf47aaae8a17eb83ca599881bfd69db9fd1c/Transcript___AI_Engineer_Intern___Trần_Đắc_Thịnh.csv")</f>
        <v>https://api.typeform.com/responses/files/43893d85106c80e9519ef9020246bf47aaae8a17eb83ca599881bfd69db9fd1c/Transcript___AI_Engineer_Intern___Trần_Đắc_Thịnh.csv</v>
      </c>
      <c r="Q444" s="29" t="b">
        <v>0</v>
      </c>
      <c r="R444" s="29" t="s">
        <v>1660</v>
      </c>
      <c r="S444" s="29" t="s">
        <v>4398</v>
      </c>
      <c r="T444" s="29" t="s">
        <v>72</v>
      </c>
      <c r="U444" s="29" t="s">
        <v>72</v>
      </c>
      <c r="V444" s="29" t="s">
        <v>2556</v>
      </c>
      <c r="X444" s="29" t="s">
        <v>4399</v>
      </c>
      <c r="Y444" s="34">
        <v>46144.178564814814</v>
      </c>
      <c r="Z444" s="29" t="s">
        <v>4400</v>
      </c>
      <c r="AA444" s="6">
        <v>3.0</v>
      </c>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row>
    <row r="445" ht="22.5" hidden="1" customHeight="1">
      <c r="A445" s="29" t="s">
        <v>4401</v>
      </c>
      <c r="B445" s="30">
        <v>38638.0</v>
      </c>
      <c r="C445" s="29" t="s">
        <v>4402</v>
      </c>
      <c r="D445" s="31" t="s">
        <v>4403</v>
      </c>
      <c r="E445" s="29" t="s">
        <v>82</v>
      </c>
      <c r="F445" s="29" t="s">
        <v>62</v>
      </c>
      <c r="G445" s="32" t="str">
        <f>HYPERLINK("https://api.typeform.com/responses/files/7a981ae5d63ba9c61f91645d10d9538c291fa29d5994973b545448b9c104ef06/CV_Data_Analysis_Intern_Nguyễn_Trần_Thị_Phi_Yến.pdf")</f>
        <v>https://api.typeform.com/responses/files/7a981ae5d63ba9c61f91645d10d9538c291fa29d5994973b545448b9c104ef06/CV_Data_Analysis_Intern_Nguyễn_Trần_Thị_Phi_Yến.pdf</v>
      </c>
      <c r="H445" s="29" t="s">
        <v>4404</v>
      </c>
      <c r="I445" s="29" t="s">
        <v>4405</v>
      </c>
      <c r="J445" s="29" t="s">
        <v>715</v>
      </c>
      <c r="L445" s="29" t="s">
        <v>219</v>
      </c>
      <c r="M445" s="29" t="s">
        <v>4406</v>
      </c>
      <c r="N445" s="33">
        <v>46478.0</v>
      </c>
      <c r="O445" s="31" t="s">
        <v>4407</v>
      </c>
      <c r="P445" s="32" t="str">
        <f>HYPERLINK("https://api.typeform.com/responses/files/d4743bf1a7f55cb96b27ca04dca21383c53b7e37814e667fbb94d00cb37f337f/Transcript___Data_Analysis_Intern___Nguyễn_Trần_Thị_Phi_Yến.pdf")</f>
        <v>https://api.typeform.com/responses/files/d4743bf1a7f55cb96b27ca04dca21383c53b7e37814e667fbb94d00cb37f337f/Transcript___Data_Analysis_Intern___Nguyễn_Trần_Thị_Phi_Yến.pdf</v>
      </c>
      <c r="Q445" s="29" t="b">
        <v>0</v>
      </c>
      <c r="R445" s="29" t="s">
        <v>4408</v>
      </c>
      <c r="S445" s="29" t="s">
        <v>4408</v>
      </c>
      <c r="T445" s="29" t="s">
        <v>72</v>
      </c>
      <c r="U445" s="29" t="s">
        <v>72</v>
      </c>
      <c r="V445" s="29" t="s">
        <v>4409</v>
      </c>
      <c r="X445" s="29" t="s">
        <v>4410</v>
      </c>
      <c r="Y445" s="34">
        <v>46144.21053240741</v>
      </c>
      <c r="Z445" s="29" t="s">
        <v>4411</v>
      </c>
      <c r="AA445" s="6">
        <v>3.0</v>
      </c>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row>
    <row r="446" ht="22.5" hidden="1" customHeight="1">
      <c r="A446" s="29" t="s">
        <v>4412</v>
      </c>
      <c r="B446" s="30">
        <v>38499.0</v>
      </c>
      <c r="C446" s="29" t="s">
        <v>4413</v>
      </c>
      <c r="D446" s="31" t="s">
        <v>4414</v>
      </c>
      <c r="E446" s="29" t="s">
        <v>62</v>
      </c>
      <c r="F446" s="29" t="s">
        <v>82</v>
      </c>
      <c r="G446" s="32" t="str">
        <f>HYPERLINK("https://api.typeform.com/responses/files/315cf7de4d558a41e23ecd15e899d4d5821448597bb2aee87602937b113dfbe0/inbound1309049399635309885.pdf")</f>
        <v>https://api.typeform.com/responses/files/315cf7de4d558a41e23ecd15e899d4d5821448597bb2aee87602937b113dfbe0/inbound1309049399635309885.pdf</v>
      </c>
      <c r="H446" s="29" t="s">
        <v>4415</v>
      </c>
      <c r="I446" s="29" t="s">
        <v>4416</v>
      </c>
      <c r="J446" s="29" t="s">
        <v>85</v>
      </c>
      <c r="L446" s="29" t="s">
        <v>219</v>
      </c>
      <c r="M446" s="29" t="s">
        <v>399</v>
      </c>
      <c r="N446" s="33">
        <v>46388.0</v>
      </c>
      <c r="O446" s="31" t="s">
        <v>4417</v>
      </c>
      <c r="P446" s="32" t="str">
        <f>HYPERLINK("https://api.typeform.com/responses/files/53bd736f24133ecbfe55bcef55721b350e95872cb2fdbf83a5fb8c74f9896fd7/inbound3265838176833139098.pdf")</f>
        <v>https://api.typeform.com/responses/files/53bd736f24133ecbfe55bcef55721b350e95872cb2fdbf83a5fb8c74f9896fd7/inbound3265838176833139098.pdf</v>
      </c>
      <c r="Q446" s="29" t="b">
        <v>1</v>
      </c>
      <c r="R446" s="29" t="s">
        <v>4418</v>
      </c>
      <c r="S446" s="29" t="s">
        <v>4419</v>
      </c>
      <c r="T446" s="29" t="s">
        <v>72</v>
      </c>
      <c r="U446" s="29" t="s">
        <v>72</v>
      </c>
      <c r="V446" s="29" t="s">
        <v>90</v>
      </c>
      <c r="X446" s="29" t="s">
        <v>4420</v>
      </c>
      <c r="Y446" s="34">
        <v>46144.23979166667</v>
      </c>
      <c r="Z446" s="29" t="s">
        <v>4421</v>
      </c>
      <c r="AA446" s="6">
        <v>3.0</v>
      </c>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row>
    <row r="447" ht="22.5" hidden="1" customHeight="1">
      <c r="A447" s="29" t="s">
        <v>4422</v>
      </c>
      <c r="B447" s="30">
        <v>38027.0</v>
      </c>
      <c r="C447" s="29" t="s">
        <v>4423</v>
      </c>
      <c r="D447" s="31" t="s">
        <v>4424</v>
      </c>
      <c r="E447" s="29" t="s">
        <v>61</v>
      </c>
      <c r="F447" s="29" t="s">
        <v>99</v>
      </c>
      <c r="G447" s="32" t="str">
        <f>HYPERLINK("https://api.typeform.com/responses/files/1170efcc3fcb712c516112ab5bcd2e95c9f7d07fedc76f1599fb1aa2250527de/CV___Unity_Developer_Intern___Lê_Ngọc_Hiền.pdf")</f>
        <v>https://api.typeform.com/responses/files/1170efcc3fcb712c516112ab5bcd2e95c9f7d07fedc76f1599fb1aa2250527de/CV___Unity_Developer_Intern___Lê_Ngọc_Hiền.pdf</v>
      </c>
      <c r="H447" s="29" t="s">
        <v>4425</v>
      </c>
      <c r="I447" s="29" t="s">
        <v>4426</v>
      </c>
      <c r="J447" s="29" t="s">
        <v>715</v>
      </c>
      <c r="L447" s="29" t="s">
        <v>67</v>
      </c>
      <c r="M447" s="29" t="s">
        <v>4427</v>
      </c>
      <c r="N447" s="33">
        <v>46204.0</v>
      </c>
      <c r="O447" s="31" t="s">
        <v>1260</v>
      </c>
      <c r="P447" s="32" t="str">
        <f>HYPERLINK("https://api.typeform.com/responses/files/d16c9b37fda3e2e915afbd1f013f07ab831be8b30cfc7f39fd8b0651be895fd9/Transcript___Unity_Developer_Intern___Lê_Ngọc_Hiền.pdf")</f>
        <v>https://api.typeform.com/responses/files/d16c9b37fda3e2e915afbd1f013f07ab831be8b30cfc7f39fd8b0651be895fd9/Transcript___Unity_Developer_Intern___Lê_Ngọc_Hiền.pdf</v>
      </c>
      <c r="Q447" s="29" t="b">
        <v>1</v>
      </c>
      <c r="R447" s="29" t="s">
        <v>4428</v>
      </c>
      <c r="S447" s="29" t="s">
        <v>4429</v>
      </c>
      <c r="T447" s="29" t="s">
        <v>72</v>
      </c>
      <c r="U447" s="29" t="s">
        <v>72</v>
      </c>
      <c r="V447" s="29" t="s">
        <v>73</v>
      </c>
      <c r="X447" s="29" t="s">
        <v>4430</v>
      </c>
      <c r="Y447" s="34">
        <v>46144.25300925926</v>
      </c>
      <c r="Z447" s="29" t="s">
        <v>4431</v>
      </c>
      <c r="AA447" s="6">
        <v>3.0</v>
      </c>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row>
    <row r="448" ht="22.5" hidden="1" customHeight="1">
      <c r="A448" s="29" t="s">
        <v>4432</v>
      </c>
      <c r="B448" s="30">
        <v>38267.0</v>
      </c>
      <c r="C448" s="29" t="s">
        <v>4433</v>
      </c>
      <c r="D448" s="31" t="s">
        <v>4434</v>
      </c>
      <c r="E448" s="29" t="s">
        <v>127</v>
      </c>
      <c r="F448" s="29" t="s">
        <v>99</v>
      </c>
      <c r="G448" s="32" t="str">
        <f>HYPERLINK("https://api.typeform.com/responses/files/195d776be624d5a03c73c0607494e2e8b8e666e55ab2dc27e9179e75745e90e8/Tester_Intern___Trần_Đắc_Phú.pdf")</f>
        <v>https://api.typeform.com/responses/files/195d776be624d5a03c73c0607494e2e8b8e666e55ab2dc27e9179e75745e90e8/Tester_Intern___Trần_Đắc_Phú.pdf</v>
      </c>
      <c r="H448" s="29" t="s">
        <v>4435</v>
      </c>
      <c r="I448" s="29" t="s">
        <v>4436</v>
      </c>
      <c r="J448" s="29" t="s">
        <v>338</v>
      </c>
      <c r="L448" s="29" t="s">
        <v>67</v>
      </c>
      <c r="M448" s="29" t="s">
        <v>4437</v>
      </c>
      <c r="N448" s="33">
        <v>46249.0</v>
      </c>
      <c r="O448" s="31" t="s">
        <v>159</v>
      </c>
      <c r="P448" s="32" t="str">
        <f>HYPERLINK("https://api.typeform.com/responses/files/62829f228de3a21ecc9b22eec1f45cf483cd6b652eb73832509a7ed517f75011/Transcript___QA_Intern___Trần_Đắc_Phú.pdf")</f>
        <v>https://api.typeform.com/responses/files/62829f228de3a21ecc9b22eec1f45cf483cd6b652eb73832509a7ed517f75011/Transcript___QA_Intern___Trần_Đắc_Phú.pdf</v>
      </c>
      <c r="Q448" s="29" t="b">
        <v>0</v>
      </c>
      <c r="R448" s="29" t="s">
        <v>222</v>
      </c>
      <c r="S448" s="29" t="s">
        <v>4438</v>
      </c>
      <c r="T448" s="29" t="s">
        <v>72</v>
      </c>
      <c r="U448" s="29" t="s">
        <v>72</v>
      </c>
      <c r="V448" s="29" t="s">
        <v>174</v>
      </c>
      <c r="X448" s="29" t="s">
        <v>4439</v>
      </c>
      <c r="Y448" s="34">
        <v>46144.280960648146</v>
      </c>
      <c r="Z448" s="29" t="s">
        <v>4440</v>
      </c>
      <c r="AA448" s="6">
        <v>3.0</v>
      </c>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row>
    <row r="449" ht="22.5" hidden="1" customHeight="1">
      <c r="A449" s="29" t="s">
        <v>4441</v>
      </c>
      <c r="B449" s="30">
        <v>38464.0</v>
      </c>
      <c r="C449" s="29" t="s">
        <v>4442</v>
      </c>
      <c r="D449" s="31" t="s">
        <v>4443</v>
      </c>
      <c r="E449" s="29" t="s">
        <v>62</v>
      </c>
      <c r="F449" s="29" t="s">
        <v>127</v>
      </c>
      <c r="G449" s="32" t="str">
        <f>HYPERLINK("https://api.typeform.com/responses/files/eb78bbcb879d3d889122844608515d4a2416074df9cab858a0d809e39777b880/CV_AI_Engineer_Intern_NguyenLuuAnhHuy.pdf")</f>
        <v>https://api.typeform.com/responses/files/eb78bbcb879d3d889122844608515d4a2416074df9cab858a0d809e39777b880/CV_AI_Engineer_Intern_NguyenLuuAnhHuy.pdf</v>
      </c>
      <c r="H449" s="29" t="s">
        <v>4444</v>
      </c>
      <c r="I449" s="29" t="s">
        <v>4445</v>
      </c>
      <c r="J449" s="29" t="s">
        <v>1610</v>
      </c>
      <c r="L449" s="29" t="s">
        <v>219</v>
      </c>
      <c r="M449" s="29" t="s">
        <v>399</v>
      </c>
      <c r="N449" s="33">
        <v>46690.0</v>
      </c>
      <c r="O449" s="31" t="s">
        <v>4446</v>
      </c>
      <c r="P449" s="32" t="str">
        <f>HYPERLINK("https://api.typeform.com/responses/files/4d8c500e8689b4ed5792c4c28e7095c05abcf3c2a89b8d8feabe97cbba999c36/Transcript___AI_Engineer_Intern___Nguyễn_Lưu_Anh_Huy.pdf")</f>
        <v>https://api.typeform.com/responses/files/4d8c500e8689b4ed5792c4c28e7095c05abcf3c2a89b8d8feabe97cbba999c36/Transcript___AI_Engineer_Intern___Nguyễn_Lưu_Anh_Huy.pdf</v>
      </c>
      <c r="Q449" s="29" t="b">
        <v>0</v>
      </c>
      <c r="R449" s="29" t="s">
        <v>4447</v>
      </c>
      <c r="S449" s="29" t="s">
        <v>4448</v>
      </c>
      <c r="T449" s="29" t="s">
        <v>72</v>
      </c>
      <c r="U449" s="29" t="s">
        <v>72</v>
      </c>
      <c r="V449" s="29" t="s">
        <v>4449</v>
      </c>
      <c r="X449" s="29" t="s">
        <v>4450</v>
      </c>
      <c r="Y449" s="34">
        <v>46144.33094907407</v>
      </c>
      <c r="Z449" s="29" t="s">
        <v>4451</v>
      </c>
      <c r="AA449" s="6">
        <v>3.0</v>
      </c>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row>
    <row r="450" ht="22.5" hidden="1" customHeight="1">
      <c r="A450" s="29" t="s">
        <v>4452</v>
      </c>
      <c r="B450" s="30">
        <v>38404.0</v>
      </c>
      <c r="C450" s="29" t="s">
        <v>4453</v>
      </c>
      <c r="D450" s="31" t="s">
        <v>4454</v>
      </c>
      <c r="E450" s="29" t="s">
        <v>99</v>
      </c>
      <c r="F450" s="29" t="s">
        <v>62</v>
      </c>
      <c r="G450" s="32" t="str">
        <f>HYPERLINK("https://api.typeform.com/responses/files/7f3245b6ee2798b4d8b28ff6907cdad6f814163e6870e2261ceab067aec0d747/CV___Game_Design_Intern___Nguyễn_Hà_Viết_Thống.pdf")</f>
        <v>https://api.typeform.com/responses/files/7f3245b6ee2798b4d8b28ff6907cdad6f814163e6870e2261ceab067aec0d747/CV___Game_Design_Intern___Nguyễn_Hà_Viết_Thống.pdf</v>
      </c>
      <c r="H450" s="29" t="s">
        <v>4455</v>
      </c>
      <c r="I450" s="29" t="s">
        <v>4456</v>
      </c>
      <c r="J450" s="29" t="s">
        <v>715</v>
      </c>
      <c r="L450" s="29" t="s">
        <v>219</v>
      </c>
      <c r="M450" s="29" t="s">
        <v>612</v>
      </c>
      <c r="N450" s="33">
        <v>46691.0</v>
      </c>
      <c r="O450" s="31" t="s">
        <v>2503</v>
      </c>
      <c r="P450" s="32" t="str">
        <f>HYPERLINK("https://api.typeform.com/responses/files/b5631a549f8e85eaf5cbe3c1eb66f682aec914a06a8db71580d2769cb14e07af/Transcript___Game_Design_Intern___Nguyễn_Hà_Viết_Thống.pdf")</f>
        <v>https://api.typeform.com/responses/files/b5631a549f8e85eaf5cbe3c1eb66f682aec914a06a8db71580d2769cb14e07af/Transcript___Game_Design_Intern___Nguyễn_Hà_Viết_Thống.pdf</v>
      </c>
      <c r="Q450" s="29" t="b">
        <v>1</v>
      </c>
      <c r="R450" s="29" t="s">
        <v>4457</v>
      </c>
      <c r="S450" s="29" t="s">
        <v>4458</v>
      </c>
      <c r="T450" s="29" t="s">
        <v>72</v>
      </c>
      <c r="U450" s="29" t="s">
        <v>72</v>
      </c>
      <c r="V450" s="29" t="s">
        <v>4459</v>
      </c>
      <c r="X450" s="29" t="s">
        <v>4460</v>
      </c>
      <c r="Y450" s="34">
        <v>46144.36949074074</v>
      </c>
      <c r="Z450" s="29" t="s">
        <v>4461</v>
      </c>
      <c r="AA450" s="6">
        <v>2.1</v>
      </c>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row>
    <row r="451" ht="22.5" hidden="1" customHeight="1">
      <c r="A451" s="29" t="s">
        <v>4462</v>
      </c>
      <c r="B451" s="30">
        <v>38001.0</v>
      </c>
      <c r="C451" s="29" t="s">
        <v>4463</v>
      </c>
      <c r="D451" s="31" t="s">
        <v>4464</v>
      </c>
      <c r="E451" s="29" t="s">
        <v>82</v>
      </c>
      <c r="F451" s="29" t="s">
        <v>62</v>
      </c>
      <c r="G451" s="32" t="str">
        <f>HYPERLINK("https://api.typeform.com/responses/files/70cd037dde0faddec65e66b115fd4c52f36ec2683713d84e941927e588aee8b8/CV___Data_Analysis_Intern___Lê_Hà_Chức.pdf")</f>
        <v>https://api.typeform.com/responses/files/70cd037dde0faddec65e66b115fd4c52f36ec2683713d84e941927e588aee8b8/CV___Data_Analysis_Intern___Lê_Hà_Chức.pdf</v>
      </c>
      <c r="H451" s="29" t="s">
        <v>4465</v>
      </c>
      <c r="I451" s="29" t="s">
        <v>4466</v>
      </c>
      <c r="J451" s="29" t="s">
        <v>468</v>
      </c>
      <c r="K451" s="29" t="s">
        <v>4467</v>
      </c>
      <c r="L451" s="29" t="s">
        <v>67</v>
      </c>
      <c r="M451" s="29" t="s">
        <v>384</v>
      </c>
      <c r="N451" s="33">
        <v>46188.0</v>
      </c>
      <c r="O451" s="29" t="s">
        <v>4468</v>
      </c>
      <c r="P451" s="32" t="str">
        <f>HYPERLINK("https://api.typeform.com/responses/files/5340795c077b015a0fd499bdec5e67e2b71d397df44e476a5bbf18982a2187b3/Transcript__Data_Analysis_Intern___Lê_Hà_Chức.pdf")</f>
        <v>https://api.typeform.com/responses/files/5340795c077b015a0fd499bdec5e67e2b71d397df44e476a5bbf18982a2187b3/Transcript__Data_Analysis_Intern___Lê_Hà_Chức.pdf</v>
      </c>
      <c r="Q451" s="29" t="b">
        <v>1</v>
      </c>
      <c r="R451" s="29" t="s">
        <v>4469</v>
      </c>
      <c r="S451" s="29" t="s">
        <v>4470</v>
      </c>
      <c r="T451" s="29" t="s">
        <v>72</v>
      </c>
      <c r="U451" s="29" t="s">
        <v>72</v>
      </c>
      <c r="V451" s="29" t="s">
        <v>236</v>
      </c>
      <c r="X451" s="29" t="s">
        <v>4471</v>
      </c>
      <c r="Y451" s="34">
        <v>46144.38946759259</v>
      </c>
      <c r="Z451" s="29" t="s">
        <v>4472</v>
      </c>
      <c r="AA451" s="6">
        <v>3.0</v>
      </c>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row>
    <row r="452" ht="22.5" hidden="1" customHeight="1">
      <c r="A452" s="29" t="s">
        <v>4473</v>
      </c>
      <c r="B452" s="30">
        <v>38129.0</v>
      </c>
      <c r="C452" s="29" t="s">
        <v>4474</v>
      </c>
      <c r="D452" s="31" t="s">
        <v>4475</v>
      </c>
      <c r="E452" s="29" t="s">
        <v>127</v>
      </c>
      <c r="F452" s="29" t="s">
        <v>82</v>
      </c>
      <c r="G452" s="32" t="str">
        <f>HYPERLINK("https://api.typeform.com/responses/files/df1a631ed1ed2bd64f68db108c10a176af597082f621f24162b520f4e1c5884b/CV___Game_QA_Intern___Võ_Đức_Thiện.pdf")</f>
        <v>https://api.typeform.com/responses/files/df1a631ed1ed2bd64f68db108c10a176af597082f621f24162b520f4e1c5884b/CV___Game_QA_Intern___Võ_Đức_Thiện.pdf</v>
      </c>
      <c r="H452" s="29" t="s">
        <v>4476</v>
      </c>
      <c r="I452" s="29" t="s">
        <v>4477</v>
      </c>
      <c r="J452" s="29" t="s">
        <v>1610</v>
      </c>
      <c r="L452" s="29" t="s">
        <v>67</v>
      </c>
      <c r="M452" s="29" t="s">
        <v>132</v>
      </c>
      <c r="N452" s="33">
        <v>46295.0</v>
      </c>
      <c r="O452" s="31" t="s">
        <v>4478</v>
      </c>
      <c r="P452" s="32" t="str">
        <f>HYPERLINK("https://api.typeform.com/responses/files/1596ccb3042e229395fd56e66ea5ed5952b63cb397a6e67c3bdd3f7cc6cbedd2/Transcript___Game_QA_intern___Võ_Đức_Thiện.jpg")</f>
        <v>https://api.typeform.com/responses/files/1596ccb3042e229395fd56e66ea5ed5952b63cb397a6e67c3bdd3f7cc6cbedd2/Transcript___Game_QA_intern___Võ_Đức_Thiện.jpg</v>
      </c>
      <c r="Q452" s="29" t="b">
        <v>1</v>
      </c>
      <c r="R452" s="29" t="s">
        <v>4479</v>
      </c>
      <c r="S452" s="29" t="s">
        <v>4480</v>
      </c>
      <c r="T452" s="29" t="s">
        <v>72</v>
      </c>
      <c r="U452" s="29" t="s">
        <v>72</v>
      </c>
      <c r="V452" s="29" t="s">
        <v>4409</v>
      </c>
      <c r="X452" s="29" t="s">
        <v>4481</v>
      </c>
      <c r="Y452" s="34">
        <v>46144.43609953704</v>
      </c>
      <c r="Z452" s="29" t="s">
        <v>4482</v>
      </c>
      <c r="AA452" s="6">
        <v>3.0</v>
      </c>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row>
    <row r="453" ht="22.5" hidden="1" customHeight="1">
      <c r="A453" s="29" t="s">
        <v>4483</v>
      </c>
      <c r="B453" s="30">
        <v>38581.0</v>
      </c>
      <c r="C453" s="29" t="s">
        <v>4484</v>
      </c>
      <c r="D453" s="31" t="s">
        <v>4485</v>
      </c>
      <c r="E453" s="29" t="s">
        <v>62</v>
      </c>
      <c r="F453" s="29" t="s">
        <v>82</v>
      </c>
      <c r="G453" s="32" t="str">
        <f>HYPERLINK("https://api.typeform.com/responses/files/04df42fb1cdcc323c15613104ebaf5ba5a3c374019fb576142db67e9decb6276/CV_AI_Engineer_TrinhQuangHien.pdf")</f>
        <v>https://api.typeform.com/responses/files/04df42fb1cdcc323c15613104ebaf5ba5a3c374019fb576142db67e9decb6276/CV_AI_Engineer_TrinhQuangHien.pdf</v>
      </c>
      <c r="H453" s="29" t="s">
        <v>4486</v>
      </c>
      <c r="I453" s="29" t="s">
        <v>4487</v>
      </c>
      <c r="J453" s="29" t="s">
        <v>277</v>
      </c>
      <c r="L453" s="29" t="s">
        <v>219</v>
      </c>
      <c r="M453" s="29" t="s">
        <v>384</v>
      </c>
      <c r="N453" s="33">
        <v>46753.0</v>
      </c>
      <c r="O453" s="31" t="s">
        <v>591</v>
      </c>
      <c r="P453" s="32" t="str">
        <f>HYPERLINK("https://api.typeform.com/responses/files/1c2e34aa6219bffa2a388b09f76827f82979414eaffd05a05c002c4ac772d9a0/Transcript_AI_Engineer_TrinhQuangHien.pdf")</f>
        <v>https://api.typeform.com/responses/files/1c2e34aa6219bffa2a388b09f76827f82979414eaffd05a05c002c4ac772d9a0/Transcript_AI_Engineer_TrinhQuangHien.pdf</v>
      </c>
      <c r="Q453" s="29" t="b">
        <v>1</v>
      </c>
      <c r="R453" s="29" t="s">
        <v>4488</v>
      </c>
      <c r="S453" s="29" t="s">
        <v>4489</v>
      </c>
      <c r="T453" s="29" t="s">
        <v>72</v>
      </c>
      <c r="U453" s="29" t="s">
        <v>72</v>
      </c>
      <c r="V453" s="29" t="s">
        <v>90</v>
      </c>
      <c r="X453" s="29" t="s">
        <v>4490</v>
      </c>
      <c r="Y453" s="34">
        <v>46144.45118055555</v>
      </c>
      <c r="Z453" s="29" t="s">
        <v>4491</v>
      </c>
      <c r="AA453" s="6">
        <v>3.0</v>
      </c>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row>
    <row r="454" ht="22.5" hidden="1" customHeight="1">
      <c r="A454" s="29" t="s">
        <v>4492</v>
      </c>
      <c r="B454" s="30">
        <v>38298.0</v>
      </c>
      <c r="C454" s="29" t="s">
        <v>4493</v>
      </c>
      <c r="D454" s="31" t="s">
        <v>4494</v>
      </c>
      <c r="E454" s="29" t="s">
        <v>62</v>
      </c>
      <c r="F454" s="29" t="s">
        <v>82</v>
      </c>
      <c r="G454" s="32" t="str">
        <f>HYPERLINK("https://api.typeform.com/responses/files/a7461935db8dceda3d841164b1b806da142c5ba3995f77373f1650f7ddbe3082/CV_AI_engineer_intern____Lê_Thành_Đạt.pdf")</f>
        <v>https://api.typeform.com/responses/files/a7461935db8dceda3d841164b1b806da142c5ba3995f77373f1650f7ddbe3082/CV_AI_engineer_intern____Lê_Thành_Đạt.pdf</v>
      </c>
      <c r="H454" s="29" t="s">
        <v>4495</v>
      </c>
      <c r="I454" s="29" t="s">
        <v>4496</v>
      </c>
      <c r="J454" s="29" t="s">
        <v>65</v>
      </c>
      <c r="K454" s="29" t="s">
        <v>4497</v>
      </c>
      <c r="L454" s="29" t="s">
        <v>219</v>
      </c>
      <c r="M454" s="29" t="s">
        <v>399</v>
      </c>
      <c r="N454" s="33">
        <v>46376.0</v>
      </c>
      <c r="O454" s="31" t="s">
        <v>4498</v>
      </c>
      <c r="P454" s="32" t="str">
        <f>HYPERLINK("https://api.typeform.com/responses/files/7749f84a525a8fd90dd0f5d5e7fb87ce29c521003dd7c40b37acae2b02eff955/transcript_AI_engineer_intern___Lê_Thành_Đạt.pdf")</f>
        <v>https://api.typeform.com/responses/files/7749f84a525a8fd90dd0f5d5e7fb87ce29c521003dd7c40b37acae2b02eff955/transcript_AI_engineer_intern___Lê_Thành_Đạt.pdf</v>
      </c>
      <c r="Q454" s="29" t="b">
        <v>1</v>
      </c>
      <c r="R454" s="29" t="s">
        <v>4499</v>
      </c>
      <c r="S454" s="29" t="s">
        <v>4500</v>
      </c>
      <c r="T454" s="29" t="s">
        <v>72</v>
      </c>
      <c r="U454" s="29" t="s">
        <v>72</v>
      </c>
      <c r="V454" s="29" t="s">
        <v>2389</v>
      </c>
      <c r="Y454" s="34">
        <v>46144.47314814815</v>
      </c>
      <c r="Z454" s="29" t="s">
        <v>4501</v>
      </c>
      <c r="AA454" s="6">
        <v>3.0</v>
      </c>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row>
    <row r="455" ht="22.5" hidden="1" customHeight="1">
      <c r="A455" s="29" t="s">
        <v>4502</v>
      </c>
      <c r="B455" s="30">
        <v>37682.0</v>
      </c>
      <c r="C455" s="29" t="s">
        <v>4503</v>
      </c>
      <c r="D455" s="31" t="s">
        <v>4504</v>
      </c>
      <c r="E455" s="29" t="s">
        <v>62</v>
      </c>
      <c r="F455" s="29" t="s">
        <v>82</v>
      </c>
      <c r="G455" s="32" t="str">
        <f>HYPERLINK("https://api.typeform.com/responses/files/39d5a438fd6ba8cec9597aff3e8efb70bc76fd248d204e7372ec070d40ba8ae6/CV_AI_Engineer_intern_Lê_Nguyễn_Trung_Vĩnh.pdf")</f>
        <v>https://api.typeform.com/responses/files/39d5a438fd6ba8cec9597aff3e8efb70bc76fd248d204e7372ec070d40ba8ae6/CV_AI_Engineer_intern_Lê_Nguyễn_Trung_Vĩnh.pdf</v>
      </c>
      <c r="H455" s="29" t="s">
        <v>4505</v>
      </c>
      <c r="I455" s="29" t="s">
        <v>4506</v>
      </c>
      <c r="J455" s="29" t="s">
        <v>277</v>
      </c>
      <c r="L455" s="29" t="s">
        <v>103</v>
      </c>
      <c r="M455" s="29" t="s">
        <v>2491</v>
      </c>
      <c r="N455" s="33">
        <v>46356.0</v>
      </c>
      <c r="O455" s="31" t="s">
        <v>118</v>
      </c>
      <c r="P455" s="32" t="str">
        <f>HYPERLINK("https://api.typeform.com/responses/files/a21bfa0911264874bcc95e8673eb35e45c014943bcdfd07f08e2cb8250cb976d/Bảng_Điểm___Lê_Nguyễn_Trung_Vĩnh.pdf")</f>
        <v>https://api.typeform.com/responses/files/a21bfa0911264874bcc95e8673eb35e45c014943bcdfd07f08e2cb8250cb976d/Bảng_Điểm___Lê_Nguyễn_Trung_Vĩnh.pdf</v>
      </c>
      <c r="Q455" s="29" t="b">
        <v>0</v>
      </c>
      <c r="R455" s="29" t="s">
        <v>4507</v>
      </c>
      <c r="S455" s="29" t="s">
        <v>4508</v>
      </c>
      <c r="T455" s="29" t="s">
        <v>72</v>
      </c>
      <c r="U455" s="29" t="s">
        <v>72</v>
      </c>
      <c r="V455" s="29" t="s">
        <v>224</v>
      </c>
      <c r="X455" s="29" t="s">
        <v>4509</v>
      </c>
      <c r="Y455" s="34">
        <v>46144.49351851852</v>
      </c>
      <c r="Z455" s="29" t="s">
        <v>4510</v>
      </c>
      <c r="AA455" s="6">
        <v>3.0</v>
      </c>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row>
    <row r="456" ht="22.5" hidden="1" customHeight="1">
      <c r="A456" s="29" t="s">
        <v>4511</v>
      </c>
      <c r="B456" s="30">
        <v>38219.0</v>
      </c>
      <c r="C456" s="29" t="s">
        <v>4512</v>
      </c>
      <c r="D456" s="31" t="s">
        <v>4513</v>
      </c>
      <c r="E456" s="29" t="s">
        <v>774</v>
      </c>
      <c r="F456" s="29" t="s">
        <v>633</v>
      </c>
      <c r="G456" s="32" t="str">
        <f>HYPERLINK("https://api.typeform.com/responses/files/eb4b39b34d24d4ffe2cd72889bab27fbbb8daf96a3210a288ced15ad9d287cc9/CV___Game_UA_Marketing_Intern___Nguyễn_Huỳnh_Hạnh_Nguyên.pdf")</f>
        <v>https://api.typeform.com/responses/files/eb4b39b34d24d4ffe2cd72889bab27fbbb8daf96a3210a288ced15ad9d287cc9/CV___Game_UA_Marketing_Intern___Nguyễn_Huỳnh_Hạnh_Nguyên.pdf</v>
      </c>
      <c r="H456" s="29" t="s">
        <v>4514</v>
      </c>
      <c r="I456" s="29" t="s">
        <v>4515</v>
      </c>
      <c r="J456" s="29" t="s">
        <v>1610</v>
      </c>
      <c r="L456" s="29" t="s">
        <v>67</v>
      </c>
      <c r="M456" s="29" t="s">
        <v>1348</v>
      </c>
      <c r="N456" s="33">
        <v>46356.0</v>
      </c>
      <c r="O456" s="31" t="s">
        <v>2731</v>
      </c>
      <c r="P456" s="32" t="str">
        <f>HYPERLINK("https://api.typeform.com/responses/files/d9b12fd863cc5fe6ff34a93d7088c893f2fbaa67d0ca2c5d30d9ee89725cf5c0/Transcript___Game_UA_Marketing_Intern___Nguyễn_Huỳnh_Hạnh_Nguyên.png")</f>
        <v>https://api.typeform.com/responses/files/d9b12fd863cc5fe6ff34a93d7088c893f2fbaa67d0ca2c5d30d9ee89725cf5c0/Transcript___Game_UA_Marketing_Intern___Nguyễn_Huỳnh_Hạnh_Nguyên.png</v>
      </c>
      <c r="Q456" s="29" t="b">
        <v>0</v>
      </c>
      <c r="R456" s="29" t="s">
        <v>222</v>
      </c>
      <c r="S456" s="29" t="s">
        <v>4516</v>
      </c>
      <c r="T456" s="29" t="s">
        <v>72</v>
      </c>
      <c r="U456" s="29" t="s">
        <v>72</v>
      </c>
      <c r="V456" s="29" t="s">
        <v>4517</v>
      </c>
      <c r="Y456" s="34">
        <v>46144.502071759256</v>
      </c>
      <c r="Z456" s="29" t="s">
        <v>4518</v>
      </c>
      <c r="AA456" s="6">
        <v>3.0</v>
      </c>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row>
    <row r="457" ht="22.5" hidden="1" customHeight="1">
      <c r="A457" s="29" t="s">
        <v>4519</v>
      </c>
      <c r="B457" s="30">
        <v>38100.0</v>
      </c>
      <c r="C457" s="29" t="s">
        <v>4520</v>
      </c>
      <c r="D457" s="31" t="s">
        <v>4521</v>
      </c>
      <c r="E457" s="29" t="s">
        <v>82</v>
      </c>
      <c r="F457" s="29" t="s">
        <v>127</v>
      </c>
      <c r="G457" s="32" t="str">
        <f>HYPERLINK("https://api.typeform.com/responses/files/27fc615d25dd2fef1aac03d2a95f2d40b1cc1c3c41b0b2d65b28ca66ebecbfac/CV__Data_Analyst_Intern___NGUYỄN_BÙI_DUY_ANH.pdf")</f>
        <v>https://api.typeform.com/responses/files/27fc615d25dd2fef1aac03d2a95f2d40b1cc1c3c41b0b2d65b28ca66ebecbfac/CV__Data_Analyst_Intern___NGUYỄN_BÙI_DUY_ANH.pdf</v>
      </c>
      <c r="H457" s="29" t="s">
        <v>4522</v>
      </c>
      <c r="I457" s="29" t="s">
        <v>4523</v>
      </c>
      <c r="J457" s="29" t="s">
        <v>842</v>
      </c>
      <c r="L457" s="29" t="s">
        <v>67</v>
      </c>
      <c r="M457" s="29" t="s">
        <v>4524</v>
      </c>
      <c r="N457" s="33">
        <v>46275.0</v>
      </c>
      <c r="O457" s="31" t="s">
        <v>3670</v>
      </c>
      <c r="P457" s="32" t="str">
        <f>HYPERLINK("https://api.typeform.com/responses/files/774926f6fabc26ff8ad4125fa46d6cc1f0477b2fd7e124bccb2acb47372bcdff/Transcript___Data_Analysis_Intern___Nguyễn_Bùi_Duy_Anh.pdf")</f>
        <v>https://api.typeform.com/responses/files/774926f6fabc26ff8ad4125fa46d6cc1f0477b2fd7e124bccb2acb47372bcdff/Transcript___Data_Analysis_Intern___Nguyễn_Bùi_Duy_Anh.pdf</v>
      </c>
      <c r="Q457" s="29" t="b">
        <v>0</v>
      </c>
      <c r="R457" s="29" t="s">
        <v>4525</v>
      </c>
      <c r="S457" s="29" t="s">
        <v>4526</v>
      </c>
      <c r="T457" s="29" t="s">
        <v>72</v>
      </c>
      <c r="U457" s="29" t="s">
        <v>72</v>
      </c>
      <c r="V457" s="29" t="s">
        <v>90</v>
      </c>
      <c r="Y457" s="34">
        <v>46144.50377314815</v>
      </c>
      <c r="Z457" s="29" t="s">
        <v>4527</v>
      </c>
      <c r="AA457" s="6">
        <v>3.0</v>
      </c>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row>
    <row r="458" ht="22.5" hidden="1" customHeight="1">
      <c r="A458" s="29" t="s">
        <v>4528</v>
      </c>
      <c r="B458" s="30">
        <v>36873.0</v>
      </c>
      <c r="C458" s="29" t="s">
        <v>4529</v>
      </c>
      <c r="D458" s="31" t="s">
        <v>4530</v>
      </c>
      <c r="E458" s="29" t="s">
        <v>774</v>
      </c>
      <c r="F458" s="29" t="s">
        <v>633</v>
      </c>
      <c r="G458" s="32" t="str">
        <f>HYPERLINK("https://api.typeform.com/responses/files/b4c0985982e707ebb0d43a98f1f23288b8bda30166559828143b88d218db1bc8/CV___Game_User_Acquisition_Intern___Tsằn_Cá_Thành.pdf")</f>
        <v>https://api.typeform.com/responses/files/b4c0985982e707ebb0d43a98f1f23288b8bda30166559828143b88d218db1bc8/CV___Game_User_Acquisition_Intern___Tsằn_Cá_Thành.pdf</v>
      </c>
      <c r="H458" s="29" t="s">
        <v>4531</v>
      </c>
      <c r="I458" s="29" t="s">
        <v>4532</v>
      </c>
      <c r="J458" s="29" t="s">
        <v>65</v>
      </c>
      <c r="K458" s="29" t="s">
        <v>4533</v>
      </c>
      <c r="L458" s="29" t="s">
        <v>4534</v>
      </c>
      <c r="M458" s="29" t="s">
        <v>4535</v>
      </c>
      <c r="N458" s="33">
        <v>45689.0</v>
      </c>
      <c r="O458" s="31" t="s">
        <v>696</v>
      </c>
      <c r="P458" s="32" t="str">
        <f>HYPERLINK("https://api.typeform.com/responses/files/e6943449492dc8829cb6a03786a834a81fbc2d666cfd36e6d20ec510290b634b/Transcript___Game_User_Acquisition_Intern___Tsằn_Cá_Thành.jpg")</f>
        <v>https://api.typeform.com/responses/files/e6943449492dc8829cb6a03786a834a81fbc2d666cfd36e6d20ec510290b634b/Transcript___Game_User_Acquisition_Intern___Tsằn_Cá_Thành.jpg</v>
      </c>
      <c r="Q458" s="29" t="b">
        <v>0</v>
      </c>
      <c r="R458" s="29" t="s">
        <v>300</v>
      </c>
      <c r="S458" s="29" t="s">
        <v>4536</v>
      </c>
      <c r="T458" s="29" t="s">
        <v>72</v>
      </c>
      <c r="U458" s="29" t="s">
        <v>72</v>
      </c>
      <c r="V458" s="29" t="s">
        <v>90</v>
      </c>
      <c r="X458" s="29" t="s">
        <v>4537</v>
      </c>
      <c r="Y458" s="34">
        <v>46144.55358796296</v>
      </c>
      <c r="Z458" s="29" t="s">
        <v>4538</v>
      </c>
      <c r="AA458" s="6">
        <v>3.0</v>
      </c>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row>
    <row r="459" ht="22.5" hidden="1" customHeight="1">
      <c r="A459" s="29" t="s">
        <v>4539</v>
      </c>
      <c r="B459" s="30">
        <v>37902.0</v>
      </c>
      <c r="C459" s="29" t="s">
        <v>4540</v>
      </c>
      <c r="D459" s="31" t="s">
        <v>4541</v>
      </c>
      <c r="E459" s="29" t="s">
        <v>62</v>
      </c>
      <c r="F459" s="29" t="s">
        <v>774</v>
      </c>
      <c r="G459" s="32" t="str">
        <f>HYPERLINK("https://api.typeform.com/responses/files/6dea104a8cc5703b9b4be5e3a8548b51f8f1f42f443dddb72adb14b6c23b55ea/CV_AI_Engineer_LamTanPhat.pdf")</f>
        <v>https://api.typeform.com/responses/files/6dea104a8cc5703b9b4be5e3a8548b51f8f1f42f443dddb72adb14b6c23b55ea/CV_AI_Engineer_LamTanPhat.pdf</v>
      </c>
      <c r="H459" s="29" t="s">
        <v>4542</v>
      </c>
      <c r="I459" s="29" t="s">
        <v>4543</v>
      </c>
      <c r="J459" s="29" t="s">
        <v>65</v>
      </c>
      <c r="K459" s="29" t="s">
        <v>4544</v>
      </c>
      <c r="L459" s="29" t="s">
        <v>4545</v>
      </c>
      <c r="M459" s="29" t="s">
        <v>941</v>
      </c>
      <c r="N459" s="33">
        <v>46358.0</v>
      </c>
      <c r="O459" s="31" t="s">
        <v>147</v>
      </c>
      <c r="P459" s="32" t="str">
        <f>HYPERLINK("https://api.typeform.com/responses/files/2256e2708716e336a1f97890491f40a286a5fac83624743f30406f4bfbf861e8/Transcript_AI_Engineer_LamTanPhat.pdf")</f>
        <v>https://api.typeform.com/responses/files/2256e2708716e336a1f97890491f40a286a5fac83624743f30406f4bfbf861e8/Transcript_AI_Engineer_LamTanPhat.pdf</v>
      </c>
      <c r="Q459" s="29" t="b">
        <v>1</v>
      </c>
      <c r="R459" s="29" t="s">
        <v>4546</v>
      </c>
      <c r="S459" s="29" t="s">
        <v>4547</v>
      </c>
      <c r="T459" s="29" t="s">
        <v>72</v>
      </c>
      <c r="U459" s="29" t="s">
        <v>72</v>
      </c>
      <c r="V459" s="29" t="s">
        <v>236</v>
      </c>
      <c r="Y459" s="34">
        <v>46144.62401620371</v>
      </c>
      <c r="Z459" s="29" t="s">
        <v>4548</v>
      </c>
      <c r="AA459" s="6">
        <v>3.0</v>
      </c>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row>
    <row r="460" ht="22.5" hidden="1" customHeight="1">
      <c r="A460" s="29" t="s">
        <v>4549</v>
      </c>
      <c r="B460" s="30">
        <v>38026.0</v>
      </c>
      <c r="C460" s="29" t="s">
        <v>4550</v>
      </c>
      <c r="D460" s="31" t="s">
        <v>4551</v>
      </c>
      <c r="E460" s="29" t="s">
        <v>633</v>
      </c>
      <c r="F460" s="29" t="s">
        <v>82</v>
      </c>
      <c r="G460" s="32" t="str">
        <f>HYPERLINK("https://api.typeform.com/responses/files/733c3956134e89abffbea94ae45dd1cd8869d175f6fabac5a10f038f6183a95f/CV___Human_Resources_Intern___Nguyễn_Đăng_Khoa.pdf")</f>
        <v>https://api.typeform.com/responses/files/733c3956134e89abffbea94ae45dd1cd8869d175f6fabac5a10f038f6183a95f/CV___Human_Resources_Intern___Nguyễn_Đăng_Khoa.pdf</v>
      </c>
      <c r="H460" s="29" t="s">
        <v>4552</v>
      </c>
      <c r="I460" s="29" t="s">
        <v>4553</v>
      </c>
      <c r="J460" s="29" t="s">
        <v>715</v>
      </c>
      <c r="L460" s="29" t="s">
        <v>219</v>
      </c>
      <c r="M460" s="29" t="s">
        <v>4554</v>
      </c>
      <c r="N460" s="33">
        <v>46692.0</v>
      </c>
      <c r="O460" s="31" t="s">
        <v>2192</v>
      </c>
      <c r="P460" s="32" t="str">
        <f>HYPERLINK("https://api.typeform.com/responses/files/09feca279a19b10d7942f6b7692a72b1848532903a4a725ef544ad7ca248ca14/Transcript___Human_Resources_Intern___Nguyễn_Đăng_Khoa.pdf")</f>
        <v>https://api.typeform.com/responses/files/09feca279a19b10d7942f6b7692a72b1848532903a4a725ef544ad7ca248ca14/Transcript___Human_Resources_Intern___Nguyễn_Đăng_Khoa.pdf</v>
      </c>
      <c r="Q460" s="29" t="b">
        <v>1</v>
      </c>
      <c r="R460" s="29" t="s">
        <v>4555</v>
      </c>
      <c r="S460" s="29" t="s">
        <v>4556</v>
      </c>
      <c r="T460" s="29" t="s">
        <v>72</v>
      </c>
      <c r="U460" s="29" t="s">
        <v>72</v>
      </c>
      <c r="V460" s="29" t="s">
        <v>73</v>
      </c>
      <c r="X460" s="29" t="s">
        <v>4557</v>
      </c>
      <c r="Y460" s="34">
        <v>46144.631423611114</v>
      </c>
      <c r="Z460" s="29" t="s">
        <v>4558</v>
      </c>
      <c r="AA460" s="6">
        <v>3.0</v>
      </c>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row>
    <row r="461" ht="22.5" hidden="1" customHeight="1">
      <c r="A461" s="29" t="s">
        <v>4559</v>
      </c>
      <c r="B461" s="30">
        <v>38090.0</v>
      </c>
      <c r="C461" s="29" t="s">
        <v>4560</v>
      </c>
      <c r="D461" s="31" t="s">
        <v>4561</v>
      </c>
      <c r="E461" s="29" t="s">
        <v>62</v>
      </c>
      <c r="F461" s="29" t="s">
        <v>62</v>
      </c>
      <c r="G461" s="32" t="str">
        <f>HYPERLINK("https://api.typeform.com/responses/files/f9dfd0ff2de73437ec21e3332068709473cb826b8bcea1ef160387c3a193af49/CV___AI_Engineering_Intern___Trương_Phúc_Trường.pdf")</f>
        <v>https://api.typeform.com/responses/files/f9dfd0ff2de73437ec21e3332068709473cb826b8bcea1ef160387c3a193af49/CV___AI_Engineering_Intern___Trương_Phúc_Trường.pdf</v>
      </c>
      <c r="H461" s="29" t="s">
        <v>4562</v>
      </c>
      <c r="I461" s="29" t="s">
        <v>4563</v>
      </c>
      <c r="J461" s="29" t="s">
        <v>85</v>
      </c>
      <c r="L461" s="29" t="s">
        <v>103</v>
      </c>
      <c r="M461" s="29" t="s">
        <v>930</v>
      </c>
      <c r="N461" s="33">
        <v>46183.0</v>
      </c>
      <c r="O461" s="31" t="s">
        <v>2690</v>
      </c>
      <c r="P461" s="32" t="str">
        <f>HYPERLINK("https://api.typeform.com/responses/files/c149e8d416ccda3927f2850ee781a1296329f647374f48a2ed29568294c4828a/Transcript___AI_Engineering_Intern___Trương_Phúc_Trường.pdf")</f>
        <v>https://api.typeform.com/responses/files/c149e8d416ccda3927f2850ee781a1296329f647374f48a2ed29568294c4828a/Transcript___AI_Engineering_Intern___Trương_Phúc_Trường.pdf</v>
      </c>
      <c r="Q461" s="29" t="b">
        <v>1</v>
      </c>
      <c r="R461" s="29" t="s">
        <v>4564</v>
      </c>
      <c r="S461" s="29" t="s">
        <v>4565</v>
      </c>
      <c r="T461" s="29" t="s">
        <v>72</v>
      </c>
      <c r="U461" s="29" t="s">
        <v>72</v>
      </c>
      <c r="V461" s="29" t="s">
        <v>3845</v>
      </c>
      <c r="X461" s="29" t="s">
        <v>4566</v>
      </c>
      <c r="Y461" s="34">
        <v>46144.673993055556</v>
      </c>
      <c r="Z461" s="29" t="s">
        <v>4567</v>
      </c>
      <c r="AA461" s="6">
        <v>3.0</v>
      </c>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row>
    <row r="462" ht="22.5" hidden="1" customHeight="1">
      <c r="A462" s="29" t="s">
        <v>4568</v>
      </c>
      <c r="B462" s="30">
        <v>38028.0</v>
      </c>
      <c r="C462" s="29" t="s">
        <v>4569</v>
      </c>
      <c r="D462" s="31" t="s">
        <v>4570</v>
      </c>
      <c r="E462" s="29" t="s">
        <v>127</v>
      </c>
      <c r="F462" s="29" t="s">
        <v>82</v>
      </c>
      <c r="G462" s="32" t="str">
        <f>HYPERLINK("https://api.typeform.com/responses/files/2edac3aad6512b75c0bf2ba6c8c8494f21690316ecbd0f2b0e88714f6acebe9d/CV___Game_Quality_Assurance_Intern___Lê_Minh_Kiệt.pdf")</f>
        <v>https://api.typeform.com/responses/files/2edac3aad6512b75c0bf2ba6c8c8494f21690316ecbd0f2b0e88714f6acebe9d/CV___Game_Quality_Assurance_Intern___Lê_Minh_Kiệt.pdf</v>
      </c>
      <c r="H462" s="29" t="s">
        <v>4571</v>
      </c>
      <c r="I462" s="29" t="s">
        <v>4572</v>
      </c>
      <c r="J462" s="29" t="s">
        <v>1610</v>
      </c>
      <c r="L462" s="29" t="s">
        <v>67</v>
      </c>
      <c r="M462" s="29" t="s">
        <v>624</v>
      </c>
      <c r="N462" s="33">
        <v>46259.0</v>
      </c>
      <c r="O462" s="31" t="s">
        <v>2052</v>
      </c>
      <c r="P462" s="32" t="str">
        <f>HYPERLINK("https://api.typeform.com/responses/files/6c8ef2f9e223df6cafeb5ad47c117b3cf554b89a6ddd289e733d20291bc5fecb/Transcript____Game_Quality_Assurance_Intern___Lê_Minh_Kiệt.pdf")</f>
        <v>https://api.typeform.com/responses/files/6c8ef2f9e223df6cafeb5ad47c117b3cf554b89a6ddd289e733d20291bc5fecb/Transcript____Game_Quality_Assurance_Intern___Lê_Minh_Kiệt.pdf</v>
      </c>
      <c r="Q462" s="29" t="b">
        <v>1</v>
      </c>
      <c r="R462" s="29" t="s">
        <v>4573</v>
      </c>
      <c r="S462" s="29" t="s">
        <v>4574</v>
      </c>
      <c r="T462" s="29" t="s">
        <v>72</v>
      </c>
      <c r="U462" s="29" t="s">
        <v>72</v>
      </c>
      <c r="V462" s="29" t="s">
        <v>73</v>
      </c>
      <c r="X462" s="29" t="s">
        <v>4575</v>
      </c>
      <c r="Y462" s="34">
        <v>46144.67699074074</v>
      </c>
      <c r="Z462" s="29" t="s">
        <v>4576</v>
      </c>
      <c r="AA462" s="6">
        <v>3.0</v>
      </c>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row>
    <row r="463" ht="22.5" hidden="1" customHeight="1">
      <c r="A463" s="29" t="s">
        <v>4577</v>
      </c>
      <c r="B463" s="30">
        <v>37725.0</v>
      </c>
      <c r="C463" s="29" t="s">
        <v>4578</v>
      </c>
      <c r="D463" s="31" t="s">
        <v>4579</v>
      </c>
      <c r="E463" s="29" t="s">
        <v>62</v>
      </c>
      <c r="F463" s="29" t="s">
        <v>82</v>
      </c>
      <c r="G463" s="32" t="str">
        <f>HYPERLINK("https://api.typeform.com/responses/files/26f468b285c291f4ced752d15db8834fe19ae11d79c62b925595bfb1c92c62fe/CV_AI_Engineer_Intern_Nguyễn_Quyết_Giang_Sơn.pdf")</f>
        <v>https://api.typeform.com/responses/files/26f468b285c291f4ced752d15db8834fe19ae11d79c62b925595bfb1c92c62fe/CV_AI_Engineer_Intern_Nguyễn_Quyết_Giang_Sơn.pdf</v>
      </c>
      <c r="H463" s="29" t="s">
        <v>4580</v>
      </c>
      <c r="I463" s="29" t="s">
        <v>4581</v>
      </c>
      <c r="J463" s="29" t="s">
        <v>468</v>
      </c>
      <c r="L463" s="29" t="s">
        <v>67</v>
      </c>
      <c r="M463" s="29" t="s">
        <v>384</v>
      </c>
      <c r="N463" s="33">
        <v>46266.0</v>
      </c>
      <c r="O463" s="31" t="s">
        <v>2740</v>
      </c>
      <c r="P463" s="32" t="str">
        <f>HYPERLINK("https://api.typeform.com/responses/files/912d7957abdd03dbcb35596a2ca29d1d826e3c8be5f89d070d7da644009a5898/Transcript___AI_Engineer_Intern___Nguyễn_Quyết_Giang_Sơn.pdf")</f>
        <v>https://api.typeform.com/responses/files/912d7957abdd03dbcb35596a2ca29d1d826e3c8be5f89d070d7da644009a5898/Transcript___AI_Engineer_Intern___Nguyễn_Quyết_Giang_Sơn.pdf</v>
      </c>
      <c r="Q463" s="29" t="b">
        <v>1</v>
      </c>
      <c r="R463" s="29" t="s">
        <v>4582</v>
      </c>
      <c r="S463" s="29" t="s">
        <v>4583</v>
      </c>
      <c r="T463" s="29" t="s">
        <v>72</v>
      </c>
      <c r="U463" s="29" t="s">
        <v>72</v>
      </c>
      <c r="V463" s="29" t="s">
        <v>4584</v>
      </c>
      <c r="X463" s="29" t="s">
        <v>4585</v>
      </c>
      <c r="Y463" s="34">
        <v>46144.72194444444</v>
      </c>
      <c r="Z463" s="29" t="s">
        <v>4586</v>
      </c>
      <c r="AA463" s="6">
        <v>3.0</v>
      </c>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row>
    <row r="464" ht="22.5" hidden="1" customHeight="1">
      <c r="A464" s="29" t="s">
        <v>4587</v>
      </c>
      <c r="B464" s="30">
        <v>38140.0</v>
      </c>
      <c r="C464" s="29" t="s">
        <v>4588</v>
      </c>
      <c r="D464" s="31" t="s">
        <v>4589</v>
      </c>
      <c r="E464" s="29" t="s">
        <v>62</v>
      </c>
      <c r="F464" s="29" t="s">
        <v>62</v>
      </c>
      <c r="G464" s="32" t="str">
        <f>HYPERLINK("https://api.typeform.com/responses/files/c3c91791f5aa19e5db1391d16489e4eadcb408e6e53e3a7b6e831de03e0bdee1/DUONG_QUOC_THANH.pdf")</f>
        <v>https://api.typeform.com/responses/files/c3c91791f5aa19e5db1391d16489e4eadcb408e6e53e3a7b6e831de03e0bdee1/DUONG_QUOC_THANH.pdf</v>
      </c>
      <c r="H464" s="29" t="s">
        <v>4590</v>
      </c>
      <c r="I464" s="29" t="s">
        <v>4591</v>
      </c>
      <c r="J464" s="29" t="s">
        <v>144</v>
      </c>
      <c r="L464" s="29" t="s">
        <v>103</v>
      </c>
      <c r="M464" s="29" t="s">
        <v>2612</v>
      </c>
      <c r="N464" s="33">
        <v>45796.0</v>
      </c>
      <c r="O464" s="31" t="s">
        <v>1648</v>
      </c>
      <c r="P464" s="32" t="str">
        <f>HYPERLINK("https://api.typeform.com/responses/files/df8e31909d72e0171c01784533d78451e85058e5f2b4d3a819c3d05af73eae50/Transcript___Intern_AI_Engineer___Dương_Quốc_Thành.pdf")</f>
        <v>https://api.typeform.com/responses/files/df8e31909d72e0171c01784533d78451e85058e5f2b4d3a819c3d05af73eae50/Transcript___Intern_AI_Engineer___Dương_Quốc_Thành.pdf</v>
      </c>
      <c r="Q464" s="29" t="b">
        <v>0</v>
      </c>
      <c r="R464" s="29" t="s">
        <v>4592</v>
      </c>
      <c r="S464" s="29" t="s">
        <v>4593</v>
      </c>
      <c r="T464" s="29" t="s">
        <v>72</v>
      </c>
      <c r="U464" s="29" t="s">
        <v>72</v>
      </c>
      <c r="V464" s="29" t="s">
        <v>73</v>
      </c>
      <c r="X464" s="29" t="s">
        <v>4594</v>
      </c>
      <c r="Y464" s="34">
        <v>46144.737974537034</v>
      </c>
      <c r="Z464" s="29" t="s">
        <v>4595</v>
      </c>
      <c r="AA464" s="6">
        <v>3.0</v>
      </c>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row>
    <row r="465" ht="22.5" hidden="1" customHeight="1">
      <c r="A465" s="29" t="s">
        <v>4596</v>
      </c>
      <c r="B465" s="30">
        <v>38318.0</v>
      </c>
      <c r="C465" s="29" t="s">
        <v>4597</v>
      </c>
      <c r="D465" s="31" t="s">
        <v>4598</v>
      </c>
      <c r="E465" s="29" t="s">
        <v>82</v>
      </c>
      <c r="F465" s="29" t="s">
        <v>62</v>
      </c>
      <c r="G465" s="32" t="str">
        <f>HYPERLINK("https://api.typeform.com/responses/files/f2c5a3c72630d714d9aef96527c4d564efb0a8569b7889cd73b62cb2945eb113/CV___Data_Analysis_Intern___Nguyễn_Hoàng_Trang.pdf")</f>
        <v>https://api.typeform.com/responses/files/f2c5a3c72630d714d9aef96527c4d564efb0a8569b7889cd73b62cb2945eb113/CV___Data_Analysis_Intern___Nguyễn_Hoàng_Trang.pdf</v>
      </c>
      <c r="H465" s="29" t="s">
        <v>4599</v>
      </c>
      <c r="I465" s="29" t="s">
        <v>4600</v>
      </c>
      <c r="J465" s="29" t="s">
        <v>2293</v>
      </c>
      <c r="L465" s="29" t="s">
        <v>67</v>
      </c>
      <c r="M465" s="29" t="s">
        <v>4601</v>
      </c>
      <c r="N465" s="33">
        <v>46357.0</v>
      </c>
      <c r="O465" s="31" t="s">
        <v>780</v>
      </c>
      <c r="P465" s="32" t="str">
        <f>HYPERLINK("https://api.typeform.com/responses/files/4364f1dda4072cfc3f49ba9686af362e58efe89c526a9678e5975bed2289fcca/Transcript___Data_Analysis_Intern___Nguyễn_Hoàng_Trang.pdf")</f>
        <v>https://api.typeform.com/responses/files/4364f1dda4072cfc3f49ba9686af362e58efe89c526a9678e5975bed2289fcca/Transcript___Data_Analysis_Intern___Nguyễn_Hoàng_Trang.pdf</v>
      </c>
      <c r="Q465" s="29" t="b">
        <v>0</v>
      </c>
      <c r="R465" s="29" t="s">
        <v>4602</v>
      </c>
      <c r="S465" s="29" t="s">
        <v>4603</v>
      </c>
      <c r="T465" s="29" t="s">
        <v>72</v>
      </c>
      <c r="U465" s="29" t="s">
        <v>72</v>
      </c>
      <c r="V465" s="29" t="s">
        <v>544</v>
      </c>
      <c r="X465" s="29" t="s">
        <v>4604</v>
      </c>
      <c r="Y465" s="34">
        <v>46144.753958333335</v>
      </c>
      <c r="Z465" s="29" t="s">
        <v>4605</v>
      </c>
      <c r="AA465" s="6">
        <v>3.0</v>
      </c>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row>
    <row r="466" ht="22.5" hidden="1" customHeight="1">
      <c r="A466" s="29" t="s">
        <v>4606</v>
      </c>
      <c r="B466" s="30">
        <v>39076.0</v>
      </c>
      <c r="C466" s="29" t="s">
        <v>4607</v>
      </c>
      <c r="D466" s="31" t="s">
        <v>4608</v>
      </c>
      <c r="E466" s="29" t="s">
        <v>61</v>
      </c>
      <c r="F466" s="29" t="s">
        <v>99</v>
      </c>
      <c r="G466" s="32" t="str">
        <f>HYPERLINK("https://api.typeform.com/responses/files/49f91eb06244faac76355306436875548c23774bd3d0413e73efec01fd80f2b3/CV___Unity_Developoment_Intern___Phan_Nguyễn_Trung_Hiếu.pdf")</f>
        <v>https://api.typeform.com/responses/files/49f91eb06244faac76355306436875548c23774bd3d0413e73efec01fd80f2b3/CV___Unity_Developoment_Intern___Phan_Nguyễn_Trung_Hiếu.pdf</v>
      </c>
      <c r="H466" s="29" t="s">
        <v>4609</v>
      </c>
      <c r="I466" s="29" t="s">
        <v>4610</v>
      </c>
      <c r="J466" s="29" t="s">
        <v>65</v>
      </c>
      <c r="K466" s="29" t="s">
        <v>4611</v>
      </c>
      <c r="L466" s="29" t="s">
        <v>169</v>
      </c>
      <c r="M466" s="29" t="s">
        <v>457</v>
      </c>
      <c r="N466" s="33">
        <v>46258.0</v>
      </c>
      <c r="O466" s="31" t="s">
        <v>1382</v>
      </c>
      <c r="P466" s="32" t="str">
        <f>HYPERLINK("https://api.typeform.com/responses/files/758c1a490cc226b12017262bca96effcff1e938bf83f0cb670bad69e961e10fa/Transcript___Unity_Development_Intern___Phan_Nguyễn_Trung_Hiếu.pdf")</f>
        <v>https://api.typeform.com/responses/files/758c1a490cc226b12017262bca96effcff1e938bf83f0cb670bad69e961e10fa/Transcript___Unity_Development_Intern___Phan_Nguyễn_Trung_Hiếu.pdf</v>
      </c>
      <c r="Q466" s="29" t="b">
        <v>1</v>
      </c>
      <c r="R466" s="29" t="s">
        <v>4612</v>
      </c>
      <c r="S466" s="29" t="s">
        <v>4613</v>
      </c>
      <c r="T466" s="29" t="s">
        <v>72</v>
      </c>
      <c r="U466" s="29" t="s">
        <v>72</v>
      </c>
      <c r="V466" s="29" t="s">
        <v>73</v>
      </c>
      <c r="X466" s="29" t="s">
        <v>4614</v>
      </c>
      <c r="Y466" s="34">
        <v>46144.872395833336</v>
      </c>
      <c r="Z466" s="29" t="s">
        <v>4615</v>
      </c>
      <c r="AA466" s="6">
        <v>3.0</v>
      </c>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row>
    <row r="467" ht="22.5" hidden="1" customHeight="1">
      <c r="A467" s="29" t="s">
        <v>4616</v>
      </c>
      <c r="B467" s="30">
        <v>37948.0</v>
      </c>
      <c r="C467" s="29" t="s">
        <v>4617</v>
      </c>
      <c r="D467" s="31" t="s">
        <v>4618</v>
      </c>
      <c r="E467" s="29" t="s">
        <v>99</v>
      </c>
      <c r="F467" s="29" t="s">
        <v>127</v>
      </c>
      <c r="G467" s="32" t="str">
        <f>HYPERLINK("https://api.typeform.com/responses/files/b738473ed7476ca2aacc5f219ff436cf8c3bffb0c34189956e45ff8219667e6a/CV___Game_design_Intern___Nguyễn_Đặng_Thanh_Duy.pdf")</f>
        <v>https://api.typeform.com/responses/files/b738473ed7476ca2aacc5f219ff436cf8c3bffb0c34189956e45ff8219667e6a/CV___Game_design_Intern___Nguyễn_Đặng_Thanh_Duy.pdf</v>
      </c>
      <c r="H467" s="29" t="s">
        <v>4619</v>
      </c>
      <c r="I467" s="29" t="s">
        <v>4620</v>
      </c>
      <c r="J467" s="29" t="s">
        <v>4621</v>
      </c>
      <c r="L467" s="29" t="s">
        <v>103</v>
      </c>
      <c r="M467" s="29" t="s">
        <v>4622</v>
      </c>
      <c r="N467" s="33">
        <v>45585.0</v>
      </c>
      <c r="O467" s="29" t="s">
        <v>4623</v>
      </c>
      <c r="P467" s="32" t="str">
        <f>HYPERLINK("https://api.typeform.com/responses/files/8749365fc3ac5cb4ce5ae7c83f7481437e730b095c25bee24f1216bd3478cab5/Transcript___Game_Design_Intern___Nguyễn_Đặng_Thanh_Duy.pdf")</f>
        <v>https://api.typeform.com/responses/files/8749365fc3ac5cb4ce5ae7c83f7481437e730b095c25bee24f1216bd3478cab5/Transcript___Game_Design_Intern___Nguyễn_Đặng_Thanh_Duy.pdf</v>
      </c>
      <c r="Q467" s="29" t="b">
        <v>0</v>
      </c>
      <c r="R467" s="29" t="s">
        <v>4624</v>
      </c>
      <c r="S467" s="29" t="s">
        <v>4625</v>
      </c>
      <c r="T467" s="29" t="s">
        <v>72</v>
      </c>
      <c r="U467" s="29" t="s">
        <v>72</v>
      </c>
      <c r="V467" s="29" t="s">
        <v>4626</v>
      </c>
      <c r="X467" s="29" t="s">
        <v>4627</v>
      </c>
      <c r="Y467" s="34">
        <v>46144.997407407405</v>
      </c>
      <c r="Z467" s="29" t="s">
        <v>4628</v>
      </c>
      <c r="AA467" s="6">
        <v>2.1</v>
      </c>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row>
    <row r="468" ht="22.5" hidden="1" customHeight="1">
      <c r="A468" s="29" t="s">
        <v>4629</v>
      </c>
      <c r="B468" s="30">
        <v>39000.0</v>
      </c>
      <c r="C468" s="29" t="s">
        <v>4630</v>
      </c>
      <c r="D468" s="31" t="s">
        <v>4631</v>
      </c>
      <c r="E468" s="29" t="s">
        <v>61</v>
      </c>
      <c r="F468" s="29" t="s">
        <v>99</v>
      </c>
      <c r="G468" s="32" t="str">
        <f>HYPERLINK("https://api.typeform.com/responses/files/09abc917cc345711c23c64d0f309705db51c9704b80974532a4b2f1c1fe2d422/CV___Unity_Development_Intern___Võ_Nhân_Hồng_Phúc.pdf")</f>
        <v>https://api.typeform.com/responses/files/09abc917cc345711c23c64d0f309705db51c9704b80974532a4b2f1c1fe2d422/CV___Unity_Development_Intern___Võ_Nhân_Hồng_Phúc.pdf</v>
      </c>
      <c r="H468" s="29" t="s">
        <v>4632</v>
      </c>
      <c r="I468" s="29" t="s">
        <v>4633</v>
      </c>
      <c r="J468" s="29" t="s">
        <v>65</v>
      </c>
      <c r="K468" s="29" t="s">
        <v>4634</v>
      </c>
      <c r="L468" s="29" t="s">
        <v>169</v>
      </c>
      <c r="M468" s="29" t="s">
        <v>256</v>
      </c>
      <c r="N468" s="33">
        <v>46257.0</v>
      </c>
      <c r="O468" s="31" t="s">
        <v>105</v>
      </c>
      <c r="P468" s="32" t="str">
        <f>HYPERLINK("https://api.typeform.com/responses/files/39213c9b95324f5766f8bf3990b8d3bf9b34d5ef35f3eb7ba37a1ffb99962905/Transcript___Unity_Development_Intern___Võ_Nhân_Hồng_Phúc.pdf")</f>
        <v>https://api.typeform.com/responses/files/39213c9b95324f5766f8bf3990b8d3bf9b34d5ef35f3eb7ba37a1ffb99962905/Transcript___Unity_Development_Intern___Võ_Nhân_Hồng_Phúc.pdf</v>
      </c>
      <c r="Q468" s="29" t="b">
        <v>1</v>
      </c>
      <c r="R468" s="29" t="s">
        <v>4635</v>
      </c>
      <c r="S468" s="29" t="s">
        <v>4636</v>
      </c>
      <c r="T468" s="29" t="s">
        <v>72</v>
      </c>
      <c r="U468" s="29" t="s">
        <v>72</v>
      </c>
      <c r="V468" s="29" t="s">
        <v>73</v>
      </c>
      <c r="X468" s="29" t="s">
        <v>4637</v>
      </c>
      <c r="Y468" s="34">
        <v>46145.07575231481</v>
      </c>
      <c r="Z468" s="29" t="s">
        <v>4638</v>
      </c>
      <c r="AA468" s="6">
        <v>3.0</v>
      </c>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row>
    <row r="469" ht="22.5" hidden="1" customHeight="1">
      <c r="A469" s="29" t="s">
        <v>4639</v>
      </c>
      <c r="B469" s="30">
        <v>38604.0</v>
      </c>
      <c r="C469" s="29" t="s">
        <v>4640</v>
      </c>
      <c r="D469" s="31" t="s">
        <v>4641</v>
      </c>
      <c r="E469" s="29" t="s">
        <v>61</v>
      </c>
      <c r="F469" s="29" t="s">
        <v>99</v>
      </c>
      <c r="G469" s="32" t="str">
        <f>HYPERLINK("https://api.typeform.com/responses/files/9453de0038fae9f3c23a0dbd21106c09fae8de0872e7348f893607ed95dd1fc4/CV___Unity_Development_Intern___Lê_Bá_Đoàn.pdf")</f>
        <v>https://api.typeform.com/responses/files/9453de0038fae9f3c23a0dbd21106c09fae8de0872e7348f893607ed95dd1fc4/CV___Unity_Development_Intern___Lê_Bá_Đoàn.pdf</v>
      </c>
      <c r="H469" s="29" t="s">
        <v>4642</v>
      </c>
      <c r="I469" s="29" t="s">
        <v>4643</v>
      </c>
      <c r="J469" s="29" t="s">
        <v>85</v>
      </c>
      <c r="L469" s="29" t="s">
        <v>219</v>
      </c>
      <c r="M469" s="29" t="s">
        <v>104</v>
      </c>
      <c r="N469" s="33">
        <v>46529.0</v>
      </c>
      <c r="O469" s="31" t="s">
        <v>4644</v>
      </c>
      <c r="P469" s="32" t="str">
        <f>HYPERLINK("https://api.typeform.com/responses/files/4f9bff26974978f4da865f488b2d20de222b061d1dc1923f81727a60a648921d/Transcript___Unity_Development_Intern___Lê_Bá_Đoàn.png")</f>
        <v>https://api.typeform.com/responses/files/4f9bff26974978f4da865f488b2d20de222b061d1dc1923f81727a60a648921d/Transcript___Unity_Development_Intern___Lê_Bá_Đoàn.png</v>
      </c>
      <c r="Q469" s="29" t="b">
        <v>1</v>
      </c>
      <c r="R469" s="29" t="s">
        <v>4645</v>
      </c>
      <c r="S469" s="29" t="s">
        <v>4646</v>
      </c>
      <c r="T469" s="29" t="s">
        <v>72</v>
      </c>
      <c r="U469" s="29" t="s">
        <v>72</v>
      </c>
      <c r="V469" s="29" t="s">
        <v>4647</v>
      </c>
      <c r="Y469" s="34">
        <v>46145.24592592593</v>
      </c>
      <c r="Z469" s="29" t="s">
        <v>4648</v>
      </c>
      <c r="AA469" s="6">
        <v>3.0</v>
      </c>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row>
    <row r="470" ht="22.5" hidden="1" customHeight="1">
      <c r="A470" s="29" t="s">
        <v>4649</v>
      </c>
      <c r="B470" s="30">
        <v>38608.0</v>
      </c>
      <c r="C470" s="29" t="s">
        <v>4650</v>
      </c>
      <c r="D470" s="31" t="s">
        <v>4651</v>
      </c>
      <c r="E470" s="29" t="s">
        <v>61</v>
      </c>
      <c r="F470" s="29" t="s">
        <v>61</v>
      </c>
      <c r="G470" s="32" t="str">
        <f>HYPERLINK("https://api.typeform.com/responses/files/9fd9c71e2c405501a9ca7db55acdac25f74be27f5b576d9df1dcab98e1edf875/CV_Game_Developer.pdf")</f>
        <v>https://api.typeform.com/responses/files/9fd9c71e2c405501a9ca7db55acdac25f74be27f5b576d9df1dcab98e1edf875/CV_Game_Developer.pdf</v>
      </c>
      <c r="H470" s="29" t="s">
        <v>4652</v>
      </c>
      <c r="I470" s="29" t="s">
        <v>4653</v>
      </c>
      <c r="J470" s="29" t="s">
        <v>326</v>
      </c>
      <c r="L470" s="29" t="s">
        <v>219</v>
      </c>
      <c r="M470" s="29" t="s">
        <v>4654</v>
      </c>
      <c r="N470" s="33">
        <v>46478.0</v>
      </c>
      <c r="O470" s="31" t="s">
        <v>4655</v>
      </c>
      <c r="P470" s="32" t="str">
        <f>HYPERLINK("https://api.typeform.com/responses/files/1c0f3d35a3b7fead480b8865579f16844380a75e729069c4ce9062c76ede13c2/BangDiem_PhanNgung.pdf")</f>
        <v>https://api.typeform.com/responses/files/1c0f3d35a3b7fead480b8865579f16844380a75e729069c4ce9062c76ede13c2/BangDiem_PhanNgung.pdf</v>
      </c>
      <c r="Q470" s="29" t="b">
        <v>1</v>
      </c>
      <c r="R470" s="29" t="s">
        <v>4656</v>
      </c>
      <c r="S470" s="29" t="s">
        <v>4657</v>
      </c>
      <c r="T470" s="29" t="s">
        <v>72</v>
      </c>
      <c r="U470" s="29" t="s">
        <v>72</v>
      </c>
      <c r="V470" s="29" t="s">
        <v>3962</v>
      </c>
      <c r="Y470" s="34">
        <v>46145.25019675926</v>
      </c>
      <c r="Z470" s="29" t="s">
        <v>4658</v>
      </c>
      <c r="AA470" s="6">
        <v>3.0</v>
      </c>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row>
    <row r="471" ht="22.5" hidden="1" customHeight="1">
      <c r="A471" s="29" t="s">
        <v>4659</v>
      </c>
      <c r="B471" s="30">
        <v>38270.0</v>
      </c>
      <c r="C471" s="29" t="s">
        <v>4660</v>
      </c>
      <c r="D471" s="31" t="s">
        <v>4661</v>
      </c>
      <c r="E471" s="29" t="s">
        <v>61</v>
      </c>
      <c r="F471" s="29" t="s">
        <v>62</v>
      </c>
      <c r="G471" s="32" t="str">
        <f>HYPERLINK("https://api.typeform.com/responses/files/bb3adb52395ec57b759f916096fa6e1b15eead3c56c0bed20042196a683e7afd/CV___Unity_Development_Intern___Nguyễn_Trường_Thịnh.pdf")</f>
        <v>https://api.typeform.com/responses/files/bb3adb52395ec57b759f916096fa6e1b15eead3c56c0bed20042196a683e7afd/CV___Unity_Development_Intern___Nguyễn_Trường_Thịnh.pdf</v>
      </c>
      <c r="H471" s="29" t="s">
        <v>4662</v>
      </c>
      <c r="I471" s="29" t="s">
        <v>4663</v>
      </c>
      <c r="J471" s="29" t="s">
        <v>715</v>
      </c>
      <c r="L471" s="29" t="s">
        <v>67</v>
      </c>
      <c r="M471" s="29" t="s">
        <v>399</v>
      </c>
      <c r="N471" s="33">
        <v>46326.0</v>
      </c>
      <c r="O471" s="31" t="s">
        <v>3058</v>
      </c>
      <c r="P471" s="32" t="str">
        <f>HYPERLINK("https://api.typeform.com/responses/files/22c4a2ea78abb0508d6342d9a929d8c82dfa180bc16006a89ce1ae9ed168338a/Transcript___Unity_Development_Intern___Nguyễn_Trường_Thịnh.pdf")</f>
        <v>https://api.typeform.com/responses/files/22c4a2ea78abb0508d6342d9a929d8c82dfa180bc16006a89ce1ae9ed168338a/Transcript___Unity_Development_Intern___Nguyễn_Trường_Thịnh.pdf</v>
      </c>
      <c r="Q471" s="29" t="b">
        <v>1</v>
      </c>
      <c r="R471" s="29" t="s">
        <v>4664</v>
      </c>
      <c r="S471" s="29" t="s">
        <v>4665</v>
      </c>
      <c r="T471" s="29" t="s">
        <v>72</v>
      </c>
      <c r="U471" s="29" t="s">
        <v>72</v>
      </c>
      <c r="V471" s="29" t="s">
        <v>403</v>
      </c>
      <c r="W471" s="29" t="s">
        <v>4666</v>
      </c>
      <c r="X471" s="29" t="s">
        <v>4667</v>
      </c>
      <c r="Y471" s="34">
        <v>46145.27960648148</v>
      </c>
      <c r="Z471" s="29" t="s">
        <v>4668</v>
      </c>
      <c r="AA471" s="6">
        <v>3.0</v>
      </c>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row>
    <row r="472" ht="22.5" hidden="1" customHeight="1">
      <c r="A472" s="29" t="s">
        <v>4669</v>
      </c>
      <c r="B472" s="30">
        <v>37990.0</v>
      </c>
      <c r="C472" s="29" t="s">
        <v>4670</v>
      </c>
      <c r="D472" s="31" t="s">
        <v>4671</v>
      </c>
      <c r="E472" s="29" t="s">
        <v>82</v>
      </c>
      <c r="F472" s="29" t="s">
        <v>99</v>
      </c>
      <c r="G472" s="32" t="str">
        <f>HYPERLINK("https://api.typeform.com/responses/files/c71924919374272610d7d2610268177b2759aa8ffc1931d04d8dfed322a40094/NguyenHoaiNhu_DA.pdf")</f>
        <v>https://api.typeform.com/responses/files/c71924919374272610d7d2610268177b2759aa8ffc1931d04d8dfed322a40094/NguyenHoaiNhu_DA.pdf</v>
      </c>
      <c r="H472" s="29" t="s">
        <v>4672</v>
      </c>
      <c r="I472" s="29" t="s">
        <v>4673</v>
      </c>
      <c r="J472" s="29" t="s">
        <v>85</v>
      </c>
      <c r="L472" s="29" t="s">
        <v>103</v>
      </c>
      <c r="M472" s="29" t="s">
        <v>4674</v>
      </c>
      <c r="N472" s="33">
        <v>46111.0</v>
      </c>
      <c r="O472" s="31" t="s">
        <v>1648</v>
      </c>
      <c r="P472" s="32" t="str">
        <f>HYPERLINK("https://api.typeform.com/responses/files/b07db60d9bb807e53d820f8eb78537a0dcb25718486629bcee7299fe98d16048/Transcript___Data_Analysis_Intern___Nguyễn_Hoài_Như.jpg")</f>
        <v>https://api.typeform.com/responses/files/b07db60d9bb807e53d820f8eb78537a0dcb25718486629bcee7299fe98d16048/Transcript___Data_Analysis_Intern___Nguyễn_Hoài_Như.jpg</v>
      </c>
      <c r="Q472" s="29" t="b">
        <v>1</v>
      </c>
      <c r="R472" s="29" t="s">
        <v>4675</v>
      </c>
      <c r="S472" s="29" t="s">
        <v>4676</v>
      </c>
      <c r="T472" s="29" t="s">
        <v>72</v>
      </c>
      <c r="U472" s="29" t="s">
        <v>72</v>
      </c>
      <c r="V472" s="29" t="s">
        <v>594</v>
      </c>
      <c r="X472" s="29" t="s">
        <v>4677</v>
      </c>
      <c r="Y472" s="34">
        <v>46145.326944444445</v>
      </c>
      <c r="Z472" s="29" t="s">
        <v>4678</v>
      </c>
      <c r="AA472" s="6">
        <v>3.0</v>
      </c>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row>
    <row r="473" ht="22.5" hidden="1" customHeight="1">
      <c r="A473" s="29" t="s">
        <v>4679</v>
      </c>
      <c r="B473" s="30">
        <v>38105.0</v>
      </c>
      <c r="C473" s="29" t="s">
        <v>4680</v>
      </c>
      <c r="D473" s="31" t="s">
        <v>4681</v>
      </c>
      <c r="E473" s="29" t="s">
        <v>62</v>
      </c>
      <c r="F473" s="29" t="s">
        <v>82</v>
      </c>
      <c r="G473" s="32" t="str">
        <f>HYPERLINK("https://api.typeform.com/responses/files/6b15a7d08d86fa2a249b1b96a350db3809bd582ebb5cdbcef8efe435cadf80a5/CV___AI_Engineer_Intern__Nguyễn_Xuân_Lộc.pdf")</f>
        <v>https://api.typeform.com/responses/files/6b15a7d08d86fa2a249b1b96a350db3809bd582ebb5cdbcef8efe435cadf80a5/CV___AI_Engineer_Intern__Nguyễn_Xuân_Lộc.pdf</v>
      </c>
      <c r="H473" s="29" t="s">
        <v>4682</v>
      </c>
      <c r="I473" s="29" t="s">
        <v>4683</v>
      </c>
      <c r="J473" s="29" t="s">
        <v>715</v>
      </c>
      <c r="L473" s="29" t="s">
        <v>67</v>
      </c>
      <c r="M473" s="29" t="s">
        <v>399</v>
      </c>
      <c r="N473" s="33">
        <v>46497.0</v>
      </c>
      <c r="O473" s="29" t="s">
        <v>4684</v>
      </c>
      <c r="P473" s="32" t="str">
        <f>HYPERLINK("https://api.typeform.com/responses/files/358b36f9b007c77ffa1a78785c19ed036a89ab75d7406bf4dac83d80d58a6e4a/Transcript___AI_Engineer_Intern__Nguyễn_Xuân_Lộc.pdf")</f>
        <v>https://api.typeform.com/responses/files/358b36f9b007c77ffa1a78785c19ed036a89ab75d7406bf4dac83d80d58a6e4a/Transcript___AI_Engineer_Intern__Nguyễn_Xuân_Lộc.pdf</v>
      </c>
      <c r="Q473" s="29" t="b">
        <v>1</v>
      </c>
      <c r="R473" s="29" t="s">
        <v>4685</v>
      </c>
      <c r="S473" s="29" t="s">
        <v>4686</v>
      </c>
      <c r="T473" s="29" t="s">
        <v>72</v>
      </c>
      <c r="U473" s="29" t="s">
        <v>72</v>
      </c>
      <c r="V473" s="29" t="s">
        <v>2992</v>
      </c>
      <c r="Y473" s="34">
        <v>46145.39199074074</v>
      </c>
      <c r="Z473" s="29" t="s">
        <v>4687</v>
      </c>
      <c r="AA473" s="6">
        <v>3.0</v>
      </c>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row>
    <row r="474" ht="22.5" hidden="1" customHeight="1">
      <c r="A474" s="29" t="s">
        <v>4688</v>
      </c>
      <c r="B474" s="30">
        <v>38315.0</v>
      </c>
      <c r="C474" s="29" t="s">
        <v>4689</v>
      </c>
      <c r="D474" s="31" t="s">
        <v>4690</v>
      </c>
      <c r="E474" s="29" t="s">
        <v>633</v>
      </c>
      <c r="F474" s="29" t="s">
        <v>774</v>
      </c>
      <c r="G474" s="32" t="str">
        <f>HYPERLINK("https://api.typeform.com/responses/files/f33ef764686e83ed00fb7dcdaa9522169848fa7f264ad7e38116f937a73973cd/_CV__4_.pdf")</f>
        <v>https://api.typeform.com/responses/files/f33ef764686e83ed00fb7dcdaa9522169848fa7f264ad7e38116f937a73973cd/_CV__4_.pdf</v>
      </c>
      <c r="H474" s="29" t="s">
        <v>4691</v>
      </c>
      <c r="I474" s="29" t="s">
        <v>4692</v>
      </c>
      <c r="J474" s="29" t="s">
        <v>842</v>
      </c>
      <c r="L474" s="29" t="s">
        <v>103</v>
      </c>
      <c r="M474" s="29" t="s">
        <v>4693</v>
      </c>
      <c r="N474" s="33">
        <v>46194.0</v>
      </c>
      <c r="O474" s="31" t="s">
        <v>171</v>
      </c>
      <c r="P474" s="32" t="str">
        <f>HYPERLINK("https://api.typeform.com/responses/files/44820028c9f6bdf417245027bcb6476bf529a29f4e3e6b007a75cfb2883ba47f/KetQuaHT_31221025382__2_.pdf")</f>
        <v>https://api.typeform.com/responses/files/44820028c9f6bdf417245027bcb6476bf529a29f4e3e6b007a75cfb2883ba47f/KetQuaHT_31221025382__2_.pdf</v>
      </c>
      <c r="Q474" s="29" t="b">
        <v>1</v>
      </c>
      <c r="R474" s="29" t="s">
        <v>4694</v>
      </c>
      <c r="S474" s="29" t="s">
        <v>4695</v>
      </c>
      <c r="T474" s="29" t="s">
        <v>72</v>
      </c>
      <c r="U474" s="29" t="s">
        <v>72</v>
      </c>
      <c r="V474" s="29" t="s">
        <v>90</v>
      </c>
      <c r="X474" s="29" t="s">
        <v>4410</v>
      </c>
      <c r="Y474" s="34">
        <v>46145.40728009259</v>
      </c>
      <c r="Z474" s="29" t="s">
        <v>4696</v>
      </c>
      <c r="AA474" s="6">
        <v>3.0</v>
      </c>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row>
    <row r="475" ht="22.5" hidden="1" customHeight="1">
      <c r="A475" s="29" t="s">
        <v>4697</v>
      </c>
      <c r="B475" s="30">
        <v>38336.0</v>
      </c>
      <c r="C475" s="29" t="s">
        <v>4698</v>
      </c>
      <c r="D475" s="31" t="s">
        <v>4699</v>
      </c>
      <c r="E475" s="29" t="s">
        <v>62</v>
      </c>
      <c r="F475" s="29" t="s">
        <v>82</v>
      </c>
      <c r="G475" s="32" t="str">
        <f>HYPERLINK("https://api.typeform.com/responses/files/0ae56c22399ad94e48f9485330c4c72f9ee53f61763946ec02b1ca2a2b3c7701/CV___AI_Engineer_Intern___Lê_Quốc_Vương.pdf")</f>
        <v>https://api.typeform.com/responses/files/0ae56c22399ad94e48f9485330c4c72f9ee53f61763946ec02b1ca2a2b3c7701/CV___AI_Engineer_Intern___Lê_Quốc_Vương.pdf</v>
      </c>
      <c r="H475" s="29" t="s">
        <v>4700</v>
      </c>
      <c r="I475" s="29" t="s">
        <v>4701</v>
      </c>
      <c r="J475" s="29" t="s">
        <v>326</v>
      </c>
      <c r="L475" s="29" t="s">
        <v>67</v>
      </c>
      <c r="M475" s="29" t="s">
        <v>86</v>
      </c>
      <c r="N475" s="33">
        <v>46295.0</v>
      </c>
      <c r="O475" s="31" t="s">
        <v>4702</v>
      </c>
      <c r="P475" s="32" t="str">
        <f>HYPERLINK("https://api.typeform.com/responses/files/98ff7aece6dd374e9744269b5028f93c9ba2b01a80a6ad882ccb8839cb511174/Transcript___AI_Engineer_Intern___Lê_Quốc_Vương.png")</f>
        <v>https://api.typeform.com/responses/files/98ff7aece6dd374e9744269b5028f93c9ba2b01a80a6ad882ccb8839cb511174/Transcript___AI_Engineer_Intern___Lê_Quốc_Vương.png</v>
      </c>
      <c r="Q475" s="29" t="b">
        <v>0</v>
      </c>
      <c r="R475" s="29" t="s">
        <v>4703</v>
      </c>
      <c r="S475" s="29" t="s">
        <v>4703</v>
      </c>
      <c r="T475" s="29" t="s">
        <v>72</v>
      </c>
      <c r="U475" s="29" t="s">
        <v>72</v>
      </c>
      <c r="V475" s="29" t="s">
        <v>3962</v>
      </c>
      <c r="X475" s="29" t="s">
        <v>4704</v>
      </c>
      <c r="Y475" s="34">
        <v>46145.41071759259</v>
      </c>
      <c r="Z475" s="29" t="s">
        <v>4705</v>
      </c>
      <c r="AA475" s="6">
        <v>3.0</v>
      </c>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row>
    <row r="476" ht="22.5" hidden="1" customHeight="1">
      <c r="A476" s="29" t="s">
        <v>4706</v>
      </c>
      <c r="B476" s="30">
        <v>38430.0</v>
      </c>
      <c r="C476" s="29" t="s">
        <v>4707</v>
      </c>
      <c r="D476" s="31" t="s">
        <v>4708</v>
      </c>
      <c r="E476" s="29" t="s">
        <v>82</v>
      </c>
      <c r="F476" s="29" t="s">
        <v>62</v>
      </c>
      <c r="G476" s="32" t="str">
        <f>HYPERLINK("https://api.typeform.com/responses/files/93e15828f1137c97e70da051e3415706f6572123d168f86f3f9e50296186dad6/CV___Data_Analysis_Intern___Bui_Tran_Thy_Thy.pdf.pdf")</f>
        <v>https://api.typeform.com/responses/files/93e15828f1137c97e70da051e3415706f6572123d168f86f3f9e50296186dad6/CV___Data_Analysis_Intern___Bui_Tran_Thy_Thy.pdf.pdf</v>
      </c>
      <c r="H476" s="29" t="s">
        <v>4709</v>
      </c>
      <c r="I476" s="29" t="s">
        <v>4710</v>
      </c>
      <c r="J476" s="29" t="s">
        <v>85</v>
      </c>
      <c r="L476" s="29" t="s">
        <v>219</v>
      </c>
      <c r="M476" s="29" t="s">
        <v>384</v>
      </c>
      <c r="N476" s="33">
        <v>46553.0</v>
      </c>
      <c r="O476" s="31" t="s">
        <v>2132</v>
      </c>
      <c r="P476" s="32" t="str">
        <f>HYPERLINK("https://api.typeform.com/responses/files/088cc9336580f806e0eeb40331e930bea5fb0206e2ca5c6296ac6e5b1d4daf88/Transcrip___Data_Analysis___Bui_Tran_Thy_Thy.jpeg")</f>
        <v>https://api.typeform.com/responses/files/088cc9336580f806e0eeb40331e930bea5fb0206e2ca5c6296ac6e5b1d4daf88/Transcrip___Data_Analysis___Bui_Tran_Thy_Thy.jpeg</v>
      </c>
      <c r="Q476" s="29" t="b">
        <v>1</v>
      </c>
      <c r="R476" s="29" t="s">
        <v>4711</v>
      </c>
      <c r="S476" s="29" t="s">
        <v>4712</v>
      </c>
      <c r="T476" s="29" t="s">
        <v>72</v>
      </c>
      <c r="U476" s="29" t="s">
        <v>72</v>
      </c>
      <c r="V476" s="29" t="s">
        <v>269</v>
      </c>
      <c r="Y476" s="34">
        <v>46145.44472222222</v>
      </c>
      <c r="Z476" s="29" t="s">
        <v>4713</v>
      </c>
      <c r="AA476" s="6">
        <v>3.0</v>
      </c>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row>
    <row r="477" ht="22.5" hidden="1" customHeight="1">
      <c r="A477" s="29" t="s">
        <v>4714</v>
      </c>
      <c r="B477" s="30">
        <v>38147.0</v>
      </c>
      <c r="C477" s="29" t="s">
        <v>4715</v>
      </c>
      <c r="D477" s="31" t="s">
        <v>4716</v>
      </c>
      <c r="E477" s="29" t="s">
        <v>127</v>
      </c>
      <c r="F477" s="29" t="s">
        <v>774</v>
      </c>
      <c r="G477" s="32" t="str">
        <f>HYPERLINK("https://api.typeform.com/responses/files/ae90e1003bdac1eb3b4e3f797551239e2c9375abc4788acf009235f81dc108a3/CV___Game_Quality_Assurance_Intern___Nguyễn_Hoàn_Báu.pdf")</f>
        <v>https://api.typeform.com/responses/files/ae90e1003bdac1eb3b4e3f797551239e2c9375abc4788acf009235f81dc108a3/CV___Game_Quality_Assurance_Intern___Nguyễn_Hoàn_Báu.pdf</v>
      </c>
      <c r="H477" s="29" t="s">
        <v>4717</v>
      </c>
      <c r="I477" s="29" t="s">
        <v>4718</v>
      </c>
      <c r="J477" s="29" t="s">
        <v>130</v>
      </c>
      <c r="K477" s="29" t="s">
        <v>3332</v>
      </c>
      <c r="L477" s="29" t="s">
        <v>67</v>
      </c>
      <c r="M477" s="29" t="s">
        <v>4719</v>
      </c>
      <c r="N477" s="33">
        <v>46461.0</v>
      </c>
      <c r="O477" s="31" t="s">
        <v>4720</v>
      </c>
      <c r="P477" s="32" t="str">
        <f>HYPERLINK("https://api.typeform.com/responses/files/541d1584601fced3213298d2ae9f6b4bd28c61286febc42cdc358f782ff62621/Transcript___Game_Quality_Assurance_Intern___Nguyễn_Hoàn_Báu.pdf")</f>
        <v>https://api.typeform.com/responses/files/541d1584601fced3213298d2ae9f6b4bd28c61286febc42cdc358f782ff62621/Transcript___Game_Quality_Assurance_Intern___Nguyễn_Hoàn_Báu.pdf</v>
      </c>
      <c r="Q477" s="29" t="b">
        <v>1</v>
      </c>
      <c r="R477" s="29" t="s">
        <v>4721</v>
      </c>
      <c r="S477" s="29" t="s">
        <v>4722</v>
      </c>
      <c r="T477" s="29" t="s">
        <v>72</v>
      </c>
      <c r="U477" s="29" t="s">
        <v>72</v>
      </c>
      <c r="V477" s="29" t="s">
        <v>73</v>
      </c>
      <c r="X477" s="29" t="s">
        <v>4723</v>
      </c>
      <c r="Y477" s="34">
        <v>46145.46387731482</v>
      </c>
      <c r="Z477" s="29" t="s">
        <v>4724</v>
      </c>
      <c r="AA477" s="6">
        <v>3.0</v>
      </c>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row>
    <row r="478" ht="22.5" hidden="1" customHeight="1">
      <c r="A478" s="29" t="s">
        <v>4725</v>
      </c>
      <c r="B478" s="30">
        <v>38288.0</v>
      </c>
      <c r="C478" s="29" t="s">
        <v>4726</v>
      </c>
      <c r="D478" s="31" t="s">
        <v>4727</v>
      </c>
      <c r="E478" s="29" t="s">
        <v>127</v>
      </c>
      <c r="F478" s="29" t="s">
        <v>82</v>
      </c>
      <c r="G478" s="32" t="str">
        <f>HYPERLINK("https://api.typeform.com/responses/files/fa2f2fe597b606856a24edee90ab7828fe258e98ca6100c33aeb77dc8efac84a/CV___Game_Quality_Assurance_Intern___Lương_Nguyễn_Xuân_Minh.pdf")</f>
        <v>https://api.typeform.com/responses/files/fa2f2fe597b606856a24edee90ab7828fe258e98ca6100c33aeb77dc8efac84a/CV___Game_Quality_Assurance_Intern___Lương_Nguyễn_Xuân_Minh.pdf</v>
      </c>
      <c r="H478" s="29" t="s">
        <v>4728</v>
      </c>
      <c r="I478" s="29" t="s">
        <v>4729</v>
      </c>
      <c r="J478" s="29" t="s">
        <v>65</v>
      </c>
      <c r="K478" s="29" t="s">
        <v>4730</v>
      </c>
      <c r="L478" s="29" t="s">
        <v>67</v>
      </c>
      <c r="M478" s="29" t="s">
        <v>909</v>
      </c>
      <c r="N478" s="33">
        <v>46346.0</v>
      </c>
      <c r="O478" s="31" t="s">
        <v>1686</v>
      </c>
      <c r="P478" s="32" t="str">
        <f>HYPERLINK("https://api.typeform.com/responses/files/187c29f5a2c0e49e623e8d9369175a58df9f98585fa5426d5e9e9f613f11cae6/Transcript___Game_Quality_Assurance_Intern____Lương_Nguyễn_Xuân_Minh.xls")</f>
        <v>https://api.typeform.com/responses/files/187c29f5a2c0e49e623e8d9369175a58df9f98585fa5426d5e9e9f613f11cae6/Transcript___Game_Quality_Assurance_Intern____Lương_Nguyễn_Xuân_Minh.xls</v>
      </c>
      <c r="Q478" s="29" t="b">
        <v>1</v>
      </c>
      <c r="R478" s="29" t="s">
        <v>4731</v>
      </c>
      <c r="S478" s="29" t="s">
        <v>4732</v>
      </c>
      <c r="T478" s="29" t="s">
        <v>72</v>
      </c>
      <c r="U478" s="29" t="s">
        <v>72</v>
      </c>
      <c r="V478" s="29" t="s">
        <v>4584</v>
      </c>
      <c r="X478" s="29" t="s">
        <v>4733</v>
      </c>
      <c r="Y478" s="34">
        <v>46145.47363425926</v>
      </c>
      <c r="Z478" s="29" t="s">
        <v>4734</v>
      </c>
      <c r="AA478" s="6">
        <v>3.0</v>
      </c>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row>
    <row r="479" ht="22.5" hidden="1" customHeight="1">
      <c r="A479" s="29" t="s">
        <v>4735</v>
      </c>
      <c r="B479" s="30">
        <v>38520.0</v>
      </c>
      <c r="C479" s="29" t="s">
        <v>4736</v>
      </c>
      <c r="D479" s="31" t="s">
        <v>4737</v>
      </c>
      <c r="E479" s="29" t="s">
        <v>62</v>
      </c>
      <c r="F479" s="29" t="s">
        <v>82</v>
      </c>
      <c r="G479" s="32" t="str">
        <f>HYPERLINK("https://api.typeform.com/responses/files/8dad546721a18f38e185fc120e8b47c794e8ea6807ee46be68f2cfbb138deb8e/CV___AI_Engineering_Intern___Bui_Le_Hong_Tam.pdf")</f>
        <v>https://api.typeform.com/responses/files/8dad546721a18f38e185fc120e8b47c794e8ea6807ee46be68f2cfbb138deb8e/CV___AI_Engineering_Intern___Bui_Le_Hong_Tam.pdf</v>
      </c>
      <c r="H479" s="29" t="s">
        <v>4738</v>
      </c>
      <c r="I479" s="29" t="s">
        <v>4739</v>
      </c>
      <c r="J479" s="29" t="s">
        <v>4740</v>
      </c>
      <c r="L479" s="29" t="s">
        <v>219</v>
      </c>
      <c r="M479" s="29" t="s">
        <v>4741</v>
      </c>
      <c r="N479" s="33">
        <v>46477.0</v>
      </c>
      <c r="O479" s="31" t="s">
        <v>542</v>
      </c>
      <c r="P479" s="32" t="str">
        <f>HYPERLINK("https://api.typeform.com/responses/files/525ec51b1f10724d272e43de8e82cdaf4d4a85a5efe6acf341e392821e4cf83f/Transcript___AI_Engineering_Intern___Bui_Le_Hong_Tam.pdf")</f>
        <v>https://api.typeform.com/responses/files/525ec51b1f10724d272e43de8e82cdaf4d4a85a5efe6acf341e392821e4cf83f/Transcript___AI_Engineering_Intern___Bui_Le_Hong_Tam.pdf</v>
      </c>
      <c r="Q479" s="29" t="b">
        <v>1</v>
      </c>
      <c r="R479" s="29" t="s">
        <v>4742</v>
      </c>
      <c r="S479" s="29" t="s">
        <v>4743</v>
      </c>
      <c r="T479" s="29" t="s">
        <v>72</v>
      </c>
      <c r="U479" s="29" t="s">
        <v>72</v>
      </c>
      <c r="V479" s="29" t="s">
        <v>3845</v>
      </c>
      <c r="X479" s="29" t="s">
        <v>4744</v>
      </c>
      <c r="Y479" s="34">
        <v>46145.49181712963</v>
      </c>
      <c r="Z479" s="29" t="s">
        <v>4745</v>
      </c>
      <c r="AA479" s="6">
        <v>3.0</v>
      </c>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row>
    <row r="480" ht="22.5" hidden="1" customHeight="1">
      <c r="A480" s="29" t="s">
        <v>4746</v>
      </c>
      <c r="B480" s="30">
        <v>38670.0</v>
      </c>
      <c r="C480" s="29" t="s">
        <v>4747</v>
      </c>
      <c r="D480" s="31" t="s">
        <v>4748</v>
      </c>
      <c r="E480" s="29" t="s">
        <v>633</v>
      </c>
      <c r="F480" s="29" t="s">
        <v>633</v>
      </c>
      <c r="G480" s="32" t="str">
        <f>HYPERLINK("https://api.typeform.com/responses/files/c88611e940d4999dfde026fe25da80e40325a4af726e41513da868d497d763b8/Lê_Hoàng_Châu_Anh_HR_Intern.pdf")</f>
        <v>https://api.typeform.com/responses/files/c88611e940d4999dfde026fe25da80e40325a4af726e41513da868d497d763b8/Lê_Hoàng_Châu_Anh_HR_Intern.pdf</v>
      </c>
      <c r="H480" s="29" t="s">
        <v>4749</v>
      </c>
      <c r="I480" s="29" t="s">
        <v>4750</v>
      </c>
      <c r="J480" s="29" t="s">
        <v>1311</v>
      </c>
      <c r="L480" s="29" t="s">
        <v>219</v>
      </c>
      <c r="M480" s="29" t="s">
        <v>1312</v>
      </c>
      <c r="N480" s="33">
        <v>46497.0</v>
      </c>
      <c r="O480" s="31" t="s">
        <v>1321</v>
      </c>
      <c r="P480" s="32" t="str">
        <f>HYPERLINK("https://api.typeform.com/responses/files/588db81f5f70215a45e2d446cbed458407cd0792ee932f78d6fd49866fa2847c/Transcript___Human_Resources_Intern___Lê_Hoàng_Châu_Anh.jpeg")</f>
        <v>https://api.typeform.com/responses/files/588db81f5f70215a45e2d446cbed458407cd0792ee932f78d6fd49866fa2847c/Transcript___Human_Resources_Intern___Lê_Hoàng_Châu_Anh.jpeg</v>
      </c>
      <c r="Q480" s="29" t="b">
        <v>0</v>
      </c>
      <c r="R480" s="29" t="s">
        <v>4751</v>
      </c>
      <c r="S480" s="29" t="s">
        <v>4752</v>
      </c>
      <c r="T480" s="29" t="s">
        <v>72</v>
      </c>
      <c r="U480" s="29" t="s">
        <v>72</v>
      </c>
      <c r="V480" s="29" t="s">
        <v>4224</v>
      </c>
      <c r="X480" s="29" t="s">
        <v>4753</v>
      </c>
      <c r="Y480" s="34">
        <v>46145.49927083333</v>
      </c>
      <c r="Z480" s="29" t="s">
        <v>4754</v>
      </c>
      <c r="AA480" s="6">
        <v>3.0</v>
      </c>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row>
    <row r="481" ht="22.5" hidden="1" customHeight="1">
      <c r="A481" s="29" t="s">
        <v>4755</v>
      </c>
      <c r="B481" s="30">
        <v>37321.0</v>
      </c>
      <c r="C481" s="29" t="s">
        <v>4756</v>
      </c>
      <c r="D481" s="31" t="s">
        <v>4757</v>
      </c>
      <c r="E481" s="29" t="s">
        <v>127</v>
      </c>
      <c r="F481" s="29" t="s">
        <v>127</v>
      </c>
      <c r="G481" s="32" t="str">
        <f>HYPERLINK("https://api.typeform.com/responses/files/ec58cbf54a095043261e6b6a2b686e9453245c746106bf3472ee64cf34e01c2b/CV_GAME_QUALITY_ASSURANCE_INTERN_Truong_Tan_Phat.pdf")</f>
        <v>https://api.typeform.com/responses/files/ec58cbf54a095043261e6b6a2b686e9453245c746106bf3472ee64cf34e01c2b/CV_GAME_QUALITY_ASSURANCE_INTERN_Truong_Tan_Phat.pdf</v>
      </c>
      <c r="H481" s="29" t="s">
        <v>4758</v>
      </c>
      <c r="I481" s="29" t="s">
        <v>4759</v>
      </c>
      <c r="J481" s="29" t="s">
        <v>65</v>
      </c>
      <c r="K481" s="29" t="s">
        <v>131</v>
      </c>
      <c r="L481" s="29" t="s">
        <v>103</v>
      </c>
      <c r="M481" s="29" t="s">
        <v>551</v>
      </c>
      <c r="N481" s="33">
        <v>46095.0</v>
      </c>
      <c r="O481" s="31" t="s">
        <v>717</v>
      </c>
      <c r="P481" s="32" t="str">
        <f>HYPERLINK("https://api.typeform.com/responses/files/e82e64af8d6fc023d4e87d7c48efd40e3a1f670df055d0f19fb0c5387ed6890d/Transcript__GAME_QUALITY_ASSURANCE_INTERN_Truong_Tan_Phat.pdf")</f>
        <v>https://api.typeform.com/responses/files/e82e64af8d6fc023d4e87d7c48efd40e3a1f670df055d0f19fb0c5387ed6890d/Transcript__GAME_QUALITY_ASSURANCE_INTERN_Truong_Tan_Phat.pdf</v>
      </c>
      <c r="Q481" s="29" t="b">
        <v>1</v>
      </c>
      <c r="R481" s="29" t="s">
        <v>4760</v>
      </c>
      <c r="S481" s="29" t="s">
        <v>4761</v>
      </c>
      <c r="T481" s="29" t="s">
        <v>72</v>
      </c>
      <c r="U481" s="29" t="s">
        <v>72</v>
      </c>
      <c r="V481" s="29" t="s">
        <v>73</v>
      </c>
      <c r="X481" s="29" t="s">
        <v>4762</v>
      </c>
      <c r="Y481" s="34">
        <v>46145.5871412037</v>
      </c>
      <c r="Z481" s="29" t="s">
        <v>4763</v>
      </c>
      <c r="AA481" s="6">
        <v>3.0</v>
      </c>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row>
    <row r="482" ht="22.5" hidden="1" customHeight="1">
      <c r="A482" s="29" t="s">
        <v>4764</v>
      </c>
      <c r="B482" s="30">
        <v>37345.0</v>
      </c>
      <c r="C482" s="29" t="s">
        <v>4765</v>
      </c>
      <c r="D482" s="31" t="s">
        <v>4766</v>
      </c>
      <c r="E482" s="29" t="s">
        <v>127</v>
      </c>
      <c r="F482" s="29" t="s">
        <v>774</v>
      </c>
      <c r="G482" s="32" t="str">
        <f>HYPERLINK("https://api.typeform.com/responses/files/d73d8300e4723fe929f6278482ae632f0d3676e837c8f186805e7ec42c73aa54/CV___Game_QA_Intern___Nguyễn_Lâm_Đức_Hòa.pdf")</f>
        <v>https://api.typeform.com/responses/files/d73d8300e4723fe929f6278482ae632f0d3676e837c8f186805e7ec42c73aa54/CV___Game_QA_Intern___Nguyễn_Lâm_Đức_Hòa.pdf</v>
      </c>
      <c r="H482" s="29" t="s">
        <v>4767</v>
      </c>
      <c r="I482" s="29" t="s">
        <v>4768</v>
      </c>
      <c r="J482" s="29" t="s">
        <v>65</v>
      </c>
      <c r="K482" s="29" t="s">
        <v>4769</v>
      </c>
      <c r="L482" s="29" t="s">
        <v>67</v>
      </c>
      <c r="M482" s="29" t="s">
        <v>551</v>
      </c>
      <c r="N482" s="33">
        <v>46376.0</v>
      </c>
      <c r="O482" s="31" t="s">
        <v>780</v>
      </c>
      <c r="P482" s="32" t="str">
        <f>HYPERLINK("https://api.typeform.com/responses/files/77ecfada525d5c8262205a1159d680484861e75ce5fbceed8def8d469958965b/Transcript__Game_QA_Intern__Nguyễn_Lâm_Đức_Hòa.zip")</f>
        <v>https://api.typeform.com/responses/files/77ecfada525d5c8262205a1159d680484861e75ce5fbceed8def8d469958965b/Transcript__Game_QA_Intern__Nguyễn_Lâm_Đức_Hòa.zip</v>
      </c>
      <c r="Q482" s="29" t="b">
        <v>0</v>
      </c>
      <c r="R482" s="29" t="s">
        <v>4770</v>
      </c>
      <c r="S482" s="29" t="s">
        <v>268</v>
      </c>
      <c r="T482" s="29" t="s">
        <v>72</v>
      </c>
      <c r="U482" s="29" t="s">
        <v>72</v>
      </c>
      <c r="V482" s="29" t="s">
        <v>73</v>
      </c>
      <c r="X482" s="29" t="s">
        <v>4771</v>
      </c>
      <c r="Y482" s="34">
        <v>46145.60136574074</v>
      </c>
      <c r="Z482" s="29" t="s">
        <v>4772</v>
      </c>
      <c r="AA482" s="6">
        <v>3.0</v>
      </c>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row>
    <row r="483" ht="22.5" hidden="1" customHeight="1">
      <c r="A483" s="29" t="s">
        <v>4773</v>
      </c>
      <c r="B483" s="30">
        <v>37989.0</v>
      </c>
      <c r="C483" s="29" t="s">
        <v>4774</v>
      </c>
      <c r="D483" s="31" t="s">
        <v>4775</v>
      </c>
      <c r="E483" s="29" t="s">
        <v>62</v>
      </c>
      <c r="F483" s="29" t="s">
        <v>82</v>
      </c>
      <c r="G483" s="32" t="str">
        <f>HYPERLINK("https://api.typeform.com/responses/files/6c4b1d01ef218d99a660f7b3278feeabc84201f6544485472ba81adf5616179d/CV___AI_Engineering_Intern___Nguyễn_Trần_Gia.pdf")</f>
        <v>https://api.typeform.com/responses/files/6c4b1d01ef218d99a660f7b3278feeabc84201f6544485472ba81adf5616179d/CV___AI_Engineering_Intern___Nguyễn_Trần_Gia.pdf</v>
      </c>
      <c r="H483" s="29" t="s">
        <v>4776</v>
      </c>
      <c r="I483" s="29" t="s">
        <v>4777</v>
      </c>
      <c r="J483" s="29" t="s">
        <v>326</v>
      </c>
      <c r="L483" s="29" t="s">
        <v>67</v>
      </c>
      <c r="M483" s="29" t="s">
        <v>930</v>
      </c>
      <c r="N483" s="33">
        <v>46387.0</v>
      </c>
      <c r="O483" s="31" t="s">
        <v>1696</v>
      </c>
      <c r="P483" s="32" t="str">
        <f>HYPERLINK("https://api.typeform.com/responses/files/5deb68dacaa9ef49f4b4a1a840e69e3530756b722aa4717964adce82fb0ef323/Transcript___AI_Engineering_Intern___Nguyễn_Trần_Gia.pdf")</f>
        <v>https://api.typeform.com/responses/files/5deb68dacaa9ef49f4b4a1a840e69e3530756b722aa4717964adce82fb0ef323/Transcript___AI_Engineering_Intern___Nguyễn_Trần_Gia.pdf</v>
      </c>
      <c r="Q483" s="29" t="b">
        <v>1</v>
      </c>
      <c r="R483" s="29" t="s">
        <v>4778</v>
      </c>
      <c r="S483" s="29" t="s">
        <v>4779</v>
      </c>
      <c r="T483" s="29" t="s">
        <v>72</v>
      </c>
      <c r="U483" s="29" t="s">
        <v>72</v>
      </c>
      <c r="V483" s="29" t="s">
        <v>647</v>
      </c>
      <c r="X483" s="29" t="s">
        <v>3547</v>
      </c>
      <c r="Y483" s="34">
        <v>46145.62652777778</v>
      </c>
      <c r="Z483" s="29" t="s">
        <v>4780</v>
      </c>
      <c r="AA483" s="6">
        <v>3.0</v>
      </c>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row>
    <row r="484" ht="22.5" hidden="1" customHeight="1">
      <c r="A484" s="29" t="s">
        <v>4119</v>
      </c>
      <c r="B484" s="30">
        <v>37914.0</v>
      </c>
      <c r="C484" s="29" t="s">
        <v>4781</v>
      </c>
      <c r="D484" s="31" t="s">
        <v>4121</v>
      </c>
      <c r="E484" s="29" t="s">
        <v>99</v>
      </c>
      <c r="F484" s="29" t="s">
        <v>62</v>
      </c>
      <c r="G484" s="32" t="str">
        <f>HYPERLINK("https://api.typeform.com/responses/files/7499680c17becbbe2411c8f708d257fff8d0b3f7708cfa4650e1594aea832c09/CV___Game_Design_Intern___Nguyễn_Nguyên_Bảo_Phú.pdf")</f>
        <v>https://api.typeform.com/responses/files/7499680c17becbbe2411c8f708d257fff8d0b3f7708cfa4650e1594aea832c09/CV___Game_Design_Intern___Nguyễn_Nguyên_Bảo_Phú.pdf</v>
      </c>
      <c r="H484" s="29" t="s">
        <v>4782</v>
      </c>
      <c r="I484" s="29" t="s">
        <v>4783</v>
      </c>
      <c r="J484" s="29" t="s">
        <v>644</v>
      </c>
      <c r="L484" s="29" t="s">
        <v>103</v>
      </c>
      <c r="M484" s="29" t="s">
        <v>399</v>
      </c>
      <c r="N484" s="33">
        <v>46052.0</v>
      </c>
      <c r="O484" s="31" t="s">
        <v>4124</v>
      </c>
      <c r="P484" s="32" t="str">
        <f>HYPERLINK("https://api.typeform.com/responses/files/d6015f4accafa89a6193c12908b27f13b65ebe031c898fb2da3bc7b8eb8d1eeb/Transcript___Game_Designer_Intern___Nguyễn_Nguyên_Bảo_Phú.xls")</f>
        <v>https://api.typeform.com/responses/files/d6015f4accafa89a6193c12908b27f13b65ebe031c898fb2da3bc7b8eb8d1eeb/Transcript___Game_Designer_Intern___Nguyễn_Nguyên_Bảo_Phú.xls</v>
      </c>
      <c r="Q484" s="29" t="b">
        <v>1</v>
      </c>
      <c r="R484" s="29" t="s">
        <v>4784</v>
      </c>
      <c r="S484" s="29" t="s">
        <v>4785</v>
      </c>
      <c r="T484" s="29" t="s">
        <v>72</v>
      </c>
      <c r="U484" s="29" t="s">
        <v>72</v>
      </c>
      <c r="V484" s="29" t="s">
        <v>90</v>
      </c>
      <c r="Y484" s="34">
        <v>46145.635717592595</v>
      </c>
      <c r="Z484" s="29" t="s">
        <v>4786</v>
      </c>
      <c r="AA484" s="6">
        <v>2.1</v>
      </c>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row>
    <row r="485" ht="22.5" hidden="1" customHeight="1">
      <c r="A485" s="29" t="s">
        <v>4787</v>
      </c>
      <c r="B485" s="30">
        <v>38092.0</v>
      </c>
      <c r="C485" s="29" t="s">
        <v>4788</v>
      </c>
      <c r="D485" s="31" t="s">
        <v>4789</v>
      </c>
      <c r="E485" s="29" t="s">
        <v>82</v>
      </c>
      <c r="F485" s="29" t="s">
        <v>82</v>
      </c>
      <c r="G485" s="32" t="str">
        <f>HYPERLINK("https://api.typeform.com/responses/files/16bdc7249d28a3381aeca137e5bb10ff3b36b1e363c3bca24a48c1e890086028/NguyenTuNhu_Resume.pdf")</f>
        <v>https://api.typeform.com/responses/files/16bdc7249d28a3381aeca137e5bb10ff3b36b1e363c3bca24a48c1e890086028/NguyenTuNhu_Resume.pdf</v>
      </c>
      <c r="H485" s="29" t="s">
        <v>4790</v>
      </c>
      <c r="I485" s="29" t="s">
        <v>4791</v>
      </c>
      <c r="J485" s="29" t="s">
        <v>3605</v>
      </c>
      <c r="L485" s="29" t="s">
        <v>67</v>
      </c>
      <c r="M485" s="29" t="s">
        <v>384</v>
      </c>
      <c r="N485" s="33">
        <v>38092.0</v>
      </c>
      <c r="O485" s="31" t="s">
        <v>4088</v>
      </c>
      <c r="P485" s="32" t="str">
        <f>HYPERLINK("https://api.typeform.com/responses/files/f1d6e40d0fc9476d27310adb0fd052cbd3cad6b3e318b89bfe52a69cbbcee9ca/Transcript___Data_Analysis_Intern___Nguyen_Tu_Nhu.pdf")</f>
        <v>https://api.typeform.com/responses/files/f1d6e40d0fc9476d27310adb0fd052cbd3cad6b3e318b89bfe52a69cbbcee9ca/Transcript___Data_Analysis_Intern___Nguyen_Tu_Nhu.pdf</v>
      </c>
      <c r="Q485" s="29" t="b">
        <v>1</v>
      </c>
      <c r="R485" s="29" t="s">
        <v>4792</v>
      </c>
      <c r="S485" s="29" t="s">
        <v>4793</v>
      </c>
      <c r="T485" s="29" t="s">
        <v>72</v>
      </c>
      <c r="U485" s="29" t="s">
        <v>72</v>
      </c>
      <c r="V485" s="29" t="s">
        <v>73</v>
      </c>
      <c r="X485" s="29" t="s">
        <v>4794</v>
      </c>
      <c r="Y485" s="34">
        <v>46145.643275462964</v>
      </c>
      <c r="Z485" s="29" t="s">
        <v>4795</v>
      </c>
      <c r="AA485" s="6">
        <v>3.0</v>
      </c>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row>
    <row r="486" ht="22.5" hidden="1" customHeight="1">
      <c r="A486" s="29" t="s">
        <v>4796</v>
      </c>
      <c r="B486" s="30">
        <v>37342.0</v>
      </c>
      <c r="C486" s="29" t="s">
        <v>4797</v>
      </c>
      <c r="D486" s="31" t="s">
        <v>4798</v>
      </c>
      <c r="E486" s="29" t="s">
        <v>82</v>
      </c>
      <c r="F486" s="29" t="s">
        <v>82</v>
      </c>
      <c r="G486" s="32" t="str">
        <f>HYPERLINK("https://api.typeform.com/responses/files/5e3f14188f4ea96c661ff3b8b862e2e13f08732eb38ab7ab630b4ad0bdd4249c/CV___Data_Analysis_Intern___Lê_Thị_Thu_Hiệp.pdf")</f>
        <v>https://api.typeform.com/responses/files/5e3f14188f4ea96c661ff3b8b862e2e13f08732eb38ab7ab630b4ad0bdd4249c/CV___Data_Analysis_Intern___Lê_Thị_Thu_Hiệp.pdf</v>
      </c>
      <c r="H486" s="29" t="s">
        <v>4799</v>
      </c>
      <c r="I486" s="29" t="s">
        <v>4800</v>
      </c>
      <c r="J486" s="29" t="s">
        <v>2281</v>
      </c>
      <c r="L486" s="29" t="s">
        <v>67</v>
      </c>
      <c r="M486" s="29" t="s">
        <v>3895</v>
      </c>
      <c r="N486" s="33">
        <v>46376.0</v>
      </c>
      <c r="O486" s="31" t="s">
        <v>663</v>
      </c>
      <c r="P486" s="32" t="str">
        <f>HYPERLINK("https://api.typeform.com/responses/files/0214a9462cad895a3c7284483eb85bd0e53cddaa65342bfc7cee204cef1e8bbf/Transcript___Data_Analysis_Intern__Lê_Thị_Thu_Hiệp.pdf")</f>
        <v>https://api.typeform.com/responses/files/0214a9462cad895a3c7284483eb85bd0e53cddaa65342bfc7cee204cef1e8bbf/Transcript___Data_Analysis_Intern__Lê_Thị_Thu_Hiệp.pdf</v>
      </c>
      <c r="Q486" s="29" t="b">
        <v>1</v>
      </c>
      <c r="R486" s="29" t="s">
        <v>4801</v>
      </c>
      <c r="S486" s="29" t="s">
        <v>4802</v>
      </c>
      <c r="T486" s="29" t="s">
        <v>72</v>
      </c>
      <c r="U486" s="29" t="s">
        <v>72</v>
      </c>
      <c r="V486" s="29" t="s">
        <v>73</v>
      </c>
      <c r="X486" s="29" t="s">
        <v>4803</v>
      </c>
      <c r="Y486" s="34">
        <v>46145.64709490741</v>
      </c>
      <c r="Z486" s="29" t="s">
        <v>4804</v>
      </c>
      <c r="AA486" s="6">
        <v>3.0</v>
      </c>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row>
    <row r="487" ht="22.5" hidden="1" customHeight="1">
      <c r="A487" s="29" t="s">
        <v>4805</v>
      </c>
      <c r="B487" s="30">
        <v>38472.0</v>
      </c>
      <c r="C487" s="29" t="s">
        <v>4806</v>
      </c>
      <c r="D487" s="31" t="s">
        <v>4807</v>
      </c>
      <c r="E487" s="29" t="s">
        <v>62</v>
      </c>
      <c r="F487" s="29" t="s">
        <v>62</v>
      </c>
      <c r="G487" s="32" t="str">
        <f>HYPERLINK("https://api.typeform.com/responses/files/61186d44d17b346a6e9630618ed7e3a5f87c7b427c32c665fa3a59a9bf0fe8e1/CV___AI_Engineering_Intern___Nguyen_Thanh_Vinh.pdf")</f>
        <v>https://api.typeform.com/responses/files/61186d44d17b346a6e9630618ed7e3a5f87c7b427c32c665fa3a59a9bf0fe8e1/CV___AI_Engineering_Intern___Nguyen_Thanh_Vinh.pdf</v>
      </c>
      <c r="H487" s="29" t="s">
        <v>4808</v>
      </c>
      <c r="I487" s="29" t="s">
        <v>4809</v>
      </c>
      <c r="J487" s="29" t="s">
        <v>372</v>
      </c>
      <c r="L487" s="29" t="s">
        <v>219</v>
      </c>
      <c r="M487" s="29" t="s">
        <v>570</v>
      </c>
      <c r="N487" s="33">
        <v>46741.0</v>
      </c>
      <c r="O487" s="31" t="s">
        <v>1735</v>
      </c>
      <c r="P487" s="32" t="str">
        <f>HYPERLINK("https://api.typeform.com/responses/files/e1e10d3c237d8a30d9c694b04db32d5c335bcd50acdec4e480686360078c66d1/Transcript___AI_Engineering_Intern___Nguyen_Thanh_Vinh.png")</f>
        <v>https://api.typeform.com/responses/files/e1e10d3c237d8a30d9c694b04db32d5c335bcd50acdec4e480686360078c66d1/Transcript___AI_Engineering_Intern___Nguyen_Thanh_Vinh.png</v>
      </c>
      <c r="Q487" s="29" t="b">
        <v>1</v>
      </c>
      <c r="R487" s="29" t="s">
        <v>4810</v>
      </c>
      <c r="S487" s="29" t="s">
        <v>4811</v>
      </c>
      <c r="T487" s="29" t="s">
        <v>72</v>
      </c>
      <c r="U487" s="29" t="s">
        <v>72</v>
      </c>
      <c r="V487" s="29" t="s">
        <v>2389</v>
      </c>
      <c r="X487" s="29" t="s">
        <v>4812</v>
      </c>
      <c r="Y487" s="34">
        <v>46145.665671296294</v>
      </c>
      <c r="Z487" s="29" t="s">
        <v>4813</v>
      </c>
      <c r="AA487" s="6">
        <v>3.0</v>
      </c>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row>
    <row r="488" ht="22.5" hidden="1" customHeight="1">
      <c r="A488" s="29" t="s">
        <v>4814</v>
      </c>
      <c r="B488" s="30">
        <v>38368.0</v>
      </c>
      <c r="C488" s="29" t="s">
        <v>4815</v>
      </c>
      <c r="D488" s="31" t="s">
        <v>4816</v>
      </c>
      <c r="E488" s="29" t="s">
        <v>62</v>
      </c>
      <c r="F488" s="29" t="s">
        <v>82</v>
      </c>
      <c r="G488" s="32" t="str">
        <f>HYPERLINK("https://api.typeform.com/responses/files/b3010c69da28db0c20d0353aaf30250a903167d3da4298ed937bc0c7f1749e06/NGÔ_PHƯƠNG_NAM___AI_INTERN.pdf")</f>
        <v>https://api.typeform.com/responses/files/b3010c69da28db0c20d0353aaf30250a903167d3da4298ed937bc0c7f1749e06/NGÔ_PHƯƠNG_NAM___AI_INTERN.pdf</v>
      </c>
      <c r="H488" s="29" t="s">
        <v>4817</v>
      </c>
      <c r="I488" s="29" t="s">
        <v>4818</v>
      </c>
      <c r="J488" s="29" t="s">
        <v>85</v>
      </c>
      <c r="L488" s="29" t="s">
        <v>219</v>
      </c>
      <c r="M488" s="29" t="s">
        <v>399</v>
      </c>
      <c r="N488" s="33">
        <v>46394.0</v>
      </c>
      <c r="O488" s="31" t="s">
        <v>3739</v>
      </c>
      <c r="P488" s="32" t="str">
        <f>HYPERLINK("https://api.typeform.com/responses/files/3fd4cf491c4d9b57a0c85babfeaf39ca08b8b47480f5357cd45dc5b83dd55e44/TRANSCRIPT.pdf")</f>
        <v>https://api.typeform.com/responses/files/3fd4cf491c4d9b57a0c85babfeaf39ca08b8b47480f5357cd45dc5b83dd55e44/TRANSCRIPT.pdf</v>
      </c>
      <c r="Q488" s="29" t="b">
        <v>0</v>
      </c>
      <c r="R488" s="29" t="s">
        <v>222</v>
      </c>
      <c r="S488" s="29" t="s">
        <v>4819</v>
      </c>
      <c r="T488" s="29" t="s">
        <v>72</v>
      </c>
      <c r="U488" s="29" t="s">
        <v>72</v>
      </c>
      <c r="V488" s="29" t="s">
        <v>3962</v>
      </c>
      <c r="X488" s="29" t="s">
        <v>4820</v>
      </c>
      <c r="Y488" s="34">
        <v>46145.67224537037</v>
      </c>
      <c r="Z488" s="29" t="s">
        <v>4821</v>
      </c>
      <c r="AA488" s="6">
        <v>3.0</v>
      </c>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row>
    <row r="489" ht="22.5" hidden="1" customHeight="1">
      <c r="A489" s="29" t="s">
        <v>4822</v>
      </c>
      <c r="B489" s="30">
        <v>38696.0</v>
      </c>
      <c r="C489" s="29" t="s">
        <v>4823</v>
      </c>
      <c r="D489" s="31" t="s">
        <v>4824</v>
      </c>
      <c r="E489" s="29" t="s">
        <v>633</v>
      </c>
      <c r="G489" s="32" t="str">
        <f>HYPERLINK("https://api.typeform.com/responses/files/64d1f9a16986abad338f3c9dcd6095398e72b7faefcdd0b9ee248a30787662a3/CV___Human_Resources_Intern___Lâm_Minh_Khang.pdf")</f>
        <v>https://api.typeform.com/responses/files/64d1f9a16986abad338f3c9dcd6095398e72b7faefcdd0b9ee248a30787662a3/CV___Human_Resources_Intern___Lâm_Minh_Khang.pdf</v>
      </c>
      <c r="H489" s="29" t="s">
        <v>4825</v>
      </c>
      <c r="I489" s="29" t="s">
        <v>4826</v>
      </c>
      <c r="J489" s="29" t="s">
        <v>1311</v>
      </c>
      <c r="L489" s="29" t="s">
        <v>219</v>
      </c>
      <c r="M489" s="29" t="s">
        <v>4827</v>
      </c>
      <c r="N489" s="33">
        <v>46478.0</v>
      </c>
      <c r="O489" s="31" t="s">
        <v>901</v>
      </c>
      <c r="P489" s="32" t="str">
        <f>HYPERLINK("https://api.typeform.com/responses/files/3286ab89a051861f9b89774bd82859d8162cf453b4de853bf624cba2673d6cce/Transcript___Human_Resources_Intern___Lâm_Minh_Khang.pdf")</f>
        <v>https://api.typeform.com/responses/files/3286ab89a051861f9b89774bd82859d8162cf453b4de853bf624cba2673d6cce/Transcript___Human_Resources_Intern___Lâm_Minh_Khang.pdf</v>
      </c>
      <c r="Q489" s="29" t="b">
        <v>1</v>
      </c>
      <c r="R489" s="29" t="s">
        <v>4828</v>
      </c>
      <c r="S489" s="29" t="s">
        <v>4829</v>
      </c>
      <c r="T489" s="29" t="s">
        <v>72</v>
      </c>
      <c r="U489" s="29" t="s">
        <v>72</v>
      </c>
      <c r="V489" s="29" t="s">
        <v>90</v>
      </c>
      <c r="X489" s="29" t="s">
        <v>4830</v>
      </c>
      <c r="Y489" s="34">
        <v>46145.6887037037</v>
      </c>
      <c r="Z489" s="29" t="s">
        <v>4831</v>
      </c>
      <c r="AA489" s="6">
        <v>3.0</v>
      </c>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row>
    <row r="490" ht="22.5" hidden="1" customHeight="1">
      <c r="A490" s="29" t="s">
        <v>4832</v>
      </c>
      <c r="B490" s="30">
        <v>37860.0</v>
      </c>
      <c r="C490" s="29" t="s">
        <v>4833</v>
      </c>
      <c r="D490" s="31" t="s">
        <v>4834</v>
      </c>
      <c r="E490" s="29" t="s">
        <v>82</v>
      </c>
      <c r="F490" s="29" t="s">
        <v>82</v>
      </c>
      <c r="G490" s="32" t="str">
        <f>HYPERLINK("https://api.typeform.com/responses/files/9d20c65dbe838aa907b01f88a1cebd7dfcf72791269f9aa20846397d1957f234/CV_DA_INTERN_TRANTHIKIMANH.pdf")</f>
        <v>https://api.typeform.com/responses/files/9d20c65dbe838aa907b01f88a1cebd7dfcf72791269f9aa20846397d1957f234/CV_DA_INTERN_TRANTHIKIMANH.pdf</v>
      </c>
      <c r="H490" s="29" t="s">
        <v>4835</v>
      </c>
      <c r="I490" s="29" t="s">
        <v>4836</v>
      </c>
      <c r="J490" s="29" t="s">
        <v>85</v>
      </c>
      <c r="L490" s="29" t="s">
        <v>103</v>
      </c>
      <c r="M490" s="29" t="s">
        <v>581</v>
      </c>
      <c r="N490" s="33">
        <v>45985.0</v>
      </c>
      <c r="O490" s="31" t="s">
        <v>663</v>
      </c>
      <c r="P490" s="32" t="str">
        <f>HYPERLINK("https://api.typeform.com/responses/files/801201fd1faff37442ca1a447173662ee647d2138376ded2fd3e1e5788ea9d46/Kết_quả_học_tập.pdf")</f>
        <v>https://api.typeform.com/responses/files/801201fd1faff37442ca1a447173662ee647d2138376ded2fd3e1e5788ea9d46/Kết_quả_học_tập.pdf</v>
      </c>
      <c r="Q490" s="29" t="b">
        <v>1</v>
      </c>
      <c r="R490" s="29" t="s">
        <v>4837</v>
      </c>
      <c r="S490" s="29" t="s">
        <v>4838</v>
      </c>
      <c r="T490" s="29" t="s">
        <v>72</v>
      </c>
      <c r="U490" s="29" t="s">
        <v>72</v>
      </c>
      <c r="V490" s="29" t="s">
        <v>269</v>
      </c>
      <c r="X490" s="29" t="s">
        <v>4839</v>
      </c>
      <c r="Y490" s="34">
        <v>46145.68980324074</v>
      </c>
      <c r="Z490" s="29" t="s">
        <v>4840</v>
      </c>
      <c r="AA490" s="6">
        <v>3.0</v>
      </c>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row>
    <row r="491" ht="22.5" hidden="1" customHeight="1">
      <c r="A491" s="29" t="s">
        <v>4841</v>
      </c>
      <c r="B491" s="30">
        <v>38335.0</v>
      </c>
      <c r="C491" s="29" t="s">
        <v>4842</v>
      </c>
      <c r="D491" s="31" t="s">
        <v>4843</v>
      </c>
      <c r="E491" s="29" t="s">
        <v>62</v>
      </c>
      <c r="G491" s="32" t="str">
        <f>HYPERLINK("https://api.typeform.com/responses/files/6513e28e1ae8bad3673a62d91bebece68c1dbf94935ab46d317a494222e47069/CV___AI_Engineering_Intern___Võ_Hoàng_Phúc.pdf")</f>
        <v>https://api.typeform.com/responses/files/6513e28e1ae8bad3673a62d91bebece68c1dbf94935ab46d317a494222e47069/CV___AI_Engineering_Intern___Võ_Hoàng_Phúc.pdf</v>
      </c>
      <c r="H491" s="29" t="s">
        <v>4844</v>
      </c>
      <c r="I491" s="29" t="s">
        <v>4845</v>
      </c>
      <c r="J491" s="29" t="s">
        <v>715</v>
      </c>
      <c r="L491" s="29" t="s">
        <v>4846</v>
      </c>
      <c r="M491" s="29" t="s">
        <v>930</v>
      </c>
      <c r="N491" s="33">
        <v>38169.0</v>
      </c>
      <c r="O491" s="31" t="s">
        <v>2142</v>
      </c>
      <c r="P491" s="32" t="str">
        <f>HYPERLINK("https://api.typeform.com/responses/files/ef48f2bc97b06ef4f88084898d5c0d58cdf9d4e50b24589d5a2e85e9304c8cbc/Transcript___Võ_Hoàng_Phúc.pdf")</f>
        <v>https://api.typeform.com/responses/files/ef48f2bc97b06ef4f88084898d5c0d58cdf9d4e50b24589d5a2e85e9304c8cbc/Transcript___Võ_Hoàng_Phúc.pdf</v>
      </c>
      <c r="Q491" s="29" t="b">
        <v>0</v>
      </c>
      <c r="R491" s="29" t="s">
        <v>4847</v>
      </c>
      <c r="S491" s="29" t="s">
        <v>4848</v>
      </c>
      <c r="T491" s="29" t="s">
        <v>72</v>
      </c>
      <c r="U491" s="29" t="s">
        <v>72</v>
      </c>
      <c r="V491" s="29" t="s">
        <v>73</v>
      </c>
      <c r="X491" s="29" t="s">
        <v>4849</v>
      </c>
      <c r="Y491" s="34">
        <v>46145.70825231481</v>
      </c>
      <c r="Z491" s="29" t="s">
        <v>4850</v>
      </c>
      <c r="AA491" s="6">
        <v>3.0</v>
      </c>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row>
    <row r="492" ht="22.5" hidden="1" customHeight="1">
      <c r="A492" s="29" t="s">
        <v>4851</v>
      </c>
      <c r="B492" s="30">
        <v>37473.0</v>
      </c>
      <c r="C492" s="29" t="s">
        <v>4852</v>
      </c>
      <c r="D492" s="31" t="s">
        <v>4853</v>
      </c>
      <c r="E492" s="29" t="s">
        <v>774</v>
      </c>
      <c r="F492" s="29" t="s">
        <v>127</v>
      </c>
      <c r="G492" s="32" t="str">
        <f>HYPERLINK("https://api.typeform.com/responses/files/9672f307ec0f3c97dc4b5601c0c349d0ec79d17e8baf5b4ea8f00454aea53288/CV___User_Acquisition_Intern___Vũ_Đỗ_Trung_Quốc.pdf")</f>
        <v>https://api.typeform.com/responses/files/9672f307ec0f3c97dc4b5601c0c349d0ec79d17e8baf5b4ea8f00454aea53288/CV___User_Acquisition_Intern___Vũ_Đỗ_Trung_Quốc.pdf</v>
      </c>
      <c r="H492" s="29" t="s">
        <v>4854</v>
      </c>
      <c r="I492" s="29" t="s">
        <v>4855</v>
      </c>
      <c r="J492" s="29" t="s">
        <v>2293</v>
      </c>
      <c r="L492" s="29" t="s">
        <v>103</v>
      </c>
      <c r="M492" s="29" t="s">
        <v>1496</v>
      </c>
      <c r="N492" s="33">
        <v>45412.0</v>
      </c>
      <c r="O492" s="31" t="s">
        <v>4856</v>
      </c>
      <c r="P492" s="32" t="str">
        <f>HYPERLINK("https://api.typeform.com/responses/files/8053da34a84256b30048f13730bf741a46d852829009e121bfb565c50cdfdee2/Transcript___User_Acquisition_Intern___Vũ_Đỗ_Trung.pdf")</f>
        <v>https://api.typeform.com/responses/files/8053da34a84256b30048f13730bf741a46d852829009e121bfb565c50cdfdee2/Transcript___User_Acquisition_Intern___Vũ_Đỗ_Trung.pdf</v>
      </c>
      <c r="Q492" s="29" t="b">
        <v>1</v>
      </c>
      <c r="R492" s="29" t="s">
        <v>4857</v>
      </c>
      <c r="S492" s="29" t="s">
        <v>4858</v>
      </c>
      <c r="T492" s="29" t="s">
        <v>72</v>
      </c>
      <c r="U492" s="29" t="s">
        <v>72</v>
      </c>
      <c r="V492" s="29" t="s">
        <v>90</v>
      </c>
      <c r="X492" s="29" t="s">
        <v>4859</v>
      </c>
      <c r="Y492" s="34">
        <v>46145.73704861111</v>
      </c>
      <c r="Z492" s="29" t="s">
        <v>4860</v>
      </c>
      <c r="AA492" s="6">
        <v>3.0</v>
      </c>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row>
    <row r="493" ht="22.5" hidden="1" customHeight="1">
      <c r="A493" s="29" t="s">
        <v>4861</v>
      </c>
      <c r="B493" s="30">
        <v>38470.0</v>
      </c>
      <c r="C493" s="29" t="s">
        <v>4862</v>
      </c>
      <c r="D493" s="31" t="s">
        <v>4863</v>
      </c>
      <c r="E493" s="29" t="s">
        <v>99</v>
      </c>
      <c r="F493" s="29" t="s">
        <v>774</v>
      </c>
      <c r="G493" s="32" t="str">
        <f>HYPERLINK("https://api.typeform.com/responses/files/78821d9b2ef58617d37be28df9e771d5fccef1d5157b6c3ef3d5e0b93b9b9332/_CV2025__Phạm_Quang_Duy.pdf")</f>
        <v>https://api.typeform.com/responses/files/78821d9b2ef58617d37be28df9e771d5fccef1d5157b6c3ef3d5e0b93b9b9332/_CV2025__Phạm_Quang_Duy.pdf</v>
      </c>
      <c r="H493" s="29" t="s">
        <v>4864</v>
      </c>
      <c r="I493" s="29" t="s">
        <v>4865</v>
      </c>
      <c r="J493" s="29" t="s">
        <v>1311</v>
      </c>
      <c r="L493" s="29" t="s">
        <v>219</v>
      </c>
      <c r="M493" s="29" t="s">
        <v>4866</v>
      </c>
      <c r="N493" s="33">
        <v>46499.0</v>
      </c>
      <c r="O493" s="31" t="s">
        <v>105</v>
      </c>
      <c r="P493" s="32" t="str">
        <f>HYPERLINK("https://api.typeform.com/responses/files/11a327de5ea452480cff0b5a90495170fe45c80a3b95e7097f112477fd36beb3/Transcript___Game_Design_Intern___Phạm_Quang_Duy.pdf")</f>
        <v>https://api.typeform.com/responses/files/11a327de5ea452480cff0b5a90495170fe45c80a3b95e7097f112477fd36beb3/Transcript___Game_Design_Intern___Phạm_Quang_Duy.pdf</v>
      </c>
      <c r="Q493" s="29" t="b">
        <v>1</v>
      </c>
      <c r="R493" s="29" t="s">
        <v>4867</v>
      </c>
      <c r="S493" s="29" t="s">
        <v>4868</v>
      </c>
      <c r="T493" s="29" t="s">
        <v>72</v>
      </c>
      <c r="U493" s="29" t="s">
        <v>72</v>
      </c>
      <c r="V493" s="29" t="s">
        <v>236</v>
      </c>
      <c r="X493" s="29" t="s">
        <v>4869</v>
      </c>
      <c r="Y493" s="34">
        <v>46145.7430787037</v>
      </c>
      <c r="Z493" s="29" t="s">
        <v>4870</v>
      </c>
      <c r="AA493" s="6">
        <v>2.1</v>
      </c>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row>
    <row r="494" ht="22.5" hidden="1" customHeight="1">
      <c r="A494" s="29" t="s">
        <v>4871</v>
      </c>
      <c r="B494" s="30">
        <v>38521.0</v>
      </c>
      <c r="C494" s="29" t="s">
        <v>4872</v>
      </c>
      <c r="D494" s="31" t="s">
        <v>4873</v>
      </c>
      <c r="E494" s="29" t="s">
        <v>774</v>
      </c>
      <c r="F494" s="29" t="s">
        <v>82</v>
      </c>
      <c r="G494" s="32" t="str">
        <f>HYPERLINK("https://api.typeform.com/responses/files/59090f2c3784f1d9d8ebc481f665c9fe21a66bf5e80e66a697b19f3a9a02e031/CV___Game_User_Acquisition_Marketing_Intern___Phạm_Hồng_Phương_Anh.pdf")</f>
        <v>https://api.typeform.com/responses/files/59090f2c3784f1d9d8ebc481f665c9fe21a66bf5e80e66a697b19f3a9a02e031/CV___Game_User_Acquisition_Marketing_Intern___Phạm_Hồng_Phương_Anh.pdf</v>
      </c>
      <c r="H494" s="29" t="s">
        <v>4874</v>
      </c>
      <c r="I494" s="29" t="s">
        <v>4875</v>
      </c>
      <c r="J494" s="29" t="s">
        <v>842</v>
      </c>
      <c r="K494" s="29" t="s">
        <v>4876</v>
      </c>
      <c r="L494" s="29" t="s">
        <v>219</v>
      </c>
      <c r="M494" s="29" t="s">
        <v>1496</v>
      </c>
      <c r="N494" s="33">
        <v>46371.0</v>
      </c>
      <c r="O494" s="29" t="s">
        <v>4877</v>
      </c>
      <c r="P494" s="32" t="str">
        <f>HYPERLINK("https://api.typeform.com/responses/files/909e231eca3674fcad9e6baef8adb188894f9e940aa3818884de196195dd95ec/Transcript___Game_User_Acquisition_Intern___Phạm_Hồng_Phương_Anh.pdf")</f>
        <v>https://api.typeform.com/responses/files/909e231eca3674fcad9e6baef8adb188894f9e940aa3818884de196195dd95ec/Transcript___Game_User_Acquisition_Intern___Phạm_Hồng_Phương_Anh.pdf</v>
      </c>
      <c r="Q494" s="29" t="b">
        <v>1</v>
      </c>
      <c r="R494" s="29" t="s">
        <v>4878</v>
      </c>
      <c r="S494" s="29" t="s">
        <v>4879</v>
      </c>
      <c r="T494" s="29" t="s">
        <v>72</v>
      </c>
      <c r="U494" s="29" t="s">
        <v>72</v>
      </c>
      <c r="V494" s="29" t="s">
        <v>73</v>
      </c>
      <c r="X494" s="29" t="s">
        <v>4880</v>
      </c>
      <c r="Y494" s="34">
        <v>46145.80258101852</v>
      </c>
      <c r="Z494" s="29" t="s">
        <v>4881</v>
      </c>
      <c r="AA494" s="6">
        <v>3.0</v>
      </c>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row>
    <row r="495" ht="22.5" hidden="1" customHeight="1">
      <c r="A495" s="29" t="s">
        <v>4882</v>
      </c>
      <c r="B495" s="30">
        <v>38506.0</v>
      </c>
      <c r="C495" s="29" t="s">
        <v>4883</v>
      </c>
      <c r="D495" s="31" t="s">
        <v>4884</v>
      </c>
      <c r="E495" s="29" t="s">
        <v>82</v>
      </c>
      <c r="F495" s="29" t="s">
        <v>127</v>
      </c>
      <c r="G495" s="32" t="str">
        <f>HYPERLINK("https://api.typeform.com/responses/files/d0abdb4990184ed9ea72a3454073482d292e873df3c9eec1708589060c846042/CV_Data_Analysis_Intern_Lê_Nguyễn_Minh_Thư.pdf")</f>
        <v>https://api.typeform.com/responses/files/d0abdb4990184ed9ea72a3454073482d292e873df3c9eec1708589060c846042/CV_Data_Analysis_Intern_Lê_Nguyễn_Minh_Thư.pdf</v>
      </c>
      <c r="H495" s="29" t="s">
        <v>4885</v>
      </c>
      <c r="I495" s="29" t="s">
        <v>4886</v>
      </c>
      <c r="J495" s="29" t="s">
        <v>85</v>
      </c>
      <c r="L495" s="29" t="s">
        <v>219</v>
      </c>
      <c r="M495" s="29" t="s">
        <v>220</v>
      </c>
      <c r="N495" s="33">
        <v>46568.0</v>
      </c>
      <c r="O495" s="31" t="s">
        <v>1321</v>
      </c>
      <c r="P495" s="32" t="str">
        <f>HYPERLINK("https://api.typeform.com/responses/files/2cfd42a7950c84172a6491bfd875b3e51ea5d8666a7b0d6447f5c8f3b8134582/Transcript_Data_Analysis_Intern_Lê_Nguyễn_Minh_Thư.pdf")</f>
        <v>https://api.typeform.com/responses/files/2cfd42a7950c84172a6491bfd875b3e51ea5d8666a7b0d6447f5c8f3b8134582/Transcript_Data_Analysis_Intern_Lê_Nguyễn_Minh_Thư.pdf</v>
      </c>
      <c r="Q495" s="29" t="b">
        <v>1</v>
      </c>
      <c r="R495" s="29" t="s">
        <v>4887</v>
      </c>
      <c r="S495" s="29" t="s">
        <v>4888</v>
      </c>
      <c r="T495" s="29" t="s">
        <v>72</v>
      </c>
      <c r="U495" s="29" t="s">
        <v>72</v>
      </c>
      <c r="V495" s="29" t="s">
        <v>269</v>
      </c>
      <c r="X495" s="29" t="s">
        <v>4889</v>
      </c>
      <c r="Y495" s="34">
        <v>46146.09302083333</v>
      </c>
      <c r="Z495" s="29" t="s">
        <v>4890</v>
      </c>
      <c r="AA495" s="6">
        <v>3.0</v>
      </c>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row>
    <row r="496" ht="22.5" hidden="1" customHeight="1">
      <c r="A496" s="29" t="s">
        <v>4891</v>
      </c>
      <c r="B496" s="30">
        <v>38792.0</v>
      </c>
      <c r="C496" s="29" t="s">
        <v>4892</v>
      </c>
      <c r="D496" s="31" t="s">
        <v>4893</v>
      </c>
      <c r="E496" s="29" t="s">
        <v>127</v>
      </c>
      <c r="F496" s="29" t="s">
        <v>62</v>
      </c>
      <c r="G496" s="32" t="str">
        <f>HYPERLINK("https://api.typeform.com/responses/files/df556f9a6414eb09822776211207d06811d44c5408441dd575a459f51dc4ec3d/CV___Game_Quality_Assurance_Intern___Ngô_Tùng_Khải.pdf")</f>
        <v>https://api.typeform.com/responses/files/df556f9a6414eb09822776211207d06811d44c5408441dd575a459f51dc4ec3d/CV___Game_Quality_Assurance_Intern___Ngô_Tùng_Khải.pdf</v>
      </c>
      <c r="H496" s="29" t="s">
        <v>4894</v>
      </c>
      <c r="I496" s="29" t="s">
        <v>4895</v>
      </c>
      <c r="J496" s="29" t="s">
        <v>85</v>
      </c>
      <c r="L496" s="29" t="s">
        <v>169</v>
      </c>
      <c r="M496" s="29" t="s">
        <v>612</v>
      </c>
      <c r="N496" s="33">
        <v>46516.0</v>
      </c>
      <c r="O496" s="31" t="s">
        <v>159</v>
      </c>
      <c r="P496" s="32" t="str">
        <f>HYPERLINK("https://api.typeform.com/responses/files/3e38476519cdc565ae89536dbe008d42f3f29ee4cd2824447d7ad7ffef7960b8/Transcript___Game_Quality_Assurance_Intern___Ngô_Tùng_Khải.pdf")</f>
        <v>https://api.typeform.com/responses/files/3e38476519cdc565ae89536dbe008d42f3f29ee4cd2824447d7ad7ffef7960b8/Transcript___Game_Quality_Assurance_Intern___Ngô_Tùng_Khải.pdf</v>
      </c>
      <c r="Q496" s="29" t="b">
        <v>1</v>
      </c>
      <c r="R496" s="29" t="s">
        <v>4896</v>
      </c>
      <c r="S496" s="29" t="s">
        <v>4897</v>
      </c>
      <c r="T496" s="29" t="s">
        <v>72</v>
      </c>
      <c r="U496" s="29" t="s">
        <v>4898</v>
      </c>
      <c r="V496" s="29" t="s">
        <v>4899</v>
      </c>
      <c r="X496" s="29" t="s">
        <v>4900</v>
      </c>
      <c r="Y496" s="34">
        <v>46146.12778935185</v>
      </c>
      <c r="Z496" s="29" t="s">
        <v>4901</v>
      </c>
      <c r="AA496" s="6">
        <v>3.0</v>
      </c>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row>
    <row r="497" ht="22.5" hidden="1" customHeight="1">
      <c r="A497" s="29" t="s">
        <v>4902</v>
      </c>
      <c r="B497" s="30">
        <v>38360.0</v>
      </c>
      <c r="C497" s="29" t="s">
        <v>4903</v>
      </c>
      <c r="D497" s="31" t="s">
        <v>4904</v>
      </c>
      <c r="E497" s="29" t="s">
        <v>62</v>
      </c>
      <c r="F497" s="29" t="s">
        <v>61</v>
      </c>
      <c r="G497" s="32" t="str">
        <f>HYPERLINK("https://api.typeform.com/responses/files/dca375a32a8f97f51009606dd4d4ec655335561278e00a0b91e631c409915fa0/Nguyen_Viet_Ky_Quan___AI_Engineer_Intern.pdf")</f>
        <v>https://api.typeform.com/responses/files/dca375a32a8f97f51009606dd4d4ec655335561278e00a0b91e631c409915fa0/Nguyen_Viet_Ky_Quan___AI_Engineer_Intern.pdf</v>
      </c>
      <c r="H497" s="29" t="s">
        <v>4905</v>
      </c>
      <c r="I497" s="29" t="s">
        <v>4906</v>
      </c>
      <c r="J497" s="29" t="s">
        <v>85</v>
      </c>
      <c r="L497" s="29" t="s">
        <v>103</v>
      </c>
      <c r="M497" s="29" t="s">
        <v>3749</v>
      </c>
      <c r="N497" s="33">
        <v>46296.0</v>
      </c>
      <c r="O497" s="31" t="s">
        <v>159</v>
      </c>
      <c r="P497" s="32" t="str">
        <f>HYPERLINK("https://api.typeform.com/responses/files/553f0d7c5206df864427793ae1ce83cc2ae16f387b833a173683116ce7ee61c2/transcript.pdf")</f>
        <v>https://api.typeform.com/responses/files/553f0d7c5206df864427793ae1ce83cc2ae16f387b833a173683116ce7ee61c2/transcript.pdf</v>
      </c>
      <c r="Q497" s="29" t="b">
        <v>1</v>
      </c>
      <c r="R497" s="29" t="s">
        <v>4907</v>
      </c>
      <c r="S497" s="29" t="s">
        <v>4908</v>
      </c>
      <c r="T497" s="29" t="s">
        <v>72</v>
      </c>
      <c r="U497" s="29" t="s">
        <v>72</v>
      </c>
      <c r="V497" s="29" t="s">
        <v>269</v>
      </c>
      <c r="X497" s="29" t="s">
        <v>4909</v>
      </c>
      <c r="Y497" s="34">
        <v>46146.12835648148</v>
      </c>
      <c r="Z497" s="29" t="s">
        <v>4910</v>
      </c>
      <c r="AA497" s="6">
        <v>3.0</v>
      </c>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row>
    <row r="498" ht="22.5" hidden="1" customHeight="1">
      <c r="A498" s="29" t="s">
        <v>4911</v>
      </c>
      <c r="B498" s="30">
        <v>38491.0</v>
      </c>
      <c r="C498" s="29" t="s">
        <v>4912</v>
      </c>
      <c r="D498" s="31" t="s">
        <v>4913</v>
      </c>
      <c r="E498" s="29" t="s">
        <v>82</v>
      </c>
      <c r="F498" s="29" t="s">
        <v>127</v>
      </c>
      <c r="G498" s="32" t="str">
        <f>HYPERLINK("https://api.typeform.com/responses/files/403261feec660eb86bd27792281bcfd67c3a50da2d8e9db6e56f61266c90fbd3/CV_DATA_ANALYSIS_INTERN_NGÔ_MINH_HẢI_YẾN.pdf")</f>
        <v>https://api.typeform.com/responses/files/403261feec660eb86bd27792281bcfd67c3a50da2d8e9db6e56f61266c90fbd3/CV_DATA_ANALYSIS_INTERN_NGÔ_MINH_HẢI_YẾN.pdf</v>
      </c>
      <c r="H498" s="29" t="s">
        <v>4914</v>
      </c>
      <c r="I498" s="29" t="s">
        <v>4915</v>
      </c>
      <c r="J498" s="29" t="s">
        <v>715</v>
      </c>
      <c r="L498" s="29" t="s">
        <v>219</v>
      </c>
      <c r="M498" s="29" t="s">
        <v>4916</v>
      </c>
      <c r="N498" s="33">
        <v>46692.0</v>
      </c>
      <c r="O498" s="31" t="s">
        <v>4917</v>
      </c>
      <c r="P498" s="32" t="str">
        <f>HYPERLINK("https://api.typeform.com/responses/files/9f14686f2a07ad5e2626190bc0fd0cd42e2c5c5d5f8bfd34432d4eaa4ae2d6df/Transcript___Data_Analysis_Intern___Ngô_Minh_Hải_Yến.xlsx")</f>
        <v>https://api.typeform.com/responses/files/9f14686f2a07ad5e2626190bc0fd0cd42e2c5c5d5f8bfd34432d4eaa4ae2d6df/Transcript___Data_Analysis_Intern___Ngô_Minh_Hải_Yến.xlsx</v>
      </c>
      <c r="Q498" s="29" t="b">
        <v>1</v>
      </c>
      <c r="R498" s="29" t="s">
        <v>4918</v>
      </c>
      <c r="S498" s="29" t="s">
        <v>318</v>
      </c>
      <c r="T498" s="29" t="s">
        <v>72</v>
      </c>
      <c r="U498" s="29" t="s">
        <v>72</v>
      </c>
      <c r="V498" s="29" t="s">
        <v>90</v>
      </c>
      <c r="Y498" s="34">
        <v>46146.13414351852</v>
      </c>
      <c r="Z498" s="29" t="s">
        <v>4919</v>
      </c>
      <c r="AA498" s="6">
        <v>3.0</v>
      </c>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row>
    <row r="499" ht="22.5" hidden="1" customHeight="1">
      <c r="A499" s="29" t="s">
        <v>4920</v>
      </c>
      <c r="B499" s="30">
        <v>38388.0</v>
      </c>
      <c r="C499" s="29" t="s">
        <v>4921</v>
      </c>
      <c r="D499" s="31" t="s">
        <v>4922</v>
      </c>
      <c r="E499" s="29" t="s">
        <v>62</v>
      </c>
      <c r="F499" s="29" t="s">
        <v>82</v>
      </c>
      <c r="G499" s="32" t="str">
        <f>HYPERLINK("https://api.typeform.com/responses/files/2031ced20c2a3a9ad3996fae57fd903e8620958ff99a8660b9a8d59163bc1b91/CV___AI_Engineering_Intern___Nguyễn_Thiên_Ấn.pdf")</f>
        <v>https://api.typeform.com/responses/files/2031ced20c2a3a9ad3996fae57fd903e8620958ff99a8660b9a8d59163bc1b91/CV___AI_Engineering_Intern___Nguyễn_Thiên_Ấn.pdf</v>
      </c>
      <c r="H499" s="29" t="s">
        <v>4923</v>
      </c>
      <c r="I499" s="29" t="s">
        <v>4924</v>
      </c>
      <c r="J499" s="29" t="s">
        <v>326</v>
      </c>
      <c r="L499" s="29" t="s">
        <v>219</v>
      </c>
      <c r="M499" s="29" t="s">
        <v>4925</v>
      </c>
      <c r="N499" s="33">
        <v>46569.0</v>
      </c>
      <c r="O499" s="31" t="s">
        <v>4926</v>
      </c>
      <c r="P499" s="32" t="str">
        <f>HYPERLINK("https://api.typeform.com/responses/files/70a8134a50e6a9cf7eabc3328a638858565f7af453ea2c2d4460dc58029512ae/Transcript___AI_Engineering_Intern___Nguyễn_Thiên_Ấn.pdf")</f>
        <v>https://api.typeform.com/responses/files/70a8134a50e6a9cf7eabc3328a638858565f7af453ea2c2d4460dc58029512ae/Transcript___AI_Engineering_Intern___Nguyễn_Thiên_Ấn.pdf</v>
      </c>
      <c r="Q499" s="29" t="b">
        <v>0</v>
      </c>
      <c r="R499" s="29" t="s">
        <v>401</v>
      </c>
      <c r="S499" s="29" t="s">
        <v>4927</v>
      </c>
      <c r="T499" s="29" t="s">
        <v>72</v>
      </c>
      <c r="U499" s="29" t="s">
        <v>72</v>
      </c>
      <c r="V499" s="29" t="s">
        <v>73</v>
      </c>
      <c r="Y499" s="34">
        <v>46146.13875</v>
      </c>
      <c r="Z499" s="29" t="s">
        <v>4928</v>
      </c>
      <c r="AA499" s="6">
        <v>3.0</v>
      </c>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row>
    <row r="500" ht="22.5" hidden="1" customHeight="1">
      <c r="A500" s="29" t="s">
        <v>4929</v>
      </c>
      <c r="B500" s="30">
        <v>38209.0</v>
      </c>
      <c r="C500" s="29" t="s">
        <v>4930</v>
      </c>
      <c r="D500" s="31" t="s">
        <v>4931</v>
      </c>
      <c r="E500" s="29" t="s">
        <v>99</v>
      </c>
      <c r="F500" s="29" t="s">
        <v>127</v>
      </c>
      <c r="G500" s="32" t="str">
        <f>HYPERLINK("https://api.typeform.com/responses/files/375a6c1b1e0de0b89a4732c9f82388bdd38a044a70788cbb12777b25c85be0fa/CV___Game_Designer___Trần_Phước_Đại.pdf")</f>
        <v>https://api.typeform.com/responses/files/375a6c1b1e0de0b89a4732c9f82388bdd38a044a70788cbb12777b25c85be0fa/CV___Game_Designer___Trần_Phước_Đại.pdf</v>
      </c>
      <c r="H500" s="29" t="s">
        <v>4932</v>
      </c>
      <c r="I500" s="29" t="s">
        <v>4933</v>
      </c>
      <c r="J500" s="29" t="s">
        <v>85</v>
      </c>
      <c r="L500" s="29" t="s">
        <v>67</v>
      </c>
      <c r="M500" s="29" t="s">
        <v>4934</v>
      </c>
      <c r="N500" s="33">
        <v>46280.0</v>
      </c>
      <c r="O500" s="31" t="s">
        <v>1648</v>
      </c>
      <c r="P500" s="32" t="str">
        <f>HYPERLINK("https://api.typeform.com/responses/files/fb4138b07389e06adfdfdc288770d3a8761886f42370b054bfe5319cb34a1ad1/Transcript___Game_Designer___Trần_Phước_Đại.pdf")</f>
        <v>https://api.typeform.com/responses/files/fb4138b07389e06adfdfdc288770d3a8761886f42370b054bfe5319cb34a1ad1/Transcript___Game_Designer___Trần_Phước_Đại.pdf</v>
      </c>
      <c r="Q500" s="29" t="b">
        <v>1</v>
      </c>
      <c r="R500" s="29" t="s">
        <v>4935</v>
      </c>
      <c r="S500" s="29" t="s">
        <v>4936</v>
      </c>
      <c r="T500" s="29" t="s">
        <v>72</v>
      </c>
      <c r="U500" s="29" t="s">
        <v>72</v>
      </c>
      <c r="V500" s="29" t="s">
        <v>4224</v>
      </c>
      <c r="X500" s="29" t="s">
        <v>4937</v>
      </c>
      <c r="Y500" s="34">
        <v>46146.15105324074</v>
      </c>
      <c r="Z500" s="29" t="s">
        <v>4938</v>
      </c>
      <c r="AA500" s="6">
        <v>2.1</v>
      </c>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row>
    <row r="501" ht="22.5" hidden="1" customHeight="1">
      <c r="A501" s="29" t="s">
        <v>4939</v>
      </c>
      <c r="B501" s="30">
        <v>38457.0</v>
      </c>
      <c r="C501" s="29" t="s">
        <v>4940</v>
      </c>
      <c r="D501" s="31" t="s">
        <v>4941</v>
      </c>
      <c r="E501" s="29" t="s">
        <v>99</v>
      </c>
      <c r="F501" s="29" t="s">
        <v>61</v>
      </c>
      <c r="G501" s="32" t="str">
        <f>HYPERLINK("https://api.typeform.com/responses/files/24e48d3ce9152217b17482f2ef89f6bff67bc73d7c5db4dff55591d050b6b03f/CV_Game_Design_Intern_Nguyễn_Hoàng_Nhật_Thiên.pdf")</f>
        <v>https://api.typeform.com/responses/files/24e48d3ce9152217b17482f2ef89f6bff67bc73d7c5db4dff55591d050b6b03f/CV_Game_Design_Intern_Nguyễn_Hoàng_Nhật_Thiên.pdf</v>
      </c>
      <c r="H501" s="29" t="s">
        <v>4942</v>
      </c>
      <c r="I501" s="29" t="s">
        <v>4943</v>
      </c>
      <c r="J501" s="29" t="s">
        <v>715</v>
      </c>
      <c r="L501" s="29" t="s">
        <v>219</v>
      </c>
      <c r="M501" s="29" t="s">
        <v>930</v>
      </c>
      <c r="N501" s="33">
        <v>46645.0</v>
      </c>
      <c r="O501" s="29" t="s">
        <v>4944</v>
      </c>
      <c r="P501" s="32" t="str">
        <f>HYPERLINK("https://api.typeform.com/responses/files/d89fccc9047bcba528a63cda4ff6adcdd6ea61a08985e758e08cdaeae109d405/Transcipt_Game_Design_Intern_Nguyễn_Hoàng_Nhật_Thiên.xlsx")</f>
        <v>https://api.typeform.com/responses/files/d89fccc9047bcba528a63cda4ff6adcdd6ea61a08985e758e08cdaeae109d405/Transcipt_Game_Design_Intern_Nguyễn_Hoàng_Nhật_Thiên.xlsx</v>
      </c>
      <c r="Q501" s="29" t="b">
        <v>1</v>
      </c>
      <c r="R501" s="29" t="s">
        <v>4945</v>
      </c>
      <c r="S501" s="29" t="s">
        <v>4946</v>
      </c>
      <c r="T501" s="29" t="s">
        <v>72</v>
      </c>
      <c r="U501" s="29" t="s">
        <v>72</v>
      </c>
      <c r="V501" s="29" t="s">
        <v>2389</v>
      </c>
      <c r="X501" s="29" t="s">
        <v>4947</v>
      </c>
      <c r="Y501" s="34">
        <v>46146.17019675926</v>
      </c>
      <c r="Z501" s="29" t="s">
        <v>4948</v>
      </c>
      <c r="AA501" s="6">
        <v>2.1</v>
      </c>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row>
    <row r="502" ht="22.5" hidden="1" customHeight="1">
      <c r="A502" s="29" t="s">
        <v>4949</v>
      </c>
      <c r="B502" s="30">
        <v>37996.0</v>
      </c>
      <c r="C502" s="29" t="s">
        <v>4950</v>
      </c>
      <c r="D502" s="31" t="s">
        <v>4951</v>
      </c>
      <c r="E502" s="29" t="s">
        <v>82</v>
      </c>
      <c r="F502" s="29" t="s">
        <v>633</v>
      </c>
      <c r="G502" s="32" t="str">
        <f>HYPERLINK("https://api.typeform.com/responses/files/96a8f7c0b92dc363b5afff07795c32ce608a5ed75d2fea0c3ba1f52976657629/CV___Human_Resources_Intern___Nguyen_Mai_Han.pdf")</f>
        <v>https://api.typeform.com/responses/files/96a8f7c0b92dc363b5afff07795c32ce608a5ed75d2fea0c3ba1f52976657629/CV___Human_Resources_Intern___Nguyen_Mai_Han.pdf</v>
      </c>
      <c r="H502" s="29" t="s">
        <v>4952</v>
      </c>
      <c r="I502" s="29" t="s">
        <v>4953</v>
      </c>
      <c r="J502" s="29" t="s">
        <v>636</v>
      </c>
      <c r="L502" s="29" t="s">
        <v>103</v>
      </c>
      <c r="M502" s="29" t="s">
        <v>4954</v>
      </c>
      <c r="N502" s="33">
        <v>46295.0</v>
      </c>
      <c r="O502" s="31" t="s">
        <v>105</v>
      </c>
      <c r="P502" s="32" t="str">
        <f>HYPERLINK("https://api.typeform.com/responses/files/487cf55333aa7bfdceb8fa273428af825060fe1a827ae0df17beb2ddcc99e68c/Transcript___HR_Intern___Nguyễn_Mai_Hân.pdf")</f>
        <v>https://api.typeform.com/responses/files/487cf55333aa7bfdceb8fa273428af825060fe1a827ae0df17beb2ddcc99e68c/Transcript___HR_Intern___Nguyễn_Mai_Hân.pdf</v>
      </c>
      <c r="Q502" s="29" t="b">
        <v>0</v>
      </c>
      <c r="R502" s="29" t="s">
        <v>4955</v>
      </c>
      <c r="S502" s="29" t="s">
        <v>4956</v>
      </c>
      <c r="T502" s="29" t="s">
        <v>72</v>
      </c>
      <c r="U502" s="29" t="s">
        <v>72</v>
      </c>
      <c r="V502" s="29" t="s">
        <v>4584</v>
      </c>
      <c r="X502" s="29" t="s">
        <v>4957</v>
      </c>
      <c r="Y502" s="34">
        <v>46146.21172453704</v>
      </c>
      <c r="Z502" s="29" t="s">
        <v>4958</v>
      </c>
      <c r="AA502" s="6">
        <v>3.0</v>
      </c>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row>
    <row r="503" ht="22.5" hidden="1" customHeight="1">
      <c r="A503" s="29" t="s">
        <v>4959</v>
      </c>
      <c r="B503" s="30">
        <v>36985.0</v>
      </c>
      <c r="C503" s="29" t="s">
        <v>4960</v>
      </c>
      <c r="D503" s="31" t="s">
        <v>4961</v>
      </c>
      <c r="E503" s="29" t="s">
        <v>62</v>
      </c>
      <c r="F503" s="29" t="s">
        <v>61</v>
      </c>
      <c r="G503" s="32" t="str">
        <f>HYPERLINK("https://api.typeform.com/responses/files/4b87c78838ef589e7e3c1984799d81ae4909f28c9e6d225e0f1301ca4954e7b4/CV_AI_Intern_Unity_Intern_HaoNg.pdf")</f>
        <v>https://api.typeform.com/responses/files/4b87c78838ef589e7e3c1984799d81ae4909f28c9e6d225e0f1301ca4954e7b4/CV_AI_Intern_Unity_Intern_HaoNg.pdf</v>
      </c>
      <c r="H503" s="29" t="s">
        <v>4962</v>
      </c>
      <c r="I503" s="29" t="s">
        <v>4963</v>
      </c>
      <c r="J503" s="29" t="s">
        <v>244</v>
      </c>
      <c r="K503" s="29" t="s">
        <v>4964</v>
      </c>
      <c r="L503" s="29" t="s">
        <v>4965</v>
      </c>
      <c r="M503" s="29" t="s">
        <v>4966</v>
      </c>
      <c r="N503" s="33">
        <v>46327.0</v>
      </c>
      <c r="O503" s="29" t="s">
        <v>401</v>
      </c>
      <c r="P503" s="32" t="str">
        <f>HYPERLINK("https://api.typeform.com/responses/files/83494503f956819663c34f5489a560250ee42894a7e157fc0a2eae4138a5b005/CV_AI_Intern_Unity_Intern_HaoNg.pdf")</f>
        <v>https://api.typeform.com/responses/files/83494503f956819663c34f5489a560250ee42894a7e157fc0a2eae4138a5b005/CV_AI_Intern_Unity_Intern_HaoNg.pdf</v>
      </c>
      <c r="Q503" s="29" t="b">
        <v>1</v>
      </c>
      <c r="R503" s="29" t="s">
        <v>4967</v>
      </c>
      <c r="S503" s="29" t="s">
        <v>4968</v>
      </c>
      <c r="T503" s="29" t="s">
        <v>72</v>
      </c>
      <c r="U503" s="29" t="s">
        <v>72</v>
      </c>
      <c r="V503" s="29" t="s">
        <v>4969</v>
      </c>
      <c r="X503" s="29" t="s">
        <v>4970</v>
      </c>
      <c r="Y503" s="34">
        <v>46146.269166666665</v>
      </c>
      <c r="Z503" s="29" t="s">
        <v>4971</v>
      </c>
      <c r="AA503" s="6">
        <v>3.0</v>
      </c>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row>
    <row r="504" ht="22.5" hidden="1" customHeight="1">
      <c r="A504" s="29" t="s">
        <v>4972</v>
      </c>
      <c r="B504" s="30">
        <v>37760.0</v>
      </c>
      <c r="C504" s="29" t="s">
        <v>4973</v>
      </c>
      <c r="D504" s="31" t="s">
        <v>4974</v>
      </c>
      <c r="E504" s="29" t="s">
        <v>82</v>
      </c>
      <c r="F504" s="29" t="s">
        <v>774</v>
      </c>
      <c r="G504" s="32" t="str">
        <f>HYPERLINK("https://api.typeform.com/responses/files/29359326825c64bfb910eb5f580da14ef4f45789c88a7ab7fda46e14be598073/Bùi_Đặng_Quỳnh_Như_CV.pdf")</f>
        <v>https://api.typeform.com/responses/files/29359326825c64bfb910eb5f580da14ef4f45789c88a7ab7fda46e14be598073/Bùi_Đặng_Quỳnh_Như_CV.pdf</v>
      </c>
      <c r="H504" s="29" t="s">
        <v>4975</v>
      </c>
      <c r="I504" s="29" t="s">
        <v>4976</v>
      </c>
      <c r="J504" s="29" t="s">
        <v>2581</v>
      </c>
      <c r="L504" s="29" t="s">
        <v>103</v>
      </c>
      <c r="M504" s="29" t="s">
        <v>4977</v>
      </c>
      <c r="N504" s="33">
        <v>46154.0</v>
      </c>
      <c r="O504" s="31" t="s">
        <v>663</v>
      </c>
      <c r="P504" s="32" t="str">
        <f>HYPERLINK("https://api.typeform.com/responses/files/4c5e476f86c396d9dbc1b7117122a826b90c8d3b434b78197bf5acdc33e32967/Transcript_Data_Analysis_intern_Bùi_Đặng_Quỳnh_Như.pdf")</f>
        <v>https://api.typeform.com/responses/files/4c5e476f86c396d9dbc1b7117122a826b90c8d3b434b78197bf5acdc33e32967/Transcript_Data_Analysis_intern_Bùi_Đặng_Quỳnh_Như.pdf</v>
      </c>
      <c r="Q504" s="29" t="b">
        <v>1</v>
      </c>
      <c r="R504" s="29" t="s">
        <v>4978</v>
      </c>
      <c r="S504" s="29" t="s">
        <v>4979</v>
      </c>
      <c r="T504" s="29" t="s">
        <v>72</v>
      </c>
      <c r="U504" s="29" t="s">
        <v>72</v>
      </c>
      <c r="V504" s="29" t="s">
        <v>269</v>
      </c>
      <c r="X504" s="29" t="s">
        <v>4980</v>
      </c>
      <c r="Y504" s="34">
        <v>46146.27072916667</v>
      </c>
      <c r="Z504" s="29" t="s">
        <v>4981</v>
      </c>
      <c r="AA504" s="6">
        <v>3.0</v>
      </c>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row>
    <row r="505" ht="22.5" hidden="1" customHeight="1">
      <c r="A505" s="29" t="s">
        <v>4982</v>
      </c>
      <c r="B505" s="30">
        <v>36186.0</v>
      </c>
      <c r="C505" s="29" t="s">
        <v>4983</v>
      </c>
      <c r="D505" s="31" t="s">
        <v>4984</v>
      </c>
      <c r="E505" s="29" t="s">
        <v>82</v>
      </c>
      <c r="F505" s="29" t="s">
        <v>62</v>
      </c>
      <c r="G505" s="32" t="str">
        <f>HYPERLINK("https://api.typeform.com/responses/files/9e147a5f4c0ba1d2ca493fa1dc881cc87e92a3802d2f09062cc61f008246d1d9/CV_Nguyen_Dac_Thanh.pdf")</f>
        <v>https://api.typeform.com/responses/files/9e147a5f4c0ba1d2ca493fa1dc881cc87e92a3802d2f09062cc61f008246d1d9/CV_Nguyen_Dac_Thanh.pdf</v>
      </c>
      <c r="H505" s="29" t="s">
        <v>4985</v>
      </c>
      <c r="I505" s="29" t="s">
        <v>4986</v>
      </c>
      <c r="J505" s="29" t="s">
        <v>85</v>
      </c>
      <c r="L505" s="29" t="s">
        <v>219</v>
      </c>
      <c r="M505" s="29" t="s">
        <v>726</v>
      </c>
      <c r="N505" s="33">
        <v>46172.0</v>
      </c>
      <c r="O505" s="31" t="s">
        <v>147</v>
      </c>
      <c r="P505" s="32" t="str">
        <f>HYPERLINK("https://api.typeform.com/responses/files/43b841da06b905ae918b8d6cbcd821d298d727794225a3e8852575736fcfeea3/Nguyễn_Đắc_Thành_Bảng_Điểm.pdf")</f>
        <v>https://api.typeform.com/responses/files/43b841da06b905ae918b8d6cbcd821d298d727794225a3e8852575736fcfeea3/Nguyễn_Đắc_Thành_Bảng_Điểm.pdf</v>
      </c>
      <c r="Q505" s="29" t="b">
        <v>1</v>
      </c>
      <c r="R505" s="29" t="s">
        <v>4987</v>
      </c>
      <c r="S505" s="29" t="s">
        <v>4988</v>
      </c>
      <c r="T505" s="29" t="s">
        <v>72</v>
      </c>
      <c r="U505" s="29" t="s">
        <v>72</v>
      </c>
      <c r="V505" s="29" t="s">
        <v>73</v>
      </c>
      <c r="Y505" s="34">
        <v>46146.293645833335</v>
      </c>
      <c r="Z505" s="29" t="s">
        <v>4989</v>
      </c>
      <c r="AA505" s="6">
        <v>3.0</v>
      </c>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row>
    <row r="506" ht="22.5" hidden="1" customHeight="1">
      <c r="A506" s="29" t="s">
        <v>4990</v>
      </c>
      <c r="B506" s="30">
        <v>37757.0</v>
      </c>
      <c r="C506" s="29" t="s">
        <v>4991</v>
      </c>
      <c r="D506" s="31" t="s">
        <v>4992</v>
      </c>
      <c r="E506" s="29" t="s">
        <v>127</v>
      </c>
      <c r="F506" s="29" t="s">
        <v>127</v>
      </c>
      <c r="G506" s="32" t="str">
        <f>HYPERLINK("https://api.typeform.com/responses/files/8fbc9efa2cea2727c070adf92cc9af5070d48695a6e83ff7050ce781640ec3f8/CV_GameQualityAssuranceIntern_DangTrNguyen.pdf")</f>
        <v>https://api.typeform.com/responses/files/8fbc9efa2cea2727c070adf92cc9af5070d48695a6e83ff7050ce781640ec3f8/CV_GameQualityAssuranceIntern_DangTrNguyen.pdf</v>
      </c>
      <c r="H506" s="29" t="s">
        <v>4993</v>
      </c>
      <c r="I506" s="29" t="s">
        <v>4994</v>
      </c>
      <c r="J506" s="29" t="s">
        <v>116</v>
      </c>
      <c r="L506" s="29" t="s">
        <v>103</v>
      </c>
      <c r="M506" s="29" t="s">
        <v>132</v>
      </c>
      <c r="N506" s="33">
        <v>46183.0</v>
      </c>
      <c r="O506" s="31" t="s">
        <v>159</v>
      </c>
      <c r="P506" s="32" t="str">
        <f>HYPERLINK("https://api.typeform.com/responses/files/80deefe1ea67aa0b458bacb5ad0316c21c69f1a0d6691a39ccf536e15c7e16ed/Transcript_GameQualityAssuranceIntern_DangTriNguyen.pdf")</f>
        <v>https://api.typeform.com/responses/files/80deefe1ea67aa0b458bacb5ad0316c21c69f1a0d6691a39ccf536e15c7e16ed/Transcript_GameQualityAssuranceIntern_DangTriNguyen.pdf</v>
      </c>
      <c r="Q506" s="29" t="b">
        <v>0</v>
      </c>
      <c r="R506" s="29" t="s">
        <v>4995</v>
      </c>
      <c r="S506" s="29" t="s">
        <v>1437</v>
      </c>
      <c r="T506" s="29" t="s">
        <v>72</v>
      </c>
      <c r="U506" s="29" t="s">
        <v>72</v>
      </c>
      <c r="V506" s="29" t="s">
        <v>1026</v>
      </c>
      <c r="Y506" s="34">
        <v>46146.32797453704</v>
      </c>
      <c r="Z506" s="29" t="s">
        <v>4996</v>
      </c>
      <c r="AA506" s="6">
        <v>3.0</v>
      </c>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row>
    <row r="507" ht="22.5" hidden="1" customHeight="1">
      <c r="A507" s="29" t="s">
        <v>4997</v>
      </c>
      <c r="B507" s="30">
        <v>38125.0</v>
      </c>
      <c r="C507" s="29" t="s">
        <v>4998</v>
      </c>
      <c r="D507" s="31" t="s">
        <v>4999</v>
      </c>
      <c r="E507" s="29" t="s">
        <v>82</v>
      </c>
      <c r="F507" s="29" t="s">
        <v>62</v>
      </c>
      <c r="G507" s="32" t="str">
        <f>HYPERLINK("https://api.typeform.com/responses/files/b5a0efb36df24a43b34b38e56bb330a84da33d23a5792bbfe9fa775127482d93/CV___DuongXuanThanhTai___TTS_CNTT.pdf")</f>
        <v>https://api.typeform.com/responses/files/b5a0efb36df24a43b34b38e56bb330a84da33d23a5792bbfe9fa775127482d93/CV___DuongXuanThanhTai___TTS_CNTT.pdf</v>
      </c>
      <c r="H507" s="29" t="s">
        <v>5000</v>
      </c>
      <c r="I507" s="29" t="s">
        <v>5001</v>
      </c>
      <c r="J507" s="29" t="s">
        <v>1023</v>
      </c>
      <c r="L507" s="29" t="s">
        <v>67</v>
      </c>
      <c r="M507" s="29" t="s">
        <v>5002</v>
      </c>
      <c r="N507" s="33">
        <v>46346.0</v>
      </c>
      <c r="O507" s="31" t="s">
        <v>5003</v>
      </c>
      <c r="P507" s="32" t="str">
        <f>HYPERLINK("https://api.typeform.com/responses/files/59da8f9063a5a0cd26f039982e489ac470b1ce45305372dfa6d82ce474cda211/Screenshot_2026_05_04_144948.png")</f>
        <v>https://api.typeform.com/responses/files/59da8f9063a5a0cd26f039982e489ac470b1ce45305372dfa6d82ce474cda211/Screenshot_2026_05_04_144948.png</v>
      </c>
      <c r="Q507" s="29" t="b">
        <v>1</v>
      </c>
      <c r="R507" s="29" t="s">
        <v>5004</v>
      </c>
      <c r="S507" s="29" t="s">
        <v>5005</v>
      </c>
      <c r="T507" s="29" t="s">
        <v>72</v>
      </c>
      <c r="U507" s="29" t="s">
        <v>72</v>
      </c>
      <c r="V507" s="29" t="s">
        <v>73</v>
      </c>
      <c r="Y507" s="34">
        <v>46146.32958333333</v>
      </c>
      <c r="Z507" s="29" t="s">
        <v>5006</v>
      </c>
      <c r="AA507" s="6">
        <v>3.0</v>
      </c>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row>
    <row r="508" ht="22.5" hidden="1" customHeight="1">
      <c r="A508" s="29" t="s">
        <v>5007</v>
      </c>
      <c r="B508" s="30">
        <v>37664.0</v>
      </c>
      <c r="C508" s="29" t="s">
        <v>5008</v>
      </c>
      <c r="D508" s="31" t="s">
        <v>5009</v>
      </c>
      <c r="E508" s="29" t="s">
        <v>82</v>
      </c>
      <c r="F508" s="29" t="s">
        <v>62</v>
      </c>
      <c r="G508" s="32" t="str">
        <f>HYPERLINK("https://api.typeform.com/responses/files/77c68b428e877b174e1bd8b4944ff9a9ea754945e97e7d4922391c3f2d926452/NguyenPhuTrong_DataAnalyst.pdf")</f>
        <v>https://api.typeform.com/responses/files/77c68b428e877b174e1bd8b4944ff9a9ea754945e97e7d4922391c3f2d926452/NguyenPhuTrong_DataAnalyst.pdf</v>
      </c>
      <c r="H508" s="29" t="s">
        <v>5010</v>
      </c>
      <c r="I508" s="29" t="s">
        <v>5011</v>
      </c>
      <c r="J508" s="29" t="s">
        <v>326</v>
      </c>
      <c r="L508" s="29" t="s">
        <v>103</v>
      </c>
      <c r="M508" s="29" t="s">
        <v>624</v>
      </c>
      <c r="N508" s="33">
        <v>46011.0</v>
      </c>
      <c r="O508" s="31" t="s">
        <v>4043</v>
      </c>
      <c r="P508" s="32" t="str">
        <f>HYPERLINK("https://api.typeform.com/responses/files/c178ea9c782bf3c9d9bdb73d6f275a6f77c43252fa1da54c0679d2411b5be3a5/Transcript___Data_Analysis_Intern___Nguyễn_Phú_Trọng.pdf")</f>
        <v>https://api.typeform.com/responses/files/c178ea9c782bf3c9d9bdb73d6f275a6f77c43252fa1da54c0679d2411b5be3a5/Transcript___Data_Analysis_Intern___Nguyễn_Phú_Trọng.pdf</v>
      </c>
      <c r="Q508" s="29" t="b">
        <v>1</v>
      </c>
      <c r="R508" s="29" t="s">
        <v>5012</v>
      </c>
      <c r="S508" s="29" t="s">
        <v>5013</v>
      </c>
      <c r="T508" s="29" t="s">
        <v>72</v>
      </c>
      <c r="U508" s="29" t="s">
        <v>72</v>
      </c>
      <c r="V508" s="29" t="s">
        <v>3845</v>
      </c>
      <c r="X508" s="29" t="s">
        <v>5014</v>
      </c>
      <c r="Y508" s="34">
        <v>46146.33635416667</v>
      </c>
      <c r="Z508" s="29" t="s">
        <v>5015</v>
      </c>
      <c r="AA508" s="6">
        <v>3.0</v>
      </c>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row>
    <row r="509" ht="22.5" hidden="1" customHeight="1">
      <c r="A509" s="29" t="s">
        <v>5016</v>
      </c>
      <c r="B509" s="30">
        <v>37281.0</v>
      </c>
      <c r="C509" s="29" t="s">
        <v>5017</v>
      </c>
      <c r="D509" s="31" t="s">
        <v>5018</v>
      </c>
      <c r="E509" s="29" t="s">
        <v>774</v>
      </c>
      <c r="F509" s="29" t="s">
        <v>127</v>
      </c>
      <c r="G509" s="32" t="str">
        <f>HYPERLINK("https://api.typeform.com/responses/files/fd58d4928215889c40287fe0672b2c22d6274942d5eeb8b018965f1cb9c87be5/CV_Game_User_Acquisition_Intern___Nguyen_Kim_Hang.pdf")</f>
        <v>https://api.typeform.com/responses/files/fd58d4928215889c40287fe0672b2c22d6274942d5eeb8b018965f1cb9c87be5/CV_Game_User_Acquisition_Intern___Nguyen_Kim_Hang.pdf</v>
      </c>
      <c r="H509" s="29" t="s">
        <v>5019</v>
      </c>
      <c r="I509" s="29" t="s">
        <v>5020</v>
      </c>
      <c r="J509" s="29" t="s">
        <v>338</v>
      </c>
      <c r="L509" s="29" t="s">
        <v>103</v>
      </c>
      <c r="M509" s="29" t="s">
        <v>5021</v>
      </c>
      <c r="N509" s="33">
        <v>46259.0</v>
      </c>
      <c r="O509" s="29" t="s">
        <v>5022</v>
      </c>
      <c r="P509" s="32" t="str">
        <f>HYPERLINK("https://api.typeform.com/responses/files/a948c7d2058f9466b65f2865f43caa37113dcf2b0f94f003ee883da081eabb43/Cổng_thông_tin_đào_tạo.pdf")</f>
        <v>https://api.typeform.com/responses/files/a948c7d2058f9466b65f2865f43caa37113dcf2b0f94f003ee883da081eabb43/Cổng_thông_tin_đào_tạo.pdf</v>
      </c>
      <c r="Q509" s="29" t="b">
        <v>0</v>
      </c>
      <c r="R509" s="29" t="s">
        <v>5023</v>
      </c>
      <c r="S509" s="29" t="s">
        <v>5024</v>
      </c>
      <c r="T509" s="29" t="s">
        <v>72</v>
      </c>
      <c r="U509" s="29" t="s">
        <v>72</v>
      </c>
      <c r="V509" s="29" t="s">
        <v>73</v>
      </c>
      <c r="X509" s="29" t="s">
        <v>5025</v>
      </c>
      <c r="Y509" s="34">
        <v>46146.33672453704</v>
      </c>
      <c r="Z509" s="29" t="s">
        <v>5026</v>
      </c>
      <c r="AA509" s="6">
        <v>3.0</v>
      </c>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row>
    <row r="510" ht="22.5" hidden="1" customHeight="1">
      <c r="A510" s="29" t="s">
        <v>5027</v>
      </c>
      <c r="B510" s="30">
        <v>38175.0</v>
      </c>
      <c r="C510" s="29" t="s">
        <v>5028</v>
      </c>
      <c r="D510" s="31" t="s">
        <v>5029</v>
      </c>
      <c r="E510" s="29" t="s">
        <v>62</v>
      </c>
      <c r="F510" s="29" t="s">
        <v>82</v>
      </c>
      <c r="G510" s="32" t="str">
        <f>HYPERLINK("https://api.typeform.com/responses/files/566715ff6aaae1103279f5c2401ce8cf18ad9db0c423c691de30c896a0ff9117/CV___AI_Engineering_Intern___Phạm_Thị_Cẩm_Nhung.pdf")</f>
        <v>https://api.typeform.com/responses/files/566715ff6aaae1103279f5c2401ce8cf18ad9db0c423c691de30c896a0ff9117/CV___AI_Engineering_Intern___Phạm_Thị_Cẩm_Nhung.pdf</v>
      </c>
      <c r="H510" s="29" t="s">
        <v>5030</v>
      </c>
      <c r="I510" s="29" t="s">
        <v>5031</v>
      </c>
      <c r="J510" s="29" t="s">
        <v>644</v>
      </c>
      <c r="L510" s="29" t="s">
        <v>67</v>
      </c>
      <c r="M510" s="29" t="s">
        <v>384</v>
      </c>
      <c r="N510" s="33">
        <v>46295.0</v>
      </c>
      <c r="O510" s="29" t="s">
        <v>5032</v>
      </c>
      <c r="P510" s="32" t="str">
        <f>HYPERLINK("https://api.typeform.com/responses/files/b517753de5eebf68c7eea2152dbd1212364755a76d18a795e0b7b2ac56b32268/Transcript___AI_Engineering_Intern___Phạm_Thị_Cẩm_Nhung.xls")</f>
        <v>https://api.typeform.com/responses/files/b517753de5eebf68c7eea2152dbd1212364755a76d18a795e0b7b2ac56b32268/Transcript___AI_Engineering_Intern___Phạm_Thị_Cẩm_Nhung.xls</v>
      </c>
      <c r="Q510" s="29" t="b">
        <v>1</v>
      </c>
      <c r="R510" s="29" t="s">
        <v>5033</v>
      </c>
      <c r="S510" s="29" t="s">
        <v>5034</v>
      </c>
      <c r="T510" s="29" t="s">
        <v>72</v>
      </c>
      <c r="U510" s="29" t="s">
        <v>72</v>
      </c>
      <c r="V510" s="29" t="s">
        <v>73</v>
      </c>
      <c r="X510" s="29" t="s">
        <v>5035</v>
      </c>
      <c r="Y510" s="34">
        <v>46146.34201388889</v>
      </c>
      <c r="Z510" s="29" t="s">
        <v>5036</v>
      </c>
      <c r="AA510" s="6">
        <v>3.0</v>
      </c>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row>
    <row r="511" ht="22.5" hidden="1" customHeight="1">
      <c r="A511" s="29" t="s">
        <v>5037</v>
      </c>
      <c r="B511" s="30">
        <v>38614.0</v>
      </c>
      <c r="C511" s="29" t="s">
        <v>5038</v>
      </c>
      <c r="D511" s="31" t="s">
        <v>5039</v>
      </c>
      <c r="E511" s="29" t="s">
        <v>633</v>
      </c>
      <c r="F511" s="29" t="s">
        <v>633</v>
      </c>
      <c r="G511" s="32" t="str">
        <f>HYPERLINK("https://api.typeform.com/responses/files/677e90566ede899a1abb4e178b67616bed1ef3efa6cc65af8cbba446911ba168/CV___Human_Resources_Intern___Đào_Hương_Giang.pdf")</f>
        <v>https://api.typeform.com/responses/files/677e90566ede899a1abb4e178b67616bed1ef3efa6cc65af8cbba446911ba168/CV___Human_Resources_Intern___Đào_Hương_Giang.pdf</v>
      </c>
      <c r="H511" s="29" t="s">
        <v>5040</v>
      </c>
      <c r="I511" s="29" t="s">
        <v>5041</v>
      </c>
      <c r="J511" s="29" t="s">
        <v>715</v>
      </c>
      <c r="L511" s="29" t="s">
        <v>219</v>
      </c>
      <c r="M511" s="29" t="s">
        <v>5042</v>
      </c>
      <c r="N511" s="33">
        <v>46661.0</v>
      </c>
      <c r="O511" s="29" t="s">
        <v>3458</v>
      </c>
      <c r="P511" s="32" t="str">
        <f>HYPERLINK("https://api.typeform.com/responses/files/dbb3c43b15f6f92f458ca2723d5daafdc5c80a3ba1776b84a9e452aee7321cd1/Transcript___Human_Resources_Intern___Đào_Hương_Giang.docx")</f>
        <v>https://api.typeform.com/responses/files/dbb3c43b15f6f92f458ca2723d5daafdc5c80a3ba1776b84a9e452aee7321cd1/Transcript___Human_Resources_Intern___Đào_Hương_Giang.docx</v>
      </c>
      <c r="Q511" s="29" t="b">
        <v>0</v>
      </c>
      <c r="R511" s="29" t="s">
        <v>5043</v>
      </c>
      <c r="S511" s="29" t="s">
        <v>5044</v>
      </c>
      <c r="T511" s="29" t="s">
        <v>72</v>
      </c>
      <c r="U511" s="29" t="s">
        <v>72</v>
      </c>
      <c r="V511" s="29" t="s">
        <v>5045</v>
      </c>
      <c r="X511" s="29" t="s">
        <v>5046</v>
      </c>
      <c r="Y511" s="34">
        <v>46146.35518518519</v>
      </c>
      <c r="Z511" s="29" t="s">
        <v>5047</v>
      </c>
      <c r="AA511" s="6">
        <v>3.0</v>
      </c>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row>
    <row r="512" ht="22.5" hidden="1" customHeight="1">
      <c r="A512" s="29" t="s">
        <v>5048</v>
      </c>
      <c r="B512" s="30">
        <v>38383.0</v>
      </c>
      <c r="C512" s="29" t="s">
        <v>5049</v>
      </c>
      <c r="D512" s="31" t="s">
        <v>5050</v>
      </c>
      <c r="E512" s="29" t="s">
        <v>774</v>
      </c>
      <c r="G512" s="32" t="str">
        <f>HYPERLINK("https://api.typeform.com/responses/files/5dc891333b46b5b32f92fbb98e19aebdf5fcae62e77f9a98d4363dd9d14e13ca/CV___Game_User_Acquisition_Intern___Trần_Thị_Thanh_Nga.pdf")</f>
        <v>https://api.typeform.com/responses/files/5dc891333b46b5b32f92fbb98e19aebdf5fcae62e77f9a98d4363dd9d14e13ca/CV___Game_User_Acquisition_Intern___Trần_Thị_Thanh_Nga.pdf</v>
      </c>
      <c r="H512" s="29" t="s">
        <v>5051</v>
      </c>
      <c r="I512" s="29" t="s">
        <v>5052</v>
      </c>
      <c r="J512" s="29" t="s">
        <v>842</v>
      </c>
      <c r="K512" s="29" t="s">
        <v>5053</v>
      </c>
      <c r="L512" s="29" t="s">
        <v>219</v>
      </c>
      <c r="M512" s="29" t="s">
        <v>5054</v>
      </c>
      <c r="N512" s="33">
        <v>46537.0</v>
      </c>
      <c r="O512" s="31" t="s">
        <v>133</v>
      </c>
      <c r="P512" s="32" t="str">
        <f>HYPERLINK("https://api.typeform.com/responses/files/dd4a72f7d3f5a1cfd3b02d96adc594ea690a4a01da30642b420e62ed7b737094/Transcript___Game_User_Acquisition_Intern__Trần_Thị_Thanh_Nga.png")</f>
        <v>https://api.typeform.com/responses/files/dd4a72f7d3f5a1cfd3b02d96adc594ea690a4a01da30642b420e62ed7b737094/Transcript___Game_User_Acquisition_Intern__Trần_Thị_Thanh_Nga.png</v>
      </c>
      <c r="Q512" s="29" t="b">
        <v>1</v>
      </c>
      <c r="R512" s="29" t="s">
        <v>5055</v>
      </c>
      <c r="S512" s="29" t="s">
        <v>5056</v>
      </c>
      <c r="T512" s="29" t="s">
        <v>72</v>
      </c>
      <c r="U512" s="29" t="s">
        <v>72</v>
      </c>
      <c r="V512" s="29" t="s">
        <v>90</v>
      </c>
      <c r="X512" s="29" t="s">
        <v>5057</v>
      </c>
      <c r="Y512" s="34">
        <v>46146.382731481484</v>
      </c>
      <c r="Z512" s="29" t="s">
        <v>5058</v>
      </c>
      <c r="AA512" s="6">
        <v>3.0</v>
      </c>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row>
    <row r="513" ht="22.5" hidden="1" customHeight="1">
      <c r="A513" s="29" t="s">
        <v>5059</v>
      </c>
      <c r="B513" s="30">
        <v>38646.0</v>
      </c>
      <c r="C513" s="29" t="s">
        <v>5060</v>
      </c>
      <c r="D513" s="31" t="s">
        <v>5061</v>
      </c>
      <c r="E513" s="29" t="s">
        <v>61</v>
      </c>
      <c r="F513" s="29" t="s">
        <v>99</v>
      </c>
      <c r="G513" s="32" t="str">
        <f>HYPERLINK("https://api.typeform.com/responses/files/c5be06acd5fa8bd387a920a801a684e9a4e51832a97abeaaf6e6242f56052d69/DangTranAnhHao_CV.pdf")</f>
        <v>https://api.typeform.com/responses/files/c5be06acd5fa8bd387a920a801a684e9a4e51832a97abeaaf6e6242f56052d69/DangTranAnhHao_CV.pdf</v>
      </c>
      <c r="H513" s="29" t="s">
        <v>5062</v>
      </c>
      <c r="I513" s="29" t="s">
        <v>5063</v>
      </c>
      <c r="J513" s="29" t="s">
        <v>85</v>
      </c>
      <c r="L513" s="29" t="s">
        <v>219</v>
      </c>
      <c r="M513" s="29" t="s">
        <v>1945</v>
      </c>
      <c r="N513" s="33">
        <v>46468.0</v>
      </c>
      <c r="O513" s="31" t="s">
        <v>920</v>
      </c>
      <c r="P513" s="32" t="str">
        <f>HYPERLINK("https://api.typeform.com/responses/files/3bd2fb14c2d0df39d65763fc3f2cefc0f13a4f5de553fdb38eb2a8efe2e9a037/Transcript___Unity_Developer_Intern___Dang_Tran_Anh_Hao.pdf")</f>
        <v>https://api.typeform.com/responses/files/3bd2fb14c2d0df39d65763fc3f2cefc0f13a4f5de553fdb38eb2a8efe2e9a037/Transcript___Unity_Developer_Intern___Dang_Tran_Anh_Hao.pdf</v>
      </c>
      <c r="Q513" s="29" t="b">
        <v>1</v>
      </c>
      <c r="R513" s="29" t="s">
        <v>5064</v>
      </c>
      <c r="S513" s="29" t="s">
        <v>5065</v>
      </c>
      <c r="T513" s="29" t="s">
        <v>72</v>
      </c>
      <c r="U513" s="29" t="s">
        <v>72</v>
      </c>
      <c r="V513" s="29" t="s">
        <v>269</v>
      </c>
      <c r="Y513" s="34">
        <v>46146.387511574074</v>
      </c>
      <c r="Z513" s="29" t="s">
        <v>5066</v>
      </c>
      <c r="AA513" s="6">
        <v>3.0</v>
      </c>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row>
    <row r="514" ht="22.5" hidden="1" customHeight="1">
      <c r="A514" s="29" t="s">
        <v>5067</v>
      </c>
      <c r="B514" s="30">
        <v>38565.0</v>
      </c>
      <c r="C514" s="29" t="s">
        <v>5068</v>
      </c>
      <c r="D514" s="31" t="s">
        <v>5069</v>
      </c>
      <c r="E514" s="29" t="s">
        <v>82</v>
      </c>
      <c r="F514" s="29" t="s">
        <v>62</v>
      </c>
      <c r="G514" s="32" t="str">
        <f>HYPERLINK("https://api.typeform.com/responses/files/716d81538a196ca4088e2748e61c779d90698071f8ae7bdc6a77a441c91af2d0/CV___Data_Analysis_Intern___Phạm_Ngọc_Thiện.pdf")</f>
        <v>https://api.typeform.com/responses/files/716d81538a196ca4088e2748e61c779d90698071f8ae7bdc6a77a441c91af2d0/CV___Data_Analysis_Intern___Phạm_Ngọc_Thiện.pdf</v>
      </c>
      <c r="H514" s="29" t="s">
        <v>5070</v>
      </c>
      <c r="I514" s="29" t="s">
        <v>5071</v>
      </c>
      <c r="J514" s="29" t="s">
        <v>85</v>
      </c>
      <c r="L514" s="29" t="s">
        <v>219</v>
      </c>
      <c r="M514" s="29" t="s">
        <v>5072</v>
      </c>
      <c r="N514" s="33">
        <v>46539.0</v>
      </c>
      <c r="O514" s="31" t="s">
        <v>5073</v>
      </c>
      <c r="P514" s="32" t="str">
        <f>HYPERLINK("https://api.typeform.com/responses/files/428cd4f230694707efd3620ee5a6bdebb6ced4d70200e21c797ae5a4f1f746a9/Transcript___Data_Analysis_Intern___Phạm_Ngọc_Thiện.pdf")</f>
        <v>https://api.typeform.com/responses/files/428cd4f230694707efd3620ee5a6bdebb6ced4d70200e21c797ae5a4f1f746a9/Transcript___Data_Analysis_Intern___Phạm_Ngọc_Thiện.pdf</v>
      </c>
      <c r="Q514" s="29" t="b">
        <v>1</v>
      </c>
      <c r="R514" s="29" t="s">
        <v>5074</v>
      </c>
      <c r="S514" s="29" t="s">
        <v>5075</v>
      </c>
      <c r="T514" s="29" t="s">
        <v>72</v>
      </c>
      <c r="U514" s="29" t="s">
        <v>72</v>
      </c>
      <c r="V514" s="29" t="s">
        <v>3962</v>
      </c>
      <c r="Y514" s="34">
        <v>46146.40159722222</v>
      </c>
      <c r="Z514" s="29" t="s">
        <v>5076</v>
      </c>
      <c r="AA514" s="6">
        <v>3.0</v>
      </c>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row>
    <row r="515" ht="22.5" hidden="1" customHeight="1">
      <c r="A515" s="29" t="s">
        <v>5077</v>
      </c>
      <c r="B515" s="30">
        <v>37940.0</v>
      </c>
      <c r="C515" s="29" t="s">
        <v>5078</v>
      </c>
      <c r="D515" s="31" t="s">
        <v>5079</v>
      </c>
      <c r="E515" s="29" t="s">
        <v>774</v>
      </c>
      <c r="G515" s="32" t="str">
        <f>HYPERLINK("https://api.typeform.com/responses/files/b66ffb7782469233c3159069805501af56ddcbd0eb32317bb5d11d5b99240543/CV___Game_User_Acquisition_Marketing_Intern___Lê_Phạm_Hoàng_Hà.pdf")</f>
        <v>https://api.typeform.com/responses/files/b66ffb7782469233c3159069805501af56ddcbd0eb32317bb5d11d5b99240543/CV___Game_User_Acquisition_Marketing_Intern___Lê_Phạm_Hoàng_Hà.pdf</v>
      </c>
      <c r="H515" s="29" t="s">
        <v>5080</v>
      </c>
      <c r="I515" s="29" t="s">
        <v>5081</v>
      </c>
      <c r="J515" s="29" t="s">
        <v>2293</v>
      </c>
      <c r="L515" s="29" t="s">
        <v>103</v>
      </c>
      <c r="M515" s="29" t="s">
        <v>1496</v>
      </c>
      <c r="N515" s="33">
        <v>46136.0</v>
      </c>
      <c r="O515" s="31" t="s">
        <v>962</v>
      </c>
      <c r="P515" s="32" t="str">
        <f>HYPERLINK("https://api.typeform.com/responses/files/aa273803d22a48da4ee383b26263419fd511dc08c8deb3a626dac2e7a556afed/Transcript___Game_User_Acquisition_Marketing_Intern___Lê_Phạm_Hoàng_Hà.pdf")</f>
        <v>https://api.typeform.com/responses/files/aa273803d22a48da4ee383b26263419fd511dc08c8deb3a626dac2e7a556afed/Transcript___Game_User_Acquisition_Marketing_Intern___Lê_Phạm_Hoàng_Hà.pdf</v>
      </c>
      <c r="Q515" s="29" t="b">
        <v>0</v>
      </c>
      <c r="R515" s="29" t="s">
        <v>5082</v>
      </c>
      <c r="S515" s="29" t="s">
        <v>5082</v>
      </c>
      <c r="T515" s="29" t="s">
        <v>72</v>
      </c>
      <c r="U515" s="29" t="s">
        <v>72</v>
      </c>
      <c r="V515" s="29" t="s">
        <v>90</v>
      </c>
      <c r="Y515" s="34">
        <v>46146.40494212963</v>
      </c>
      <c r="Z515" s="29" t="s">
        <v>5083</v>
      </c>
      <c r="AA515" s="6">
        <v>3.0</v>
      </c>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row>
    <row r="516" ht="22.5" hidden="1" customHeight="1">
      <c r="A516" s="29" t="s">
        <v>5084</v>
      </c>
      <c r="B516" s="30">
        <v>37750.0</v>
      </c>
      <c r="C516" s="29" t="s">
        <v>5085</v>
      </c>
      <c r="D516" s="31" t="s">
        <v>5086</v>
      </c>
      <c r="E516" s="29" t="s">
        <v>774</v>
      </c>
      <c r="G516" s="32" t="str">
        <f>HYPERLINK("https://api.typeform.com/responses/files/1460e62047590129377fa668af87725fe2749a76f6915235977a01effcc6eed1/CV___Game_User_Acquisition_Intern___Le_Bao_Ngoc.pdf")</f>
        <v>https://api.typeform.com/responses/files/1460e62047590129377fa668af87725fe2749a76f6915235977a01effcc6eed1/CV___Game_User_Acquisition_Intern___Le_Bao_Ngoc.pdf</v>
      </c>
      <c r="H516" s="29" t="s">
        <v>5087</v>
      </c>
      <c r="I516" s="29" t="s">
        <v>5088</v>
      </c>
      <c r="J516" s="29" t="s">
        <v>636</v>
      </c>
      <c r="L516" s="29" t="s">
        <v>103</v>
      </c>
      <c r="M516" s="29" t="s">
        <v>5021</v>
      </c>
      <c r="N516" s="33">
        <v>45972.0</v>
      </c>
      <c r="O516" s="31" t="s">
        <v>4088</v>
      </c>
      <c r="P516" s="32" t="str">
        <f>HYPERLINK("https://api.typeform.com/responses/files/706aede1180736e948692df286e905762d3d2f17003daed238468bee55dc48f7/Transcript___Game_User_Acquisition_Intern___Le_Bao_Ngoc.pdf")</f>
        <v>https://api.typeform.com/responses/files/706aede1180736e948692df286e905762d3d2f17003daed238468bee55dc48f7/Transcript___Game_User_Acquisition_Intern___Le_Bao_Ngoc.pdf</v>
      </c>
      <c r="Q516" s="29" t="b">
        <v>1</v>
      </c>
      <c r="R516" s="29" t="s">
        <v>5089</v>
      </c>
      <c r="S516" s="29" t="s">
        <v>5090</v>
      </c>
      <c r="T516" s="29" t="s">
        <v>72</v>
      </c>
      <c r="U516" s="29" t="s">
        <v>72</v>
      </c>
      <c r="V516" s="29" t="s">
        <v>188</v>
      </c>
      <c r="X516" s="29" t="s">
        <v>5091</v>
      </c>
      <c r="Y516" s="34">
        <v>46146.440300925926</v>
      </c>
      <c r="Z516" s="29" t="s">
        <v>5092</v>
      </c>
      <c r="AA516" s="6">
        <v>3.0</v>
      </c>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row>
    <row r="517" ht="22.5" hidden="1" customHeight="1">
      <c r="A517" s="29" t="s">
        <v>5093</v>
      </c>
      <c r="B517" s="30">
        <v>37815.0</v>
      </c>
      <c r="C517" s="29" t="s">
        <v>5094</v>
      </c>
      <c r="D517" s="31" t="s">
        <v>5095</v>
      </c>
      <c r="E517" s="29" t="s">
        <v>62</v>
      </c>
      <c r="F517" s="29" t="s">
        <v>61</v>
      </c>
      <c r="G517" s="32" t="str">
        <f>HYPERLINK("https://api.typeform.com/responses/files/f429150985dd6104a43d69730227d87178dbed6fcf610ec658af53d3bf0a8b94/CV___AI_Engineering_Intern___Nguyễn_Tấn_Dũng.pdf")</f>
        <v>https://api.typeform.com/responses/files/f429150985dd6104a43d69730227d87178dbed6fcf610ec658af53d3bf0a8b94/CV___AI_Engineering_Intern___Nguyễn_Tấn_Dũng.pdf</v>
      </c>
      <c r="H517" s="29" t="s">
        <v>5096</v>
      </c>
      <c r="I517" s="29" t="s">
        <v>5097</v>
      </c>
      <c r="J517" s="29" t="s">
        <v>715</v>
      </c>
      <c r="L517" s="29" t="s">
        <v>103</v>
      </c>
      <c r="M517" s="29" t="s">
        <v>399</v>
      </c>
      <c r="N517" s="33">
        <v>45962.0</v>
      </c>
      <c r="O517" s="31" t="s">
        <v>317</v>
      </c>
      <c r="P517" s="32" t="str">
        <f>HYPERLINK("https://api.typeform.com/responses/files/a126d72d4fafebdd6899050b2e9914ab55f7160d06dc614b0168a9564dbca1f2/Transcript___AI_Engineering_Intern___Nguyễn_Tấn_Dũng.pdf")</f>
        <v>https://api.typeform.com/responses/files/a126d72d4fafebdd6899050b2e9914ab55f7160d06dc614b0168a9564dbca1f2/Transcript___AI_Engineering_Intern___Nguyễn_Tấn_Dũng.pdf</v>
      </c>
      <c r="Q517" s="29" t="b">
        <v>1</v>
      </c>
      <c r="R517" s="29" t="s">
        <v>5098</v>
      </c>
      <c r="S517" s="29" t="s">
        <v>5099</v>
      </c>
      <c r="T517" s="29" t="s">
        <v>72</v>
      </c>
      <c r="U517" s="29" t="s">
        <v>72</v>
      </c>
      <c r="V517" s="29" t="s">
        <v>3962</v>
      </c>
      <c r="Y517" s="34">
        <v>46146.54681712963</v>
      </c>
      <c r="Z517" s="29" t="s">
        <v>5100</v>
      </c>
      <c r="AA517" s="6">
        <v>3.0</v>
      </c>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row>
    <row r="518" ht="22.5" hidden="1" customHeight="1">
      <c r="A518" s="29" t="s">
        <v>5101</v>
      </c>
      <c r="B518" s="30">
        <v>38415.0</v>
      </c>
      <c r="C518" s="29" t="s">
        <v>5102</v>
      </c>
      <c r="D518" s="31" t="s">
        <v>5103</v>
      </c>
      <c r="E518" s="29" t="s">
        <v>62</v>
      </c>
      <c r="F518" s="29" t="s">
        <v>82</v>
      </c>
      <c r="G518" s="32" t="str">
        <f>HYPERLINK("https://api.typeform.com/responses/files/3fa14a8dc662c72d513759000bc9e619b8803717d08800b7f3bd1c57a822ece7/CV_–_Le_Quang_Long.pdf")</f>
        <v>https://api.typeform.com/responses/files/3fa14a8dc662c72d513759000bc9e619b8803717d08800b7f3bd1c57a822ece7/CV_–_Le_Quang_Long.pdf</v>
      </c>
      <c r="H518" s="29" t="s">
        <v>5104</v>
      </c>
      <c r="I518" s="29" t="s">
        <v>5105</v>
      </c>
      <c r="J518" s="29" t="s">
        <v>85</v>
      </c>
      <c r="L518" s="29" t="s">
        <v>219</v>
      </c>
      <c r="M518" s="29" t="s">
        <v>399</v>
      </c>
      <c r="N518" s="33">
        <v>46539.0</v>
      </c>
      <c r="O518" s="31" t="s">
        <v>5106</v>
      </c>
      <c r="P518" s="32" t="str">
        <f>HYPERLINK("https://api.typeform.com/responses/files/59393cbf2ee841798cef03929fe08465f3e49f142a48aa32ad4deb8822a3bb66/GIP_2026___Bảng_Điểm___Lê_Quang_Long.png")</f>
        <v>https://api.typeform.com/responses/files/59393cbf2ee841798cef03929fe08465f3e49f142a48aa32ad4deb8822a3bb66/GIP_2026___Bảng_Điểm___Lê_Quang_Long.png</v>
      </c>
      <c r="Q518" s="29" t="b">
        <v>1</v>
      </c>
      <c r="R518" s="29" t="s">
        <v>5107</v>
      </c>
      <c r="S518" s="29" t="s">
        <v>5108</v>
      </c>
      <c r="T518" s="29" t="s">
        <v>72</v>
      </c>
      <c r="U518" s="29" t="s">
        <v>72</v>
      </c>
      <c r="V518" s="29" t="s">
        <v>269</v>
      </c>
      <c r="X518" s="29" t="s">
        <v>5109</v>
      </c>
      <c r="Y518" s="34">
        <v>46146.61761574074</v>
      </c>
      <c r="Z518" s="29" t="s">
        <v>5110</v>
      </c>
      <c r="AA518" s="6">
        <v>3.0</v>
      </c>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row>
    <row r="519" ht="22.5" hidden="1" customHeight="1">
      <c r="A519" s="29" t="s">
        <v>5111</v>
      </c>
      <c r="B519" s="30">
        <v>38261.0</v>
      </c>
      <c r="C519" s="29" t="s">
        <v>5112</v>
      </c>
      <c r="D519" s="31" t="s">
        <v>5113</v>
      </c>
      <c r="E519" s="29" t="s">
        <v>82</v>
      </c>
      <c r="F519" s="29" t="s">
        <v>62</v>
      </c>
      <c r="G519" s="32" t="str">
        <f>HYPERLINK("https://api.typeform.com/responses/files/890a7775089239383c5dfd41ba89d49a185c9f82afeaabb459f4970a1dd871e9/CV___Data_Analysis_Intern___Nguyễn_Phạm_Chí_Bảo.pdf")</f>
        <v>https://api.typeform.com/responses/files/890a7775089239383c5dfd41ba89d49a185c9f82afeaabb459f4970a1dd871e9/CV___Data_Analysis_Intern___Nguyễn_Phạm_Chí_Bảo.pdf</v>
      </c>
      <c r="H519" s="29" t="s">
        <v>5114</v>
      </c>
      <c r="I519" s="29" t="s">
        <v>5115</v>
      </c>
      <c r="J519" s="29" t="s">
        <v>277</v>
      </c>
      <c r="L519" s="29" t="s">
        <v>67</v>
      </c>
      <c r="M519" s="29" t="s">
        <v>737</v>
      </c>
      <c r="N519" s="33">
        <v>46447.0</v>
      </c>
      <c r="O519" s="31" t="s">
        <v>413</v>
      </c>
      <c r="P519" s="32" t="str">
        <f>HYPERLINK("https://api.typeform.com/responses/files/3efa15241b1e42aaec33b2130eaee7e34704418f4be0cc01a2de547901d22e18/Transcript___Data_Analysis_Intern___Nguyễn_Phạm_Chí_Bảo.pdf")</f>
        <v>https://api.typeform.com/responses/files/3efa15241b1e42aaec33b2130eaee7e34704418f4be0cc01a2de547901d22e18/Transcript___Data_Analysis_Intern___Nguyễn_Phạm_Chí_Bảo.pdf</v>
      </c>
      <c r="Q519" s="29" t="b">
        <v>1</v>
      </c>
      <c r="R519" s="29" t="s">
        <v>5116</v>
      </c>
      <c r="S519" s="29" t="s">
        <v>5117</v>
      </c>
      <c r="T519" s="29" t="s">
        <v>72</v>
      </c>
      <c r="U519" s="29" t="s">
        <v>72</v>
      </c>
      <c r="V519" s="29" t="s">
        <v>236</v>
      </c>
      <c r="X519" s="29" t="s">
        <v>5118</v>
      </c>
      <c r="Y519" s="34">
        <v>46146.676666666666</v>
      </c>
      <c r="Z519" s="29" t="s">
        <v>5119</v>
      </c>
      <c r="AA519" s="6">
        <v>3.0</v>
      </c>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row>
    <row r="520" ht="22.5" hidden="1" customHeight="1">
      <c r="A520" s="29" t="s">
        <v>5120</v>
      </c>
      <c r="B520" s="30">
        <v>38623.0</v>
      </c>
      <c r="C520" s="29" t="s">
        <v>5121</v>
      </c>
      <c r="D520" s="31" t="s">
        <v>5122</v>
      </c>
      <c r="E520" s="29" t="s">
        <v>62</v>
      </c>
      <c r="G520" s="32" t="str">
        <f>HYPERLINK("https://api.typeform.com/responses/files/499da9e9d0e9eca1475551b6e69620d84553a26d233305ee6786bb3bd539d500/CV___AI_Engineering_Intern___Trần_Ngọc_Biên.pdf")</f>
        <v>https://api.typeform.com/responses/files/499da9e9d0e9eca1475551b6e69620d84553a26d233305ee6786bb3bd539d500/CV___AI_Engineering_Intern___Trần_Ngọc_Biên.pdf</v>
      </c>
      <c r="H520" s="29" t="s">
        <v>5123</v>
      </c>
      <c r="I520" s="29" t="s">
        <v>5124</v>
      </c>
      <c r="J520" s="29" t="s">
        <v>468</v>
      </c>
      <c r="L520" s="29" t="s">
        <v>219</v>
      </c>
      <c r="M520" s="29" t="s">
        <v>624</v>
      </c>
      <c r="N520" s="33">
        <v>46478.0</v>
      </c>
      <c r="O520" s="29" t="s">
        <v>5125</v>
      </c>
      <c r="P520" s="32" t="str">
        <f>HYPERLINK("https://api.typeform.com/responses/files/7f6b4ca5e7ec1a6e664dc1c602ae52ea4b5c90f91edf1d22d18e54daecf79dae/Transcript___AI_Engineering_Intern___Trần_Ngọc_Biên.pdf")</f>
        <v>https://api.typeform.com/responses/files/7f6b4ca5e7ec1a6e664dc1c602ae52ea4b5c90f91edf1d22d18e54daecf79dae/Transcript___AI_Engineering_Intern___Trần_Ngọc_Biên.pdf</v>
      </c>
      <c r="Q520" s="29" t="b">
        <v>1</v>
      </c>
      <c r="R520" s="29" t="s">
        <v>5126</v>
      </c>
      <c r="S520" s="29" t="s">
        <v>5127</v>
      </c>
      <c r="T520" s="29" t="s">
        <v>72</v>
      </c>
      <c r="U520" s="29" t="s">
        <v>72</v>
      </c>
      <c r="V520" s="29" t="s">
        <v>73</v>
      </c>
      <c r="X520" s="29" t="s">
        <v>5128</v>
      </c>
      <c r="Y520" s="34">
        <v>46146.68136574074</v>
      </c>
      <c r="Z520" s="29" t="s">
        <v>5129</v>
      </c>
      <c r="AA520" s="6">
        <v>3.0</v>
      </c>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row>
    <row r="521" ht="22.5" hidden="1" customHeight="1">
      <c r="A521" s="29" t="s">
        <v>5130</v>
      </c>
      <c r="B521" s="30">
        <v>38596.0</v>
      </c>
      <c r="C521" s="29" t="s">
        <v>5131</v>
      </c>
      <c r="D521" s="31" t="s">
        <v>5132</v>
      </c>
      <c r="E521" s="29" t="s">
        <v>774</v>
      </c>
      <c r="F521" s="29" t="s">
        <v>633</v>
      </c>
      <c r="G521" s="32" t="str">
        <f>HYPERLINK("https://api.typeform.com/responses/files/99a73b03048faf44d2443f1feef8ce143efc695349327f7521ed5dd2694f8de7/CV___Game_User_Acquisition_Intern___Nguyễn_Phan_Bình_Nguyên.pdf")</f>
        <v>https://api.typeform.com/responses/files/99a73b03048faf44d2443f1feef8ce143efc695349327f7521ed5dd2694f8de7/CV___Game_User_Acquisition_Intern___Nguyễn_Phan_Bình_Nguyên.pdf</v>
      </c>
      <c r="H521" s="29" t="s">
        <v>5133</v>
      </c>
      <c r="I521" s="29" t="s">
        <v>5134</v>
      </c>
      <c r="J521" s="29" t="s">
        <v>842</v>
      </c>
      <c r="L521" s="29" t="s">
        <v>219</v>
      </c>
      <c r="M521" s="29" t="s">
        <v>1348</v>
      </c>
      <c r="N521" s="33">
        <v>46600.0</v>
      </c>
      <c r="O521" s="31" t="s">
        <v>2720</v>
      </c>
      <c r="P521" s="32" t="str">
        <f>HYPERLINK("https://api.typeform.com/responses/files/06477aaba885eb2765ef53346e0650823d361a9d689871f964ffc81c50760037/Transcript___Game_User_Acquisition_Intern___Nguyễn_Phan_Bình_Nguyên.xlsx")</f>
        <v>https://api.typeform.com/responses/files/06477aaba885eb2765ef53346e0650823d361a9d689871f964ffc81c50760037/Transcript___Game_User_Acquisition_Intern___Nguyễn_Phan_Bình_Nguyên.xlsx</v>
      </c>
      <c r="Q521" s="29" t="b">
        <v>1</v>
      </c>
      <c r="R521" s="29" t="s">
        <v>5135</v>
      </c>
      <c r="S521" s="29" t="s">
        <v>5136</v>
      </c>
      <c r="T521" s="29" t="s">
        <v>72</v>
      </c>
      <c r="U521" s="29" t="s">
        <v>72</v>
      </c>
      <c r="V521" s="29" t="s">
        <v>1026</v>
      </c>
      <c r="X521" s="29" t="s">
        <v>5137</v>
      </c>
      <c r="Y521" s="34">
        <v>46146.68716435185</v>
      </c>
      <c r="Z521" s="29" t="s">
        <v>5138</v>
      </c>
      <c r="AA521" s="6">
        <v>3.0</v>
      </c>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row>
    <row r="522" ht="22.5" hidden="1" customHeight="1">
      <c r="A522" s="29" t="s">
        <v>5139</v>
      </c>
      <c r="B522" s="30">
        <v>38343.0</v>
      </c>
      <c r="C522" s="29" t="s">
        <v>5140</v>
      </c>
      <c r="D522" s="31" t="s">
        <v>5141</v>
      </c>
      <c r="E522" s="29" t="s">
        <v>61</v>
      </c>
      <c r="F522" s="29" t="s">
        <v>99</v>
      </c>
      <c r="G522" s="32" t="str">
        <f>HYPERLINK("https://api.typeform.com/responses/files/01af29048b22c30ac97f181eea7f0a327c3950fc9cc6a2a73d2652f88bc57ac2/CV___Unity_Developer_Intern___Lê_Tấn_Lợi.pdf")</f>
        <v>https://api.typeform.com/responses/files/01af29048b22c30ac97f181eea7f0a327c3950fc9cc6a2a73d2652f88bc57ac2/CV___Unity_Developer_Intern___Lê_Tấn_Lợi.pdf</v>
      </c>
      <c r="H522" s="29" t="s">
        <v>5142</v>
      </c>
      <c r="I522" s="29" t="s">
        <v>5143</v>
      </c>
      <c r="J522" s="29" t="s">
        <v>144</v>
      </c>
      <c r="K522" s="29" t="s">
        <v>3078</v>
      </c>
      <c r="L522" s="29" t="s">
        <v>5144</v>
      </c>
      <c r="M522" s="29" t="s">
        <v>5145</v>
      </c>
      <c r="N522" s="33">
        <v>46185.0</v>
      </c>
      <c r="O522" s="31" t="s">
        <v>483</v>
      </c>
      <c r="P522" s="32" t="str">
        <f>HYPERLINK("https://api.typeform.com/responses/files/e6bcf2a4f2a80fa60dca0eb77d67f72766bb6154cdc83ef65af746ccebfe89c5/Transcript___Unity_Developer_Intern___Lê_Tấn_Lợi.pdf")</f>
        <v>https://api.typeform.com/responses/files/e6bcf2a4f2a80fa60dca0eb77d67f72766bb6154cdc83ef65af746ccebfe89c5/Transcript___Unity_Developer_Intern___Lê_Tấn_Lợi.pdf</v>
      </c>
      <c r="Q522" s="29" t="b">
        <v>1</v>
      </c>
      <c r="R522" s="29" t="s">
        <v>5146</v>
      </c>
      <c r="S522" s="29" t="s">
        <v>5147</v>
      </c>
      <c r="T522" s="29" t="s">
        <v>72</v>
      </c>
      <c r="U522" s="29" t="s">
        <v>72</v>
      </c>
      <c r="V522" s="29" t="s">
        <v>73</v>
      </c>
      <c r="X522" s="29" t="s">
        <v>5148</v>
      </c>
      <c r="Y522" s="34">
        <v>46146.69751157407</v>
      </c>
      <c r="Z522" s="29" t="s">
        <v>5149</v>
      </c>
      <c r="AA522" s="6">
        <v>3.0</v>
      </c>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row>
    <row r="523" ht="22.5" hidden="1" customHeight="1">
      <c r="A523" s="29" t="s">
        <v>5150</v>
      </c>
      <c r="B523" s="30">
        <v>37802.0</v>
      </c>
      <c r="C523" s="29" t="s">
        <v>5151</v>
      </c>
      <c r="D523" s="31" t="s">
        <v>5152</v>
      </c>
      <c r="E523" s="29" t="s">
        <v>82</v>
      </c>
      <c r="F523" s="29" t="s">
        <v>774</v>
      </c>
      <c r="G523" s="32" t="str">
        <f>HYPERLINK("https://api.typeform.com/responses/files/6fe4884982b96405938630441b0f998b17e78aba052ebf457f26703c0f6fd1c2/Ho_Nguyen_Thanh_Trung_SunRiser_RISER2026.pdf")</f>
        <v>https://api.typeform.com/responses/files/6fe4884982b96405938630441b0f998b17e78aba052ebf457f26703c0f6fd1c2/Ho_Nguyen_Thanh_Trung_SunRiser_RISER2026.pdf</v>
      </c>
      <c r="H523" s="29" t="s">
        <v>5153</v>
      </c>
      <c r="I523" s="29" t="s">
        <v>5154</v>
      </c>
      <c r="J523" s="29" t="s">
        <v>842</v>
      </c>
      <c r="L523" s="29" t="s">
        <v>103</v>
      </c>
      <c r="M523" s="29" t="s">
        <v>5155</v>
      </c>
      <c r="N523" s="33">
        <v>46279.0</v>
      </c>
      <c r="O523" s="31" t="s">
        <v>2210</v>
      </c>
      <c r="P523" s="32" t="str">
        <f>HYPERLINK("https://api.typeform.com/responses/files/75b7c67d2d6df081eeef792a475e73f07de218170ea53b4b34ba3d934793fdde/Transcript___Data_Analysis_Intern___Ho_Nguyen_Thanh_Trung.pdf")</f>
        <v>https://api.typeform.com/responses/files/75b7c67d2d6df081eeef792a475e73f07de218170ea53b4b34ba3d934793fdde/Transcript___Data_Analysis_Intern___Ho_Nguyen_Thanh_Trung.pdf</v>
      </c>
      <c r="Q523" s="29" t="b">
        <v>1</v>
      </c>
      <c r="R523" s="29" t="s">
        <v>5156</v>
      </c>
      <c r="S523" s="29" t="s">
        <v>5157</v>
      </c>
      <c r="T523" s="29" t="s">
        <v>72</v>
      </c>
      <c r="U523" s="29" t="s">
        <v>72</v>
      </c>
      <c r="V523" s="29" t="s">
        <v>5158</v>
      </c>
      <c r="X523" s="29" t="s">
        <v>5159</v>
      </c>
      <c r="Y523" s="34">
        <v>46146.73224537037</v>
      </c>
      <c r="Z523" s="29" t="s">
        <v>5160</v>
      </c>
      <c r="AA523" s="6">
        <v>3.0</v>
      </c>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row>
    <row r="524" ht="22.5" hidden="1" customHeight="1">
      <c r="A524" s="29" t="s">
        <v>5161</v>
      </c>
      <c r="B524" s="30">
        <v>38019.0</v>
      </c>
      <c r="C524" s="29" t="s">
        <v>5162</v>
      </c>
      <c r="D524" s="31" t="s">
        <v>5163</v>
      </c>
      <c r="E524" s="29" t="s">
        <v>99</v>
      </c>
      <c r="F524" s="29" t="s">
        <v>127</v>
      </c>
      <c r="G524" s="32" t="str">
        <f>HYPERLINK("https://api.typeform.com/responses/files/bb227bca634178f882cc1da776eb9ee879b4788f6b2bc7be01a7384da81bf1f8/CV___Game_Design_Intern___Đoàn_Minh_Trí.pdf")</f>
        <v>https://api.typeform.com/responses/files/bb227bca634178f882cc1da776eb9ee879b4788f6b2bc7be01a7384da81bf1f8/CV___Game_Design_Intern___Đoàn_Minh_Trí.pdf</v>
      </c>
      <c r="H524" s="29" t="s">
        <v>5164</v>
      </c>
      <c r="I524" s="29" t="s">
        <v>5165</v>
      </c>
      <c r="J524" s="29" t="s">
        <v>1069</v>
      </c>
      <c r="L524" s="29" t="s">
        <v>67</v>
      </c>
      <c r="M524" s="29" t="s">
        <v>5166</v>
      </c>
      <c r="N524" s="33">
        <v>46507.0</v>
      </c>
      <c r="O524" s="29" t="s">
        <v>5167</v>
      </c>
      <c r="P524" s="32" t="str">
        <f>HYPERLINK("https://api.typeform.com/responses/files/ba41dd314ab2d93d8f99ec84b48770b7187e724860c93eb631e7b923aa6b7c70/Transcript___Game_Design_Intern___Đoàn_Minh_Trí.png")</f>
        <v>https://api.typeform.com/responses/files/ba41dd314ab2d93d8f99ec84b48770b7187e724860c93eb631e7b923aa6b7c70/Transcript___Game_Design_Intern___Đoàn_Minh_Trí.png</v>
      </c>
      <c r="Q524" s="29" t="b">
        <v>0</v>
      </c>
      <c r="R524" s="29" t="s">
        <v>5168</v>
      </c>
      <c r="S524" s="29" t="s">
        <v>5169</v>
      </c>
      <c r="T524" s="29" t="s">
        <v>72</v>
      </c>
      <c r="U524" s="29" t="s">
        <v>72</v>
      </c>
      <c r="V524" s="29" t="s">
        <v>5170</v>
      </c>
      <c r="Y524" s="34">
        <v>46146.73604166666</v>
      </c>
      <c r="Z524" s="29" t="s">
        <v>5171</v>
      </c>
      <c r="AA524" s="6">
        <v>2.1</v>
      </c>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row>
    <row r="525" ht="22.5" hidden="1" customHeight="1">
      <c r="A525" s="29" t="s">
        <v>5172</v>
      </c>
      <c r="B525" s="30">
        <v>38485.0</v>
      </c>
      <c r="C525" s="29" t="s">
        <v>5173</v>
      </c>
      <c r="D525" s="31" t="s">
        <v>5174</v>
      </c>
      <c r="E525" s="29" t="s">
        <v>61</v>
      </c>
      <c r="G525" s="32" t="str">
        <f>HYPERLINK("https://api.typeform.com/responses/files/39c5fea6d646586ea51f980c21da8fc789e83e1239a0f1c42f84fb8717e4bace/CV___Unity_Development_Intern___Đặng_Hiểu_Hòa.pdf")</f>
        <v>https://api.typeform.com/responses/files/39c5fea6d646586ea51f980c21da8fc789e83e1239a0f1c42f84fb8717e4bace/CV___Unity_Development_Intern___Đặng_Hiểu_Hòa.pdf</v>
      </c>
      <c r="H525" s="29" t="s">
        <v>5175</v>
      </c>
      <c r="I525" s="29" t="s">
        <v>5176</v>
      </c>
      <c r="J525" s="29" t="s">
        <v>85</v>
      </c>
      <c r="L525" s="29" t="s">
        <v>219</v>
      </c>
      <c r="M525" s="29" t="s">
        <v>5177</v>
      </c>
      <c r="N525" s="33">
        <v>46388.0</v>
      </c>
      <c r="O525" s="31" t="s">
        <v>942</v>
      </c>
      <c r="P525" s="32" t="str">
        <f>HYPERLINK("https://api.typeform.com/responses/files/46569e5b363222ec741401dcd012c730b0d5788add1a6839b7949d2997dc808a/Transcript___Unity_Development_Intern___Đặng_Hiểu_Hòa.pdf")</f>
        <v>https://api.typeform.com/responses/files/46569e5b363222ec741401dcd012c730b0d5788add1a6839b7949d2997dc808a/Transcript___Unity_Development_Intern___Đặng_Hiểu_Hòa.pdf</v>
      </c>
      <c r="Q525" s="29" t="b">
        <v>1</v>
      </c>
      <c r="R525" s="29" t="s">
        <v>5178</v>
      </c>
      <c r="S525" s="29" t="s">
        <v>5179</v>
      </c>
      <c r="T525" s="29" t="s">
        <v>72</v>
      </c>
      <c r="U525" s="29" t="s">
        <v>72</v>
      </c>
      <c r="V525" s="29" t="s">
        <v>269</v>
      </c>
      <c r="X525" s="29" t="s">
        <v>5180</v>
      </c>
      <c r="Y525" s="34">
        <v>46147.085023148145</v>
      </c>
      <c r="Z525" s="29" t="s">
        <v>5181</v>
      </c>
      <c r="AA525" s="6">
        <v>3.0</v>
      </c>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row>
    <row r="526" ht="22.5" hidden="1" customHeight="1">
      <c r="A526" s="29" t="s">
        <v>5182</v>
      </c>
      <c r="B526" s="30">
        <v>38056.0</v>
      </c>
      <c r="C526" s="29" t="s">
        <v>5183</v>
      </c>
      <c r="D526" s="31" t="s">
        <v>5184</v>
      </c>
      <c r="E526" s="29" t="s">
        <v>82</v>
      </c>
      <c r="F526" s="29" t="s">
        <v>62</v>
      </c>
      <c r="G526" s="32" t="str">
        <f>HYPERLINK("https://api.typeform.com/responses/files/ec4d7e5f6dda3d75de42344e779991bf97984fdc127889f5c81e10426b29cfac/cv_Le_Tan_Xuan_Khang_Data_Analyst.pdf")</f>
        <v>https://api.typeform.com/responses/files/ec4d7e5f6dda3d75de42344e779991bf97984fdc127889f5c81e10426b29cfac/cv_Le_Tan_Xuan_Khang_Data_Analyst.pdf</v>
      </c>
      <c r="H526" s="29" t="s">
        <v>5185</v>
      </c>
      <c r="I526" s="29" t="s">
        <v>5186</v>
      </c>
      <c r="J526" s="29" t="s">
        <v>5187</v>
      </c>
      <c r="L526" s="29" t="s">
        <v>103</v>
      </c>
      <c r="M526" s="29" t="s">
        <v>132</v>
      </c>
      <c r="N526" s="33">
        <v>46015.0</v>
      </c>
      <c r="O526" s="29" t="s">
        <v>5188</v>
      </c>
      <c r="P526" s="32" t="str">
        <f>HYPERLINK("https://api.typeform.com/responses/files/c076fc532536caabab09349a1b462df778a01d6e64163d646a1d9e3cfa94259b/BẢNG_GHI_KẾT_QUẢ_HỌC_TẬP.pdf")</f>
        <v>https://api.typeform.com/responses/files/c076fc532536caabab09349a1b462df778a01d6e64163d646a1d9e3cfa94259b/BẢNG_GHI_KẾT_QUẢ_HỌC_TẬP.pdf</v>
      </c>
      <c r="Q526" s="29" t="b">
        <v>1</v>
      </c>
      <c r="R526" s="29" t="s">
        <v>5189</v>
      </c>
      <c r="S526" s="29" t="s">
        <v>5190</v>
      </c>
      <c r="T526" s="29" t="s">
        <v>72</v>
      </c>
      <c r="U526" s="29" t="s">
        <v>72</v>
      </c>
      <c r="V526" s="29" t="s">
        <v>73</v>
      </c>
      <c r="X526" s="29" t="s">
        <v>5191</v>
      </c>
      <c r="Y526" s="34">
        <v>46147.11966435185</v>
      </c>
      <c r="Z526" s="29" t="s">
        <v>5192</v>
      </c>
      <c r="AA526" s="6">
        <v>3.0</v>
      </c>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row>
    <row r="527" ht="22.5" hidden="1" customHeight="1">
      <c r="A527" s="29" t="s">
        <v>5193</v>
      </c>
      <c r="B527" s="30">
        <v>37406.0</v>
      </c>
      <c r="C527" s="29" t="s">
        <v>5194</v>
      </c>
      <c r="D527" s="31" t="s">
        <v>5195</v>
      </c>
      <c r="E527" s="29" t="s">
        <v>99</v>
      </c>
      <c r="F527" s="29" t="s">
        <v>774</v>
      </c>
      <c r="G527" s="32" t="str">
        <f>HYPERLINK("https://api.typeform.com/responses/files/15464f63463836aceb229fe5a1f816d4635022c08caaaa2f93ad8e85ae098147/CV___Game_Designer_Intern___Lê_Phạm_Quỳnh_Duyên.pdf")</f>
        <v>https://api.typeform.com/responses/files/15464f63463836aceb229fe5a1f816d4635022c08caaaa2f93ad8e85ae098147/CV___Game_Designer_Intern___Lê_Phạm_Quỳnh_Duyên.pdf</v>
      </c>
      <c r="H527" s="29" t="s">
        <v>5196</v>
      </c>
      <c r="I527" s="29" t="s">
        <v>5197</v>
      </c>
      <c r="J527" s="29" t="s">
        <v>777</v>
      </c>
      <c r="L527" s="29" t="s">
        <v>219</v>
      </c>
      <c r="M527" s="29" t="s">
        <v>1163</v>
      </c>
      <c r="N527" s="33">
        <v>46295.0</v>
      </c>
      <c r="O527" s="29" t="s">
        <v>5198</v>
      </c>
      <c r="P527" s="32" t="str">
        <f>HYPERLINK("https://api.typeform.com/responses/files/e87161d5ccc99f9735a3863df4286ea92ba2e4ab1fffcd3ffe6c9c7d75690643/Transcript___Game_Designer____Lê_Phạm_Quỳnh_Duyên.pdf")</f>
        <v>https://api.typeform.com/responses/files/e87161d5ccc99f9735a3863df4286ea92ba2e4ab1fffcd3ffe6c9c7d75690643/Transcript___Game_Designer____Lê_Phạm_Quỳnh_Duyên.pdf</v>
      </c>
      <c r="Q527" s="29" t="b">
        <v>1</v>
      </c>
      <c r="R527" s="29" t="s">
        <v>5199</v>
      </c>
      <c r="S527" s="29" t="s">
        <v>5200</v>
      </c>
      <c r="T527" s="29" t="s">
        <v>72</v>
      </c>
      <c r="U527" s="29" t="s">
        <v>72</v>
      </c>
      <c r="V527" s="29" t="s">
        <v>73</v>
      </c>
      <c r="X527" s="29" t="s">
        <v>5201</v>
      </c>
      <c r="Y527" s="34">
        <v>46147.14090277778</v>
      </c>
      <c r="Z527" s="29" t="s">
        <v>5202</v>
      </c>
      <c r="AA527" s="6">
        <v>2.1</v>
      </c>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row>
    <row r="528" ht="22.5" hidden="1" customHeight="1">
      <c r="A528" s="29" t="s">
        <v>5203</v>
      </c>
      <c r="B528" s="30">
        <v>38586.0</v>
      </c>
      <c r="C528" s="29" t="s">
        <v>5204</v>
      </c>
      <c r="D528" s="31" t="s">
        <v>5205</v>
      </c>
      <c r="E528" s="29" t="s">
        <v>61</v>
      </c>
      <c r="F528" s="29" t="s">
        <v>127</v>
      </c>
      <c r="G528" s="32" t="str">
        <f>HYPERLINK("https://api.typeform.com/responses/files/6bf594917c6821514f626cce6aa67a2662feb872b59036484f4f5b6198d505b8/CV___Unity_Development_Intern___Trương_Quốc_Bảo.pdf")</f>
        <v>https://api.typeform.com/responses/files/6bf594917c6821514f626cce6aa67a2662feb872b59036484f4f5b6198d505b8/CV___Unity_Development_Intern___Trương_Quốc_Bảo.pdf</v>
      </c>
      <c r="H528" s="29" t="s">
        <v>5206</v>
      </c>
      <c r="I528" s="29" t="s">
        <v>5207</v>
      </c>
      <c r="J528" s="29" t="s">
        <v>85</v>
      </c>
      <c r="L528" s="29" t="s">
        <v>219</v>
      </c>
      <c r="M528" s="29" t="s">
        <v>684</v>
      </c>
      <c r="N528" s="33">
        <v>46568.0</v>
      </c>
      <c r="O528" s="31" t="s">
        <v>4043</v>
      </c>
      <c r="P528" s="32" t="str">
        <f>HYPERLINK("https://api.typeform.com/responses/files/d5a9838637599da9dc2f0e4d6a8bf7630638450d873c140c198148054fe2ff57/Transcript___Unity_Development_Intern___Trương_Quốc_Bảo.pdf")</f>
        <v>https://api.typeform.com/responses/files/d5a9838637599da9dc2f0e4d6a8bf7630638450d873c140c198148054fe2ff57/Transcript___Unity_Development_Intern___Trương_Quốc_Bảo.pdf</v>
      </c>
      <c r="Q528" s="29" t="b">
        <v>1</v>
      </c>
      <c r="R528" s="29" t="s">
        <v>5208</v>
      </c>
      <c r="S528" s="29" t="s">
        <v>5179</v>
      </c>
      <c r="T528" s="29" t="s">
        <v>72</v>
      </c>
      <c r="U528" s="29" t="s">
        <v>72</v>
      </c>
      <c r="V528" s="29" t="s">
        <v>269</v>
      </c>
      <c r="X528" s="29" t="s">
        <v>5209</v>
      </c>
      <c r="Y528" s="34">
        <v>46147.1478125</v>
      </c>
      <c r="Z528" s="29" t="s">
        <v>5210</v>
      </c>
      <c r="AA528" s="6">
        <v>3.0</v>
      </c>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row>
    <row r="529" ht="22.5" hidden="1" customHeight="1">
      <c r="A529" s="29" t="s">
        <v>5211</v>
      </c>
      <c r="B529" s="30">
        <v>38999.0</v>
      </c>
      <c r="C529" s="29" t="s">
        <v>5212</v>
      </c>
      <c r="D529" s="31" t="s">
        <v>5213</v>
      </c>
      <c r="E529" s="29" t="s">
        <v>82</v>
      </c>
      <c r="F529" s="29" t="s">
        <v>127</v>
      </c>
      <c r="G529" s="32" t="str">
        <f>HYPERLINK("https://api.typeform.com/responses/files/0c0381696fcb62be8e224f2a97cd412f0f1e107d0dc3d97a6c6ca08d005420b5/CV___Data_Analysis_Intern___Lai_Mộc_Huy.pdf")</f>
        <v>https://api.typeform.com/responses/files/0c0381696fcb62be8e224f2a97cd412f0f1e107d0dc3d97a6c6ca08d005420b5/CV___Data_Analysis_Intern___Lai_Mộc_Huy.pdf</v>
      </c>
      <c r="H529" s="29" t="s">
        <v>5214</v>
      </c>
      <c r="I529" s="29" t="s">
        <v>5215</v>
      </c>
      <c r="J529" s="29" t="s">
        <v>85</v>
      </c>
      <c r="L529" s="29" t="s">
        <v>169</v>
      </c>
      <c r="M529" s="29" t="s">
        <v>220</v>
      </c>
      <c r="N529" s="33">
        <v>46905.0</v>
      </c>
      <c r="O529" s="31" t="s">
        <v>171</v>
      </c>
      <c r="P529" s="32" t="str">
        <f>HYPERLINK("https://api.typeform.com/responses/files/ca7bbfbeff0abade7c72ede2fde86f112f2e6abd369443370c4e286ebacaf1c6/Transcript___Data_Analysis_Intern___Lai_Mộc_Huy.pdf")</f>
        <v>https://api.typeform.com/responses/files/ca7bbfbeff0abade7c72ede2fde86f112f2e6abd369443370c4e286ebacaf1c6/Transcript___Data_Analysis_Intern___Lai_Mộc_Huy.pdf</v>
      </c>
      <c r="Q529" s="29" t="b">
        <v>1</v>
      </c>
      <c r="R529" s="29" t="s">
        <v>5216</v>
      </c>
      <c r="S529" s="29" t="s">
        <v>5217</v>
      </c>
      <c r="T529" s="29" t="s">
        <v>72</v>
      </c>
      <c r="U529" s="29" t="s">
        <v>5218</v>
      </c>
      <c r="V529" s="29" t="s">
        <v>2389</v>
      </c>
      <c r="X529" s="29" t="s">
        <v>5219</v>
      </c>
      <c r="Y529" s="34">
        <v>46147.15568287037</v>
      </c>
      <c r="Z529" s="29" t="s">
        <v>5220</v>
      </c>
      <c r="AA529" s="6">
        <v>3.0</v>
      </c>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row>
    <row r="530" ht="22.5" hidden="1" customHeight="1">
      <c r="A530" s="29" t="s">
        <v>5221</v>
      </c>
      <c r="B530" s="30">
        <v>38209.0</v>
      </c>
      <c r="C530" s="29" t="s">
        <v>5222</v>
      </c>
      <c r="D530" s="31" t="s">
        <v>5223</v>
      </c>
      <c r="E530" s="29" t="s">
        <v>61</v>
      </c>
      <c r="F530" s="29" t="s">
        <v>99</v>
      </c>
      <c r="G530" s="32" t="str">
        <f>HYPERLINK("https://api.typeform.com/responses/files/373d7134fdc673263e7dcb7f4499475c13d3f44538fd8a705015e9a0a5799e30/Nguyen_Duy_Tan_—_Game_Developer_CV.pdf")</f>
        <v>https://api.typeform.com/responses/files/373d7134fdc673263e7dcb7f4499475c13d3f44538fd8a705015e9a0a5799e30/Nguyen_Duy_Tan_—_Game_Developer_CV.pdf</v>
      </c>
      <c r="H530" s="29" t="s">
        <v>5224</v>
      </c>
      <c r="I530" s="29" t="s">
        <v>5225</v>
      </c>
      <c r="J530" s="29" t="s">
        <v>65</v>
      </c>
      <c r="K530" s="29" t="s">
        <v>961</v>
      </c>
      <c r="L530" s="29" t="s">
        <v>103</v>
      </c>
      <c r="M530" s="29" t="s">
        <v>446</v>
      </c>
      <c r="N530" s="33">
        <v>46086.0</v>
      </c>
      <c r="O530" s="31" t="s">
        <v>696</v>
      </c>
      <c r="P530" s="32" t="str">
        <f>HYPERLINK("https://api.typeform.com/responses/files/616cf8979a8b9a3b71d29169d61e70de244446f68b624c29c7f3dc465061eaee/Transcript___Unity_Developer_Intern___Nguyễn_Duy_Tân.jpg")</f>
        <v>https://api.typeform.com/responses/files/616cf8979a8b9a3b71d29169d61e70de244446f68b624c29c7f3dc465061eaee/Transcript___Unity_Developer_Intern___Nguyễn_Duy_Tân.jpg</v>
      </c>
      <c r="Q530" s="29" t="b">
        <v>1</v>
      </c>
      <c r="R530" s="29" t="s">
        <v>5226</v>
      </c>
      <c r="S530" s="29" t="s">
        <v>5227</v>
      </c>
      <c r="T530" s="29" t="s">
        <v>72</v>
      </c>
      <c r="U530" s="29" t="s">
        <v>72</v>
      </c>
      <c r="V530" s="29" t="s">
        <v>90</v>
      </c>
      <c r="X530" s="29" t="s">
        <v>5228</v>
      </c>
      <c r="Y530" s="34">
        <v>46147.16318287037</v>
      </c>
      <c r="Z530" s="29" t="s">
        <v>5229</v>
      </c>
      <c r="AA530" s="6">
        <v>3.0</v>
      </c>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row>
    <row r="531" ht="22.5" hidden="1" customHeight="1">
      <c r="A531" s="29" t="s">
        <v>5230</v>
      </c>
      <c r="B531" s="30">
        <v>38367.0</v>
      </c>
      <c r="C531" s="29" t="s">
        <v>5231</v>
      </c>
      <c r="D531" s="31" t="s">
        <v>5232</v>
      </c>
      <c r="E531" s="29" t="s">
        <v>82</v>
      </c>
      <c r="F531" s="29" t="s">
        <v>62</v>
      </c>
      <c r="G531" s="32" t="str">
        <f>HYPERLINK("https://api.typeform.com/responses/files/7e9751df3682769dc199f9023a485a3fcef8919dd13092c44d5be08f0947d3b2/CV___Data_Analyst_Intern___Kiều_Tấn_Anh_Minh.pdf")</f>
        <v>https://api.typeform.com/responses/files/7e9751df3682769dc199f9023a485a3fcef8919dd13092c44d5be08f0947d3b2/CV___Data_Analyst_Intern___Kiều_Tấn_Anh_Minh.pdf</v>
      </c>
      <c r="H531" s="29" t="s">
        <v>5233</v>
      </c>
      <c r="I531" s="29" t="s">
        <v>5234</v>
      </c>
      <c r="J531" s="29" t="s">
        <v>715</v>
      </c>
      <c r="L531" s="29" t="s">
        <v>219</v>
      </c>
      <c r="M531" s="29" t="s">
        <v>399</v>
      </c>
      <c r="N531" s="33">
        <v>46691.0</v>
      </c>
      <c r="O531" s="31" t="s">
        <v>890</v>
      </c>
      <c r="P531" s="32" t="str">
        <f>HYPERLINK("https://api.typeform.com/responses/files/9afb34ae32c6376f25541059ddf7e1e7a7fc4fa2bb2e26bdd3e28fb5352e79fc/Transcript___Data_Analysis_Intern___Kiều_Tấn_Anh_Minh.pdf")</f>
        <v>https://api.typeform.com/responses/files/9afb34ae32c6376f25541059ddf7e1e7a7fc4fa2bb2e26bdd3e28fb5352e79fc/Transcript___Data_Analysis_Intern___Kiều_Tấn_Anh_Minh.pdf</v>
      </c>
      <c r="Q531" s="29" t="b">
        <v>1</v>
      </c>
      <c r="R531" s="29" t="s">
        <v>5235</v>
      </c>
      <c r="S531" s="29" t="s">
        <v>5236</v>
      </c>
      <c r="T531" s="29" t="s">
        <v>72</v>
      </c>
      <c r="U531" s="29" t="s">
        <v>72</v>
      </c>
      <c r="V531" s="29" t="s">
        <v>2992</v>
      </c>
      <c r="X531" s="29" t="s">
        <v>5237</v>
      </c>
      <c r="Y531" s="34">
        <v>46147.18829861111</v>
      </c>
      <c r="Z531" s="29" t="s">
        <v>5238</v>
      </c>
      <c r="AA531" s="6">
        <v>3.0</v>
      </c>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row>
    <row r="532" ht="22.5" hidden="1" customHeight="1">
      <c r="A532" s="29" t="s">
        <v>5239</v>
      </c>
      <c r="B532" s="30">
        <v>38557.0</v>
      </c>
      <c r="C532" s="29" t="s">
        <v>5240</v>
      </c>
      <c r="D532" s="31" t="s">
        <v>5241</v>
      </c>
      <c r="E532" s="29" t="s">
        <v>62</v>
      </c>
      <c r="F532" s="29" t="s">
        <v>82</v>
      </c>
      <c r="G532" s="32" t="str">
        <f>HYPERLINK("https://api.typeform.com/responses/files/6f916413114a829d44187d2597682a7e5bc4651c4fd3156918dbead78d7558ea/CV___AI_Engineer_Intern___Nguyễn_Trần_Đức_Hoàng.pdf")</f>
        <v>https://api.typeform.com/responses/files/6f916413114a829d44187d2597682a7e5bc4651c4fd3156918dbead78d7558ea/CV___AI_Engineer_Intern___Nguyễn_Trần_Đức_Hoàng.pdf</v>
      </c>
      <c r="H532" s="29" t="s">
        <v>5242</v>
      </c>
      <c r="I532" s="29" t="s">
        <v>5243</v>
      </c>
      <c r="J532" s="29" t="s">
        <v>715</v>
      </c>
      <c r="L532" s="29" t="s">
        <v>219</v>
      </c>
      <c r="M532" s="29" t="s">
        <v>5244</v>
      </c>
      <c r="N532" s="33">
        <v>46701.0</v>
      </c>
      <c r="O532" s="31" t="s">
        <v>5245</v>
      </c>
      <c r="P532" s="32" t="str">
        <f>HYPERLINK("https://api.typeform.com/responses/files/1bbf76f8c7dc42c330710182cb31236643cdaca709f36b13962e92cb8be6d50a/Transcript___AI_Engineer_Intern____Nguyễn_Trần_Đức_Hoàng.pdf")</f>
        <v>https://api.typeform.com/responses/files/1bbf76f8c7dc42c330710182cb31236643cdaca709f36b13962e92cb8be6d50a/Transcript___AI_Engineer_Intern____Nguyễn_Trần_Đức_Hoàng.pdf</v>
      </c>
      <c r="Q532" s="29" t="b">
        <v>1</v>
      </c>
      <c r="R532" s="29" t="s">
        <v>5246</v>
      </c>
      <c r="S532" s="29" t="s">
        <v>5247</v>
      </c>
      <c r="T532" s="29" t="s">
        <v>72</v>
      </c>
      <c r="U532" s="29" t="s">
        <v>72</v>
      </c>
      <c r="V532" s="29" t="s">
        <v>5248</v>
      </c>
      <c r="X532" s="29" t="s">
        <v>5249</v>
      </c>
      <c r="Y532" s="34">
        <v>46147.23097222222</v>
      </c>
      <c r="Z532" s="29" t="s">
        <v>5250</v>
      </c>
      <c r="AA532" s="6">
        <v>3.0</v>
      </c>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row>
    <row r="533" ht="22.5" hidden="1" customHeight="1">
      <c r="A533" s="29" t="s">
        <v>5251</v>
      </c>
      <c r="B533" s="30">
        <v>38252.0</v>
      </c>
      <c r="C533" s="29" t="s">
        <v>5252</v>
      </c>
      <c r="D533" s="31" t="s">
        <v>5253</v>
      </c>
      <c r="E533" s="29" t="s">
        <v>774</v>
      </c>
      <c r="F533" s="29" t="s">
        <v>633</v>
      </c>
      <c r="G533" s="32" t="str">
        <f>HYPERLINK("https://api.typeform.com/responses/files/d2ab98ffe9d2d93a600dc6afdbc08e28ba81ad513c2709257a1082a1138d7a54/CV___Game_User_Acquisition_Intern___Ngo_Anh_Kiet.pdf")</f>
        <v>https://api.typeform.com/responses/files/d2ab98ffe9d2d93a600dc6afdbc08e28ba81ad513c2709257a1082a1138d7a54/CV___Game_User_Acquisition_Intern___Ngo_Anh_Kiet.pdf</v>
      </c>
      <c r="H533" s="29" t="s">
        <v>5254</v>
      </c>
      <c r="I533" s="29" t="s">
        <v>5255</v>
      </c>
      <c r="J533" s="29" t="s">
        <v>65</v>
      </c>
      <c r="K533" s="29" t="s">
        <v>5256</v>
      </c>
      <c r="L533" s="29" t="s">
        <v>67</v>
      </c>
      <c r="M533" s="29" t="s">
        <v>1090</v>
      </c>
      <c r="N533" s="33">
        <v>46387.0</v>
      </c>
      <c r="O533" s="31" t="s">
        <v>5257</v>
      </c>
      <c r="P533" s="32" t="str">
        <f>HYPERLINK("https://api.typeform.com/responses/files/211c8456dc1fe3b2ba28b91efa7d534ff9b37a0b97cd00c07f98ca486b97fd60/Transcript___Game_User_Acquisition_Intern___Ngo_Anh_Kiet.xls")</f>
        <v>https://api.typeform.com/responses/files/211c8456dc1fe3b2ba28b91efa7d534ff9b37a0b97cd00c07f98ca486b97fd60/Transcript___Game_User_Acquisition_Intern___Ngo_Anh_Kiet.xls</v>
      </c>
      <c r="Q533" s="29" t="b">
        <v>1</v>
      </c>
      <c r="R533" s="29" t="s">
        <v>5258</v>
      </c>
      <c r="S533" s="29" t="s">
        <v>5259</v>
      </c>
      <c r="T533" s="29" t="s">
        <v>72</v>
      </c>
      <c r="U533" s="29" t="s">
        <v>72</v>
      </c>
      <c r="V533" s="29" t="s">
        <v>73</v>
      </c>
      <c r="X533" s="29" t="s">
        <v>5260</v>
      </c>
      <c r="Y533" s="34">
        <v>46147.24462962963</v>
      </c>
      <c r="Z533" s="29" t="s">
        <v>5261</v>
      </c>
      <c r="AA533" s="6">
        <v>3.0</v>
      </c>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row>
    <row r="534" ht="22.5" hidden="1" customHeight="1">
      <c r="A534" s="29" t="s">
        <v>5262</v>
      </c>
      <c r="B534" s="30">
        <v>37761.0</v>
      </c>
      <c r="C534" s="29" t="s">
        <v>5263</v>
      </c>
      <c r="D534" s="31" t="s">
        <v>5264</v>
      </c>
      <c r="E534" s="29" t="s">
        <v>82</v>
      </c>
      <c r="F534" s="29" t="s">
        <v>127</v>
      </c>
      <c r="G534" s="32" t="str">
        <f>HYPERLINK("https://api.typeform.com/responses/files/4b0642d9437fc9d075b8688995786e153b13a6fca6fd4dc9bc3e42baeb012e1a/CV___Data_Analysis_Intern___Nguyễn_Mai_Xuân_Linh.pdf")</f>
        <v>https://api.typeform.com/responses/files/4b0642d9437fc9d075b8688995786e153b13a6fca6fd4dc9bc3e42baeb012e1a/CV___Data_Analysis_Intern___Nguyễn_Mai_Xuân_Linh.pdf</v>
      </c>
      <c r="H534" s="29" t="s">
        <v>5265</v>
      </c>
      <c r="I534" s="29" t="s">
        <v>5266</v>
      </c>
      <c r="J534" s="29" t="s">
        <v>636</v>
      </c>
      <c r="L534" s="29" t="s">
        <v>67</v>
      </c>
      <c r="M534" s="29" t="s">
        <v>5267</v>
      </c>
      <c r="N534" s="33">
        <v>46266.0</v>
      </c>
      <c r="O534" s="31" t="s">
        <v>171</v>
      </c>
      <c r="P534" s="32" t="str">
        <f>HYPERLINK("https://api.typeform.com/responses/files/7a8c76b7c0ca0db8306180bdb2372528ef57c4e1c28659a10b7efe008b558aa9/Transcript___Data_Analysis_Intern___Nguyễn_Mai_Xuân_Linh.pdf")</f>
        <v>https://api.typeform.com/responses/files/7a8c76b7c0ca0db8306180bdb2372528ef57c4e1c28659a10b7efe008b558aa9/Transcript___Data_Analysis_Intern___Nguyễn_Mai_Xuân_Linh.pdf</v>
      </c>
      <c r="Q534" s="29" t="b">
        <v>1</v>
      </c>
      <c r="R534" s="29" t="s">
        <v>5268</v>
      </c>
      <c r="S534" s="29" t="s">
        <v>5269</v>
      </c>
      <c r="T534" s="29" t="s">
        <v>72</v>
      </c>
      <c r="U534" s="29" t="s">
        <v>72</v>
      </c>
      <c r="V534" s="29" t="s">
        <v>73</v>
      </c>
      <c r="X534" s="29" t="s">
        <v>5270</v>
      </c>
      <c r="Y534" s="34">
        <v>46147.27378472222</v>
      </c>
      <c r="Z534" s="29" t="s">
        <v>5271</v>
      </c>
      <c r="AA534" s="6">
        <v>3.0</v>
      </c>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row>
    <row r="535" ht="22.5" hidden="1" customHeight="1">
      <c r="A535" s="29" t="s">
        <v>5272</v>
      </c>
      <c r="B535" s="30">
        <v>36028.0</v>
      </c>
      <c r="C535" s="29" t="s">
        <v>5273</v>
      </c>
      <c r="D535" s="31" t="s">
        <v>5274</v>
      </c>
      <c r="E535" s="29" t="s">
        <v>99</v>
      </c>
      <c r="F535" s="29" t="s">
        <v>774</v>
      </c>
      <c r="G535" s="32" t="str">
        <f>HYPERLINK("https://api.typeform.com/responses/files/48c3894cb10d73c029b140f987ea7563acfb1864f93891eaa31baa20e4f4921a/CV___Game_Design_Intern___Phạm_Tiến_Hùng.pdf")</f>
        <v>https://api.typeform.com/responses/files/48c3894cb10d73c029b140f987ea7563acfb1864f93891eaa31baa20e4f4921a/CV___Game_Design_Intern___Phạm_Tiến_Hùng.pdf</v>
      </c>
      <c r="H535" s="29" t="s">
        <v>5275</v>
      </c>
      <c r="I535" s="29" t="s">
        <v>5276</v>
      </c>
      <c r="J535" s="29" t="s">
        <v>85</v>
      </c>
      <c r="L535" s="29" t="s">
        <v>103</v>
      </c>
      <c r="M535" s="29" t="s">
        <v>132</v>
      </c>
      <c r="N535" s="33">
        <v>45917.0</v>
      </c>
      <c r="O535" s="31" t="s">
        <v>299</v>
      </c>
      <c r="P535" s="32" t="str">
        <f>HYPERLINK("https://api.typeform.com/responses/files/3d4d0b1fd2e6498a35b09a468d06a144304a132b95bf3a34c70de2965b392854/Transcript___Game_Design_Intern___Phạm_Tiến_Hùng.pdf")</f>
        <v>https://api.typeform.com/responses/files/3d4d0b1fd2e6498a35b09a468d06a144304a132b95bf3a34c70de2965b392854/Transcript___Game_Design_Intern___Phạm_Tiến_Hùng.pdf</v>
      </c>
      <c r="Q535" s="29" t="b">
        <v>0</v>
      </c>
      <c r="R535" s="29" t="s">
        <v>222</v>
      </c>
      <c r="S535" s="29" t="s">
        <v>222</v>
      </c>
      <c r="T535" s="29" t="s">
        <v>72</v>
      </c>
      <c r="U535" s="29" t="s">
        <v>72</v>
      </c>
      <c r="V535" s="29" t="s">
        <v>594</v>
      </c>
      <c r="X535" s="29" t="s">
        <v>5277</v>
      </c>
      <c r="Y535" s="34">
        <v>46147.273981481485</v>
      </c>
      <c r="Z535" s="29" t="s">
        <v>5278</v>
      </c>
      <c r="AA535" s="6">
        <v>2.1</v>
      </c>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row>
    <row r="536" ht="22.5" hidden="1" customHeight="1">
      <c r="A536" s="29" t="s">
        <v>5279</v>
      </c>
      <c r="B536" s="30">
        <v>37893.0</v>
      </c>
      <c r="C536" s="29" t="s">
        <v>5280</v>
      </c>
      <c r="D536" s="31" t="s">
        <v>5281</v>
      </c>
      <c r="E536" s="29" t="s">
        <v>82</v>
      </c>
      <c r="F536" s="29" t="s">
        <v>62</v>
      </c>
      <c r="G536" s="32" t="str">
        <f>HYPERLINK("https://api.typeform.com/responses/files/3b997507ab7c4ad043f5b77d70727f2a4f64dbebf9bde7759fd02df6554c7ec8/CV___Data_Analysis_Intern___Huỳnh_Thị_Kim_Quỳnh.pdf")</f>
        <v>https://api.typeform.com/responses/files/3b997507ab7c4ad043f5b77d70727f2a4f64dbebf9bde7759fd02df6554c7ec8/CV___Data_Analysis_Intern___Huỳnh_Thị_Kim_Quỳnh.pdf</v>
      </c>
      <c r="H536" s="29" t="s">
        <v>5282</v>
      </c>
      <c r="I536" s="29" t="s">
        <v>5283</v>
      </c>
      <c r="J536" s="29" t="s">
        <v>5284</v>
      </c>
      <c r="L536" s="29" t="s">
        <v>67</v>
      </c>
      <c r="M536" s="29" t="s">
        <v>5285</v>
      </c>
      <c r="N536" s="33">
        <v>46265.0</v>
      </c>
      <c r="O536" s="31" t="s">
        <v>458</v>
      </c>
      <c r="P536" s="32" t="str">
        <f>HYPERLINK("https://api.typeform.com/responses/files/4147b5c80fe85c7ded38ed1effdddbaa1b835a581e1139ba367380de705ad243/Transcript___Data_Analysis_Intern___Huỳnh_Thị_Kim_Quỳnh.pdf")</f>
        <v>https://api.typeform.com/responses/files/4147b5c80fe85c7ded38ed1effdddbaa1b835a581e1139ba367380de705ad243/Transcript___Data_Analysis_Intern___Huỳnh_Thị_Kim_Quỳnh.pdf</v>
      </c>
      <c r="Q536" s="29" t="b">
        <v>0</v>
      </c>
      <c r="R536" s="29" t="s">
        <v>5286</v>
      </c>
      <c r="S536" s="29" t="s">
        <v>5287</v>
      </c>
      <c r="T536" s="29" t="s">
        <v>72</v>
      </c>
      <c r="U536" s="29" t="s">
        <v>72</v>
      </c>
      <c r="V536" s="29" t="s">
        <v>2389</v>
      </c>
      <c r="X536" s="29" t="s">
        <v>5288</v>
      </c>
      <c r="Y536" s="34">
        <v>46147.29837962963</v>
      </c>
      <c r="Z536" s="29" t="s">
        <v>5289</v>
      </c>
      <c r="AA536" s="6">
        <v>3.0</v>
      </c>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row>
    <row r="537" ht="22.5" hidden="1" customHeight="1">
      <c r="A537" s="29" t="s">
        <v>5290</v>
      </c>
      <c r="B537" s="30">
        <v>38294.0</v>
      </c>
      <c r="C537" s="29" t="s">
        <v>5291</v>
      </c>
      <c r="D537" s="31" t="s">
        <v>5292</v>
      </c>
      <c r="E537" s="29" t="s">
        <v>82</v>
      </c>
      <c r="F537" s="29" t="s">
        <v>127</v>
      </c>
      <c r="G537" s="32" t="str">
        <f>HYPERLINK("https://api.typeform.com/responses/files/b704cae463df92948526f9952dc07492509d212da7c343a5116a1ccb9d206b9c/CV___Data_Analysis_Intern___Phạm_Trần_Dạ_Thảo.pdf")</f>
        <v>https://api.typeform.com/responses/files/b704cae463df92948526f9952dc07492509d212da7c343a5116a1ccb9d206b9c/CV___Data_Analysis_Intern___Phạm_Trần_Dạ_Thảo.pdf</v>
      </c>
      <c r="H537" s="29" t="s">
        <v>5293</v>
      </c>
      <c r="I537" s="29" t="s">
        <v>5294</v>
      </c>
      <c r="J537" s="29" t="s">
        <v>85</v>
      </c>
      <c r="L537" s="29" t="s">
        <v>67</v>
      </c>
      <c r="M537" s="29" t="s">
        <v>298</v>
      </c>
      <c r="N537" s="33">
        <v>46185.0</v>
      </c>
      <c r="O537" s="31" t="s">
        <v>159</v>
      </c>
      <c r="P537" s="32" t="str">
        <f>HYPERLINK("https://api.typeform.com/responses/files/cb681879e5dcf59cc31ba3de2e8ada7170d9362f330b929e72d7169322d1f212/Transcript___Data_Analysis_Intern___Phạm_Trần_Dạ_Thảo.pdf")</f>
        <v>https://api.typeform.com/responses/files/cb681879e5dcf59cc31ba3de2e8ada7170d9362f330b929e72d7169322d1f212/Transcript___Data_Analysis_Intern___Phạm_Trần_Dạ_Thảo.pdf</v>
      </c>
      <c r="Q537" s="29" t="b">
        <v>1</v>
      </c>
      <c r="R537" s="29" t="s">
        <v>5295</v>
      </c>
      <c r="S537" s="29" t="s">
        <v>5296</v>
      </c>
      <c r="T537" s="29" t="s">
        <v>72</v>
      </c>
      <c r="U537" s="29" t="s">
        <v>72</v>
      </c>
      <c r="V537" s="29" t="s">
        <v>1061</v>
      </c>
      <c r="Y537" s="34">
        <v>46147.302881944444</v>
      </c>
      <c r="Z537" s="29" t="s">
        <v>5297</v>
      </c>
      <c r="AA537" s="6">
        <v>3.0</v>
      </c>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row>
    <row r="538" ht="22.5" hidden="1" customHeight="1">
      <c r="A538" s="29" t="s">
        <v>5298</v>
      </c>
      <c r="B538" s="30">
        <v>38119.0</v>
      </c>
      <c r="C538" s="29" t="s">
        <v>5299</v>
      </c>
      <c r="D538" s="31" t="s">
        <v>5300</v>
      </c>
      <c r="E538" s="29" t="s">
        <v>774</v>
      </c>
      <c r="G538" s="32" t="str">
        <f>HYPERLINK("https://api.typeform.com/responses/files/559b3ac86a8d257553623fea7e7f50963d57ebd2afcb6a0fd546eedbbd1e2556/CV___Game_User_Acquisition_Intern___Hoàng_Thị_Thanh_Tâm.pdf")</f>
        <v>https://api.typeform.com/responses/files/559b3ac86a8d257553623fea7e7f50963d57ebd2afcb6a0fd546eedbbd1e2556/CV___Game_User_Acquisition_Intern___Hoàng_Thị_Thanh_Tâm.pdf</v>
      </c>
      <c r="H538" s="29" t="s">
        <v>5301</v>
      </c>
      <c r="I538" s="29" t="s">
        <v>5302</v>
      </c>
      <c r="J538" s="29" t="s">
        <v>842</v>
      </c>
      <c r="L538" s="29" t="s">
        <v>103</v>
      </c>
      <c r="M538" s="29" t="s">
        <v>5054</v>
      </c>
      <c r="N538" s="33">
        <v>46102.0</v>
      </c>
      <c r="O538" s="31" t="s">
        <v>2142</v>
      </c>
      <c r="P538" s="32" t="str">
        <f>HYPERLINK("https://api.typeform.com/responses/files/8fabb3b898d3bf6ea6362df1b045d16c7e1a124db81ad85860e5d648dbdaf2af/Academic_Transcript___Game_User_Acquisition_Intern__Hoàng_Thị_Thanh_Tâm.pdf")</f>
        <v>https://api.typeform.com/responses/files/8fabb3b898d3bf6ea6362df1b045d16c7e1a124db81ad85860e5d648dbdaf2af/Academic_Transcript___Game_User_Acquisition_Intern__Hoàng_Thị_Thanh_Tâm.pdf</v>
      </c>
      <c r="Q538" s="29" t="b">
        <v>1</v>
      </c>
      <c r="R538" s="29" t="s">
        <v>5303</v>
      </c>
      <c r="S538" s="29" t="s">
        <v>5304</v>
      </c>
      <c r="T538" s="29" t="s">
        <v>72</v>
      </c>
      <c r="U538" s="29" t="s">
        <v>72</v>
      </c>
      <c r="V538" s="29" t="s">
        <v>90</v>
      </c>
      <c r="X538" s="29" t="s">
        <v>5305</v>
      </c>
      <c r="Y538" s="34">
        <v>46147.33844907407</v>
      </c>
      <c r="Z538" s="29" t="s">
        <v>5306</v>
      </c>
      <c r="AA538" s="6">
        <v>3.0</v>
      </c>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row>
    <row r="539" ht="22.5" hidden="1" customHeight="1">
      <c r="A539" s="29" t="s">
        <v>5307</v>
      </c>
      <c r="B539" s="30">
        <v>38100.0</v>
      </c>
      <c r="C539" s="29" t="s">
        <v>5308</v>
      </c>
      <c r="D539" s="31" t="s">
        <v>5309</v>
      </c>
      <c r="E539" s="29" t="s">
        <v>62</v>
      </c>
      <c r="F539" s="29" t="s">
        <v>62</v>
      </c>
      <c r="G539" s="32" t="str">
        <f>HYPERLINK("https://api.typeform.com/responses/files/af0a0f83dff2ac56e4f4605ef2a85264edeba2ed7f7f114d46b859a25cdee821/CV_AI_Engineer_Intern_NgoTruongDinh.pdf")</f>
        <v>https://api.typeform.com/responses/files/af0a0f83dff2ac56e4f4605ef2a85264edeba2ed7f7f114d46b859a25cdee821/CV_AI_Engineer_Intern_NgoTruongDinh.pdf</v>
      </c>
      <c r="H539" s="29" t="s">
        <v>5310</v>
      </c>
      <c r="I539" s="29" t="s">
        <v>5311</v>
      </c>
      <c r="J539" s="29" t="s">
        <v>277</v>
      </c>
      <c r="L539" s="29" t="s">
        <v>67</v>
      </c>
      <c r="M539" s="29" t="s">
        <v>384</v>
      </c>
      <c r="N539" s="33">
        <v>46387.0</v>
      </c>
      <c r="O539" s="31" t="s">
        <v>317</v>
      </c>
      <c r="P539" s="32" t="str">
        <f>HYPERLINK("https://api.typeform.com/responses/files/dc769002a9ebba631b9cb3537c94afffac83a4ada43a5fab32fb58b80945ba45/Transcript___AI_Enginneer_Intern___NgoTruongDinh.pdf")</f>
        <v>https://api.typeform.com/responses/files/dc769002a9ebba631b9cb3537c94afffac83a4ada43a5fab32fb58b80945ba45/Transcript___AI_Enginneer_Intern___NgoTruongDinh.pdf</v>
      </c>
      <c r="Q539" s="29" t="b">
        <v>0</v>
      </c>
      <c r="R539" s="29" t="s">
        <v>222</v>
      </c>
      <c r="S539" s="29" t="s">
        <v>5312</v>
      </c>
      <c r="T539" s="29" t="s">
        <v>72</v>
      </c>
      <c r="U539" s="29" t="s">
        <v>72</v>
      </c>
      <c r="V539" s="29" t="s">
        <v>73</v>
      </c>
      <c r="X539" s="29" t="s">
        <v>5313</v>
      </c>
      <c r="Y539" s="34">
        <v>46147.35258101852</v>
      </c>
      <c r="Z539" s="29" t="s">
        <v>5314</v>
      </c>
      <c r="AA539" s="6">
        <v>3.0</v>
      </c>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row>
    <row r="540" ht="22.5" hidden="1" customHeight="1">
      <c r="A540" s="29" t="s">
        <v>5315</v>
      </c>
      <c r="B540" s="30">
        <v>37955.0</v>
      </c>
      <c r="C540" s="29" t="s">
        <v>5316</v>
      </c>
      <c r="D540" s="31" t="s">
        <v>5317</v>
      </c>
      <c r="E540" s="29" t="s">
        <v>62</v>
      </c>
      <c r="F540" s="29" t="s">
        <v>82</v>
      </c>
      <c r="G540" s="32" t="str">
        <f>HYPERLINK("https://api.typeform.com/responses/files/911d49cc3aea621e04dbd748580da61cd998f5a393215b8b4d37afe74eeefc2f/AI_ENGINEER_INTERN_NGUYENTHIVIEN.pdf")</f>
        <v>https://api.typeform.com/responses/files/911d49cc3aea621e04dbd748580da61cd998f5a393215b8b4d37afe74eeefc2f/AI_ENGINEER_INTERN_NGUYENTHIVIEN.pdf</v>
      </c>
      <c r="H540" s="29" t="s">
        <v>5318</v>
      </c>
      <c r="I540" s="29" t="s">
        <v>5319</v>
      </c>
      <c r="J540" s="29" t="s">
        <v>277</v>
      </c>
      <c r="L540" s="29" t="s">
        <v>67</v>
      </c>
      <c r="M540" s="29" t="s">
        <v>2491</v>
      </c>
      <c r="N540" s="33">
        <v>46420.0</v>
      </c>
      <c r="O540" s="31" t="s">
        <v>5320</v>
      </c>
      <c r="P540" s="32" t="str">
        <f>HYPERLINK("https://api.typeform.com/responses/files/9ca8ec91e8da44c99d7d30d0fa0b27120c49b3a95b24f2662d1da8c673088f07/Kết_quả_học_tập.pdf")</f>
        <v>https://api.typeform.com/responses/files/9ca8ec91e8da44c99d7d30d0fa0b27120c49b3a95b24f2662d1da8c673088f07/Kết_quả_học_tập.pdf</v>
      </c>
      <c r="Q540" s="29" t="b">
        <v>1</v>
      </c>
      <c r="R540" s="29" t="s">
        <v>5321</v>
      </c>
      <c r="S540" s="29" t="s">
        <v>5322</v>
      </c>
      <c r="T540" s="29" t="s">
        <v>72</v>
      </c>
      <c r="U540" s="29" t="s">
        <v>72</v>
      </c>
      <c r="V540" s="29" t="s">
        <v>90</v>
      </c>
      <c r="X540" s="29" t="s">
        <v>5323</v>
      </c>
      <c r="Y540" s="34">
        <v>46147.3640625</v>
      </c>
      <c r="Z540" s="29" t="s">
        <v>5324</v>
      </c>
      <c r="AA540" s="6">
        <v>3.0</v>
      </c>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row>
    <row r="541" ht="22.5" hidden="1" customHeight="1">
      <c r="A541" s="29" t="s">
        <v>5325</v>
      </c>
      <c r="B541" s="30">
        <v>38497.0</v>
      </c>
      <c r="C541" s="29" t="s">
        <v>5326</v>
      </c>
      <c r="D541" s="31" t="s">
        <v>5327</v>
      </c>
      <c r="E541" s="29" t="s">
        <v>61</v>
      </c>
      <c r="F541" s="29" t="s">
        <v>61</v>
      </c>
      <c r="G541" s="32" t="str">
        <f>HYPERLINK("https://api.typeform.com/responses/files/4c8b50ee651aaca322beb884fae3be258e3e9e6be49e212838aadf0447c57a29/CV___Unity_Development_Intern___Nguyễn_Duy_Nhất.pdf")</f>
        <v>https://api.typeform.com/responses/files/4c8b50ee651aaca322beb884fae3be258e3e9e6be49e212838aadf0447c57a29/CV___Unity_Development_Intern___Nguyễn_Duy_Nhất.pdf</v>
      </c>
      <c r="H541" s="29" t="s">
        <v>5328</v>
      </c>
      <c r="I541" s="29" t="s">
        <v>5329</v>
      </c>
      <c r="J541" s="29" t="s">
        <v>715</v>
      </c>
      <c r="L541" s="29" t="s">
        <v>219</v>
      </c>
      <c r="M541" s="29" t="s">
        <v>5330</v>
      </c>
      <c r="N541" s="33">
        <v>46691.0</v>
      </c>
      <c r="O541" s="31" t="s">
        <v>5331</v>
      </c>
      <c r="P541" s="32" t="str">
        <f>HYPERLINK("https://api.typeform.com/responses/files/a6824022f886125990700fa993e38ff0dadb5245f98610ebb0c6857e9067e374/Transcript___Unity_Development_Intern___Nguyễn_Duy_Nhất.pdf")</f>
        <v>https://api.typeform.com/responses/files/a6824022f886125990700fa993e38ff0dadb5245f98610ebb0c6857e9067e374/Transcript___Unity_Development_Intern___Nguyễn_Duy_Nhất.pdf</v>
      </c>
      <c r="Q541" s="29" t="b">
        <v>1</v>
      </c>
      <c r="R541" s="29" t="s">
        <v>5332</v>
      </c>
      <c r="S541" s="29" t="s">
        <v>5333</v>
      </c>
      <c r="T541" s="29" t="s">
        <v>72</v>
      </c>
      <c r="U541" s="29" t="s">
        <v>72</v>
      </c>
      <c r="V541" s="29" t="s">
        <v>2389</v>
      </c>
      <c r="Y541" s="34">
        <v>46147.36788194445</v>
      </c>
      <c r="Z541" s="29" t="s">
        <v>5334</v>
      </c>
      <c r="AA541" s="6">
        <v>3.0</v>
      </c>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row>
    <row r="542" ht="22.5" hidden="1" customHeight="1">
      <c r="A542" s="29" t="s">
        <v>5230</v>
      </c>
      <c r="B542" s="30">
        <v>38367.0</v>
      </c>
      <c r="C542" s="29" t="s">
        <v>5335</v>
      </c>
      <c r="D542" s="31" t="s">
        <v>5232</v>
      </c>
      <c r="E542" s="29" t="s">
        <v>82</v>
      </c>
      <c r="F542" s="29" t="s">
        <v>62</v>
      </c>
      <c r="G542" s="32" t="str">
        <f>HYPERLINK("https://api.typeform.com/responses/files/b162e682cb77db2aaa64894ff5df8f21ba529e3c8a510eb4e3b72275beb0fc88/CV___Data_Analyst_Intern___Kiều_Tấn_Anh_Minh.pdf")</f>
        <v>https://api.typeform.com/responses/files/b162e682cb77db2aaa64894ff5df8f21ba529e3c8a510eb4e3b72275beb0fc88/CV___Data_Analyst_Intern___Kiều_Tấn_Anh_Minh.pdf</v>
      </c>
      <c r="H542" s="29" t="s">
        <v>5336</v>
      </c>
      <c r="I542" s="29" t="s">
        <v>5337</v>
      </c>
      <c r="J542" s="29" t="s">
        <v>715</v>
      </c>
      <c r="L542" s="29" t="s">
        <v>219</v>
      </c>
      <c r="M542" s="29" t="s">
        <v>399</v>
      </c>
      <c r="N542" s="33">
        <v>46691.0</v>
      </c>
      <c r="O542" s="31" t="s">
        <v>890</v>
      </c>
      <c r="P542" s="32" t="str">
        <f>HYPERLINK("https://api.typeform.com/responses/files/9adf050bbf1573ecfe2eefdb2d2ffd6b20fcea396e258f11776e9ecc45f6a3ed/Transcript___Data_Analysis_Intern___Kiều_Tấn_Anh_Minh.pdf")</f>
        <v>https://api.typeform.com/responses/files/9adf050bbf1573ecfe2eefdb2d2ffd6b20fcea396e258f11776e9ecc45f6a3ed/Transcript___Data_Analysis_Intern___Kiều_Tấn_Anh_Minh.pdf</v>
      </c>
      <c r="Q542" s="29" t="b">
        <v>1</v>
      </c>
      <c r="R542" s="29" t="s">
        <v>5338</v>
      </c>
      <c r="S542" s="29" t="s">
        <v>5339</v>
      </c>
      <c r="T542" s="29" t="s">
        <v>72</v>
      </c>
      <c r="U542" s="29" t="s">
        <v>72</v>
      </c>
      <c r="V542" s="29" t="s">
        <v>2895</v>
      </c>
      <c r="X542" s="29" t="s">
        <v>5340</v>
      </c>
      <c r="Y542" s="34">
        <v>46147.37945601852</v>
      </c>
      <c r="Z542" s="29" t="s">
        <v>5341</v>
      </c>
      <c r="AA542" s="6">
        <v>3.0</v>
      </c>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row>
    <row r="543" ht="22.5" hidden="1" customHeight="1">
      <c r="A543" s="29" t="s">
        <v>5342</v>
      </c>
      <c r="B543" s="30">
        <v>37655.0</v>
      </c>
      <c r="C543" s="29" t="s">
        <v>5343</v>
      </c>
      <c r="D543" s="31" t="s">
        <v>5344</v>
      </c>
      <c r="E543" s="29" t="s">
        <v>99</v>
      </c>
      <c r="F543" s="29" t="s">
        <v>62</v>
      </c>
      <c r="G543" s="32" t="str">
        <f>HYPERLINK("https://api.typeform.com/responses/files/df7da03ec88e16138e011dc615d35cd1e6aae40025398aab98215183ac310657/CV___GAME_DESIGN_INTERN___Lê_Nguyễn_Tấn_Thịnh.pdf")</f>
        <v>https://api.typeform.com/responses/files/df7da03ec88e16138e011dc615d35cd1e6aae40025398aab98215183ac310657/CV___GAME_DESIGN_INTERN___Lê_Nguyễn_Tấn_Thịnh.pdf</v>
      </c>
      <c r="H543" s="29" t="s">
        <v>5345</v>
      </c>
      <c r="I543" s="29" t="s">
        <v>5346</v>
      </c>
      <c r="J543" s="29" t="s">
        <v>65</v>
      </c>
      <c r="K543" s="29" t="s">
        <v>5347</v>
      </c>
      <c r="L543" s="29" t="s">
        <v>103</v>
      </c>
      <c r="M543" s="29" t="s">
        <v>5348</v>
      </c>
      <c r="N543" s="33">
        <v>37655.0</v>
      </c>
      <c r="O543" s="29" t="s">
        <v>5349</v>
      </c>
      <c r="P543" s="32" t="str">
        <f>HYPERLINK("https://api.typeform.com/responses/files/b921ac5a51406d0e712139e1e7af6b0d8c2e53cbd41dd23b9bae686649955919/Transcript___GAME_DESIGN_INTERN___Lê_Nguyễn_Tấn_Thịnh.pdf")</f>
        <v>https://api.typeform.com/responses/files/b921ac5a51406d0e712139e1e7af6b0d8c2e53cbd41dd23b9bae686649955919/Transcript___GAME_DESIGN_INTERN___Lê_Nguyễn_Tấn_Thịnh.pdf</v>
      </c>
      <c r="Q543" s="29" t="b">
        <v>1</v>
      </c>
      <c r="R543" s="29" t="s">
        <v>5350</v>
      </c>
      <c r="S543" s="29" t="s">
        <v>5351</v>
      </c>
      <c r="T543" s="29" t="s">
        <v>72</v>
      </c>
      <c r="U543" s="29" t="s">
        <v>72</v>
      </c>
      <c r="V543" s="29" t="s">
        <v>188</v>
      </c>
      <c r="X543" s="29" t="s">
        <v>5352</v>
      </c>
      <c r="Y543" s="34">
        <v>46147.45143518518</v>
      </c>
      <c r="Z543" s="29" t="s">
        <v>5353</v>
      </c>
      <c r="AA543" s="6">
        <v>2.1</v>
      </c>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row>
    <row r="544" ht="22.5" hidden="1" customHeight="1">
      <c r="A544" s="29" t="s">
        <v>5354</v>
      </c>
      <c r="B544" s="30">
        <v>37840.0</v>
      </c>
      <c r="C544" s="29" t="s">
        <v>5355</v>
      </c>
      <c r="D544" s="31" t="s">
        <v>5356</v>
      </c>
      <c r="E544" s="29" t="s">
        <v>82</v>
      </c>
      <c r="G544" s="32" t="str">
        <f>HYPERLINK("https://api.typeform.com/responses/files/a783e42d0cfbfd0c2695f26a94b32fd229c28006f38fd4cd9a0f9ea5e36cdb45/CV___Data_Analysis_Intern___Phạm_Ngọc_Quỳnh_Hương.pdf")</f>
        <v>https://api.typeform.com/responses/files/a783e42d0cfbfd0c2695f26a94b32fd229c28006f38fd4cd9a0f9ea5e36cdb45/CV___Data_Analysis_Intern___Phạm_Ngọc_Quỳnh_Hương.pdf</v>
      </c>
      <c r="H544" s="29" t="s">
        <v>5357</v>
      </c>
      <c r="I544" s="29" t="s">
        <v>5358</v>
      </c>
      <c r="J544" s="29" t="s">
        <v>65</v>
      </c>
      <c r="K544" s="29" t="s">
        <v>5359</v>
      </c>
      <c r="L544" s="29" t="s">
        <v>103</v>
      </c>
      <c r="M544" s="29" t="s">
        <v>5360</v>
      </c>
      <c r="N544" s="33">
        <v>45852.0</v>
      </c>
      <c r="O544" s="31" t="s">
        <v>5361</v>
      </c>
      <c r="P544" s="32" t="str">
        <f>HYPERLINK("https://api.typeform.com/responses/files/1c8b50340ea1f0d03e6d0c42665192ef274e503f757b0d9eeed0e5b67791eaed/Transcript___Data_Analysis_Intern___Phạm_Ngọc_Quỳnh_Hương.pdf")</f>
        <v>https://api.typeform.com/responses/files/1c8b50340ea1f0d03e6d0c42665192ef274e503f757b0d9eeed0e5b67791eaed/Transcript___Data_Analysis_Intern___Phạm_Ngọc_Quỳnh_Hương.pdf</v>
      </c>
      <c r="Q544" s="29" t="b">
        <v>0</v>
      </c>
      <c r="R544" s="29" t="s">
        <v>280</v>
      </c>
      <c r="S544" s="29" t="s">
        <v>5362</v>
      </c>
      <c r="T544" s="29" t="s">
        <v>72</v>
      </c>
      <c r="U544" s="29" t="s">
        <v>72</v>
      </c>
      <c r="V544" s="29" t="s">
        <v>224</v>
      </c>
      <c r="Y544" s="34">
        <v>46147.48753472222</v>
      </c>
      <c r="Z544" s="29" t="s">
        <v>5363</v>
      </c>
      <c r="AA544" s="6">
        <v>3.0</v>
      </c>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row>
    <row r="545" ht="22.5" hidden="1" customHeight="1">
      <c r="A545" s="29" t="s">
        <v>5364</v>
      </c>
      <c r="B545" s="30">
        <v>38119.0</v>
      </c>
      <c r="C545" s="29" t="s">
        <v>5365</v>
      </c>
      <c r="D545" s="31" t="s">
        <v>5366</v>
      </c>
      <c r="E545" s="29" t="s">
        <v>127</v>
      </c>
      <c r="G545" s="32" t="str">
        <f>HYPERLINK("https://api.typeform.com/responses/files/4fbd48d6c74009cc42195d399540259dcb51be719d1a3d3721687349c1262957/CV___Quality_Assurance_Intern___PhamThiAiNgan.pdf")</f>
        <v>https://api.typeform.com/responses/files/4fbd48d6c74009cc42195d399540259dcb51be719d1a3d3721687349c1262957/CV___Quality_Assurance_Intern___PhamThiAiNgan.pdf</v>
      </c>
      <c r="H545" s="29" t="s">
        <v>5367</v>
      </c>
      <c r="I545" s="29" t="s">
        <v>5368</v>
      </c>
      <c r="J545" s="29" t="s">
        <v>116</v>
      </c>
      <c r="L545" s="29" t="s">
        <v>67</v>
      </c>
      <c r="M545" s="29" t="s">
        <v>624</v>
      </c>
      <c r="N545" s="33">
        <v>46275.0</v>
      </c>
      <c r="O545" s="31" t="s">
        <v>2192</v>
      </c>
      <c r="P545" s="32" t="str">
        <f>HYPERLINK("https://api.typeform.com/responses/files/07ee858c9b26755f474d5e234c9949a3d419aebab32911030190cba6d3faccb2/Transcript___Quality_Assurance_Intern___PhamThiAiNgan.pdf")</f>
        <v>https://api.typeform.com/responses/files/07ee858c9b26755f474d5e234c9949a3d419aebab32911030190cba6d3faccb2/Transcript___Quality_Assurance_Intern___PhamThiAiNgan.pdf</v>
      </c>
      <c r="Q545" s="29" t="b">
        <v>1</v>
      </c>
      <c r="R545" s="29" t="s">
        <v>5369</v>
      </c>
      <c r="S545" s="29" t="s">
        <v>5370</v>
      </c>
      <c r="T545" s="29" t="s">
        <v>72</v>
      </c>
      <c r="U545" s="29" t="s">
        <v>72</v>
      </c>
      <c r="V545" s="29" t="s">
        <v>73</v>
      </c>
      <c r="X545" s="29" t="s">
        <v>5371</v>
      </c>
      <c r="Y545" s="34">
        <v>46147.49381944445</v>
      </c>
      <c r="Z545" s="29" t="s">
        <v>5372</v>
      </c>
      <c r="AA545" s="6">
        <v>3.0</v>
      </c>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row>
    <row r="546" ht="22.5" hidden="1" customHeight="1">
      <c r="A546" s="29" t="s">
        <v>5373</v>
      </c>
      <c r="B546" s="30">
        <v>38218.0</v>
      </c>
      <c r="C546" s="29" t="s">
        <v>5374</v>
      </c>
      <c r="D546" s="31" t="s">
        <v>5375</v>
      </c>
      <c r="E546" s="29" t="s">
        <v>82</v>
      </c>
      <c r="F546" s="29" t="s">
        <v>127</v>
      </c>
      <c r="G546" s="32" t="str">
        <f>HYPERLINK("https://api.typeform.com/responses/files/4853978340d60f40aae95778d28a25ec46a4e778c66a7e285cb3dbf5ba78da64/CV___Data_Analysis_Intern___Huỳnh_Tấn_Đạt.pdf")</f>
        <v>https://api.typeform.com/responses/files/4853978340d60f40aae95778d28a25ec46a4e778c66a7e285cb3dbf5ba78da64/CV___Data_Analysis_Intern___Huỳnh_Tấn_Đạt.pdf</v>
      </c>
      <c r="H546" s="29" t="s">
        <v>5376</v>
      </c>
      <c r="I546" s="29" t="s">
        <v>5377</v>
      </c>
      <c r="J546" s="29" t="s">
        <v>326</v>
      </c>
      <c r="L546" s="29" t="s">
        <v>67</v>
      </c>
      <c r="M546" s="29" t="s">
        <v>384</v>
      </c>
      <c r="N546" s="33">
        <v>46296.0</v>
      </c>
      <c r="O546" s="31" t="s">
        <v>2142</v>
      </c>
      <c r="P546" s="32" t="str">
        <f>HYPERLINK("https://api.typeform.com/responses/files/b9b5176ee4e3babc1cdd7b7309d23d07568cd7e43ae96fe5f3ab15c60cd0d2ce/Transcipt___Data_Analysis_Intern___Huỳnh_Tấn_Đạt.pdf")</f>
        <v>https://api.typeform.com/responses/files/b9b5176ee4e3babc1cdd7b7309d23d07568cd7e43ae96fe5f3ab15c60cd0d2ce/Transcipt___Data_Analysis_Intern___Huỳnh_Tấn_Đạt.pdf</v>
      </c>
      <c r="Q546" s="29" t="b">
        <v>0</v>
      </c>
      <c r="R546" s="29" t="s">
        <v>401</v>
      </c>
      <c r="S546" s="29" t="s">
        <v>401</v>
      </c>
      <c r="T546" s="29" t="s">
        <v>72</v>
      </c>
      <c r="U546" s="29" t="s">
        <v>72</v>
      </c>
      <c r="V546" s="29" t="s">
        <v>2389</v>
      </c>
      <c r="X546" s="29" t="s">
        <v>5378</v>
      </c>
      <c r="Y546" s="34">
        <v>46147.53362268519</v>
      </c>
      <c r="Z546" s="29" t="s">
        <v>5379</v>
      </c>
      <c r="AA546" s="6">
        <v>3.0</v>
      </c>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row>
    <row r="547" ht="22.5" hidden="1" customHeight="1">
      <c r="A547" s="29" t="s">
        <v>5380</v>
      </c>
      <c r="B547" s="30">
        <v>38189.0</v>
      </c>
      <c r="C547" s="29" t="s">
        <v>5381</v>
      </c>
      <c r="D547" s="31" t="s">
        <v>5382</v>
      </c>
      <c r="E547" s="29" t="s">
        <v>82</v>
      </c>
      <c r="F547" s="29" t="s">
        <v>82</v>
      </c>
      <c r="G547" s="32" t="str">
        <f>HYPERLINK("https://api.typeform.com/responses/files/84c31a6d019eea66ea0a90619bed6630484f8dd4b201f6b2efaad42bfd03c98c/CV_Data_Analysis_Intern_Nguyễn_Lê_Thiên_Kim.pdf")</f>
        <v>https://api.typeform.com/responses/files/84c31a6d019eea66ea0a90619bed6630484f8dd4b201f6b2efaad42bfd03c98c/CV_Data_Analysis_Intern_Nguyễn_Lê_Thiên_Kim.pdf</v>
      </c>
      <c r="H547" s="29" t="s">
        <v>5383</v>
      </c>
      <c r="I547" s="29" t="s">
        <v>5384</v>
      </c>
      <c r="J547" s="29" t="s">
        <v>2293</v>
      </c>
      <c r="L547" s="29" t="s">
        <v>103</v>
      </c>
      <c r="M547" s="29" t="s">
        <v>5385</v>
      </c>
      <c r="N547" s="33">
        <v>46134.0</v>
      </c>
      <c r="O547" s="31" t="s">
        <v>1382</v>
      </c>
      <c r="P547" s="32" t="str">
        <f>HYPERLINK("https://api.typeform.com/responses/files/5d0953b25799a332004d98c9e602f37df7996e0a485aa7009711aa3cb2cd3d6f/Transcript_Data_Analysis_Intern_Nguyễn_Lê_Thiên_Kim.pdf")</f>
        <v>https://api.typeform.com/responses/files/5d0953b25799a332004d98c9e602f37df7996e0a485aa7009711aa3cb2cd3d6f/Transcript_Data_Analysis_Intern_Nguyễn_Lê_Thiên_Kim.pdf</v>
      </c>
      <c r="Q547" s="29" t="b">
        <v>0</v>
      </c>
      <c r="R547" s="29" t="s">
        <v>1243</v>
      </c>
      <c r="S547" s="29" t="s">
        <v>5386</v>
      </c>
      <c r="T547" s="29" t="s">
        <v>72</v>
      </c>
      <c r="U547" s="29" t="s">
        <v>72</v>
      </c>
      <c r="V547" s="29" t="s">
        <v>224</v>
      </c>
      <c r="X547" s="29" t="s">
        <v>5387</v>
      </c>
      <c r="Y547" s="34">
        <v>46147.55905092593</v>
      </c>
      <c r="Z547" s="29" t="s">
        <v>5388</v>
      </c>
      <c r="AA547" s="6">
        <v>3.0</v>
      </c>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row>
    <row r="548" ht="22.5" hidden="1" customHeight="1">
      <c r="A548" s="29" t="s">
        <v>5389</v>
      </c>
      <c r="B548" s="30">
        <v>34429.0</v>
      </c>
      <c r="C548" s="29" t="s">
        <v>5390</v>
      </c>
      <c r="D548" s="31" t="s">
        <v>5391</v>
      </c>
      <c r="E548" s="29" t="s">
        <v>61</v>
      </c>
      <c r="F548" s="29" t="s">
        <v>127</v>
      </c>
      <c r="G548" s="32" t="str">
        <f>HYPERLINK("https://api.typeform.com/responses/files/3b30aaaf6ac09b82e20ce02ad8dc450440dcdb663e7d9bb134edbc709fe75d8c/CV___Unity_Development_Intern___Lê_Minh_Hoàng.docx")</f>
        <v>https://api.typeform.com/responses/files/3b30aaaf6ac09b82e20ce02ad8dc450440dcdb663e7d9bb134edbc709fe75d8c/CV___Unity_Development_Intern___Lê_Minh_Hoàng.docx</v>
      </c>
      <c r="H548" s="29" t="s">
        <v>5392</v>
      </c>
      <c r="I548" s="29" t="s">
        <v>5393</v>
      </c>
      <c r="J548" s="29" t="s">
        <v>65</v>
      </c>
      <c r="K548" s="29" t="s">
        <v>5394</v>
      </c>
      <c r="L548" s="29" t="s">
        <v>5395</v>
      </c>
      <c r="M548" s="29" t="s">
        <v>424</v>
      </c>
      <c r="N548" s="33">
        <v>46174.0</v>
      </c>
      <c r="O548" s="31" t="s">
        <v>362</v>
      </c>
      <c r="P548" s="32" t="str">
        <f>HYPERLINK("https://api.typeform.com/responses/files/ddd94b121d95703e65ec3185ca14de86faf448829997af1b525907da81ecb0a2/Transcript___Unity_Development_Intern___Lê_Minh_Hoàng.rar")</f>
        <v>https://api.typeform.com/responses/files/ddd94b121d95703e65ec3185ca14de86faf448829997af1b525907da81ecb0a2/Transcript___Unity_Development_Intern___Lê_Minh_Hoàng.rar</v>
      </c>
      <c r="Q548" s="29" t="b">
        <v>1</v>
      </c>
      <c r="R548" s="29" t="s">
        <v>5396</v>
      </c>
      <c r="S548" s="29" t="s">
        <v>5397</v>
      </c>
      <c r="T548" s="29" t="s">
        <v>72</v>
      </c>
      <c r="U548" s="29" t="s">
        <v>72</v>
      </c>
      <c r="V548" s="29" t="s">
        <v>90</v>
      </c>
      <c r="Y548" s="34">
        <v>46147.6016087963</v>
      </c>
      <c r="Z548" s="29" t="s">
        <v>5398</v>
      </c>
      <c r="AA548" s="6">
        <v>3.0</v>
      </c>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row>
    <row r="549" ht="22.5" hidden="1" customHeight="1">
      <c r="A549" s="29" t="s">
        <v>5399</v>
      </c>
      <c r="B549" s="30">
        <v>38553.0</v>
      </c>
      <c r="C549" s="29" t="s">
        <v>5400</v>
      </c>
      <c r="D549" s="31" t="s">
        <v>5401</v>
      </c>
      <c r="E549" s="29" t="s">
        <v>82</v>
      </c>
      <c r="F549" s="29" t="s">
        <v>62</v>
      </c>
      <c r="G549" s="32" t="str">
        <f>HYPERLINK("https://api.typeform.com/responses/files/299198dab7cf9009b961493f839d9b29d6d2ad1ad4c3f22c480b56fceb52e005/CV___Data_Analysis_Intern___Nguyễn_Đỗ_Minh_Quân.pdf")</f>
        <v>https://api.typeform.com/responses/files/299198dab7cf9009b961493f839d9b29d6d2ad1ad4c3f22c480b56fceb52e005/CV___Data_Analysis_Intern___Nguyễn_Đỗ_Minh_Quân.pdf</v>
      </c>
      <c r="H549" s="29" t="s">
        <v>5402</v>
      </c>
      <c r="I549" s="29" t="s">
        <v>5403</v>
      </c>
      <c r="J549" s="29" t="s">
        <v>715</v>
      </c>
      <c r="L549" s="29" t="s">
        <v>219</v>
      </c>
      <c r="M549" s="29" t="s">
        <v>612</v>
      </c>
      <c r="N549" s="33">
        <v>46684.0</v>
      </c>
      <c r="O549" s="31" t="s">
        <v>2731</v>
      </c>
      <c r="P549" s="32" t="str">
        <f>HYPERLINK("https://api.typeform.com/responses/files/6e83430126f5c47d89c179626a6d6e0656ad4cb418e514e9aa19588c6176d21e/Transcript___Data_Analysis_Intern___Nguyễn_Đỗ_Minh_Quân.pdf")</f>
        <v>https://api.typeform.com/responses/files/6e83430126f5c47d89c179626a6d6e0656ad4cb418e514e9aa19588c6176d21e/Transcript___Data_Analysis_Intern___Nguyễn_Đỗ_Minh_Quân.pdf</v>
      </c>
      <c r="Q549" s="29" t="b">
        <v>1</v>
      </c>
      <c r="R549" s="29" t="s">
        <v>5404</v>
      </c>
      <c r="S549" s="29" t="s">
        <v>5405</v>
      </c>
      <c r="T549" s="29" t="s">
        <v>72</v>
      </c>
      <c r="U549" s="29" t="s">
        <v>72</v>
      </c>
      <c r="V549" s="29" t="s">
        <v>2389</v>
      </c>
      <c r="X549" s="29" t="s">
        <v>5406</v>
      </c>
      <c r="Y549" s="34">
        <v>46147.615902777776</v>
      </c>
      <c r="Z549" s="29" t="s">
        <v>5407</v>
      </c>
      <c r="AA549" s="6">
        <v>3.0</v>
      </c>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row>
    <row r="550" ht="22.5" hidden="1" customHeight="1">
      <c r="A550" s="29" t="s">
        <v>5408</v>
      </c>
      <c r="B550" s="30">
        <v>38384.0</v>
      </c>
      <c r="C550" s="29" t="s">
        <v>5409</v>
      </c>
      <c r="D550" s="31" t="s">
        <v>5410</v>
      </c>
      <c r="E550" s="29" t="s">
        <v>774</v>
      </c>
      <c r="F550" s="29" t="s">
        <v>774</v>
      </c>
      <c r="G550" s="32" t="str">
        <f>HYPERLINK("https://api.typeform.com/responses/files/fe222c07768573624fee327757c23907774f6892edd1b6a80ca36172b0cc4c6a/CV___Thực_tập_sinh_Digital_Marketing___Nguyễn_Ngọc_Ánh.pdf")</f>
        <v>https://api.typeform.com/responses/files/fe222c07768573624fee327757c23907774f6892edd1b6a80ca36172b0cc4c6a/CV___Thực_tập_sinh_Digital_Marketing___Nguyễn_Ngọc_Ánh.pdf</v>
      </c>
      <c r="H550" s="29" t="s">
        <v>5411</v>
      </c>
      <c r="I550" s="29" t="s">
        <v>5412</v>
      </c>
      <c r="J550" s="29" t="s">
        <v>3605</v>
      </c>
      <c r="L550" s="29" t="s">
        <v>219</v>
      </c>
      <c r="M550" s="29" t="s">
        <v>1090</v>
      </c>
      <c r="N550" s="33">
        <v>38384.0</v>
      </c>
      <c r="O550" s="31" t="s">
        <v>1679</v>
      </c>
      <c r="P550" s="32" t="str">
        <f>HYPERLINK("https://api.typeform.com/responses/files/acd0885f62bf30f8bc56e6014c806f7e832e7a194029ac48b7c70a26f9410d8a/Transcript_Game_User_Acquisition_Marketing_Intern_Nguyễn_Ngọc_Ánh.xlsx")</f>
        <v>https://api.typeform.com/responses/files/acd0885f62bf30f8bc56e6014c806f7e832e7a194029ac48b7c70a26f9410d8a/Transcript_Game_User_Acquisition_Marketing_Intern_Nguyễn_Ngọc_Ánh.xlsx</v>
      </c>
      <c r="Q550" s="29" t="b">
        <v>1</v>
      </c>
      <c r="R550" s="29" t="s">
        <v>5413</v>
      </c>
      <c r="S550" s="29" t="s">
        <v>5414</v>
      </c>
      <c r="T550" s="29" t="s">
        <v>5415</v>
      </c>
      <c r="U550" s="29" t="s">
        <v>72</v>
      </c>
      <c r="V550" s="29" t="s">
        <v>90</v>
      </c>
      <c r="X550" s="29" t="s">
        <v>5416</v>
      </c>
      <c r="Y550" s="34">
        <v>46147.618842592594</v>
      </c>
      <c r="Z550" s="29" t="s">
        <v>5417</v>
      </c>
      <c r="AA550" s="6">
        <v>3.0</v>
      </c>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row>
    <row r="551" ht="22.5" hidden="1" customHeight="1">
      <c r="A551" s="29" t="s">
        <v>5418</v>
      </c>
      <c r="B551" s="30">
        <v>38194.0</v>
      </c>
      <c r="C551" s="29" t="s">
        <v>5419</v>
      </c>
      <c r="D551" s="31" t="s">
        <v>5420</v>
      </c>
      <c r="E551" s="29" t="s">
        <v>61</v>
      </c>
      <c r="F551" s="29" t="s">
        <v>62</v>
      </c>
      <c r="G551" s="32" t="str">
        <f>HYPERLINK("https://api.typeform.com/responses/files/bb3a054e7c2282dba1b93afacb8cee4406a782c0832e520f643b17420106dee6/Bui_Thai_Hoang_CV_GameDev.pdf")</f>
        <v>https://api.typeform.com/responses/files/bb3a054e7c2282dba1b93afacb8cee4406a782c0832e520f643b17420106dee6/Bui_Thai_Hoang_CV_GameDev.pdf</v>
      </c>
      <c r="H551" s="29" t="s">
        <v>5421</v>
      </c>
      <c r="I551" s="29" t="s">
        <v>5422</v>
      </c>
      <c r="J551" s="29" t="s">
        <v>85</v>
      </c>
      <c r="L551" s="29" t="s">
        <v>67</v>
      </c>
      <c r="M551" s="29" t="s">
        <v>104</v>
      </c>
      <c r="N551" s="33">
        <v>46182.0</v>
      </c>
      <c r="O551" s="31" t="s">
        <v>942</v>
      </c>
      <c r="P551" s="32" t="str">
        <f>HYPERLINK("https://api.typeform.com/responses/files/09e313108a7006723f8d3cafc09851f64381bb2331aa864a5a8203992291821f/Kết_quả_học_tập.html")</f>
        <v>https://api.typeform.com/responses/files/09e313108a7006723f8d3cafc09851f64381bb2331aa864a5a8203992291821f/Kết_quả_học_tập.html</v>
      </c>
      <c r="Q551" s="29" t="b">
        <v>1</v>
      </c>
      <c r="R551" s="29" t="s">
        <v>5423</v>
      </c>
      <c r="S551" s="29" t="s">
        <v>5424</v>
      </c>
      <c r="T551" s="29" t="s">
        <v>72</v>
      </c>
      <c r="U551" s="29" t="s">
        <v>72</v>
      </c>
      <c r="V551" s="29" t="s">
        <v>594</v>
      </c>
      <c r="X551" s="29" t="s">
        <v>5425</v>
      </c>
      <c r="Y551" s="34">
        <v>46147.62752314815</v>
      </c>
      <c r="Z551" s="29" t="s">
        <v>5426</v>
      </c>
      <c r="AA551" s="6">
        <v>3.0</v>
      </c>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row>
    <row r="552" ht="22.5" hidden="1" customHeight="1">
      <c r="A552" s="29" t="s">
        <v>5427</v>
      </c>
      <c r="B552" s="30">
        <v>38401.0</v>
      </c>
      <c r="C552" s="29" t="s">
        <v>5428</v>
      </c>
      <c r="D552" s="31" t="s">
        <v>5429</v>
      </c>
      <c r="E552" s="29" t="s">
        <v>62</v>
      </c>
      <c r="F552" s="29" t="s">
        <v>82</v>
      </c>
      <c r="G552" s="32" t="str">
        <f>HYPERLINK("https://api.typeform.com/responses/files/5c940dd5b65a2903d7040373164ea3a30593d100a64dbff5746966a00992b32c/CV___AI_Engineering_Intern___Vũ_Đức_Việt_Anh.pdf")</f>
        <v>https://api.typeform.com/responses/files/5c940dd5b65a2903d7040373164ea3a30593d100a64dbff5746966a00992b32c/CV___AI_Engineering_Intern___Vũ_Đức_Việt_Anh.pdf</v>
      </c>
      <c r="H552" s="29" t="s">
        <v>5430</v>
      </c>
      <c r="I552" s="29" t="s">
        <v>5431</v>
      </c>
      <c r="J552" s="29" t="s">
        <v>715</v>
      </c>
      <c r="L552" s="29" t="s">
        <v>219</v>
      </c>
      <c r="M552" s="29" t="s">
        <v>930</v>
      </c>
      <c r="N552" s="33">
        <v>46539.0</v>
      </c>
      <c r="O552" s="31" t="s">
        <v>447</v>
      </c>
      <c r="P552" s="32" t="str">
        <f>HYPERLINK("https://api.typeform.com/responses/files/39d1b08e15f6d51210c56252e51a9b870f04dcd9c057dd7c3c07517588b28383/Transcript___AI_Enginering_Intern___Vũ_Đức_Việt_Anh.pdf")</f>
        <v>https://api.typeform.com/responses/files/39d1b08e15f6d51210c56252e51a9b870f04dcd9c057dd7c3c07517588b28383/Transcript___AI_Enginering_Intern___Vũ_Đức_Việt_Anh.pdf</v>
      </c>
      <c r="Q552" s="29" t="b">
        <v>0</v>
      </c>
      <c r="R552" s="29" t="s">
        <v>5432</v>
      </c>
      <c r="S552" s="29" t="s">
        <v>5433</v>
      </c>
      <c r="T552" s="29" t="s">
        <v>72</v>
      </c>
      <c r="U552" s="29" t="s">
        <v>72</v>
      </c>
      <c r="V552" s="29" t="s">
        <v>2389</v>
      </c>
      <c r="X552" s="29" t="s">
        <v>5434</v>
      </c>
      <c r="Y552" s="34">
        <v>46147.662303240744</v>
      </c>
      <c r="Z552" s="29" t="s">
        <v>5435</v>
      </c>
      <c r="AA552" s="6">
        <v>3.0</v>
      </c>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row>
    <row r="553" ht="22.5" hidden="1" customHeight="1">
      <c r="A553" s="29" t="s">
        <v>5436</v>
      </c>
      <c r="B553" s="30">
        <v>38360.0</v>
      </c>
      <c r="C553" s="29" t="s">
        <v>5437</v>
      </c>
      <c r="D553" s="31" t="s">
        <v>5438</v>
      </c>
      <c r="E553" s="29" t="s">
        <v>62</v>
      </c>
      <c r="F553" s="29" t="s">
        <v>82</v>
      </c>
      <c r="G553" s="32" t="str">
        <f>HYPERLINK("https://api.typeform.com/responses/files/8b0ba42288bc4be1d7775904d1eed6d8d738ddfc09c04ab5e603209d9cc550ba/CV___AI_Engineering_Intern___Hoàng_Đức_Hiếu_Anh.pdf")</f>
        <v>https://api.typeform.com/responses/files/8b0ba42288bc4be1d7775904d1eed6d8d738ddfc09c04ab5e603209d9cc550ba/CV___AI_Engineering_Intern___Hoàng_Đức_Hiếu_Anh.pdf</v>
      </c>
      <c r="H553" s="29" t="s">
        <v>5439</v>
      </c>
      <c r="I553" s="29" t="s">
        <v>5440</v>
      </c>
      <c r="J553" s="29" t="s">
        <v>715</v>
      </c>
      <c r="L553" s="29" t="s">
        <v>219</v>
      </c>
      <c r="M553" s="29" t="s">
        <v>399</v>
      </c>
      <c r="N553" s="33">
        <v>46691.0</v>
      </c>
      <c r="O553" s="31" t="s">
        <v>5441</v>
      </c>
      <c r="P553" s="32" t="str">
        <f>HYPERLINK("https://api.typeform.com/responses/files/d27bb5ed46e74d0a8300af68abe8b4feb6219c1b9a1a6ada0c26168311082908/Transcript___AI_Engineering_Intern___Hoàng_Đức_Hiếu_Anh.pdf")</f>
        <v>https://api.typeform.com/responses/files/d27bb5ed46e74d0a8300af68abe8b4feb6219c1b9a1a6ada0c26168311082908/Transcript___AI_Engineering_Intern___Hoàng_Đức_Hiếu_Anh.pdf</v>
      </c>
      <c r="Q553" s="29" t="b">
        <v>1</v>
      </c>
      <c r="R553" s="29" t="s">
        <v>5442</v>
      </c>
      <c r="S553" s="29" t="s">
        <v>5443</v>
      </c>
      <c r="T553" s="29" t="s">
        <v>72</v>
      </c>
      <c r="U553" s="29" t="s">
        <v>5444</v>
      </c>
      <c r="V553" s="29" t="s">
        <v>5445</v>
      </c>
      <c r="X553" s="29" t="s">
        <v>5446</v>
      </c>
      <c r="Y553" s="34">
        <v>46147.66266203704</v>
      </c>
      <c r="Z553" s="29" t="s">
        <v>5447</v>
      </c>
      <c r="AA553" s="6">
        <v>3.0</v>
      </c>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row>
    <row r="554" ht="22.5" hidden="1" customHeight="1">
      <c r="A554" s="29" t="s">
        <v>5448</v>
      </c>
      <c r="B554" s="30">
        <v>37987.0</v>
      </c>
      <c r="C554" s="29" t="s">
        <v>5449</v>
      </c>
      <c r="D554" s="31" t="s">
        <v>5450</v>
      </c>
      <c r="E554" s="29" t="s">
        <v>82</v>
      </c>
      <c r="G554" s="32" t="str">
        <f>HYPERLINK("https://api.typeform.com/responses/files/a33f20d37765fded85d31dd6947846160ad7b6cceaed4c8c0f92d616cb6695e3/CV___Data_Analysis_Intern___Dương_Thị_Quỳnh_Giang.pdf")</f>
        <v>https://api.typeform.com/responses/files/a33f20d37765fded85d31dd6947846160ad7b6cceaed4c8c0f92d616cb6695e3/CV___Data_Analysis_Intern___Dương_Thị_Quỳnh_Giang.pdf</v>
      </c>
      <c r="H554" s="29" t="s">
        <v>5451</v>
      </c>
      <c r="I554" s="29" t="s">
        <v>5452</v>
      </c>
      <c r="J554" s="29" t="s">
        <v>85</v>
      </c>
      <c r="L554" s="29" t="s">
        <v>67</v>
      </c>
      <c r="M554" s="29" t="s">
        <v>5453</v>
      </c>
      <c r="N554" s="33">
        <v>46357.0</v>
      </c>
      <c r="O554" s="31" t="s">
        <v>2356</v>
      </c>
      <c r="P554" s="32" t="str">
        <f>HYPERLINK("https://api.typeform.com/responses/files/7479b0a432a8032393f22585ea197efcab128f73c1486f05ae75e02ac9a8265a/Transcript___Data_Analysis_Intern___Dương_Thị_Quỳnh_Giang.pdf")</f>
        <v>https://api.typeform.com/responses/files/7479b0a432a8032393f22585ea197efcab128f73c1486f05ae75e02ac9a8265a/Transcript___Data_Analysis_Intern___Dương_Thị_Quỳnh_Giang.pdf</v>
      </c>
      <c r="Q554" s="29" t="b">
        <v>0</v>
      </c>
      <c r="R554" s="29" t="s">
        <v>5454</v>
      </c>
      <c r="S554" s="29" t="s">
        <v>1437</v>
      </c>
      <c r="T554" s="29" t="s">
        <v>72</v>
      </c>
      <c r="U554" s="29" t="s">
        <v>72</v>
      </c>
      <c r="V554" s="29" t="s">
        <v>269</v>
      </c>
      <c r="X554" s="29" t="s">
        <v>5455</v>
      </c>
      <c r="Y554" s="34">
        <v>46147.66310185185</v>
      </c>
      <c r="Z554" s="29" t="s">
        <v>5456</v>
      </c>
      <c r="AA554" s="6">
        <v>3.0</v>
      </c>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row>
    <row r="555" ht="22.5" hidden="1" customHeight="1">
      <c r="A555" s="29" t="s">
        <v>5457</v>
      </c>
      <c r="B555" s="30">
        <v>38386.0</v>
      </c>
      <c r="C555" s="29" t="s">
        <v>5458</v>
      </c>
      <c r="D555" s="31" t="s">
        <v>5459</v>
      </c>
      <c r="E555" s="29" t="s">
        <v>99</v>
      </c>
      <c r="F555" s="29" t="s">
        <v>127</v>
      </c>
      <c r="G555" s="32" t="str">
        <f>HYPERLINK("https://api.typeform.com/responses/files/7cc0d4985df7a249abe9f840e8141e98d8e9681e9d624a8780c98f20f7592aff/CV___Game_Design_Intern___Trần_Hùng_Sơn.pdf")</f>
        <v>https://api.typeform.com/responses/files/7cc0d4985df7a249abe9f840e8141e98d8e9681e9d624a8780c98f20f7592aff/CV___Game_Design_Intern___Trần_Hùng_Sơn.pdf</v>
      </c>
      <c r="H555" s="29" t="s">
        <v>5460</v>
      </c>
      <c r="I555" s="29" t="s">
        <v>5461</v>
      </c>
      <c r="J555" s="29" t="s">
        <v>715</v>
      </c>
      <c r="L555" s="29" t="s">
        <v>219</v>
      </c>
      <c r="M555" s="29" t="s">
        <v>399</v>
      </c>
      <c r="N555" s="33">
        <v>46661.0</v>
      </c>
      <c r="O555" s="31" t="s">
        <v>5462</v>
      </c>
      <c r="P555" s="32" t="str">
        <f>HYPERLINK("https://api.typeform.com/responses/files/f26a2afd411340445d43c9dd6f5644107cdc32345c33e63c659172c7aff65893/Transcript___Game_Design_Intern___Trần_Hùng_Sơn.pdf")</f>
        <v>https://api.typeform.com/responses/files/f26a2afd411340445d43c9dd6f5644107cdc32345c33e63c659172c7aff65893/Transcript___Game_Design_Intern___Trần_Hùng_Sơn.pdf</v>
      </c>
      <c r="Q555" s="29" t="b">
        <v>1</v>
      </c>
      <c r="R555" s="29" t="s">
        <v>5463</v>
      </c>
      <c r="S555" s="29" t="s">
        <v>5464</v>
      </c>
      <c r="T555" s="29" t="s">
        <v>72</v>
      </c>
      <c r="U555" s="29" t="s">
        <v>72</v>
      </c>
      <c r="V555" s="29" t="s">
        <v>5465</v>
      </c>
      <c r="X555" s="29" t="s">
        <v>5466</v>
      </c>
      <c r="Y555" s="34">
        <v>46147.66981481481</v>
      </c>
      <c r="Z555" s="29" t="s">
        <v>5467</v>
      </c>
      <c r="AA555" s="6">
        <v>2.1</v>
      </c>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row>
    <row r="556" ht="22.5" hidden="1" customHeight="1">
      <c r="A556" s="29" t="s">
        <v>5468</v>
      </c>
      <c r="B556" s="30">
        <v>38706.0</v>
      </c>
      <c r="C556" s="29" t="s">
        <v>5469</v>
      </c>
      <c r="D556" s="31" t="s">
        <v>5470</v>
      </c>
      <c r="E556" s="29" t="s">
        <v>82</v>
      </c>
      <c r="F556" s="29" t="s">
        <v>99</v>
      </c>
      <c r="G556" s="32" t="str">
        <f>HYPERLINK("https://api.typeform.com/responses/files/db95950b6f530f1564b76715d219d4308a1b869574f20c8253c894b509b36cc3/CV___Data_Analysis_Intern___Hà_Quang_Đại.pdf")</f>
        <v>https://api.typeform.com/responses/files/db95950b6f530f1564b76715d219d4308a1b869574f20c8253c894b509b36cc3/CV___Data_Analysis_Intern___Hà_Quang_Đại.pdf</v>
      </c>
      <c r="H556" s="29" t="s">
        <v>5471</v>
      </c>
      <c r="I556" s="29" t="s">
        <v>5472</v>
      </c>
      <c r="J556" s="29" t="s">
        <v>842</v>
      </c>
      <c r="L556" s="29" t="s">
        <v>219</v>
      </c>
      <c r="M556" s="29" t="s">
        <v>86</v>
      </c>
      <c r="N556" s="33">
        <v>46374.0</v>
      </c>
      <c r="O556" s="31" t="s">
        <v>1132</v>
      </c>
      <c r="P556" s="32" t="str">
        <f>HYPERLINK("https://api.typeform.com/responses/files/4de4e2544337a5427db847ac704664215eae10ff24512bd22d81ef83feabd324/Transcript___Data_Analysis___Hà_Quang_Đại.pdf")</f>
        <v>https://api.typeform.com/responses/files/4de4e2544337a5427db847ac704664215eae10ff24512bd22d81ef83feabd324/Transcript___Data_Analysis___Hà_Quang_Đại.pdf</v>
      </c>
      <c r="Q556" s="29" t="b">
        <v>1</v>
      </c>
      <c r="R556" s="29" t="s">
        <v>5473</v>
      </c>
      <c r="S556" s="29" t="s">
        <v>5474</v>
      </c>
      <c r="T556" s="29" t="s">
        <v>72</v>
      </c>
      <c r="U556" s="29" t="s">
        <v>72</v>
      </c>
      <c r="V556" s="29" t="s">
        <v>73</v>
      </c>
      <c r="X556" s="29" t="s">
        <v>5475</v>
      </c>
      <c r="Y556" s="34">
        <v>46147.67138888889</v>
      </c>
      <c r="Z556" s="29" t="s">
        <v>5476</v>
      </c>
      <c r="AA556" s="6">
        <v>3.0</v>
      </c>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row>
    <row r="557" ht="22.5" hidden="1" customHeight="1">
      <c r="A557" s="29" t="s">
        <v>5477</v>
      </c>
      <c r="B557" s="30">
        <v>37876.0</v>
      </c>
      <c r="C557" s="29" t="s">
        <v>5478</v>
      </c>
      <c r="D557" s="31" t="s">
        <v>5479</v>
      </c>
      <c r="E557" s="29" t="s">
        <v>61</v>
      </c>
      <c r="F557" s="29" t="s">
        <v>99</v>
      </c>
      <c r="G557" s="32" t="str">
        <f>HYPERLINK("https://api.typeform.com/responses/files/f8955de1f7be3fb9732e9bc76f778a2186c2f92684b69df31110a831de045883/CV___Unity_Development_Intern___Nguyen_Van_Anh_Quan.pdf")</f>
        <v>https://api.typeform.com/responses/files/f8955de1f7be3fb9732e9bc76f778a2186c2f92684b69df31110a831de045883/CV___Unity_Development_Intern___Nguyen_Van_Anh_Quan.pdf</v>
      </c>
      <c r="H557" s="29" t="s">
        <v>5480</v>
      </c>
      <c r="I557" s="29" t="s">
        <v>5481</v>
      </c>
      <c r="J557" s="29" t="s">
        <v>244</v>
      </c>
      <c r="L557" s="29" t="s">
        <v>67</v>
      </c>
      <c r="M557" s="29" t="s">
        <v>399</v>
      </c>
      <c r="N557" s="33">
        <v>46326.0</v>
      </c>
      <c r="O557" s="31" t="s">
        <v>5482</v>
      </c>
      <c r="P557" s="32" t="str">
        <f>HYPERLINK("https://api.typeform.com/responses/files/1e720ffb17c140dcd4c9932b10302a11a6bff7f6f97d67f7075cf3475a59ddf2/Transcript___Unity_Development_Intern___Nguyễn_Văn_Anh_Quân.png")</f>
        <v>https://api.typeform.com/responses/files/1e720ffb17c140dcd4c9932b10302a11a6bff7f6f97d67f7075cf3475a59ddf2/Transcript___Unity_Development_Intern___Nguyễn_Văn_Anh_Quân.png</v>
      </c>
      <c r="Q557" s="29" t="b">
        <v>1</v>
      </c>
      <c r="R557" s="29" t="s">
        <v>5483</v>
      </c>
      <c r="S557" s="29" t="s">
        <v>5484</v>
      </c>
      <c r="T557" s="29" t="s">
        <v>72</v>
      </c>
      <c r="U557" s="29" t="s">
        <v>72</v>
      </c>
      <c r="V557" s="29" t="s">
        <v>73</v>
      </c>
      <c r="X557" s="29" t="s">
        <v>5485</v>
      </c>
      <c r="Y557" s="34">
        <v>46147.705879629626</v>
      </c>
      <c r="Z557" s="29" t="s">
        <v>5486</v>
      </c>
      <c r="AA557" s="6">
        <v>3.0</v>
      </c>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row>
    <row r="558" ht="22.5" hidden="1" customHeight="1">
      <c r="A558" s="29" t="s">
        <v>5487</v>
      </c>
      <c r="B558" s="30">
        <v>37470.0</v>
      </c>
      <c r="C558" s="29" t="s">
        <v>5488</v>
      </c>
      <c r="D558" s="31" t="s">
        <v>5489</v>
      </c>
      <c r="E558" s="29" t="s">
        <v>99</v>
      </c>
      <c r="G558" s="32" t="str">
        <f>HYPERLINK("https://api.typeform.com/responses/files/bb12ef3edcfc1729cdcfb03f7b2cc77960918cdfe47e14fe4e615c99cffc09b5/CV___Game_Design_Intern___Hồ_Kim_Ngọc.jpg")</f>
        <v>https://api.typeform.com/responses/files/bb12ef3edcfc1729cdcfb03f7b2cc77960918cdfe47e14fe4e615c99cffc09b5/CV___Game_Design_Intern___Hồ_Kim_Ngọc.jpg</v>
      </c>
      <c r="H558" s="29" t="s">
        <v>5490</v>
      </c>
      <c r="I558" s="29" t="s">
        <v>5491</v>
      </c>
      <c r="J558" s="29" t="s">
        <v>65</v>
      </c>
      <c r="K558" s="29" t="s">
        <v>5256</v>
      </c>
      <c r="L558" s="29" t="s">
        <v>103</v>
      </c>
      <c r="M558" s="29" t="s">
        <v>350</v>
      </c>
      <c r="N558" s="33">
        <v>45962.0</v>
      </c>
      <c r="O558" s="31" t="s">
        <v>5492</v>
      </c>
      <c r="P558" s="32" t="str">
        <f>HYPERLINK("https://api.typeform.com/responses/files/02f008602504f9e450a3cb7f7e1a0115233f5434d444174c07cfd43bf5b58f4d/Transcript___Game_Design_Intern___Hồ_Kim_Ngọc.pdf")</f>
        <v>https://api.typeform.com/responses/files/02f008602504f9e450a3cb7f7e1a0115233f5434d444174c07cfd43bf5b58f4d/Transcript___Game_Design_Intern___Hồ_Kim_Ngọc.pdf</v>
      </c>
      <c r="Q558" s="29" t="b">
        <v>1</v>
      </c>
      <c r="R558" s="29" t="s">
        <v>5493</v>
      </c>
      <c r="S558" s="29" t="s">
        <v>5494</v>
      </c>
      <c r="T558" s="29" t="s">
        <v>72</v>
      </c>
      <c r="U558" s="29" t="s">
        <v>72</v>
      </c>
      <c r="V558" s="29" t="s">
        <v>224</v>
      </c>
      <c r="Y558" s="34">
        <v>46147.7509375</v>
      </c>
      <c r="Z558" s="29" t="s">
        <v>5495</v>
      </c>
      <c r="AA558" s="6">
        <v>2.1</v>
      </c>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row>
    <row r="559" ht="22.5" hidden="1" customHeight="1">
      <c r="A559" s="29" t="s">
        <v>5496</v>
      </c>
      <c r="B559" s="30">
        <v>37724.0</v>
      </c>
      <c r="C559" s="29" t="s">
        <v>5497</v>
      </c>
      <c r="D559" s="31" t="s">
        <v>5498</v>
      </c>
      <c r="E559" s="29" t="s">
        <v>99</v>
      </c>
      <c r="F559" s="29" t="s">
        <v>99</v>
      </c>
      <c r="G559" s="32" t="str">
        <f>HYPERLINK("https://api.typeform.com/responses/files/e3a575f8bc82df320fec21cf55e30476ae0a72da7ca530d74ba7c50d71624698/CV___Game_Design_Intern___Nguyễn_Thị_Mỹ_Nữ_.pdf")</f>
        <v>https://api.typeform.com/responses/files/e3a575f8bc82df320fec21cf55e30476ae0a72da7ca530d74ba7c50d71624698/CV___Game_Design_Intern___Nguyễn_Thị_Mỹ_Nữ_.pdf</v>
      </c>
      <c r="H559" s="29" t="s">
        <v>5499</v>
      </c>
      <c r="I559" s="29" t="s">
        <v>5500</v>
      </c>
      <c r="J559" s="29" t="s">
        <v>1069</v>
      </c>
      <c r="K559" s="29" t="s">
        <v>5501</v>
      </c>
      <c r="L559" s="29" t="s">
        <v>5502</v>
      </c>
      <c r="M559" s="29" t="s">
        <v>5503</v>
      </c>
      <c r="N559" s="33">
        <v>46205.0</v>
      </c>
      <c r="O559" s="31" t="s">
        <v>5504</v>
      </c>
      <c r="P559" s="32" t="str">
        <f>HYPERLINK("https://api.typeform.com/responses/files/499994f39c77d128fe422d3485209f7f1523b31e5c42ce22d699bcd101693eb5/Transcript___Game_Design_Intern___Nguyễn_Thị_Mỹ_Nữ.pdf")</f>
        <v>https://api.typeform.com/responses/files/499994f39c77d128fe422d3485209f7f1523b31e5c42ce22d699bcd101693eb5/Transcript___Game_Design_Intern___Nguyễn_Thị_Mỹ_Nữ.pdf</v>
      </c>
      <c r="Q559" s="29" t="b">
        <v>1</v>
      </c>
      <c r="R559" s="29" t="s">
        <v>5505</v>
      </c>
      <c r="S559" s="29" t="s">
        <v>5506</v>
      </c>
      <c r="T559" s="29" t="s">
        <v>72</v>
      </c>
      <c r="U559" s="29" t="s">
        <v>72</v>
      </c>
      <c r="V559" s="29" t="s">
        <v>224</v>
      </c>
      <c r="X559" s="29" t="s">
        <v>5507</v>
      </c>
      <c r="Y559" s="34">
        <v>46147.75927083333</v>
      </c>
      <c r="Z559" s="29" t="s">
        <v>5508</v>
      </c>
      <c r="AA559" s="6">
        <v>2.1</v>
      </c>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row>
    <row r="560" ht="22.5" hidden="1" customHeight="1">
      <c r="A560" s="29" t="s">
        <v>5509</v>
      </c>
      <c r="B560" s="30">
        <v>37870.0</v>
      </c>
      <c r="C560" s="29" t="s">
        <v>5510</v>
      </c>
      <c r="D560" s="31" t="s">
        <v>5511</v>
      </c>
      <c r="E560" s="29" t="s">
        <v>774</v>
      </c>
      <c r="F560" s="29" t="s">
        <v>774</v>
      </c>
      <c r="G560" s="32" t="str">
        <f>HYPERLINK("https://api.typeform.com/responses/files/754cbf4da5af4cfa417a927c7e701c994c52277975fa792fef7065245bfb1f2d/CV_Game_User_Acquisition_Intern_Trần_Ngọc_Tuyền_Vy.pdf")</f>
        <v>https://api.typeform.com/responses/files/754cbf4da5af4cfa417a927c7e701c994c52277975fa792fef7065245bfb1f2d/CV_Game_User_Acquisition_Intern_Trần_Ngọc_Tuyền_Vy.pdf</v>
      </c>
      <c r="H560" s="29" t="s">
        <v>5512</v>
      </c>
      <c r="I560" s="29" t="s">
        <v>5513</v>
      </c>
      <c r="J560" s="29" t="s">
        <v>777</v>
      </c>
      <c r="L560" s="29" t="s">
        <v>67</v>
      </c>
      <c r="M560" s="29" t="s">
        <v>5514</v>
      </c>
      <c r="N560" s="33">
        <v>46483.0</v>
      </c>
      <c r="O560" s="29" t="s">
        <v>5515</v>
      </c>
      <c r="P560" s="32" t="str">
        <f>HYPERLINK("https://api.typeform.com/responses/files/ae017aa0d7d113d62627f4cc45439f18379142799305c0633c655db11e4a418b/Transcript_Game_User_Acquisition_Intern_Trần_Ngọc_Tuyền_Vy.pdf")</f>
        <v>https://api.typeform.com/responses/files/ae017aa0d7d113d62627f4cc45439f18379142799305c0633c655db11e4a418b/Transcript_Game_User_Acquisition_Intern_Trần_Ngọc_Tuyền_Vy.pdf</v>
      </c>
      <c r="Q560" s="29" t="b">
        <v>1</v>
      </c>
      <c r="R560" s="29" t="s">
        <v>5516</v>
      </c>
      <c r="S560" s="29" t="s">
        <v>222</v>
      </c>
      <c r="T560" s="29" t="s">
        <v>72</v>
      </c>
      <c r="U560" s="29" t="s">
        <v>72</v>
      </c>
      <c r="V560" s="29" t="s">
        <v>2885</v>
      </c>
      <c r="Y560" s="34">
        <v>46147.8205787037</v>
      </c>
      <c r="Z560" s="29" t="s">
        <v>5517</v>
      </c>
      <c r="AA560" s="6">
        <v>3.0</v>
      </c>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row>
    <row r="561" ht="22.5" hidden="1" customHeight="1">
      <c r="A561" s="29" t="s">
        <v>5518</v>
      </c>
      <c r="B561" s="30">
        <v>38073.0</v>
      </c>
      <c r="C561" s="29" t="s">
        <v>5519</v>
      </c>
      <c r="D561" s="31" t="s">
        <v>5520</v>
      </c>
      <c r="E561" s="29" t="s">
        <v>62</v>
      </c>
      <c r="F561" s="29" t="s">
        <v>82</v>
      </c>
      <c r="G561" s="32" t="str">
        <f>HYPERLINK("https://api.typeform.com/responses/files/7b5b4c71d8de87b7f617f363f9afda5112d2f352c885c26304bee1911bdc8b88/CV___Data_Analysis_Intern___Phạm_Nguyễn_Thế_Hào.pdf")</f>
        <v>https://api.typeform.com/responses/files/7b5b4c71d8de87b7f617f363f9afda5112d2f352c885c26304bee1911bdc8b88/CV___Data_Analysis_Intern___Phạm_Nguyễn_Thế_Hào.pdf</v>
      </c>
      <c r="H561" s="29" t="s">
        <v>5521</v>
      </c>
      <c r="I561" s="29" t="s">
        <v>5522</v>
      </c>
      <c r="J561" s="29" t="s">
        <v>130</v>
      </c>
      <c r="L561" s="29" t="s">
        <v>67</v>
      </c>
      <c r="M561" s="29" t="s">
        <v>551</v>
      </c>
      <c r="N561" s="33">
        <v>38073.0</v>
      </c>
      <c r="O561" s="31" t="s">
        <v>2818</v>
      </c>
      <c r="P561" s="32" t="str">
        <f>HYPERLINK("https://api.typeform.com/responses/files/319a1023240fc7026bc9d85ee1b7be7828af3a6879e572b847868eb8a16d84d8/Transcript___Data_Analysis_Intern___Phạm_Nguyễn_Thế_Hào.pdf")</f>
        <v>https://api.typeform.com/responses/files/319a1023240fc7026bc9d85ee1b7be7828af3a6879e572b847868eb8a16d84d8/Transcript___Data_Analysis_Intern___Phạm_Nguyễn_Thế_Hào.pdf</v>
      </c>
      <c r="Q561" s="29" t="b">
        <v>1</v>
      </c>
      <c r="R561" s="29" t="s">
        <v>5523</v>
      </c>
      <c r="S561" s="29" t="s">
        <v>5524</v>
      </c>
      <c r="T561" s="29" t="s">
        <v>72</v>
      </c>
      <c r="U561" s="29" t="s">
        <v>72</v>
      </c>
      <c r="V561" s="29" t="s">
        <v>269</v>
      </c>
      <c r="X561" s="29" t="s">
        <v>5525</v>
      </c>
      <c r="Y561" s="34">
        <v>46148.07436342593</v>
      </c>
      <c r="Z561" s="29" t="s">
        <v>5526</v>
      </c>
      <c r="AA561" s="6">
        <v>3.0</v>
      </c>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row>
    <row r="562" ht="22.5" hidden="1" customHeight="1">
      <c r="A562" s="29" t="s">
        <v>5527</v>
      </c>
      <c r="B562" s="30">
        <v>37316.0</v>
      </c>
      <c r="C562" s="29" t="s">
        <v>5528</v>
      </c>
      <c r="D562" s="31" t="s">
        <v>5529</v>
      </c>
      <c r="E562" s="29" t="s">
        <v>127</v>
      </c>
      <c r="G562" s="32" t="str">
        <f>HYPERLINK("https://api.typeform.com/responses/files/3129db86cc09b8aaff344cf92d2d2a0dc6b244344408547e579b9a753bf2c327/CV___Game_Quality_Assurance_Intern___Bế_Trương_Dương.pdf")</f>
        <v>https://api.typeform.com/responses/files/3129db86cc09b8aaff344cf92d2d2a0dc6b244344408547e579b9a753bf2c327/CV___Game_Quality_Assurance_Intern___Bế_Trương_Dương.pdf</v>
      </c>
      <c r="H562" s="29" t="s">
        <v>5530</v>
      </c>
      <c r="I562" s="29" t="s">
        <v>5531</v>
      </c>
      <c r="J562" s="29" t="s">
        <v>1069</v>
      </c>
      <c r="K562" s="29" t="s">
        <v>5532</v>
      </c>
      <c r="L562" s="29" t="s">
        <v>67</v>
      </c>
      <c r="M562" s="29" t="s">
        <v>684</v>
      </c>
      <c r="N562" s="33">
        <v>46295.0</v>
      </c>
      <c r="O562" s="31" t="s">
        <v>2492</v>
      </c>
      <c r="P562" s="32" t="str">
        <f>HYPERLINK("https://api.typeform.com/responses/files/f5abe6301963e78e5a76a1f782e65ce38712f9f6ff6e9db8f5a4bf4a0ad23626/Transcript___Game_Quality_Assurance_Intern___Bế_Trương_Dương.xlsx")</f>
        <v>https://api.typeform.com/responses/files/f5abe6301963e78e5a76a1f782e65ce38712f9f6ff6e9db8f5a4bf4a0ad23626/Transcript___Game_Quality_Assurance_Intern___Bế_Trương_Dương.xlsx</v>
      </c>
      <c r="Q562" s="29" t="b">
        <v>0</v>
      </c>
      <c r="R562" s="29" t="s">
        <v>268</v>
      </c>
      <c r="S562" s="29" t="s">
        <v>5533</v>
      </c>
      <c r="T562" s="29" t="s">
        <v>72</v>
      </c>
      <c r="U562" s="29" t="s">
        <v>72</v>
      </c>
      <c r="V562" s="29" t="s">
        <v>2624</v>
      </c>
      <c r="W562" s="29" t="s">
        <v>5534</v>
      </c>
      <c r="X562" s="29" t="s">
        <v>5535</v>
      </c>
      <c r="Y562" s="34">
        <v>46148.13366898148</v>
      </c>
      <c r="Z562" s="29" t="s">
        <v>5536</v>
      </c>
      <c r="AA562" s="6">
        <v>3.0</v>
      </c>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row>
    <row r="563" ht="22.5" hidden="1" customHeight="1">
      <c r="A563" s="29" t="s">
        <v>5537</v>
      </c>
      <c r="B563" s="30">
        <v>37893.0</v>
      </c>
      <c r="C563" s="29" t="s">
        <v>5538</v>
      </c>
      <c r="D563" s="31" t="s">
        <v>5539</v>
      </c>
      <c r="E563" s="29" t="s">
        <v>127</v>
      </c>
      <c r="G563" s="32" t="str">
        <f>HYPERLINK("https://api.typeform.com/responses/files/663d15e07c8d552f51c284c940eb7c822abad022bbc12b8175c940f0bf36f221/CV___Game_QA_Intern___Dinh_Quoc_Tien.pdf")</f>
        <v>https://api.typeform.com/responses/files/663d15e07c8d552f51c284c940eb7c822abad022bbc12b8175c940f0bf36f221/CV___Game_QA_Intern___Dinh_Quoc_Tien.pdf</v>
      </c>
      <c r="H563" s="29" t="s">
        <v>5540</v>
      </c>
      <c r="I563" s="29" t="s">
        <v>5541</v>
      </c>
      <c r="J563" s="29" t="s">
        <v>65</v>
      </c>
      <c r="K563" s="29" t="s">
        <v>961</v>
      </c>
      <c r="L563" s="29" t="s">
        <v>103</v>
      </c>
      <c r="M563" s="29" t="s">
        <v>1183</v>
      </c>
      <c r="N563" s="33">
        <v>45935.0</v>
      </c>
      <c r="O563" s="29" t="s">
        <v>5542</v>
      </c>
      <c r="P563" s="32" t="str">
        <f>HYPERLINK("https://api.typeform.com/responses/files/d7d211530515ad6db112ed1bca58cf2a6d287795d060785973820a94656b0649/Transcript___Game_QA_Intern___Dinh_Quoc_Tien.jpg")</f>
        <v>https://api.typeform.com/responses/files/d7d211530515ad6db112ed1bca58cf2a6d287795d060785973820a94656b0649/Transcript___Game_QA_Intern___Dinh_Quoc_Tien.jpg</v>
      </c>
      <c r="Q563" s="29" t="b">
        <v>0</v>
      </c>
      <c r="R563" s="29" t="s">
        <v>222</v>
      </c>
      <c r="S563" s="29" t="s">
        <v>222</v>
      </c>
      <c r="T563" s="29" t="s">
        <v>72</v>
      </c>
      <c r="U563" s="29" t="s">
        <v>72</v>
      </c>
      <c r="V563" s="29" t="s">
        <v>224</v>
      </c>
      <c r="X563" s="29" t="s">
        <v>5543</v>
      </c>
      <c r="Y563" s="34">
        <v>46148.149247685185</v>
      </c>
      <c r="Z563" s="29" t="s">
        <v>5544</v>
      </c>
      <c r="AA563" s="6">
        <v>3.0</v>
      </c>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row>
    <row r="564" ht="22.5" hidden="1" customHeight="1">
      <c r="A564" s="29" t="s">
        <v>5545</v>
      </c>
      <c r="B564" s="30">
        <v>38084.0</v>
      </c>
      <c r="C564" s="29" t="s">
        <v>5546</v>
      </c>
      <c r="D564" s="31" t="s">
        <v>5547</v>
      </c>
      <c r="E564" s="29" t="s">
        <v>99</v>
      </c>
      <c r="F564" s="29" t="s">
        <v>61</v>
      </c>
      <c r="G564" s="32" t="str">
        <f>HYPERLINK("https://api.typeform.com/responses/files/3cd572aefcd03dab2cd81ac2233398a8521cb7a5be301e89a8e23eac24189f85/Game_Designer_Inter___Lê_Hoàng_Tâm.pdf")</f>
        <v>https://api.typeform.com/responses/files/3cd572aefcd03dab2cd81ac2233398a8521cb7a5be301e89a8e23eac24189f85/Game_Designer_Inter___Lê_Hoàng_Tâm.pdf</v>
      </c>
      <c r="H564" s="29" t="s">
        <v>5548</v>
      </c>
      <c r="I564" s="29" t="s">
        <v>5549</v>
      </c>
      <c r="J564" s="29" t="s">
        <v>2180</v>
      </c>
      <c r="L564" s="29" t="s">
        <v>103</v>
      </c>
      <c r="M564" s="29" t="s">
        <v>5550</v>
      </c>
      <c r="N564" s="33">
        <v>46164.0</v>
      </c>
      <c r="O564" s="31" t="s">
        <v>133</v>
      </c>
      <c r="P564" s="32" t="str">
        <f>HYPERLINK("https://api.typeform.com/responses/files/2aee2a00dfb61de3e01eb2268f9206943742e14d16f491abb9601cc81cb6e0d5/Game_Designer_Intern___Lê_Hoàng_Tâm.zip")</f>
        <v>https://api.typeform.com/responses/files/2aee2a00dfb61de3e01eb2268f9206943742e14d16f491abb9601cc81cb6e0d5/Game_Designer_Intern___Lê_Hoàng_Tâm.zip</v>
      </c>
      <c r="Q564" s="29" t="b">
        <v>1</v>
      </c>
      <c r="R564" s="29" t="s">
        <v>5551</v>
      </c>
      <c r="S564" s="29" t="s">
        <v>5552</v>
      </c>
      <c r="T564" s="29" t="s">
        <v>72</v>
      </c>
      <c r="U564" s="29" t="s">
        <v>72</v>
      </c>
      <c r="V564" s="29" t="s">
        <v>73</v>
      </c>
      <c r="X564" s="29" t="s">
        <v>5553</v>
      </c>
      <c r="Y564" s="34">
        <v>46148.166400462964</v>
      </c>
      <c r="Z564" s="29" t="s">
        <v>5554</v>
      </c>
      <c r="AA564" s="6">
        <v>2.1</v>
      </c>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row>
    <row r="565" ht="22.5" hidden="1" customHeight="1">
      <c r="A565" s="29" t="s">
        <v>5555</v>
      </c>
      <c r="B565" s="30">
        <v>38588.0</v>
      </c>
      <c r="C565" s="29" t="s">
        <v>5556</v>
      </c>
      <c r="D565" s="31" t="s">
        <v>5557</v>
      </c>
      <c r="E565" s="29" t="s">
        <v>99</v>
      </c>
      <c r="F565" s="29" t="s">
        <v>127</v>
      </c>
      <c r="G565" s="32" t="str">
        <f>HYPERLINK("https://api.typeform.com/responses/files/f00baf808ca1f91180a4d92a21eb5f0b8c8e5202cc3275574bc4fa2bd35835ba/CV___Game_Design_Intern___Giao_Thái_Bảo.pdf")</f>
        <v>https://api.typeform.com/responses/files/f00baf808ca1f91180a4d92a21eb5f0b8c8e5202cc3275574bc4fa2bd35835ba/CV___Game_Design_Intern___Giao_Thái_Bảo.pdf</v>
      </c>
      <c r="H565" s="29" t="s">
        <v>5558</v>
      </c>
      <c r="I565" s="29" t="s">
        <v>5559</v>
      </c>
      <c r="J565" s="29" t="s">
        <v>326</v>
      </c>
      <c r="L565" s="29" t="s">
        <v>219</v>
      </c>
      <c r="M565" s="29" t="s">
        <v>1183</v>
      </c>
      <c r="N565" s="33">
        <v>38588.0</v>
      </c>
      <c r="O565" s="31" t="s">
        <v>1184</v>
      </c>
      <c r="P565" s="32" t="str">
        <f>HYPERLINK("https://api.typeform.com/responses/files/562d0dfc491ad55815a9b1d606f9b696437fd558d9a3dafff4d857da442f684f/Transcript___Game_Design_Intern___Giao_Thái_Bảo.pdf")</f>
        <v>https://api.typeform.com/responses/files/562d0dfc491ad55815a9b1d606f9b696437fd558d9a3dafff4d857da442f684f/Transcript___Game_Design_Intern___Giao_Thái_Bảo.pdf</v>
      </c>
      <c r="Q565" s="29" t="b">
        <v>1</v>
      </c>
      <c r="R565" s="29" t="s">
        <v>5560</v>
      </c>
      <c r="S565" s="29" t="s">
        <v>5561</v>
      </c>
      <c r="T565" s="29" t="s">
        <v>72</v>
      </c>
      <c r="U565" s="29" t="s">
        <v>72</v>
      </c>
      <c r="V565" s="29" t="s">
        <v>2992</v>
      </c>
      <c r="X565" s="29" t="s">
        <v>5562</v>
      </c>
      <c r="Y565" s="34">
        <v>46148.183587962965</v>
      </c>
      <c r="Z565" s="29" t="s">
        <v>5563</v>
      </c>
      <c r="AA565" s="6">
        <v>2.1</v>
      </c>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row>
    <row r="566" ht="22.5" hidden="1" customHeight="1">
      <c r="A566" s="29" t="s">
        <v>5564</v>
      </c>
      <c r="B566" s="30">
        <v>36565.0</v>
      </c>
      <c r="C566" s="29" t="s">
        <v>5565</v>
      </c>
      <c r="D566" s="31" t="s">
        <v>5566</v>
      </c>
      <c r="E566" s="29" t="s">
        <v>61</v>
      </c>
      <c r="F566" s="29" t="s">
        <v>99</v>
      </c>
      <c r="G566" s="32" t="str">
        <f>HYPERLINK("https://api.typeform.com/responses/files/49db19975847406654afd86ae3834b9173347d83479fcde20c4e85e48c0aaa9e/CV___Unity_Developer_Intern___Trieu_Phuoc_Minh_Long.pdf")</f>
        <v>https://api.typeform.com/responses/files/49db19975847406654afd86ae3834b9173347d83479fcde20c4e85e48c0aaa9e/CV___Unity_Developer_Intern___Trieu_Phuoc_Minh_Long.pdf</v>
      </c>
      <c r="H566" s="29" t="s">
        <v>5567</v>
      </c>
      <c r="I566" s="29" t="s">
        <v>5568</v>
      </c>
      <c r="J566" s="29" t="s">
        <v>65</v>
      </c>
      <c r="K566" s="29" t="s">
        <v>5569</v>
      </c>
      <c r="L566" s="29" t="s">
        <v>5570</v>
      </c>
      <c r="M566" s="29" t="s">
        <v>1183</v>
      </c>
      <c r="N566" s="33">
        <v>44743.0</v>
      </c>
      <c r="O566" s="31" t="s">
        <v>4446</v>
      </c>
      <c r="P566" s="32" t="str">
        <f>HYPERLINK("https://api.typeform.com/responses/files/ea4a02844ff77af8937368b644aff639f847a1b1c5dd6ec9656a7a6ed6776b58/20260506_112840.jpg")</f>
        <v>https://api.typeform.com/responses/files/ea4a02844ff77af8937368b644aff639f847a1b1c5dd6ec9656a7a6ed6776b58/20260506_112840.jpg</v>
      </c>
      <c r="Q566" s="29" t="b">
        <v>1</v>
      </c>
      <c r="R566" s="29" t="s">
        <v>5571</v>
      </c>
      <c r="S566" s="29" t="s">
        <v>5572</v>
      </c>
      <c r="T566" s="29" t="s">
        <v>72</v>
      </c>
      <c r="U566" s="29" t="s">
        <v>72</v>
      </c>
      <c r="V566" s="29" t="s">
        <v>73</v>
      </c>
      <c r="X566" s="29" t="s">
        <v>5573</v>
      </c>
      <c r="Y566" s="34">
        <v>46148.22269675926</v>
      </c>
      <c r="Z566" s="29" t="s">
        <v>5574</v>
      </c>
      <c r="AA566" s="6">
        <v>3.0</v>
      </c>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row>
    <row r="567" ht="22.5" hidden="1" customHeight="1">
      <c r="A567" s="29" t="s">
        <v>5575</v>
      </c>
      <c r="B567" s="30">
        <v>37327.0</v>
      </c>
      <c r="C567" s="29" t="s">
        <v>5576</v>
      </c>
      <c r="D567" s="31" t="s">
        <v>5577</v>
      </c>
      <c r="E567" s="29" t="s">
        <v>82</v>
      </c>
      <c r="F567" s="29" t="s">
        <v>62</v>
      </c>
      <c r="G567" s="32" t="str">
        <f>HYPERLINK("https://api.typeform.com/responses/files/5f605a1c6ce5ccbf94b2c914bde7c76bac3bd9a20b31503b1f0996616b88727b/CV___Data_Analysis_Intern___Nguyễn_Huy_Quang.pdf")</f>
        <v>https://api.typeform.com/responses/files/5f605a1c6ce5ccbf94b2c914bde7c76bac3bd9a20b31503b1f0996616b88727b/CV___Data_Analysis_Intern___Nguyễn_Huy_Quang.pdf</v>
      </c>
      <c r="H567" s="29" t="s">
        <v>5578</v>
      </c>
      <c r="I567" s="29" t="s">
        <v>5579</v>
      </c>
      <c r="J567" s="29" t="s">
        <v>326</v>
      </c>
      <c r="L567" s="29" t="s">
        <v>103</v>
      </c>
      <c r="M567" s="29" t="s">
        <v>5580</v>
      </c>
      <c r="N567" s="33">
        <v>45261.0</v>
      </c>
      <c r="O567" s="31" t="s">
        <v>1513</v>
      </c>
      <c r="P567" s="32" t="str">
        <f>HYPERLINK("https://api.typeform.com/responses/files/94698ddcb2b7aee40c4e884a98c16fd1f737ebd7d4b6ce02e7b06ffe9c435621/Transcript___Data_Analysis_Intern___Nguyễn_Huy_Quang.pdf")</f>
        <v>https://api.typeform.com/responses/files/94698ddcb2b7aee40c4e884a98c16fd1f737ebd7d4b6ce02e7b06ffe9c435621/Transcript___Data_Analysis_Intern___Nguyễn_Huy_Quang.pdf</v>
      </c>
      <c r="Q567" s="29" t="b">
        <v>1</v>
      </c>
      <c r="R567" s="29" t="s">
        <v>5581</v>
      </c>
      <c r="S567" s="29" t="s">
        <v>5582</v>
      </c>
      <c r="T567" s="29" t="s">
        <v>72</v>
      </c>
      <c r="U567" s="29" t="s">
        <v>72</v>
      </c>
      <c r="V567" s="29" t="s">
        <v>2992</v>
      </c>
      <c r="Y567" s="34">
        <v>46148.29047453704</v>
      </c>
      <c r="Z567" s="29" t="s">
        <v>5583</v>
      </c>
      <c r="AA567" s="6">
        <v>3.0</v>
      </c>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row>
    <row r="568" ht="22.5" hidden="1" customHeight="1">
      <c r="A568" s="29" t="s">
        <v>5584</v>
      </c>
      <c r="B568" s="30">
        <v>38141.0</v>
      </c>
      <c r="C568" s="29" t="s">
        <v>5585</v>
      </c>
      <c r="D568" s="31" t="s">
        <v>5586</v>
      </c>
      <c r="E568" s="29" t="s">
        <v>774</v>
      </c>
      <c r="F568" s="29" t="s">
        <v>774</v>
      </c>
      <c r="G568" s="32" t="str">
        <f>HYPERLINK("https://api.typeform.com/responses/files/4ab64870071dcbf725ff84f4dbb7426c409b24651cd3cabe4bee178f38db24ea/CV_Game_User_Acquisition_Intern_Nguyễn_Văn_Minh_Quân.pdf")</f>
        <v>https://api.typeform.com/responses/files/4ab64870071dcbf725ff84f4dbb7426c409b24651cd3cabe4bee178f38db24ea/CV_Game_User_Acquisition_Intern_Nguyễn_Văn_Minh_Quân.pdf</v>
      </c>
      <c r="H568" s="29" t="s">
        <v>5587</v>
      </c>
      <c r="I568" s="29" t="s">
        <v>5588</v>
      </c>
      <c r="J568" s="29" t="s">
        <v>338</v>
      </c>
      <c r="L568" s="29" t="s">
        <v>103</v>
      </c>
      <c r="M568" s="29" t="s">
        <v>1090</v>
      </c>
      <c r="N568" s="33">
        <v>46249.0</v>
      </c>
      <c r="O568" s="31" t="s">
        <v>890</v>
      </c>
      <c r="P568" s="32" t="str">
        <f>HYPERLINK("https://api.typeform.com/responses/files/179d97a6ce8854ae78de6bc21149aba1276e80ee3b3eed04c98a58367ea7d6f3/Transcript_Game_User_Acquisition_Intern_Nguyễn_Văn_Minh_Quân.pdf")</f>
        <v>https://api.typeform.com/responses/files/179d97a6ce8854ae78de6bc21149aba1276e80ee3b3eed04c98a58367ea7d6f3/Transcript_Game_User_Acquisition_Intern_Nguyễn_Văn_Minh_Quân.pdf</v>
      </c>
      <c r="Q568" s="29" t="b">
        <v>0</v>
      </c>
      <c r="R568" s="29" t="s">
        <v>5589</v>
      </c>
      <c r="S568" s="29" t="s">
        <v>686</v>
      </c>
      <c r="T568" s="29" t="s">
        <v>72</v>
      </c>
      <c r="U568" s="29" t="s">
        <v>72</v>
      </c>
      <c r="V568" s="29" t="s">
        <v>73</v>
      </c>
      <c r="X568" s="29" t="s">
        <v>5590</v>
      </c>
      <c r="Y568" s="34">
        <v>46148.312893518516</v>
      </c>
      <c r="Z568" s="29" t="s">
        <v>5591</v>
      </c>
      <c r="AA568" s="6">
        <v>3.0</v>
      </c>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row>
    <row r="569" ht="22.5" hidden="1" customHeight="1">
      <c r="A569" s="29" t="s">
        <v>5592</v>
      </c>
      <c r="B569" s="30">
        <v>37279.0</v>
      </c>
      <c r="C569" s="29" t="s">
        <v>5593</v>
      </c>
      <c r="D569" s="31" t="s">
        <v>5594</v>
      </c>
      <c r="E569" s="29" t="s">
        <v>99</v>
      </c>
      <c r="F569" s="29" t="s">
        <v>99</v>
      </c>
      <c r="G569" s="32" t="str">
        <f>HYPERLINK("https://api.typeform.com/responses/files/baef268895033ae2db029378e60dd25900094a58e6d7b1b1ecfb4450e0834491/CV___Game_Design__Intern___Lâm_Vũ_Bội_Nhi.pdf")</f>
        <v>https://api.typeform.com/responses/files/baef268895033ae2db029378e60dd25900094a58e6d7b1b1ecfb4450e0834491/CV___Game_Design__Intern___Lâm_Vũ_Bội_Nhi.pdf</v>
      </c>
      <c r="H569" s="29" t="s">
        <v>5595</v>
      </c>
      <c r="I569" s="29" t="s">
        <v>5596</v>
      </c>
      <c r="J569" s="29" t="s">
        <v>338</v>
      </c>
      <c r="L569" s="29" t="s">
        <v>103</v>
      </c>
      <c r="M569" s="29" t="s">
        <v>2170</v>
      </c>
      <c r="N569" s="33">
        <v>45657.0</v>
      </c>
      <c r="O569" s="31" t="s">
        <v>1524</v>
      </c>
      <c r="P569" s="32" t="str">
        <f>HYPERLINK("https://api.typeform.com/responses/files/cd34a024f6bdab93756832ae038ea84275a452b4d7d1bc206cf1deb4978c2f13/Transcript___Game_Design_Intern___Lâm_Vũ_Bội_Nhi.pdf")</f>
        <v>https://api.typeform.com/responses/files/cd34a024f6bdab93756832ae038ea84275a452b4d7d1bc206cf1deb4978c2f13/Transcript___Game_Design_Intern___Lâm_Vũ_Bội_Nhi.pdf</v>
      </c>
      <c r="Q569" s="29" t="b">
        <v>0</v>
      </c>
      <c r="R569" s="29" t="s">
        <v>5597</v>
      </c>
      <c r="S569" s="29" t="s">
        <v>5598</v>
      </c>
      <c r="T569" s="29" t="s">
        <v>72</v>
      </c>
      <c r="U569" s="29" t="s">
        <v>72</v>
      </c>
      <c r="V569" s="29" t="s">
        <v>224</v>
      </c>
      <c r="X569" s="29" t="s">
        <v>5599</v>
      </c>
      <c r="Y569" s="34">
        <v>46148.34101851852</v>
      </c>
      <c r="Z569" s="29" t="s">
        <v>5600</v>
      </c>
      <c r="AA569" s="6">
        <v>2.1</v>
      </c>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row>
    <row r="570" ht="22.5" hidden="1" customHeight="1">
      <c r="A570" s="29" t="s">
        <v>5601</v>
      </c>
      <c r="B570" s="30">
        <v>37801.0</v>
      </c>
      <c r="C570" s="29" t="s">
        <v>5602</v>
      </c>
      <c r="D570" s="31" t="s">
        <v>5603</v>
      </c>
      <c r="E570" s="29" t="s">
        <v>82</v>
      </c>
      <c r="F570" s="29" t="s">
        <v>99</v>
      </c>
      <c r="G570" s="32" t="str">
        <f>HYPERLINK("https://api.typeform.com/responses/files/6e6e85f927bef14a197f0c1bb938f4e9d531b685b27af4d261e7c9b7f9a92e0a/CV_AI_Engineer_Intern_HuynhAnhQuoc.pdf")</f>
        <v>https://api.typeform.com/responses/files/6e6e85f927bef14a197f0c1bb938f4e9d531b685b27af4d261e7c9b7f9a92e0a/CV_AI_Engineer_Intern_HuynhAnhQuoc.pdf</v>
      </c>
      <c r="H570" s="29" t="s">
        <v>5604</v>
      </c>
      <c r="I570" s="29" t="s">
        <v>5605</v>
      </c>
      <c r="J570" s="29" t="s">
        <v>130</v>
      </c>
      <c r="L570" s="29" t="s">
        <v>103</v>
      </c>
      <c r="M570" s="29" t="s">
        <v>104</v>
      </c>
      <c r="N570" s="33">
        <v>46095.0</v>
      </c>
      <c r="O570" s="31" t="s">
        <v>362</v>
      </c>
      <c r="P570" s="32" t="str">
        <f>HYPERLINK("https://api.typeform.com/responses/files/311f7a062b5d768ae8342bd24785e3e43256a039cd1e290a52c91ff5c408b36b/Transcript_AIEnginnerIntern_HuynhAnhQuoc.pdf")</f>
        <v>https://api.typeform.com/responses/files/311f7a062b5d768ae8342bd24785e3e43256a039cd1e290a52c91ff5c408b36b/Transcript_AIEnginnerIntern_HuynhAnhQuoc.pdf</v>
      </c>
      <c r="Q570" s="29" t="b">
        <v>1</v>
      </c>
      <c r="R570" s="29" t="s">
        <v>5606</v>
      </c>
      <c r="S570" s="29" t="s">
        <v>5607</v>
      </c>
      <c r="T570" s="29" t="s">
        <v>72</v>
      </c>
      <c r="U570" s="29" t="s">
        <v>72</v>
      </c>
      <c r="V570" s="29" t="s">
        <v>73</v>
      </c>
      <c r="X570" s="29" t="s">
        <v>5608</v>
      </c>
      <c r="Y570" s="34">
        <v>46148.39488425926</v>
      </c>
      <c r="Z570" s="29" t="s">
        <v>5609</v>
      </c>
      <c r="AA570" s="6">
        <v>3.0</v>
      </c>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row>
    <row r="571" ht="22.5" hidden="1" customHeight="1">
      <c r="A571" s="29" t="s">
        <v>5610</v>
      </c>
      <c r="B571" s="30">
        <v>37715.0</v>
      </c>
      <c r="C571" s="29" t="s">
        <v>5611</v>
      </c>
      <c r="D571" s="31" t="s">
        <v>5612</v>
      </c>
      <c r="E571" s="29" t="s">
        <v>99</v>
      </c>
      <c r="F571" s="29" t="s">
        <v>774</v>
      </c>
      <c r="G571" s="32" t="str">
        <f>HYPERLINK("https://api.typeform.com/responses/files/5c280975369c8f84dea110facd0dd7f7c0487aa7476b6a65a549d2b0336510ad/CV___Game_Design_Intern____Trương_Lê_Đán_Phúc_Nguyên.pdf")</f>
        <v>https://api.typeform.com/responses/files/5c280975369c8f84dea110facd0dd7f7c0487aa7476b6a65a549d2b0336510ad/CV___Game_Design_Intern____Trương_Lê_Đán_Phúc_Nguyên.pdf</v>
      </c>
      <c r="H571" s="29" t="s">
        <v>5613</v>
      </c>
      <c r="I571" s="29" t="s">
        <v>5614</v>
      </c>
      <c r="J571" s="29" t="s">
        <v>244</v>
      </c>
      <c r="L571" s="29" t="s">
        <v>103</v>
      </c>
      <c r="M571" s="29" t="s">
        <v>5615</v>
      </c>
      <c r="N571" s="33">
        <v>46171.0</v>
      </c>
      <c r="O571" s="31" t="s">
        <v>5616</v>
      </c>
      <c r="P571" s="32" t="str">
        <f>HYPERLINK("https://api.typeform.com/responses/files/aaab1ca80cc8629bef050780023d0d12354b6bfcb367e63a48baf9e1afeea04a/Transcript___Game_Design_Intern___Trương_Lê_Đán_Phúc_Nguyên_.pdf")</f>
        <v>https://api.typeform.com/responses/files/aaab1ca80cc8629bef050780023d0d12354b6bfcb367e63a48baf9e1afeea04a/Transcript___Game_Design_Intern___Trương_Lê_Đán_Phúc_Nguyên_.pdf</v>
      </c>
      <c r="Q571" s="29" t="b">
        <v>0</v>
      </c>
      <c r="R571" s="29" t="s">
        <v>5617</v>
      </c>
      <c r="S571" s="29" t="s">
        <v>5618</v>
      </c>
      <c r="T571" s="29" t="s">
        <v>72</v>
      </c>
      <c r="U571" s="29" t="s">
        <v>72</v>
      </c>
      <c r="V571" s="29" t="s">
        <v>224</v>
      </c>
      <c r="X571" s="29" t="s">
        <v>5619</v>
      </c>
      <c r="Y571" s="34">
        <v>46148.403969907406</v>
      </c>
      <c r="Z571" s="29" t="s">
        <v>5620</v>
      </c>
      <c r="AA571" s="6">
        <v>2.1</v>
      </c>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row>
    <row r="572" ht="22.5" hidden="1" customHeight="1">
      <c r="A572" s="29" t="s">
        <v>5621</v>
      </c>
      <c r="B572" s="30">
        <v>37721.0</v>
      </c>
      <c r="C572" s="29" t="s">
        <v>5621</v>
      </c>
      <c r="D572" s="31" t="s">
        <v>5622</v>
      </c>
      <c r="E572" s="29" t="s">
        <v>82</v>
      </c>
      <c r="F572" s="29" t="s">
        <v>99</v>
      </c>
      <c r="G572" s="32" t="str">
        <f>HYPERLINK("https://api.typeform.com/responses/files/785dbf3c71b07e9b5a0cd9be49248e6461c5a6a001c906e68935d1644ffd1e4e/CV_Game_Data_Analyst_Trần_Minh_Tài.pdf")</f>
        <v>https://api.typeform.com/responses/files/785dbf3c71b07e9b5a0cd9be49248e6461c5a6a001c906e68935d1644ffd1e4e/CV_Game_Data_Analyst_Trần_Minh_Tài.pdf</v>
      </c>
      <c r="H572" s="29" t="s">
        <v>5623</v>
      </c>
      <c r="I572" s="29" t="s">
        <v>5624</v>
      </c>
      <c r="J572" s="29" t="s">
        <v>2581</v>
      </c>
      <c r="L572" s="29" t="s">
        <v>103</v>
      </c>
      <c r="M572" s="29" t="s">
        <v>1496</v>
      </c>
      <c r="N572" s="33">
        <v>45808.0</v>
      </c>
      <c r="O572" s="31" t="s">
        <v>1003</v>
      </c>
      <c r="P572" s="32" t="str">
        <f>HYPERLINK("https://api.typeform.com/responses/files/db9d702e1539e0438a562540dd7fcab37373ab61a04c6ec70684a63b6157d738/Transcript___Game_Data_Analysis_Intern___Trần_Minh_Tài.pdf")</f>
        <v>https://api.typeform.com/responses/files/db9d702e1539e0438a562540dd7fcab37373ab61a04c6ec70684a63b6157d738/Transcript___Game_Data_Analysis_Intern___Trần_Minh_Tài.pdf</v>
      </c>
      <c r="Q572" s="29" t="b">
        <v>1</v>
      </c>
      <c r="R572" s="29" t="s">
        <v>5625</v>
      </c>
      <c r="S572" s="29" t="s">
        <v>5626</v>
      </c>
      <c r="T572" s="29" t="s">
        <v>72</v>
      </c>
      <c r="U572" s="29" t="s">
        <v>72</v>
      </c>
      <c r="V572" s="29" t="s">
        <v>73</v>
      </c>
      <c r="Y572" s="34">
        <v>46148.433020833334</v>
      </c>
      <c r="Z572" s="29" t="s">
        <v>5627</v>
      </c>
      <c r="AA572" s="6">
        <v>3.0</v>
      </c>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row>
    <row r="573" ht="22.5" hidden="1" customHeight="1">
      <c r="A573" s="29" t="s">
        <v>5628</v>
      </c>
      <c r="B573" s="30">
        <v>38244.0</v>
      </c>
      <c r="C573" s="29" t="s">
        <v>5629</v>
      </c>
      <c r="D573" s="31" t="s">
        <v>5630</v>
      </c>
      <c r="E573" s="29" t="s">
        <v>61</v>
      </c>
      <c r="F573" s="29" t="s">
        <v>99</v>
      </c>
      <c r="G573" s="32" t="str">
        <f>HYPERLINK("https://api.typeform.com/responses/files/3ebe5ba92d667fa8c24e31de49ee5358537d6cd7f2f07e7dbf9514fa668fec7a/CV___Unity_Development_Intern___Trương_Lâm_Gia_Vỹ.pdf")</f>
        <v>https://api.typeform.com/responses/files/3ebe5ba92d667fa8c24e31de49ee5358537d6cd7f2f07e7dbf9514fa668fec7a/CV___Unity_Development_Intern___Trương_Lâm_Gia_Vỹ.pdf</v>
      </c>
      <c r="H573" s="29" t="s">
        <v>5631</v>
      </c>
      <c r="I573" s="29" t="s">
        <v>5632</v>
      </c>
      <c r="J573" s="29" t="s">
        <v>1610</v>
      </c>
      <c r="L573" s="29" t="s">
        <v>67</v>
      </c>
      <c r="M573" s="29" t="s">
        <v>1183</v>
      </c>
      <c r="N573" s="33">
        <v>46310.0</v>
      </c>
      <c r="O573" s="31" t="s">
        <v>5633</v>
      </c>
      <c r="P573" s="32" t="str">
        <f>HYPERLINK("https://api.typeform.com/responses/files/0cd3c374730e09fcf8c5a80b24ff5f1f3ded607b1415be125701e8e964693df4/Transcript___Unity_Development_Intern___Trương_Lâm_Gia_Vỹ.xlsx")</f>
        <v>https://api.typeform.com/responses/files/0cd3c374730e09fcf8c5a80b24ff5f1f3ded607b1415be125701e8e964693df4/Transcript___Unity_Development_Intern___Trương_Lâm_Gia_Vỹ.xlsx</v>
      </c>
      <c r="Q573" s="29" t="b">
        <v>1</v>
      </c>
      <c r="R573" s="29" t="s">
        <v>5634</v>
      </c>
      <c r="S573" s="29" t="s">
        <v>5635</v>
      </c>
      <c r="T573" s="29" t="s">
        <v>72</v>
      </c>
      <c r="U573" s="29" t="s">
        <v>72</v>
      </c>
      <c r="V573" s="29" t="s">
        <v>73</v>
      </c>
      <c r="X573" s="29" t="s">
        <v>5636</v>
      </c>
      <c r="Y573" s="34">
        <v>46148.442928240744</v>
      </c>
      <c r="Z573" s="29" t="s">
        <v>5637</v>
      </c>
      <c r="AA573" s="6">
        <v>3.0</v>
      </c>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row>
    <row r="574" ht="22.5" hidden="1" customHeight="1">
      <c r="A574" s="29" t="s">
        <v>5638</v>
      </c>
      <c r="B574" s="30">
        <v>38222.0</v>
      </c>
      <c r="C574" s="29" t="s">
        <v>5639</v>
      </c>
      <c r="D574" s="31" t="s">
        <v>5640</v>
      </c>
      <c r="E574" s="29" t="s">
        <v>61</v>
      </c>
      <c r="F574" s="29" t="s">
        <v>99</v>
      </c>
      <c r="G574" s="32" t="str">
        <f>HYPERLINK("https://api.typeform.com/responses/files/3d7a23a002b3c9383123a9c4ebf68fba8c9f3f6b9916d503b63d39853ec47f7c/CV.pdf")</f>
        <v>https://api.typeform.com/responses/files/3d7a23a002b3c9383123a9c4ebf68fba8c9f3f6b9916d503b63d39853ec47f7c/CV.pdf</v>
      </c>
      <c r="H574" s="29" t="s">
        <v>5641</v>
      </c>
      <c r="I574" s="29" t="s">
        <v>5642</v>
      </c>
      <c r="J574" s="29" t="s">
        <v>144</v>
      </c>
      <c r="L574" s="29" t="s">
        <v>103</v>
      </c>
      <c r="M574" s="29" t="s">
        <v>5643</v>
      </c>
      <c r="N574" s="33">
        <v>46354.0</v>
      </c>
      <c r="O574" s="31" t="s">
        <v>1132</v>
      </c>
      <c r="P574" s="32" t="str">
        <f>HYPERLINK("https://api.typeform.com/responses/files/0377bea85423f7523c23eb4d8932831a0d6abfb263bc40a4c6c04e72fabaaa5c/Transcript___GameDeveloper___Tô_Gia_Lợi.pdf")</f>
        <v>https://api.typeform.com/responses/files/0377bea85423f7523c23eb4d8932831a0d6abfb263bc40a4c6c04e72fabaaa5c/Transcript___GameDeveloper___Tô_Gia_Lợi.pdf</v>
      </c>
      <c r="Q574" s="29" t="b">
        <v>1</v>
      </c>
      <c r="R574" s="29" t="s">
        <v>5644</v>
      </c>
      <c r="S574" s="29" t="s">
        <v>5645</v>
      </c>
      <c r="T574" s="29" t="s">
        <v>72</v>
      </c>
      <c r="U574" s="29" t="s">
        <v>72</v>
      </c>
      <c r="V574" s="29" t="s">
        <v>188</v>
      </c>
      <c r="X574" s="29" t="s">
        <v>5646</v>
      </c>
      <c r="Y574" s="34">
        <v>46148.507835648146</v>
      </c>
      <c r="Z574" s="29" t="s">
        <v>5647</v>
      </c>
      <c r="AA574" s="6">
        <v>3.0</v>
      </c>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row>
    <row r="575" ht="22.5" hidden="1" customHeight="1">
      <c r="A575" s="29" t="s">
        <v>5648</v>
      </c>
      <c r="B575" s="30">
        <v>38573.0</v>
      </c>
      <c r="C575" s="29" t="s">
        <v>5649</v>
      </c>
      <c r="D575" s="31" t="s">
        <v>5650</v>
      </c>
      <c r="E575" s="29" t="s">
        <v>774</v>
      </c>
      <c r="G575" s="32" t="str">
        <f>HYPERLINK("https://api.typeform.com/responses/files/e1bc1ad2aff25cce2636d4cdf2500285a965a1e226ae5b30945f627d362cc207/CV___Game_User_Acquisition_Intern___Lê_Thị_Hoa.pdf")</f>
        <v>https://api.typeform.com/responses/files/e1bc1ad2aff25cce2636d4cdf2500285a965a1e226ae5b30945f627d362cc207/CV___Game_User_Acquisition_Intern___Lê_Thị_Hoa.pdf</v>
      </c>
      <c r="H575" s="29" t="s">
        <v>5651</v>
      </c>
      <c r="I575" s="29" t="s">
        <v>5652</v>
      </c>
      <c r="J575" s="29" t="s">
        <v>2293</v>
      </c>
      <c r="L575" s="29" t="s">
        <v>67</v>
      </c>
      <c r="M575" s="29" t="s">
        <v>5653</v>
      </c>
      <c r="N575" s="33">
        <v>46447.0</v>
      </c>
      <c r="O575" s="31" t="s">
        <v>233</v>
      </c>
      <c r="P575" s="32" t="str">
        <f>HYPERLINK("https://api.typeform.com/responses/files/d677f7c6eb58b6fd4e9add5ea7a1956740accfdf64d40d74bb277f513703d558/BangDiem.pdf")</f>
        <v>https://api.typeform.com/responses/files/d677f7c6eb58b6fd4e9add5ea7a1956740accfdf64d40d74bb277f513703d558/BangDiem.pdf</v>
      </c>
      <c r="Q575" s="29" t="b">
        <v>0</v>
      </c>
      <c r="R575" s="29" t="s">
        <v>5654</v>
      </c>
      <c r="S575" s="29" t="s">
        <v>5655</v>
      </c>
      <c r="T575" s="29" t="s">
        <v>72</v>
      </c>
      <c r="U575" s="29" t="s">
        <v>72</v>
      </c>
      <c r="V575" s="29" t="s">
        <v>544</v>
      </c>
      <c r="X575" s="29" t="s">
        <v>5656</v>
      </c>
      <c r="Y575" s="34">
        <v>46148.51268518518</v>
      </c>
      <c r="Z575" s="29" t="s">
        <v>5657</v>
      </c>
      <c r="AA575" s="6">
        <v>3.0</v>
      </c>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row>
    <row r="576" ht="22.5" hidden="1" customHeight="1">
      <c r="A576" s="29" t="s">
        <v>5658</v>
      </c>
      <c r="B576" s="30">
        <v>37952.0</v>
      </c>
      <c r="C576" s="29" t="s">
        <v>5659</v>
      </c>
      <c r="D576" s="31" t="s">
        <v>5660</v>
      </c>
      <c r="E576" s="29" t="s">
        <v>99</v>
      </c>
      <c r="F576" s="29" t="s">
        <v>99</v>
      </c>
      <c r="G576" s="32" t="str">
        <f>HYPERLINK("https://api.typeform.com/responses/files/093ba1938d29f69e19ec3ef3d3a912e5762dc0b7afb1c3849aae38780441008c/Phan_Vu_Truong_An_Intern_Game_Designer.pdf")</f>
        <v>https://api.typeform.com/responses/files/093ba1938d29f69e19ec3ef3d3a912e5762dc0b7afb1c3849aae38780441008c/Phan_Vu_Truong_An_Intern_Game_Designer.pdf</v>
      </c>
      <c r="H576" s="29" t="s">
        <v>5661</v>
      </c>
      <c r="I576" s="29" t="s">
        <v>5662</v>
      </c>
      <c r="J576" s="29" t="s">
        <v>842</v>
      </c>
      <c r="L576" s="29" t="s">
        <v>5663</v>
      </c>
      <c r="M576" s="29" t="s">
        <v>1425</v>
      </c>
      <c r="N576" s="33">
        <v>45805.0</v>
      </c>
      <c r="O576" s="31" t="s">
        <v>317</v>
      </c>
      <c r="P576" s="32" t="str">
        <f>HYPERLINK("https://api.typeform.com/responses/files/f19fa210ca0851c827e2ba1e8790eb800f1f779fe072e3c0c61d398f3354b765/Transcript___Game_Disigner_Intern___Phan_Vũ_Trường_An.xlsx")</f>
        <v>https://api.typeform.com/responses/files/f19fa210ca0851c827e2ba1e8790eb800f1f779fe072e3c0c61d398f3354b765/Transcript___Game_Disigner_Intern___Phan_Vũ_Trường_An.xlsx</v>
      </c>
      <c r="Q576" s="29" t="b">
        <v>1</v>
      </c>
      <c r="R576" s="29" t="s">
        <v>5664</v>
      </c>
      <c r="S576" s="29" t="s">
        <v>5665</v>
      </c>
      <c r="T576" s="29" t="s">
        <v>72</v>
      </c>
      <c r="U576" s="29" t="s">
        <v>72</v>
      </c>
      <c r="V576" s="29" t="s">
        <v>90</v>
      </c>
      <c r="X576" s="29" t="s">
        <v>5666</v>
      </c>
      <c r="Y576" s="34">
        <v>46148.52444444445</v>
      </c>
      <c r="Z576" s="29" t="s">
        <v>5667</v>
      </c>
      <c r="AA576" s="6">
        <v>2.1</v>
      </c>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row>
    <row r="577" ht="22.5" hidden="1" customHeight="1">
      <c r="A577" s="29" t="s">
        <v>5668</v>
      </c>
      <c r="B577" s="30">
        <v>37528.0</v>
      </c>
      <c r="C577" s="29" t="s">
        <v>5669</v>
      </c>
      <c r="D577" s="31" t="s">
        <v>5670</v>
      </c>
      <c r="E577" s="29" t="s">
        <v>62</v>
      </c>
      <c r="F577" s="29" t="s">
        <v>82</v>
      </c>
      <c r="G577" s="32" t="str">
        <f>HYPERLINK("https://api.typeform.com/responses/files/46b363832a6d05141111b0648ca95f0d7b7c3c20351d080965614f67cf5f1d49/CV___AI_Engineering_Intern___Nguyễn_Cang_Trường.pdf")</f>
        <v>https://api.typeform.com/responses/files/46b363832a6d05141111b0648ca95f0d7b7c3c20351d080965614f67cf5f1d49/CV___AI_Engineering_Intern___Nguyễn_Cang_Trường.pdf</v>
      </c>
      <c r="H577" s="29" t="s">
        <v>5671</v>
      </c>
      <c r="I577" s="29" t="s">
        <v>5672</v>
      </c>
      <c r="J577" s="29" t="s">
        <v>65</v>
      </c>
      <c r="K577" s="29" t="s">
        <v>102</v>
      </c>
      <c r="L577" s="29" t="s">
        <v>103</v>
      </c>
      <c r="M577" s="29" t="s">
        <v>570</v>
      </c>
      <c r="N577" s="33">
        <v>45802.0</v>
      </c>
      <c r="O577" s="31" t="s">
        <v>5673</v>
      </c>
      <c r="P577" s="32" t="str">
        <f>HYPERLINK("https://api.typeform.com/responses/files/cddb7ed7c3445a09ade9574a925e71c5f94e3f6d5d8f49f1dbc613bf12a10063/Transcript___AI_Engineering_Intern___Nguyễn_Cang_Trường.pdf")</f>
        <v>https://api.typeform.com/responses/files/cddb7ed7c3445a09ade9574a925e71c5f94e3f6d5d8f49f1dbc613bf12a10063/Transcript___AI_Engineering_Intern___Nguyễn_Cang_Trường.pdf</v>
      </c>
      <c r="Q577" s="29" t="b">
        <v>0</v>
      </c>
      <c r="R577" s="29" t="s">
        <v>5674</v>
      </c>
      <c r="S577" s="29" t="s">
        <v>5675</v>
      </c>
      <c r="T577" s="29" t="s">
        <v>72</v>
      </c>
      <c r="U577" s="29" t="s">
        <v>72</v>
      </c>
      <c r="V577" s="29" t="s">
        <v>90</v>
      </c>
      <c r="Y577" s="34">
        <v>46148.52579861111</v>
      </c>
      <c r="Z577" s="29" t="s">
        <v>5676</v>
      </c>
      <c r="AA577" s="6">
        <v>3.0</v>
      </c>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row>
    <row r="578" ht="22.5" hidden="1" customHeight="1">
      <c r="A578" s="29" t="s">
        <v>5677</v>
      </c>
      <c r="B578" s="30">
        <v>38053.0</v>
      </c>
      <c r="C578" s="29" t="s">
        <v>5678</v>
      </c>
      <c r="D578" s="31" t="s">
        <v>5679</v>
      </c>
      <c r="E578" s="29" t="s">
        <v>62</v>
      </c>
      <c r="F578" s="29" t="s">
        <v>127</v>
      </c>
      <c r="G578" s="32" t="str">
        <f>HYPERLINK("https://api.typeform.com/responses/files/d6e68cd5798ce2d15ef5be21b8c55b7affd37250c3895dd1f9d953602821e345/CV___AI_Engineer_Intern___Hồ_Ngọc_Hiếu.pdf")</f>
        <v>https://api.typeform.com/responses/files/d6e68cd5798ce2d15ef5be21b8c55b7affd37250c3895dd1f9d953602821e345/CV___AI_Engineer_Intern___Hồ_Ngọc_Hiếu.pdf</v>
      </c>
      <c r="H578" s="29" t="s">
        <v>5680</v>
      </c>
      <c r="I578" s="29" t="s">
        <v>5681</v>
      </c>
      <c r="J578" s="29" t="s">
        <v>326</v>
      </c>
      <c r="L578" s="29" t="s">
        <v>67</v>
      </c>
      <c r="M578" s="29" t="s">
        <v>930</v>
      </c>
      <c r="N578" s="33">
        <v>46264.0</v>
      </c>
      <c r="O578" s="31" t="s">
        <v>4417</v>
      </c>
      <c r="P578" s="32" t="str">
        <f>HYPERLINK("https://api.typeform.com/responses/files/7982f6b3511b5c284a9e5507d3be1166962217211ee98f9fee7ccb8b646a86c5/Transcript___AI_Engineer_Intern___Hồ_Ngọc_Hiếu.pdf")</f>
        <v>https://api.typeform.com/responses/files/7982f6b3511b5c284a9e5507d3be1166962217211ee98f9fee7ccb8b646a86c5/Transcript___AI_Engineer_Intern___Hồ_Ngọc_Hiếu.pdf</v>
      </c>
      <c r="Q578" s="29" t="b">
        <v>1</v>
      </c>
      <c r="R578" s="29" t="s">
        <v>5682</v>
      </c>
      <c r="S578" s="29" t="s">
        <v>5683</v>
      </c>
      <c r="T578" s="29" t="s">
        <v>72</v>
      </c>
      <c r="U578" s="29" t="s">
        <v>72</v>
      </c>
      <c r="V578" s="29" t="s">
        <v>269</v>
      </c>
      <c r="Y578" s="34">
        <v>46148.57094907408</v>
      </c>
      <c r="Z578" s="29" t="s">
        <v>5684</v>
      </c>
      <c r="AA578" s="6">
        <v>3.0</v>
      </c>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row>
    <row r="579" ht="22.5" hidden="1" customHeight="1">
      <c r="A579" s="29" t="s">
        <v>5685</v>
      </c>
      <c r="B579" s="30">
        <v>38621.0</v>
      </c>
      <c r="C579" s="29" t="s">
        <v>5686</v>
      </c>
      <c r="D579" s="31" t="s">
        <v>5687</v>
      </c>
      <c r="E579" s="29" t="s">
        <v>82</v>
      </c>
      <c r="F579" s="29" t="s">
        <v>62</v>
      </c>
      <c r="G579" s="32" t="str">
        <f>HYPERLINK("https://api.typeform.com/responses/files/b76c45faf6d973bf069ae312af56632e78b9cc50660109a2624417e2ae3cb953/CV_Intern_TranCamTu.pdf")</f>
        <v>https://api.typeform.com/responses/files/b76c45faf6d973bf069ae312af56632e78b9cc50660109a2624417e2ae3cb953/CV_Intern_TranCamTu.pdf</v>
      </c>
      <c r="H579" s="29" t="s">
        <v>5688</v>
      </c>
      <c r="I579" s="29" t="s">
        <v>5689</v>
      </c>
      <c r="J579" s="29" t="s">
        <v>1023</v>
      </c>
      <c r="L579" s="29" t="s">
        <v>219</v>
      </c>
      <c r="M579" s="29" t="s">
        <v>86</v>
      </c>
      <c r="N579" s="33">
        <v>46653.0</v>
      </c>
      <c r="O579" s="29" t="s">
        <v>5690</v>
      </c>
      <c r="P579" s="32" t="str">
        <f>HYPERLINK("https://api.typeform.com/responses/files/a1d504bc322f40d121277e142d00898fa604aa597f203eff2c7f6709d6716d84/Transcript___Data_Analysis_Intern___TranCamTu.pdf")</f>
        <v>https://api.typeform.com/responses/files/a1d504bc322f40d121277e142d00898fa604aa597f203eff2c7f6709d6716d84/Transcript___Data_Analysis_Intern___TranCamTu.pdf</v>
      </c>
      <c r="Q579" s="29" t="b">
        <v>0</v>
      </c>
      <c r="R579" s="29" t="s">
        <v>5691</v>
      </c>
      <c r="S579" s="29" t="s">
        <v>5692</v>
      </c>
      <c r="T579" s="29" t="s">
        <v>72</v>
      </c>
      <c r="U579" s="29" t="s">
        <v>72</v>
      </c>
      <c r="V579" s="29" t="s">
        <v>73</v>
      </c>
      <c r="X579" s="29" t="s">
        <v>5693</v>
      </c>
      <c r="Y579" s="34">
        <v>46148.647199074076</v>
      </c>
      <c r="Z579" s="29" t="s">
        <v>5694</v>
      </c>
      <c r="AA579" s="6">
        <v>3.0</v>
      </c>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row>
    <row r="580" ht="22.5" hidden="1" customHeight="1">
      <c r="A580" s="29" t="s">
        <v>5695</v>
      </c>
      <c r="B580" s="30">
        <v>39191.0</v>
      </c>
      <c r="C580" s="29" t="s">
        <v>5696</v>
      </c>
      <c r="D580" s="31" t="s">
        <v>5697</v>
      </c>
      <c r="E580" s="29" t="s">
        <v>774</v>
      </c>
      <c r="G580" s="32" t="str">
        <f>HYPERLINK("https://api.typeform.com/responses/files/1062bd437edc2439b7ca92f2500bbfd57b8fab3693728598b03b324433637e28/CV___Game_User_Acquisition___Trần_Thị_Trúc_Linh.pdf")</f>
        <v>https://api.typeform.com/responses/files/1062bd437edc2439b7ca92f2500bbfd57b8fab3693728598b03b324433637e28/CV___Game_User_Acquisition___Trần_Thị_Trúc_Linh.pdf</v>
      </c>
      <c r="H580" s="29" t="s">
        <v>5698</v>
      </c>
      <c r="I580" s="29" t="s">
        <v>5699</v>
      </c>
      <c r="J580" s="29" t="s">
        <v>842</v>
      </c>
      <c r="L580" s="29" t="s">
        <v>169</v>
      </c>
      <c r="M580" s="29" t="s">
        <v>5700</v>
      </c>
      <c r="N580" s="33">
        <v>39191.0</v>
      </c>
      <c r="O580" s="29" t="s">
        <v>5701</v>
      </c>
      <c r="P580" s="32" t="str">
        <f>HYPERLINK("https://api.typeform.com/responses/files/5fc8e05305eec332884489c409024320a2b3866ac17d5a30bbb9b41e6dd90f44/CV___Game_User_Acquisition___Trần_Thị_Trúc_Linh.pdf")</f>
        <v>https://api.typeform.com/responses/files/5fc8e05305eec332884489c409024320a2b3866ac17d5a30bbb9b41e6dd90f44/CV___Game_User_Acquisition___Trần_Thị_Trúc_Linh.pdf</v>
      </c>
      <c r="Q580" s="29" t="b">
        <v>1</v>
      </c>
      <c r="R580" s="29" t="s">
        <v>5702</v>
      </c>
      <c r="S580" s="29" t="s">
        <v>5703</v>
      </c>
      <c r="T580" s="29" t="s">
        <v>72</v>
      </c>
      <c r="U580" s="29" t="s">
        <v>72</v>
      </c>
      <c r="V580" s="29" t="s">
        <v>73</v>
      </c>
      <c r="Y580" s="34">
        <v>46148.6493287037</v>
      </c>
      <c r="Z580" s="29" t="s">
        <v>5704</v>
      </c>
      <c r="AA580" s="6">
        <v>3.0</v>
      </c>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row>
    <row r="581" ht="22.5" hidden="1" customHeight="1">
      <c r="A581" s="29" t="s">
        <v>5705</v>
      </c>
      <c r="B581" s="30">
        <v>37947.0</v>
      </c>
      <c r="C581" s="29" t="s">
        <v>5706</v>
      </c>
      <c r="D581" s="31" t="s">
        <v>5707</v>
      </c>
      <c r="E581" s="29" t="s">
        <v>633</v>
      </c>
      <c r="G581" s="32" t="str">
        <f>HYPERLINK("https://api.typeform.com/responses/files/65b90bb9e43f64a90c4a89df4424a1c24a881d3ed3305846233bc016702c5714/CV_Human_Resources_Intern_Trần_Nguyễn_Hạnh_Trang.pdf")</f>
        <v>https://api.typeform.com/responses/files/65b90bb9e43f64a90c4a89df4424a1c24a881d3ed3305846233bc016702c5714/CV_Human_Resources_Intern_Trần_Nguyễn_Hạnh_Trang.pdf</v>
      </c>
      <c r="H581" s="29" t="s">
        <v>5708</v>
      </c>
      <c r="I581" s="29" t="s">
        <v>5709</v>
      </c>
      <c r="J581" s="29" t="s">
        <v>1435</v>
      </c>
      <c r="L581" s="29" t="s">
        <v>103</v>
      </c>
      <c r="M581" s="29" t="s">
        <v>1436</v>
      </c>
      <c r="N581" s="33">
        <v>45900.0</v>
      </c>
      <c r="O581" s="31" t="s">
        <v>2503</v>
      </c>
      <c r="P581" s="32" t="str">
        <f>HYPERLINK("https://api.typeform.com/responses/files/d07cbc82284fcbb36f7b77e77c9f04852c3fc283ff90bc55efc60106a480e051/Transcript_Human_Resources_Intern_Tran_Nguyen_Hanh_Trang.pdf")</f>
        <v>https://api.typeform.com/responses/files/d07cbc82284fcbb36f7b77e77c9f04852c3fc283ff90bc55efc60106a480e051/Transcript_Human_Resources_Intern_Tran_Nguyen_Hanh_Trang.pdf</v>
      </c>
      <c r="Q581" s="29" t="b">
        <v>0</v>
      </c>
      <c r="R581" s="29" t="s">
        <v>1437</v>
      </c>
      <c r="S581" s="29" t="s">
        <v>5710</v>
      </c>
      <c r="T581" s="29" t="s">
        <v>72</v>
      </c>
      <c r="U581" s="29" t="s">
        <v>72</v>
      </c>
      <c r="V581" s="29" t="s">
        <v>224</v>
      </c>
      <c r="X581" s="29" t="s">
        <v>222</v>
      </c>
      <c r="Y581" s="34">
        <v>46148.657685185186</v>
      </c>
      <c r="Z581" s="29" t="s">
        <v>5711</v>
      </c>
      <c r="AA581" s="6">
        <v>3.0</v>
      </c>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row>
    <row r="582" ht="22.5" hidden="1" customHeight="1">
      <c r="A582" s="29" t="s">
        <v>5712</v>
      </c>
      <c r="B582" s="30">
        <v>38488.0</v>
      </c>
      <c r="C582" s="29" t="s">
        <v>5713</v>
      </c>
      <c r="D582" s="31" t="s">
        <v>5714</v>
      </c>
      <c r="E582" s="29" t="s">
        <v>62</v>
      </c>
      <c r="F582" s="29" t="s">
        <v>82</v>
      </c>
      <c r="G582" s="32" t="str">
        <f>HYPERLINK("https://api.typeform.com/responses/files/42e5adf1b77f525315fada848cc89bb771e2a141a7b9a768f707cb4c07bc8d76/CV___AI_Engineering_Intern___Nguyễn_Trần_Phương_Mai.pdf")</f>
        <v>https://api.typeform.com/responses/files/42e5adf1b77f525315fada848cc89bb771e2a141a7b9a768f707cb4c07bc8d76/CV___AI_Engineering_Intern___Nguyễn_Trần_Phương_Mai.pdf</v>
      </c>
      <c r="H582" s="29" t="s">
        <v>5715</v>
      </c>
      <c r="I582" s="29" t="s">
        <v>5716</v>
      </c>
      <c r="J582" s="29" t="s">
        <v>715</v>
      </c>
      <c r="L582" s="29" t="s">
        <v>219</v>
      </c>
      <c r="M582" s="29" t="s">
        <v>399</v>
      </c>
      <c r="N582" s="33">
        <v>46537.0</v>
      </c>
      <c r="O582" s="31" t="s">
        <v>1212</v>
      </c>
      <c r="P582" s="32" t="str">
        <f>HYPERLINK("https://api.typeform.com/responses/files/232d72402a3fa22cfbc3e556e4adb04f3139e3864891977fe2207c494ce8acbf/Transcript___AI_Engineering_Intern___Nguyễn_Trần_Phương_Mai.pdf")</f>
        <v>https://api.typeform.com/responses/files/232d72402a3fa22cfbc3e556e4adb04f3139e3864891977fe2207c494ce8acbf/Transcript___AI_Engineering_Intern___Nguyễn_Trần_Phương_Mai.pdf</v>
      </c>
      <c r="Q582" s="29" t="b">
        <v>1</v>
      </c>
      <c r="R582" s="29" t="s">
        <v>5717</v>
      </c>
      <c r="S582" s="29" t="s">
        <v>5718</v>
      </c>
      <c r="T582" s="29" t="s">
        <v>72</v>
      </c>
      <c r="U582" s="29" t="s">
        <v>72</v>
      </c>
      <c r="V582" s="29" t="s">
        <v>2389</v>
      </c>
      <c r="X582" s="29" t="s">
        <v>5719</v>
      </c>
      <c r="Y582" s="34">
        <v>46148.670648148145</v>
      </c>
      <c r="Z582" s="29" t="s">
        <v>5720</v>
      </c>
      <c r="AA582" s="6">
        <v>3.0</v>
      </c>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row>
    <row r="583" ht="22.5" hidden="1" customHeight="1">
      <c r="A583" s="29" t="s">
        <v>5721</v>
      </c>
      <c r="B583" s="30">
        <v>37698.0</v>
      </c>
      <c r="C583" s="29" t="s">
        <v>5722</v>
      </c>
      <c r="D583" s="31" t="s">
        <v>5723</v>
      </c>
      <c r="E583" s="29" t="s">
        <v>127</v>
      </c>
      <c r="F583" s="29" t="s">
        <v>127</v>
      </c>
      <c r="G583" s="32" t="str">
        <f>HYPERLINK("https://api.typeform.com/responses/files/197a8134413b7f89d53563ddc6833231dfa4a05339ddc5c9f9e13ea34152e128/inbound8750467988551631756.pdf")</f>
        <v>https://api.typeform.com/responses/files/197a8134413b7f89d53563ddc6833231dfa4a05339ddc5c9f9e13ea34152e128/inbound8750467988551631756.pdf</v>
      </c>
      <c r="H583" s="29" t="s">
        <v>5724</v>
      </c>
      <c r="I583" s="29" t="s">
        <v>5725</v>
      </c>
      <c r="J583" s="29" t="s">
        <v>116</v>
      </c>
      <c r="L583" s="29" t="s">
        <v>103</v>
      </c>
      <c r="M583" s="29" t="s">
        <v>1830</v>
      </c>
      <c r="N583" s="33">
        <v>46031.0</v>
      </c>
      <c r="O583" s="31" t="s">
        <v>1382</v>
      </c>
      <c r="P583" s="32" t="str">
        <f>HYPERLINK("https://api.typeform.com/responses/files/36050fdee38f55174ad95ed500e1bc75fae6f68d2b7c5059fc507b7e69231cf2/inbound6583833467137997340.pdf")</f>
        <v>https://api.typeform.com/responses/files/36050fdee38f55174ad95ed500e1bc75fae6f68d2b7c5059fc507b7e69231cf2/inbound6583833467137997340.pdf</v>
      </c>
      <c r="Q583" s="29" t="b">
        <v>1</v>
      </c>
      <c r="R583" s="29" t="s">
        <v>5726</v>
      </c>
      <c r="S583" s="29" t="s">
        <v>5727</v>
      </c>
      <c r="T583" s="29" t="s">
        <v>72</v>
      </c>
      <c r="U583" s="29" t="s">
        <v>72</v>
      </c>
      <c r="V583" s="29" t="s">
        <v>73</v>
      </c>
      <c r="X583" s="29" t="s">
        <v>5728</v>
      </c>
      <c r="Y583" s="34">
        <v>46148.70991898148</v>
      </c>
      <c r="Z583" s="29" t="s">
        <v>5729</v>
      </c>
      <c r="AA583" s="6">
        <v>3.0</v>
      </c>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row>
    <row r="584" ht="22.5" hidden="1" customHeight="1">
      <c r="A584" s="29" t="s">
        <v>5730</v>
      </c>
      <c r="B584" s="30">
        <v>38836.0</v>
      </c>
      <c r="C584" s="29" t="s">
        <v>5731</v>
      </c>
      <c r="D584" s="31" t="s">
        <v>5732</v>
      </c>
      <c r="E584" s="29" t="s">
        <v>82</v>
      </c>
      <c r="G584" s="32" t="str">
        <f>HYPERLINK("https://api.typeform.com/responses/files/391becd546cef329fe2b04f86cfb4237368cfe9fa1b4ed6ae7cd730e2ccf6b9a/CV___Data_Analysis_Intern___Phạm_Quang_Vinh.pdf")</f>
        <v>https://api.typeform.com/responses/files/391becd546cef329fe2b04f86cfb4237368cfe9fa1b4ed6ae7cd730e2ccf6b9a/CV___Data_Analysis_Intern___Phạm_Quang_Vinh.pdf</v>
      </c>
      <c r="H584" s="29" t="s">
        <v>5733</v>
      </c>
      <c r="I584" s="29" t="s">
        <v>5734</v>
      </c>
      <c r="J584" s="29" t="s">
        <v>2581</v>
      </c>
      <c r="L584" s="29" t="s">
        <v>169</v>
      </c>
      <c r="M584" s="29" t="s">
        <v>1773</v>
      </c>
      <c r="N584" s="33">
        <v>46995.0</v>
      </c>
      <c r="O584" s="31" t="s">
        <v>5735</v>
      </c>
      <c r="P584" s="32" t="str">
        <f>HYPERLINK("https://api.typeform.com/responses/files/0d95d878c6edd6639a54c30e87b8c3a045ffb9685dd3c8ca1a65624ccd7871f4/Transcript___Data_Analysis_Intern___Phạm_Quang_Vinh.pdf")</f>
        <v>https://api.typeform.com/responses/files/0d95d878c6edd6639a54c30e87b8c3a045ffb9685dd3c8ca1a65624ccd7871f4/Transcript___Data_Analysis_Intern___Phạm_Quang_Vinh.pdf</v>
      </c>
      <c r="Q584" s="29" t="b">
        <v>0</v>
      </c>
      <c r="R584" s="29" t="s">
        <v>5736</v>
      </c>
      <c r="S584" s="29" t="s">
        <v>5737</v>
      </c>
      <c r="T584" s="29" t="s">
        <v>72</v>
      </c>
      <c r="U584" s="29" t="s">
        <v>72</v>
      </c>
      <c r="V584" s="29" t="s">
        <v>236</v>
      </c>
      <c r="X584" s="29" t="s">
        <v>5738</v>
      </c>
      <c r="Y584" s="34">
        <v>46148.732083333336</v>
      </c>
      <c r="Z584" s="29" t="s">
        <v>5739</v>
      </c>
      <c r="AA584" s="6">
        <v>3.0</v>
      </c>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row>
    <row r="585" ht="22.5" hidden="1" customHeight="1">
      <c r="A585" s="29" t="s">
        <v>5740</v>
      </c>
      <c r="B585" s="30">
        <v>38820.0</v>
      </c>
      <c r="C585" s="29" t="s">
        <v>5741</v>
      </c>
      <c r="D585" s="31" t="s">
        <v>5742</v>
      </c>
      <c r="E585" s="29" t="s">
        <v>82</v>
      </c>
      <c r="F585" s="29" t="s">
        <v>62</v>
      </c>
      <c r="G585" s="32" t="str">
        <f>HYPERLINK("https://api.typeform.com/responses/files/bad24a7bbd624b5a920a67a6bec43771857329f5e5a65364b1609956d5f23a35/CV___Data_Analysis_Intern___Nguyễn_Thị_Anh_Thư.pdf")</f>
        <v>https://api.typeform.com/responses/files/bad24a7bbd624b5a920a67a6bec43771857329f5e5a65364b1609956d5f23a35/CV___Data_Analysis_Intern___Nguyễn_Thị_Anh_Thư.pdf</v>
      </c>
      <c r="H585" s="29" t="s">
        <v>5743</v>
      </c>
      <c r="I585" s="29" t="s">
        <v>5744</v>
      </c>
      <c r="J585" s="29" t="s">
        <v>842</v>
      </c>
      <c r="L585" s="29" t="s">
        <v>169</v>
      </c>
      <c r="M585" s="29" t="s">
        <v>5745</v>
      </c>
      <c r="N585" s="33">
        <v>38820.0</v>
      </c>
      <c r="O585" s="29" t="s">
        <v>5746</v>
      </c>
      <c r="P585" s="32" t="str">
        <f>HYPERLINK("https://api.typeform.com/responses/files/3bcc4f2be4fdbee9e51a4a7152d0d40da0fc5f221475349032b6c0d891ef3579/Transcript___Data_Analysis_Intern___Nguyễn_Thị_Anh_Thư.pdf")</f>
        <v>https://api.typeform.com/responses/files/3bcc4f2be4fdbee9e51a4a7152d0d40da0fc5f221475349032b6c0d891ef3579/Transcript___Data_Analysis_Intern___Nguyễn_Thị_Anh_Thư.pdf</v>
      </c>
      <c r="Q585" s="29" t="b">
        <v>1</v>
      </c>
      <c r="R585" s="29" t="s">
        <v>5747</v>
      </c>
      <c r="S585" s="29" t="s">
        <v>5748</v>
      </c>
      <c r="T585" s="29" t="s">
        <v>72</v>
      </c>
      <c r="U585" s="29" t="s">
        <v>72</v>
      </c>
      <c r="V585" s="29" t="s">
        <v>73</v>
      </c>
      <c r="X585" s="29" t="s">
        <v>5749</v>
      </c>
      <c r="Y585" s="34">
        <v>46148.775613425925</v>
      </c>
      <c r="Z585" s="29" t="s">
        <v>5750</v>
      </c>
      <c r="AA585" s="6">
        <v>3.0</v>
      </c>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row>
    <row r="586" ht="22.5" hidden="1" customHeight="1">
      <c r="A586" s="29" t="s">
        <v>5751</v>
      </c>
      <c r="B586" s="30">
        <v>37349.0</v>
      </c>
      <c r="C586" s="29" t="s">
        <v>5752</v>
      </c>
      <c r="D586" s="31" t="s">
        <v>5753</v>
      </c>
      <c r="E586" s="29" t="s">
        <v>774</v>
      </c>
      <c r="F586" s="29" t="s">
        <v>774</v>
      </c>
      <c r="G586" s="32" t="str">
        <f>HYPERLINK("https://api.typeform.com/responses/files/88ebbe63a569c0cf97f238cda19d72fc831c08208a0ed0dc9b9d1db82df38fc1/CV___Game_User_Acquisition_Intern___Nguyen_Quoc_Lap.pdf")</f>
        <v>https://api.typeform.com/responses/files/88ebbe63a569c0cf97f238cda19d72fc831c08208a0ed0dc9b9d1db82df38fc1/CV___Game_User_Acquisition_Intern___Nguyen_Quoc_Lap.pdf</v>
      </c>
      <c r="H586" s="29" t="s">
        <v>5754</v>
      </c>
      <c r="I586" s="29" t="s">
        <v>5755</v>
      </c>
      <c r="J586" s="29" t="s">
        <v>65</v>
      </c>
      <c r="K586" s="29" t="s">
        <v>5756</v>
      </c>
      <c r="L586" s="29" t="s">
        <v>5757</v>
      </c>
      <c r="M586" s="29" t="s">
        <v>5758</v>
      </c>
      <c r="N586" s="33">
        <v>46174.0</v>
      </c>
      <c r="O586" s="31" t="s">
        <v>5759</v>
      </c>
      <c r="P586" s="32" t="str">
        <f>HYPERLINK("https://api.typeform.com/responses/files/d54e1d944bcde48fc25331cdd8eb8cc11062edbf97b483ded8cd79d04b20a1da/Transcript___Game_User_Acquisiotion_Intern___Nguyen_Quoc_Lap.pdf")</f>
        <v>https://api.typeform.com/responses/files/d54e1d944bcde48fc25331cdd8eb8cc11062edbf97b483ded8cd79d04b20a1da/Transcript___Game_User_Acquisiotion_Intern___Nguyen_Quoc_Lap.pdf</v>
      </c>
      <c r="Q586" s="29" t="b">
        <v>0</v>
      </c>
      <c r="R586" s="29" t="s">
        <v>5760</v>
      </c>
      <c r="S586" s="29" t="s">
        <v>5761</v>
      </c>
      <c r="T586" s="29" t="s">
        <v>72</v>
      </c>
      <c r="U586" s="29" t="s">
        <v>72</v>
      </c>
      <c r="V586" s="29" t="s">
        <v>90</v>
      </c>
      <c r="X586" s="29" t="s">
        <v>5762</v>
      </c>
      <c r="Y586" s="34">
        <v>46148.93399305556</v>
      </c>
      <c r="Z586" s="29" t="s">
        <v>5763</v>
      </c>
      <c r="AA586" s="6">
        <v>3.0</v>
      </c>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row>
    <row r="587" ht="22.5" hidden="1" customHeight="1">
      <c r="A587" s="29" t="s">
        <v>5764</v>
      </c>
      <c r="B587" s="30">
        <v>37887.0</v>
      </c>
      <c r="C587" s="29" t="s">
        <v>5765</v>
      </c>
      <c r="D587" s="31" t="s">
        <v>5766</v>
      </c>
      <c r="E587" s="29" t="s">
        <v>62</v>
      </c>
      <c r="F587" s="29" t="s">
        <v>82</v>
      </c>
      <c r="G587" s="32" t="str">
        <f>HYPERLINK("https://api.typeform.com/responses/files/e0abc6e5e984dc88eb37843b80ca0add885d01416946f8519f9dec65679f9a16/CV_AI_Engineering_Intern_Nguyen_Le_Dang_Khoa.pdf")</f>
        <v>https://api.typeform.com/responses/files/e0abc6e5e984dc88eb37843b80ca0add885d01416946f8519f9dec65679f9a16/CV_AI_Engineering_Intern_Nguyen_Le_Dang_Khoa.pdf</v>
      </c>
      <c r="H587" s="29" t="s">
        <v>5767</v>
      </c>
      <c r="I587" s="29" t="s">
        <v>5768</v>
      </c>
      <c r="J587" s="29" t="s">
        <v>326</v>
      </c>
      <c r="L587" s="29" t="s">
        <v>67</v>
      </c>
      <c r="M587" s="29" t="s">
        <v>86</v>
      </c>
      <c r="N587" s="33">
        <v>46235.0</v>
      </c>
      <c r="O587" s="31" t="s">
        <v>1792</v>
      </c>
      <c r="P587" s="32" t="str">
        <f>HYPERLINK("https://api.typeform.com/responses/files/24fdf0ff46c36df91905a6cba9e04af97370fb41d377fe559c592fc031a419e5/Transcript___AI_Engineering_Intern___Nguyen_Le_Dang_Khoa.pdf")</f>
        <v>https://api.typeform.com/responses/files/24fdf0ff46c36df91905a6cba9e04af97370fb41d377fe559c592fc031a419e5/Transcript___AI_Engineering_Intern___Nguyen_Le_Dang_Khoa.pdf</v>
      </c>
      <c r="Q587" s="29" t="b">
        <v>1</v>
      </c>
      <c r="R587" s="29" t="s">
        <v>5769</v>
      </c>
      <c r="S587" s="29" t="s">
        <v>5770</v>
      </c>
      <c r="T587" s="29" t="s">
        <v>72</v>
      </c>
      <c r="U587" s="29" t="s">
        <v>72</v>
      </c>
      <c r="V587" s="29" t="s">
        <v>2389</v>
      </c>
      <c r="X587" s="29" t="s">
        <v>5771</v>
      </c>
      <c r="Y587" s="34">
        <v>46149.112175925926</v>
      </c>
      <c r="Z587" s="29" t="s">
        <v>5772</v>
      </c>
      <c r="AA587" s="6">
        <v>3.0</v>
      </c>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row>
    <row r="588" ht="22.5" hidden="1" customHeight="1">
      <c r="A588" s="29" t="s">
        <v>5773</v>
      </c>
      <c r="B588" s="30">
        <v>38668.0</v>
      </c>
      <c r="C588" s="29" t="s">
        <v>5774</v>
      </c>
      <c r="D588" s="31" t="s">
        <v>5775</v>
      </c>
      <c r="E588" s="29" t="s">
        <v>99</v>
      </c>
      <c r="F588" s="29" t="s">
        <v>62</v>
      </c>
      <c r="G588" s="32" t="str">
        <f>HYPERLINK("https://api.typeform.com/responses/files/38d0b041f45346de164358178a8dd163d9a5f2880e93cf99b7134baa4ee9bc60/CV_Intern_Game_Design_Tran_Gia_Huy.pdf")</f>
        <v>https://api.typeform.com/responses/files/38d0b041f45346de164358178a8dd163d9a5f2880e93cf99b7134baa4ee9bc60/CV_Intern_Game_Design_Tran_Gia_Huy.pdf</v>
      </c>
      <c r="H588" s="29" t="s">
        <v>5776</v>
      </c>
      <c r="I588" s="29" t="s">
        <v>5777</v>
      </c>
      <c r="J588" s="29" t="s">
        <v>5778</v>
      </c>
      <c r="L588" s="29" t="s">
        <v>103</v>
      </c>
      <c r="M588" s="29" t="s">
        <v>132</v>
      </c>
      <c r="N588" s="33">
        <v>46054.0</v>
      </c>
      <c r="O588" s="31" t="s">
        <v>780</v>
      </c>
      <c r="P588" s="32" t="str">
        <f>HYPERLINK("https://api.typeform.com/responses/files/18d2bb1a934c77bd6880771de2e2b520057ac128accb56e37af10ed1b5327686/Transcript_Intern_Game_Design_TRAN_GIA_HUY.jpg")</f>
        <v>https://api.typeform.com/responses/files/18d2bb1a934c77bd6880771de2e2b520057ac128accb56e37af10ed1b5327686/Transcript_Intern_Game_Design_TRAN_GIA_HUY.jpg</v>
      </c>
      <c r="Q588" s="29" t="b">
        <v>0</v>
      </c>
      <c r="R588" s="29" t="s">
        <v>5779</v>
      </c>
      <c r="S588" s="29" t="s">
        <v>5780</v>
      </c>
      <c r="T588" s="29" t="s">
        <v>72</v>
      </c>
      <c r="U588" s="29" t="s">
        <v>72</v>
      </c>
      <c r="V588" s="29" t="s">
        <v>150</v>
      </c>
      <c r="X588" s="29" t="s">
        <v>5781</v>
      </c>
      <c r="Y588" s="34">
        <v>46149.17150462963</v>
      </c>
      <c r="Z588" s="29" t="s">
        <v>5782</v>
      </c>
      <c r="AA588" s="6">
        <v>2.1</v>
      </c>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row>
    <row r="589" ht="22.5" hidden="1" customHeight="1">
      <c r="A589" s="29" t="s">
        <v>5783</v>
      </c>
      <c r="B589" s="30">
        <v>37548.0</v>
      </c>
      <c r="C589" s="29" t="s">
        <v>5784</v>
      </c>
      <c r="D589" s="31" t="s">
        <v>5785</v>
      </c>
      <c r="E589" s="29" t="s">
        <v>61</v>
      </c>
      <c r="G589" s="32" t="str">
        <f>HYPERLINK("https://api.typeform.com/responses/files/a16d3eee286f05edd443efbf890137ca917c6759f4660199fca954f9332486df/CV___Unity_Development_Intern___Dương_Thanh_Phụng.pdf")</f>
        <v>https://api.typeform.com/responses/files/a16d3eee286f05edd443efbf890137ca917c6759f4660199fca954f9332486df/CV___Unity_Development_Intern___Dương_Thanh_Phụng.pdf</v>
      </c>
      <c r="H589" s="29" t="s">
        <v>5786</v>
      </c>
      <c r="I589" s="29" t="s">
        <v>5787</v>
      </c>
      <c r="J589" s="29" t="s">
        <v>5788</v>
      </c>
      <c r="L589" s="29" t="s">
        <v>5789</v>
      </c>
      <c r="M589" s="29" t="s">
        <v>551</v>
      </c>
      <c r="N589" s="33">
        <v>45876.0</v>
      </c>
      <c r="O589" s="31" t="s">
        <v>1143</v>
      </c>
      <c r="P589" s="32" t="str">
        <f>HYPERLINK("https://api.typeform.com/responses/files/b7a12e50255b8d81a73fb7c141d05b466fb3d5887788a000314b63b244977e6c/Transcript___Unity_Development_Intern___Dương_Thanh_Phụng.pdf")</f>
        <v>https://api.typeform.com/responses/files/b7a12e50255b8d81a73fb7c141d05b466fb3d5887788a000314b63b244977e6c/Transcript___Unity_Development_Intern___Dương_Thanh_Phụng.pdf</v>
      </c>
      <c r="Q589" s="29" t="b">
        <v>1</v>
      </c>
      <c r="R589" s="29" t="s">
        <v>5790</v>
      </c>
      <c r="S589" s="29" t="s">
        <v>5791</v>
      </c>
      <c r="T589" s="29" t="s">
        <v>72</v>
      </c>
      <c r="U589" s="29" t="s">
        <v>72</v>
      </c>
      <c r="V589" s="29" t="s">
        <v>188</v>
      </c>
      <c r="X589" s="29" t="s">
        <v>5792</v>
      </c>
      <c r="Y589" s="34">
        <v>46149.20103009259</v>
      </c>
      <c r="Z589" s="29" t="s">
        <v>5793</v>
      </c>
      <c r="AA589" s="6">
        <v>3.0</v>
      </c>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row>
    <row r="590" ht="22.5" hidden="1" customHeight="1">
      <c r="A590" s="29" t="s">
        <v>5794</v>
      </c>
      <c r="B590" s="30">
        <v>38299.0</v>
      </c>
      <c r="C590" s="29" t="s">
        <v>5795</v>
      </c>
      <c r="D590" s="31" t="s">
        <v>5796</v>
      </c>
      <c r="E590" s="29" t="s">
        <v>127</v>
      </c>
      <c r="F590" s="29" t="s">
        <v>127</v>
      </c>
      <c r="G590" s="32" t="str">
        <f>HYPERLINK("https://api.typeform.com/responses/files/810ec574a4d2d17afaa92ff28a4855f9e72d7233512d9072e59620047eb2fa1a/CV_Game_Quality_Assurance_Intern_Thi_Kiều_Thơ.pdf")</f>
        <v>https://api.typeform.com/responses/files/810ec574a4d2d17afaa92ff28a4855f9e72d7233512d9072e59620047eb2fa1a/CV_Game_Quality_Assurance_Intern_Thi_Kiều_Thơ.pdf</v>
      </c>
      <c r="H590" s="29" t="s">
        <v>5797</v>
      </c>
      <c r="I590" s="29" t="s">
        <v>5798</v>
      </c>
      <c r="J590" s="29" t="s">
        <v>326</v>
      </c>
      <c r="L590" s="29" t="s">
        <v>67</v>
      </c>
      <c r="M590" s="29" t="s">
        <v>581</v>
      </c>
      <c r="N590" s="33">
        <v>46233.0</v>
      </c>
      <c r="O590" s="31" t="s">
        <v>1852</v>
      </c>
      <c r="P590" s="32" t="str">
        <f>HYPERLINK("https://api.typeform.com/responses/files/0c05e5586b6debd915d0962122ac1880ba564275f74d4e91323e354f652f6c83/Transcript__Game_Quality_Assurance_Intern___Thi_Kiều_Thơ.png")</f>
        <v>https://api.typeform.com/responses/files/0c05e5586b6debd915d0962122ac1880ba564275f74d4e91323e354f652f6c83/Transcript__Game_Quality_Assurance_Intern___Thi_Kiều_Thơ.png</v>
      </c>
      <c r="Q590" s="29" t="b">
        <v>1</v>
      </c>
      <c r="R590" s="29" t="s">
        <v>5799</v>
      </c>
      <c r="S590" s="29" t="s">
        <v>5800</v>
      </c>
      <c r="T590" s="29" t="s">
        <v>72</v>
      </c>
      <c r="U590" s="29" t="s">
        <v>72</v>
      </c>
      <c r="V590" s="29" t="s">
        <v>236</v>
      </c>
      <c r="X590" s="29" t="s">
        <v>5801</v>
      </c>
      <c r="Y590" s="34">
        <v>46149.222962962966</v>
      </c>
      <c r="Z590" s="29" t="s">
        <v>5802</v>
      </c>
      <c r="AA590" s="6">
        <v>3.0</v>
      </c>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row>
    <row r="591" ht="22.5" hidden="1" customHeight="1">
      <c r="A591" s="29" t="s">
        <v>5803</v>
      </c>
      <c r="B591" s="30">
        <v>38466.0</v>
      </c>
      <c r="C591" s="29" t="s">
        <v>5804</v>
      </c>
      <c r="D591" s="31" t="s">
        <v>5805</v>
      </c>
      <c r="E591" s="29" t="s">
        <v>61</v>
      </c>
      <c r="G591" s="32" t="str">
        <f>HYPERLINK("https://api.typeform.com/responses/files/c1bee8cfc88b4c9151da8d26cc5c0380754c5331bde19a1cafce02ef44719ecc/CV___Game_Development_Intern___Tiền_Minh_Dương.pdf")</f>
        <v>https://api.typeform.com/responses/files/c1bee8cfc88b4c9151da8d26cc5c0380754c5331bde19a1cafce02ef44719ecc/CV___Game_Development_Intern___Tiền_Minh_Dương.pdf</v>
      </c>
      <c r="H591" s="29" t="s">
        <v>5806</v>
      </c>
      <c r="I591" s="29" t="s">
        <v>5807</v>
      </c>
      <c r="J591" s="29" t="s">
        <v>85</v>
      </c>
      <c r="L591" s="29" t="s">
        <v>219</v>
      </c>
      <c r="M591" s="29" t="s">
        <v>104</v>
      </c>
      <c r="N591" s="33">
        <v>46539.0</v>
      </c>
      <c r="O591" s="31" t="s">
        <v>5808</v>
      </c>
      <c r="P591" s="32" t="str">
        <f>HYPERLINK("https://api.typeform.com/responses/files/b668a99bb43dc243dee046326b9600cef3bfdb2767762c955e2768c8945b776d/Transcript___Game_Development_Intern___Tiền_Minh_Dương.pdf")</f>
        <v>https://api.typeform.com/responses/files/b668a99bb43dc243dee046326b9600cef3bfdb2767762c955e2768c8945b776d/Transcript___Game_Development_Intern___Tiền_Minh_Dương.pdf</v>
      </c>
      <c r="Q591" s="29" t="b">
        <v>1</v>
      </c>
      <c r="R591" s="29" t="s">
        <v>5809</v>
      </c>
      <c r="S591" s="29" t="s">
        <v>5810</v>
      </c>
      <c r="T591" s="29" t="s">
        <v>72</v>
      </c>
      <c r="U591" s="29" t="s">
        <v>72</v>
      </c>
      <c r="V591" s="29" t="s">
        <v>269</v>
      </c>
      <c r="Y591" s="34">
        <v>46149.2794212963</v>
      </c>
      <c r="Z591" s="29" t="s">
        <v>5811</v>
      </c>
      <c r="AA591" s="6">
        <v>3.0</v>
      </c>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row>
    <row r="592" ht="22.5" hidden="1" customHeight="1">
      <c r="A592" s="29" t="s">
        <v>5812</v>
      </c>
      <c r="B592" s="30">
        <v>38177.0</v>
      </c>
      <c r="C592" s="29" t="s">
        <v>5813</v>
      </c>
      <c r="D592" s="31" t="s">
        <v>5814</v>
      </c>
      <c r="E592" s="29" t="s">
        <v>99</v>
      </c>
      <c r="G592" s="32" t="str">
        <f>HYPERLINK("https://api.typeform.com/responses/files/4e78788c47b0bf479f09774d667dd118082385da1186333c35062ddc12e5478b/CV___Game_Design_Intern___Lê_Hồ_Nhật_Tân.pdf")</f>
        <v>https://api.typeform.com/responses/files/4e78788c47b0bf479f09774d667dd118082385da1186333c35062ddc12e5478b/CV___Game_Design_Intern___Lê_Hồ_Nhật_Tân.pdf</v>
      </c>
      <c r="H592" s="29" t="s">
        <v>5815</v>
      </c>
      <c r="I592" s="29" t="s">
        <v>5816</v>
      </c>
      <c r="J592" s="29" t="s">
        <v>85</v>
      </c>
      <c r="L592" s="29" t="s">
        <v>67</v>
      </c>
      <c r="M592" s="29" t="s">
        <v>446</v>
      </c>
      <c r="N592" s="33">
        <v>46179.0</v>
      </c>
      <c r="O592" s="31" t="s">
        <v>2356</v>
      </c>
      <c r="P592" s="32" t="str">
        <f>HYPERLINK("https://api.typeform.com/responses/files/60bfe2fc569b97ced3cd0ea1fe82ca2793bba730d0572a0ded7389ff0ebaf555/Transcript___Game_Design_Intern___Lê_Hồ_Nhật_Tân.pdf")</f>
        <v>https://api.typeform.com/responses/files/60bfe2fc569b97ced3cd0ea1fe82ca2793bba730d0572a0ded7389ff0ebaf555/Transcript___Game_Design_Intern___Lê_Hồ_Nhật_Tân.pdf</v>
      </c>
      <c r="Q592" s="29" t="b">
        <v>1</v>
      </c>
      <c r="R592" s="29" t="s">
        <v>5817</v>
      </c>
      <c r="S592" s="29" t="s">
        <v>5818</v>
      </c>
      <c r="T592" s="29" t="s">
        <v>72</v>
      </c>
      <c r="U592" s="29" t="s">
        <v>72</v>
      </c>
      <c r="V592" s="29" t="s">
        <v>90</v>
      </c>
      <c r="X592" s="29" t="s">
        <v>5819</v>
      </c>
      <c r="Y592" s="34">
        <v>46149.30086805556</v>
      </c>
      <c r="Z592" s="29" t="s">
        <v>5820</v>
      </c>
      <c r="AA592" s="6">
        <v>2.1</v>
      </c>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row>
    <row r="593" ht="22.5" hidden="1" customHeight="1">
      <c r="A593" s="29" t="s">
        <v>5821</v>
      </c>
      <c r="B593" s="30">
        <v>38644.0</v>
      </c>
      <c r="C593" s="29" t="s">
        <v>5822</v>
      </c>
      <c r="D593" s="31" t="s">
        <v>5823</v>
      </c>
      <c r="E593" s="29" t="s">
        <v>61</v>
      </c>
      <c r="F593" s="29" t="s">
        <v>99</v>
      </c>
      <c r="G593" s="32" t="str">
        <f>HYPERLINK("https://api.typeform.com/responses/files/e0d546f430e71886e593eaac9077b771453245d3bd6011cabf0105730069f61e/CV___Unity_Development_Intern___Lữ_Nguyễn_Duy_Đức.pdf")</f>
        <v>https://api.typeform.com/responses/files/e0d546f430e71886e593eaac9077b771453245d3bd6011cabf0105730069f61e/CV___Unity_Development_Intern___Lữ_Nguyễn_Duy_Đức.pdf</v>
      </c>
      <c r="H593" s="29" t="s">
        <v>5824</v>
      </c>
      <c r="I593" s="29" t="s">
        <v>5825</v>
      </c>
      <c r="J593" s="29" t="s">
        <v>85</v>
      </c>
      <c r="L593" s="29" t="s">
        <v>219</v>
      </c>
      <c r="M593" s="29" t="s">
        <v>5826</v>
      </c>
      <c r="N593" s="33">
        <v>46388.0</v>
      </c>
      <c r="O593" s="31" t="s">
        <v>5827</v>
      </c>
      <c r="P593" s="32" t="str">
        <f>HYPERLINK("https://api.typeform.com/responses/files/7405caefa2fa21cb9b02b8c0ecd41b6d8c3905485d750c34fd425ac3b01b8298/Transcript___Unity_Development__Intern___Lữ_Nguyễn_Duy_Đức.pdf")</f>
        <v>https://api.typeform.com/responses/files/7405caefa2fa21cb9b02b8c0ecd41b6d8c3905485d750c34fd425ac3b01b8298/Transcript___Unity_Development__Intern___Lữ_Nguyễn_Duy_Đức.pdf</v>
      </c>
      <c r="Q593" s="29" t="b">
        <v>1</v>
      </c>
      <c r="R593" s="29" t="s">
        <v>5828</v>
      </c>
      <c r="S593" s="29" t="s">
        <v>5829</v>
      </c>
      <c r="T593" s="29" t="s">
        <v>72</v>
      </c>
      <c r="U593" s="29" t="s">
        <v>72</v>
      </c>
      <c r="V593" s="29" t="s">
        <v>269</v>
      </c>
      <c r="X593" s="29" t="s">
        <v>5830</v>
      </c>
      <c r="Y593" s="34">
        <v>46149.36866898148</v>
      </c>
      <c r="Z593" s="29" t="s">
        <v>5831</v>
      </c>
      <c r="AA593" s="6">
        <v>3.0</v>
      </c>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row>
    <row r="594" ht="22.5" hidden="1" customHeight="1">
      <c r="A594" s="29" t="s">
        <v>5832</v>
      </c>
      <c r="B594" s="30">
        <v>37778.0</v>
      </c>
      <c r="C594" s="29" t="s">
        <v>5833</v>
      </c>
      <c r="D594" s="31" t="s">
        <v>5834</v>
      </c>
      <c r="E594" s="29" t="s">
        <v>774</v>
      </c>
      <c r="F594" s="29" t="s">
        <v>774</v>
      </c>
      <c r="G594" s="32" t="str">
        <f>HYPERLINK("https://api.typeform.com/responses/files/6dafd62ebcaeaee9802119cd006c511f68816eeacb9c8b593a0634f90160cf9a/CV_UA_Marketing_Intern_Nguyễn_Đức_Hiệp.pdf")</f>
        <v>https://api.typeform.com/responses/files/6dafd62ebcaeaee9802119cd006c511f68816eeacb9c8b593a0634f90160cf9a/CV_UA_Marketing_Intern_Nguyễn_Đức_Hiệp.pdf</v>
      </c>
      <c r="H594" s="29" t="s">
        <v>5835</v>
      </c>
      <c r="I594" s="29" t="s">
        <v>5836</v>
      </c>
      <c r="J594" s="29" t="s">
        <v>5837</v>
      </c>
      <c r="L594" s="29" t="s">
        <v>103</v>
      </c>
      <c r="M594" s="29" t="s">
        <v>5653</v>
      </c>
      <c r="N594" s="33">
        <v>45771.0</v>
      </c>
      <c r="O594" s="29" t="s">
        <v>5838</v>
      </c>
      <c r="P594" s="32" t="str">
        <f>HYPERLINK("https://api.typeform.com/responses/files/ca701e00c43212fe12505da698bae11ab895a75b4fe143f894fc4f9c429b68f8/Transcript___UA_Marketing_Intern___Nguyễn_Đức_Hiệp.jpg")</f>
        <v>https://api.typeform.com/responses/files/ca701e00c43212fe12505da698bae11ab895a75b4fe143f894fc4f9c429b68f8/Transcript___UA_Marketing_Intern___Nguyễn_Đức_Hiệp.jpg</v>
      </c>
      <c r="Q594" s="29" t="b">
        <v>1</v>
      </c>
      <c r="R594" s="29" t="s">
        <v>5839</v>
      </c>
      <c r="S594" s="29" t="s">
        <v>5840</v>
      </c>
      <c r="T594" s="29" t="s">
        <v>72</v>
      </c>
      <c r="U594" s="29" t="s">
        <v>72</v>
      </c>
      <c r="V594" s="29" t="s">
        <v>5170</v>
      </c>
      <c r="X594" s="29" t="s">
        <v>5841</v>
      </c>
      <c r="Y594" s="34">
        <v>46149.37899305556</v>
      </c>
      <c r="Z594" s="29" t="s">
        <v>5842</v>
      </c>
      <c r="AA594" s="6">
        <v>3.0</v>
      </c>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row>
    <row r="595" ht="22.5" hidden="1" customHeight="1">
      <c r="A595" s="29" t="s">
        <v>5843</v>
      </c>
      <c r="B595" s="30">
        <v>38262.0</v>
      </c>
      <c r="C595" s="29" t="s">
        <v>5844</v>
      </c>
      <c r="D595" s="31" t="s">
        <v>5845</v>
      </c>
      <c r="E595" s="29" t="s">
        <v>127</v>
      </c>
      <c r="G595" s="32" t="str">
        <f>HYPERLINK("https://api.typeform.com/responses/files/8ff95b7cf76c623c8a539db878af1bb5fad836af101433075f44bdd8a2b779aa/CV_TRAN_GIA_HAN.pdf")</f>
        <v>https://api.typeform.com/responses/files/8ff95b7cf76c623c8a539db878af1bb5fad836af101433075f44bdd8a2b779aa/CV_TRAN_GIA_HAN.pdf</v>
      </c>
      <c r="H595" s="29" t="s">
        <v>5846</v>
      </c>
      <c r="I595" s="29" t="s">
        <v>5847</v>
      </c>
      <c r="J595" s="29" t="s">
        <v>372</v>
      </c>
      <c r="L595" s="29" t="s">
        <v>67</v>
      </c>
      <c r="M595" s="29" t="s">
        <v>5848</v>
      </c>
      <c r="N595" s="33">
        <v>46376.0</v>
      </c>
      <c r="O595" s="31" t="s">
        <v>105</v>
      </c>
      <c r="P595" s="32" t="str">
        <f>HYPERLINK("https://api.typeform.com/responses/files/016d0f7aaa7c7e22f5ed8e1bd8add0e473670f0c556ef4f3f4ff9cd9084deaef/bảng_điểm.png")</f>
        <v>https://api.typeform.com/responses/files/016d0f7aaa7c7e22f5ed8e1bd8add0e473670f0c556ef4f3f4ff9cd9084deaef/bảng_điểm.png</v>
      </c>
      <c r="Q595" s="29" t="b">
        <v>0</v>
      </c>
      <c r="R595" s="29" t="s">
        <v>5849</v>
      </c>
      <c r="S595" s="29" t="s">
        <v>5850</v>
      </c>
      <c r="T595" s="29" t="s">
        <v>72</v>
      </c>
      <c r="U595" s="29" t="s">
        <v>72</v>
      </c>
      <c r="V595" s="29" t="s">
        <v>5851</v>
      </c>
      <c r="X595" s="29" t="s">
        <v>5852</v>
      </c>
      <c r="Y595" s="34">
        <v>46149.413831018515</v>
      </c>
      <c r="Z595" s="29" t="s">
        <v>5853</v>
      </c>
      <c r="AA595" s="6">
        <v>3.0</v>
      </c>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row>
    <row r="596" ht="22.5" hidden="1" customHeight="1">
      <c r="A596" s="29" t="s">
        <v>5854</v>
      </c>
      <c r="B596" s="30">
        <v>38020.0</v>
      </c>
      <c r="C596" s="29" t="s">
        <v>5855</v>
      </c>
      <c r="D596" s="31" t="s">
        <v>5856</v>
      </c>
      <c r="E596" s="29" t="s">
        <v>774</v>
      </c>
      <c r="F596" s="29" t="s">
        <v>774</v>
      </c>
      <c r="G596" s="32" t="str">
        <f>HYPERLINK("https://api.typeform.com/responses/files/487faf698d652b54f7fd4bb22955f5981ed55110043bd113cfd3028ef31cea13/CV_Game_User_Acquisition_Intern_Nguyễn_Thế_Văn.pdf")</f>
        <v>https://api.typeform.com/responses/files/487faf698d652b54f7fd4bb22955f5981ed55110043bd113cfd3028ef31cea13/CV_Game_User_Acquisition_Intern_Nguyễn_Thế_Văn.pdf</v>
      </c>
      <c r="H596" s="29" t="s">
        <v>5857</v>
      </c>
      <c r="I596" s="29" t="s">
        <v>5858</v>
      </c>
      <c r="J596" s="29" t="s">
        <v>2293</v>
      </c>
      <c r="L596" s="29" t="s">
        <v>103</v>
      </c>
      <c r="M596" s="29" t="s">
        <v>5859</v>
      </c>
      <c r="N596" s="33">
        <v>46136.0</v>
      </c>
      <c r="O596" s="31" t="s">
        <v>542</v>
      </c>
      <c r="P596" s="32" t="str">
        <f>HYPERLINK("https://api.typeform.com/responses/files/f087067ced0588938b366c628e111ef5ca2e8bdead36a5a8dff846d006a9a197/Transcript_Game_User_Acquisition_Intern_Nguyễn_Thế_Văn.pdf")</f>
        <v>https://api.typeform.com/responses/files/f087067ced0588938b366c628e111ef5ca2e8bdead36a5a8dff846d006a9a197/Transcript_Game_User_Acquisition_Intern_Nguyễn_Thế_Văn.pdf</v>
      </c>
      <c r="Q596" s="29" t="b">
        <v>1</v>
      </c>
      <c r="R596" s="29" t="s">
        <v>5860</v>
      </c>
      <c r="S596" s="29" t="s">
        <v>5861</v>
      </c>
      <c r="T596" s="29" t="s">
        <v>72</v>
      </c>
      <c r="U596" s="29" t="s">
        <v>72</v>
      </c>
      <c r="V596" s="29" t="s">
        <v>188</v>
      </c>
      <c r="X596" s="29" t="s">
        <v>5862</v>
      </c>
      <c r="Y596" s="34">
        <v>46149.420266203706</v>
      </c>
      <c r="Z596" s="29" t="s">
        <v>5863</v>
      </c>
      <c r="AA596" s="6">
        <v>3.0</v>
      </c>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row>
    <row r="597" ht="22.5" hidden="1" customHeight="1">
      <c r="A597" s="29" t="s">
        <v>5864</v>
      </c>
      <c r="B597" s="30">
        <v>38035.0</v>
      </c>
      <c r="C597" s="29" t="s">
        <v>5865</v>
      </c>
      <c r="D597" s="31" t="s">
        <v>5866</v>
      </c>
      <c r="E597" s="29" t="s">
        <v>82</v>
      </c>
      <c r="F597" s="29" t="s">
        <v>774</v>
      </c>
      <c r="G597" s="32" t="str">
        <f>HYPERLINK("https://api.typeform.com/responses/files/2c8ec081c739a5bef0038d95d2ab261a8e5b0d87493da83ee76709d2ecda67c6/CV_DataAnalysisIntern_NguyenHuuThien.pdf")</f>
        <v>https://api.typeform.com/responses/files/2c8ec081c739a5bef0038d95d2ab261a8e5b0d87493da83ee76709d2ecda67c6/CV_DataAnalysisIntern_NguyenHuuThien.pdf</v>
      </c>
      <c r="H597" s="29" t="s">
        <v>5867</v>
      </c>
      <c r="I597" s="29" t="s">
        <v>5868</v>
      </c>
      <c r="J597" s="29" t="s">
        <v>85</v>
      </c>
      <c r="L597" s="29" t="s">
        <v>67</v>
      </c>
      <c r="M597" s="29" t="s">
        <v>581</v>
      </c>
      <c r="N597" s="33">
        <v>46272.0</v>
      </c>
      <c r="O597" s="31" t="s">
        <v>3027</v>
      </c>
      <c r="P597" s="32" t="str">
        <f>HYPERLINK("https://api.typeform.com/responses/files/acd3bb35847a7e3548d40ec6d36df3be6ab77ac65c3f78847debcb0f0727d0fe/Transcript_DataAnalysisIntern_NguyenHuuThien.pdf")</f>
        <v>https://api.typeform.com/responses/files/acd3bb35847a7e3548d40ec6d36df3be6ab77ac65c3f78847debcb0f0727d0fe/Transcript_DataAnalysisIntern_NguyenHuuThien.pdf</v>
      </c>
      <c r="Q597" s="29" t="b">
        <v>1</v>
      </c>
      <c r="R597" s="29" t="s">
        <v>5869</v>
      </c>
      <c r="S597" s="29" t="s">
        <v>5870</v>
      </c>
      <c r="T597" s="29" t="s">
        <v>72</v>
      </c>
      <c r="U597" s="29" t="s">
        <v>72</v>
      </c>
      <c r="V597" s="29" t="s">
        <v>73</v>
      </c>
      <c r="X597" s="29" t="s">
        <v>5871</v>
      </c>
      <c r="Y597" s="34">
        <v>46149.47900462963</v>
      </c>
      <c r="Z597" s="29" t="s">
        <v>5872</v>
      </c>
      <c r="AA597" s="6">
        <v>3.0</v>
      </c>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row>
    <row r="598" ht="22.5" hidden="1" customHeight="1">
      <c r="A598" s="29" t="s">
        <v>1343</v>
      </c>
      <c r="B598" s="30">
        <v>38514.0</v>
      </c>
      <c r="C598" s="29" t="s">
        <v>5873</v>
      </c>
      <c r="D598" s="31" t="s">
        <v>5874</v>
      </c>
      <c r="E598" s="29" t="s">
        <v>99</v>
      </c>
      <c r="F598" s="29" t="s">
        <v>127</v>
      </c>
      <c r="G598" s="32" t="str">
        <f>HYPERLINK("https://api.typeform.com/responses/files/a00f4acd912d43af5f15b1108e0d8b7c1a171cf27610d7aef4a44da1d17e22b1/CV___Game_Design_Intern___Nguyễn_Thị_Minh_Thư.pdf")</f>
        <v>https://api.typeform.com/responses/files/a00f4acd912d43af5f15b1108e0d8b7c1a171cf27610d7aef4a44da1d17e22b1/CV___Game_Design_Intern___Nguyễn_Thị_Minh_Thư.pdf</v>
      </c>
      <c r="H598" s="29" t="s">
        <v>5875</v>
      </c>
      <c r="I598" s="29" t="s">
        <v>5876</v>
      </c>
      <c r="J598" s="29" t="s">
        <v>2293</v>
      </c>
      <c r="L598" s="29" t="s">
        <v>219</v>
      </c>
      <c r="M598" s="29" t="s">
        <v>5877</v>
      </c>
      <c r="N598" s="33">
        <v>46387.0</v>
      </c>
      <c r="O598" s="29" t="s">
        <v>3376</v>
      </c>
      <c r="P598" s="32" t="str">
        <f>HYPERLINK("https://api.typeform.com/responses/files/9b6ba7e3b367615cf0387b6ddb8a5c6e1b6ce272c24321f9b8a4764cc85b602a/Transcript___Game_Design_Intern___Nguyễn_Thị_Minh_Thư.pdf")</f>
        <v>https://api.typeform.com/responses/files/9b6ba7e3b367615cf0387b6ddb8a5c6e1b6ce272c24321f9b8a4764cc85b602a/Transcript___Game_Design_Intern___Nguyễn_Thị_Minh_Thư.pdf</v>
      </c>
      <c r="Q598" s="29" t="b">
        <v>1</v>
      </c>
      <c r="R598" s="29" t="s">
        <v>5878</v>
      </c>
      <c r="S598" s="29" t="s">
        <v>5879</v>
      </c>
      <c r="T598" s="29" t="s">
        <v>72</v>
      </c>
      <c r="U598" s="29" t="s">
        <v>72</v>
      </c>
      <c r="V598" s="29" t="s">
        <v>73</v>
      </c>
      <c r="X598" s="29" t="s">
        <v>5880</v>
      </c>
      <c r="Y598" s="34">
        <v>46149.48056712963</v>
      </c>
      <c r="Z598" s="29" t="s">
        <v>5881</v>
      </c>
      <c r="AA598" s="6">
        <v>2.1</v>
      </c>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row>
    <row r="599" ht="22.5" hidden="1" customHeight="1">
      <c r="A599" s="29" t="s">
        <v>2339</v>
      </c>
      <c r="B599" s="30">
        <v>37638.0</v>
      </c>
      <c r="C599" s="29" t="s">
        <v>2340</v>
      </c>
      <c r="D599" s="31" t="s">
        <v>2341</v>
      </c>
      <c r="E599" s="29" t="s">
        <v>61</v>
      </c>
      <c r="F599" s="29" t="s">
        <v>99</v>
      </c>
      <c r="G599" s="32" t="str">
        <f>HYPERLINK("https://api.typeform.com/responses/files/e33b8ced23db78a32a0f8e9eedded1504c656c0b506ad7e071fe1fdbbb740363/CV___Unity_Development_Intern___Nguyễn_Quốc_Tiến.pdf")</f>
        <v>https://api.typeform.com/responses/files/e33b8ced23db78a32a0f8e9eedded1504c656c0b506ad7e071fe1fdbbb740363/CV___Unity_Development_Intern___Nguyễn_Quốc_Tiến.pdf</v>
      </c>
      <c r="H599" s="29" t="s">
        <v>5882</v>
      </c>
      <c r="I599" s="29" t="s">
        <v>5883</v>
      </c>
      <c r="J599" s="29" t="s">
        <v>1023</v>
      </c>
      <c r="K599" s="29" t="s">
        <v>5884</v>
      </c>
      <c r="L599" s="29" t="s">
        <v>5885</v>
      </c>
      <c r="M599" s="29" t="s">
        <v>1830</v>
      </c>
      <c r="N599" s="33">
        <v>45771.0</v>
      </c>
      <c r="O599" s="31" t="s">
        <v>2346</v>
      </c>
      <c r="P599" s="32" t="str">
        <f>HYPERLINK("https://api.typeform.com/responses/files/15559a95ec64c4704d7902bb414540693b196cd9f976eda5db81782eaaa4a07f/Transcript___Unity_Development_Intern___Nguyễn_Quốc_Tiến.pdf")</f>
        <v>https://api.typeform.com/responses/files/15559a95ec64c4704d7902bb414540693b196cd9f976eda5db81782eaaa4a07f/Transcript___Unity_Development_Intern___Nguyễn_Quốc_Tiến.pdf</v>
      </c>
      <c r="Q599" s="29" t="b">
        <v>1</v>
      </c>
      <c r="R599" s="29" t="s">
        <v>5886</v>
      </c>
      <c r="S599" s="29" t="s">
        <v>5887</v>
      </c>
      <c r="T599" s="29" t="s">
        <v>72</v>
      </c>
      <c r="U599" s="29" t="s">
        <v>72</v>
      </c>
      <c r="V599" s="29" t="s">
        <v>236</v>
      </c>
      <c r="X599" s="29" t="s">
        <v>5888</v>
      </c>
      <c r="Y599" s="34">
        <v>46149.58075231482</v>
      </c>
      <c r="Z599" s="29" t="s">
        <v>5889</v>
      </c>
      <c r="AA599" s="6">
        <v>3.0</v>
      </c>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row>
    <row r="600" ht="22.5" hidden="1" customHeight="1">
      <c r="A600" s="29" t="s">
        <v>5890</v>
      </c>
      <c r="B600" s="30">
        <v>37623.0</v>
      </c>
      <c r="C600" s="29" t="s">
        <v>5891</v>
      </c>
      <c r="D600" s="31" t="s">
        <v>5892</v>
      </c>
      <c r="E600" s="29" t="s">
        <v>62</v>
      </c>
      <c r="F600" s="29" t="s">
        <v>82</v>
      </c>
      <c r="G600" s="32" t="str">
        <f>HYPERLINK("https://api.typeform.com/responses/files/e4249dbb7bb8df64ca61af444d452a835aed6cc01642510b9ab00f1d8c260cb2/CV___AI_Engineering_Intern___Võ_Duy_Anh.pdf")</f>
        <v>https://api.typeform.com/responses/files/e4249dbb7bb8df64ca61af444d452a835aed6cc01642510b9ab00f1d8c260cb2/CV___AI_Engineering_Intern___Võ_Duy_Anh.pdf</v>
      </c>
      <c r="H600" s="29" t="s">
        <v>5893</v>
      </c>
      <c r="I600" s="29" t="s">
        <v>5894</v>
      </c>
      <c r="J600" s="29" t="s">
        <v>326</v>
      </c>
      <c r="L600" s="29" t="s">
        <v>103</v>
      </c>
      <c r="M600" s="29" t="s">
        <v>86</v>
      </c>
      <c r="N600" s="33">
        <v>45957.0</v>
      </c>
      <c r="O600" s="31" t="s">
        <v>5073</v>
      </c>
      <c r="P600" s="32" t="str">
        <f>HYPERLINK("https://api.typeform.com/responses/files/ff6f45564d6f72075dbf46622c7eb778a9ef82bad3848d0557c4fc0ee4580f13/Transcript___AI_Engineering_Intern___Võ_Duy_Anh.pdf")</f>
        <v>https://api.typeform.com/responses/files/ff6f45564d6f72075dbf46622c7eb778a9ef82bad3848d0557c4fc0ee4580f13/Transcript___AI_Engineering_Intern___Võ_Duy_Anh.pdf</v>
      </c>
      <c r="Q600" s="29" t="b">
        <v>1</v>
      </c>
      <c r="R600" s="29" t="s">
        <v>5895</v>
      </c>
      <c r="S600" s="29" t="s">
        <v>5896</v>
      </c>
      <c r="T600" s="29" t="s">
        <v>72</v>
      </c>
      <c r="U600" s="29" t="s">
        <v>72</v>
      </c>
      <c r="V600" s="29" t="s">
        <v>269</v>
      </c>
      <c r="X600" s="29" t="s">
        <v>5897</v>
      </c>
      <c r="Y600" s="34">
        <v>46149.60921296296</v>
      </c>
      <c r="Z600" s="29" t="s">
        <v>5898</v>
      </c>
      <c r="AA600" s="6">
        <v>3.0</v>
      </c>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row>
    <row r="601" ht="22.5" hidden="1" customHeight="1">
      <c r="A601" s="29" t="s">
        <v>5899</v>
      </c>
      <c r="B601" s="30">
        <v>38432.0</v>
      </c>
      <c r="C601" s="29" t="s">
        <v>5900</v>
      </c>
      <c r="D601" s="31" t="s">
        <v>5901</v>
      </c>
      <c r="E601" s="29" t="s">
        <v>82</v>
      </c>
      <c r="F601" s="29" t="s">
        <v>82</v>
      </c>
      <c r="G601" s="32" t="str">
        <f>HYPERLINK("https://api.typeform.com/responses/files/2ef5602885763888f54f97a82417f8b722ea3ebc41b955abef54c43ace0c26d0/CV___Data_Analysis_Intern___Nguyễn_Lê_Diễm_Ngọc.pdf")</f>
        <v>https://api.typeform.com/responses/files/2ef5602885763888f54f97a82417f8b722ea3ebc41b955abef54c43ace0c26d0/CV___Data_Analysis_Intern___Nguyễn_Lê_Diễm_Ngọc.pdf</v>
      </c>
      <c r="H601" s="29" t="s">
        <v>5902</v>
      </c>
      <c r="I601" s="29" t="s">
        <v>5903</v>
      </c>
      <c r="J601" s="29" t="s">
        <v>2293</v>
      </c>
      <c r="L601" s="29" t="s">
        <v>219</v>
      </c>
      <c r="M601" s="29" t="s">
        <v>5877</v>
      </c>
      <c r="N601" s="33">
        <v>46502.0</v>
      </c>
      <c r="O601" s="31" t="s">
        <v>2503</v>
      </c>
      <c r="P601" s="32" t="str">
        <f>HYPERLINK("https://api.typeform.com/responses/files/42cfaf56032d8d52e6d062c5b924fdfd85024797f0030ad0ca71f5af112ce71a/Transcript___Data_Analysis_Intern___Nguyễn_Lê_Diễm_Ngọc.pdf")</f>
        <v>https://api.typeform.com/responses/files/42cfaf56032d8d52e6d062c5b924fdfd85024797f0030ad0ca71f5af112ce71a/Transcript___Data_Analysis_Intern___Nguyễn_Lê_Diễm_Ngọc.pdf</v>
      </c>
      <c r="Q601" s="29" t="b">
        <v>1</v>
      </c>
      <c r="R601" s="29" t="s">
        <v>5904</v>
      </c>
      <c r="S601" s="29" t="s">
        <v>1660</v>
      </c>
      <c r="T601" s="29" t="s">
        <v>72</v>
      </c>
      <c r="U601" s="29" t="s">
        <v>72</v>
      </c>
      <c r="V601" s="29" t="s">
        <v>224</v>
      </c>
      <c r="X601" s="29" t="s">
        <v>5905</v>
      </c>
      <c r="Y601" s="34">
        <v>46149.63033564815</v>
      </c>
      <c r="Z601" s="29" t="s">
        <v>5906</v>
      </c>
      <c r="AA601" s="6">
        <v>3.0</v>
      </c>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row>
    <row r="602" ht="22.5" hidden="1" customHeight="1">
      <c r="A602" s="29" t="s">
        <v>5907</v>
      </c>
      <c r="B602" s="30">
        <v>37344.0</v>
      </c>
      <c r="C602" s="29" t="s">
        <v>5908</v>
      </c>
      <c r="D602" s="31" t="s">
        <v>5909</v>
      </c>
      <c r="E602" s="29" t="s">
        <v>99</v>
      </c>
      <c r="F602" s="29" t="s">
        <v>61</v>
      </c>
      <c r="G602" s="32" t="str">
        <f>HYPERLINK("https://api.typeform.com/responses/files/d699385b5caad20aac7ad7d857f426d5b98885218d4a133cd13edf4b49d65be3/CV___GameDesignerIntern___DiepThaiPhong.pdf")</f>
        <v>https://api.typeform.com/responses/files/d699385b5caad20aac7ad7d857f426d5b98885218d4a133cd13edf4b49d65be3/CV___GameDesignerIntern___DiepThaiPhong.pdf</v>
      </c>
      <c r="H602" s="29" t="s">
        <v>5910</v>
      </c>
      <c r="I602" s="29" t="s">
        <v>5911</v>
      </c>
      <c r="J602" s="29" t="s">
        <v>144</v>
      </c>
      <c r="L602" s="29" t="s">
        <v>103</v>
      </c>
      <c r="M602" s="29" t="s">
        <v>5912</v>
      </c>
      <c r="N602" s="33">
        <v>46058.0</v>
      </c>
      <c r="O602" s="31" t="s">
        <v>118</v>
      </c>
      <c r="P602" s="32" t="str">
        <f>HYPERLINK("https://api.typeform.com/responses/files/ae06ccfb4aa687518384b3f5f43e09752451472311956f15fc52ab5c3825b87b/Transcript___Game_Designer_Intern___Diệp_Thái_Phong.pdf")</f>
        <v>https://api.typeform.com/responses/files/ae06ccfb4aa687518384b3f5f43e09752451472311956f15fc52ab5c3825b87b/Transcript___Game_Designer_Intern___Diệp_Thái_Phong.pdf</v>
      </c>
      <c r="Q602" s="29" t="b">
        <v>1</v>
      </c>
      <c r="R602" s="29" t="s">
        <v>5913</v>
      </c>
      <c r="S602" s="29" t="s">
        <v>5914</v>
      </c>
      <c r="T602" s="29" t="s">
        <v>72</v>
      </c>
      <c r="U602" s="29" t="s">
        <v>72</v>
      </c>
      <c r="V602" s="29" t="s">
        <v>73</v>
      </c>
      <c r="X602" s="29" t="s">
        <v>5915</v>
      </c>
      <c r="Y602" s="34">
        <v>46149.63344907408</v>
      </c>
      <c r="Z602" s="29" t="s">
        <v>5916</v>
      </c>
      <c r="AA602" s="6">
        <v>2.1</v>
      </c>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row>
    <row r="603" ht="22.5" hidden="1" customHeight="1">
      <c r="A603" s="29" t="s">
        <v>5917</v>
      </c>
      <c r="B603" s="30">
        <v>38491.0</v>
      </c>
      <c r="C603" s="29" t="s">
        <v>5918</v>
      </c>
      <c r="D603" s="31" t="s">
        <v>5919</v>
      </c>
      <c r="E603" s="29" t="s">
        <v>99</v>
      </c>
      <c r="F603" s="29" t="s">
        <v>127</v>
      </c>
      <c r="G603" s="32" t="str">
        <f>HYPERLINK("https://api.typeform.com/responses/files/bf2f1005183d2128b7ad9e0547918bcaba226ecffd751e7cf9d781e17f2f50fe/CV___Game_Design_Intern___Lâm_Tấn_Vũ_.pdf")</f>
        <v>https://api.typeform.com/responses/files/bf2f1005183d2128b7ad9e0547918bcaba226ecffd751e7cf9d781e17f2f50fe/CV___Game_Design_Intern___Lâm_Tấn_Vũ_.pdf</v>
      </c>
      <c r="H603" s="29" t="s">
        <v>5920</v>
      </c>
      <c r="I603" s="29" t="s">
        <v>5921</v>
      </c>
      <c r="J603" s="29" t="s">
        <v>842</v>
      </c>
      <c r="L603" s="29" t="s">
        <v>219</v>
      </c>
      <c r="M603" s="29" t="s">
        <v>1418</v>
      </c>
      <c r="N603" s="33">
        <v>46447.0</v>
      </c>
      <c r="O603" s="31" t="s">
        <v>2315</v>
      </c>
      <c r="P603" s="32" t="str">
        <f>HYPERLINK("https://api.typeform.com/responses/files/7bc8b80c74607e54fcfc1f029ac32b4ee84e3139942d7ef449a27d5cbee6ad6f/Transcript___Game_Design_Intern___Lâm_Tấn_Vũ.pdf")</f>
        <v>https://api.typeform.com/responses/files/7bc8b80c74607e54fcfc1f029ac32b4ee84e3139942d7ef449a27d5cbee6ad6f/Transcript___Game_Design_Intern___Lâm_Tấn_Vũ.pdf</v>
      </c>
      <c r="Q603" s="29" t="b">
        <v>1</v>
      </c>
      <c r="R603" s="29" t="s">
        <v>5922</v>
      </c>
      <c r="S603" s="29" t="s">
        <v>5923</v>
      </c>
      <c r="T603" s="29" t="s">
        <v>72</v>
      </c>
      <c r="U603" s="29" t="s">
        <v>72</v>
      </c>
      <c r="V603" s="29" t="s">
        <v>73</v>
      </c>
      <c r="X603" s="29" t="s">
        <v>5924</v>
      </c>
      <c r="Y603" s="34">
        <v>46149.64776620371</v>
      </c>
      <c r="Z603" s="29" t="s">
        <v>5925</v>
      </c>
      <c r="AA603" s="6">
        <v>2.1</v>
      </c>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row>
    <row r="604" ht="22.5" hidden="1" customHeight="1">
      <c r="A604" s="29" t="s">
        <v>5926</v>
      </c>
      <c r="B604" s="30">
        <v>38608.0</v>
      </c>
      <c r="C604" s="29" t="s">
        <v>5927</v>
      </c>
      <c r="D604" s="31" t="s">
        <v>5928</v>
      </c>
      <c r="E604" s="29" t="s">
        <v>61</v>
      </c>
      <c r="F604" s="29" t="s">
        <v>99</v>
      </c>
      <c r="G604" s="32" t="str">
        <f>HYPERLINK("https://api.typeform.com/responses/files/5bd217639643451b7696b1dab3dd7ecb88a0138bdc2495752cf724f50c517a66/CV___Unity_Developement_Intern___Luong_Linh_Khoi.pdf")</f>
        <v>https://api.typeform.com/responses/files/5bd217639643451b7696b1dab3dd7ecb88a0138bdc2495752cf724f50c517a66/CV___Unity_Developement_Intern___Luong_Linh_Khoi.pdf</v>
      </c>
      <c r="H604" s="29" t="s">
        <v>5929</v>
      </c>
      <c r="I604" s="29" t="s">
        <v>5930</v>
      </c>
      <c r="J604" s="29" t="s">
        <v>326</v>
      </c>
      <c r="L604" s="29" t="s">
        <v>219</v>
      </c>
      <c r="M604" s="29" t="s">
        <v>909</v>
      </c>
      <c r="N604" s="33">
        <v>46722.0</v>
      </c>
      <c r="O604" s="31" t="s">
        <v>233</v>
      </c>
      <c r="P604" s="32" t="str">
        <f>HYPERLINK("https://api.typeform.com/responses/files/dbbb3f489a3f4cceb51187c6a5eddd3a313ccfd81a37fe13b939b593c3bfb969/Transcript___Unity_Developement_Intern__Luong_Linh_Khoi.pdf")</f>
        <v>https://api.typeform.com/responses/files/dbbb3f489a3f4cceb51187c6a5eddd3a313ccfd81a37fe13b939b593c3bfb969/Transcript___Unity_Developement_Intern__Luong_Linh_Khoi.pdf</v>
      </c>
      <c r="Q604" s="29" t="b">
        <v>1</v>
      </c>
      <c r="R604" s="29" t="s">
        <v>5931</v>
      </c>
      <c r="S604" s="29" t="s">
        <v>5932</v>
      </c>
      <c r="T604" s="29" t="s">
        <v>72</v>
      </c>
      <c r="U604" s="29" t="s">
        <v>72</v>
      </c>
      <c r="V604" s="29" t="s">
        <v>5248</v>
      </c>
      <c r="X604" s="29" t="s">
        <v>5933</v>
      </c>
      <c r="Y604" s="34">
        <v>46149.654814814814</v>
      </c>
      <c r="Z604" s="29" t="s">
        <v>5934</v>
      </c>
      <c r="AA604" s="6">
        <v>3.0</v>
      </c>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row>
    <row r="605" ht="22.5" hidden="1" customHeight="1">
      <c r="A605" s="29" t="s">
        <v>5935</v>
      </c>
      <c r="B605" s="30">
        <v>37454.0</v>
      </c>
      <c r="C605" s="29" t="s">
        <v>5936</v>
      </c>
      <c r="D605" s="31" t="s">
        <v>5937</v>
      </c>
      <c r="E605" s="29" t="s">
        <v>99</v>
      </c>
      <c r="F605" s="29" t="s">
        <v>127</v>
      </c>
      <c r="G605" s="32" t="str">
        <f>HYPERLINK("https://api.typeform.com/responses/files/80b5756537870dac321eacb10855218185aaa36346a3355618b0ac7fe5df30d9/CV_Game_Designer_Trương_Quốc_Cường_.pdf")</f>
        <v>https://api.typeform.com/responses/files/80b5756537870dac321eacb10855218185aaa36346a3355618b0ac7fe5df30d9/CV_Game_Designer_Trương_Quốc_Cường_.pdf</v>
      </c>
      <c r="H605" s="29" t="s">
        <v>5938</v>
      </c>
      <c r="I605" s="29" t="s">
        <v>5939</v>
      </c>
      <c r="J605" s="29" t="s">
        <v>338</v>
      </c>
      <c r="L605" s="29" t="s">
        <v>103</v>
      </c>
      <c r="M605" s="29" t="s">
        <v>5940</v>
      </c>
      <c r="N605" s="33">
        <v>45555.0</v>
      </c>
      <c r="O605" s="31" t="s">
        <v>362</v>
      </c>
      <c r="P605" s="32" t="str">
        <f>HYPERLINK("https://api.typeform.com/responses/files/37496f16a7e280622286f6b28444c4192941c746ecd86ab75c334af97baaa49e/Transcript_Game_Designer_Trương_Quốc_Cường.pdf")</f>
        <v>https://api.typeform.com/responses/files/37496f16a7e280622286f6b28444c4192941c746ecd86ab75c334af97baaa49e/Transcript_Game_Designer_Trương_Quốc_Cường.pdf</v>
      </c>
      <c r="Q605" s="29" t="b">
        <v>1</v>
      </c>
      <c r="R605" s="29" t="s">
        <v>5941</v>
      </c>
      <c r="S605" s="29" t="s">
        <v>5942</v>
      </c>
      <c r="T605" s="29" t="s">
        <v>72</v>
      </c>
      <c r="U605" s="29" t="s">
        <v>72</v>
      </c>
      <c r="V605" s="29" t="s">
        <v>90</v>
      </c>
      <c r="Y605" s="34">
        <v>46149.66028935185</v>
      </c>
      <c r="Z605" s="29" t="s">
        <v>5943</v>
      </c>
      <c r="AA605" s="6">
        <v>2.1</v>
      </c>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row>
    <row r="606" ht="22.5" hidden="1" customHeight="1">
      <c r="A606" s="29" t="s">
        <v>5944</v>
      </c>
      <c r="B606" s="30">
        <v>38107.0</v>
      </c>
      <c r="C606" s="29" t="s">
        <v>5945</v>
      </c>
      <c r="D606" s="31" t="s">
        <v>5946</v>
      </c>
      <c r="E606" s="29" t="s">
        <v>127</v>
      </c>
      <c r="F606" s="29" t="s">
        <v>774</v>
      </c>
      <c r="G606" s="32" t="str">
        <f>HYPERLINK("https://api.typeform.com/responses/files/ace33cafe59cbf7138661084001a69409cad9ce77fcbf810c72e06bbbb707ff1/CV___Game_Quality_Assurance_Intern___Bui_Trong_Tin.pdf")</f>
        <v>https://api.typeform.com/responses/files/ace33cafe59cbf7138661084001a69409cad9ce77fcbf810c72e06bbbb707ff1/CV___Game_Quality_Assurance_Intern___Bui_Trong_Tin.pdf</v>
      </c>
      <c r="H606" s="29" t="s">
        <v>5947</v>
      </c>
      <c r="I606" s="29" t="s">
        <v>5948</v>
      </c>
      <c r="J606" s="29" t="s">
        <v>2281</v>
      </c>
      <c r="L606" s="29" t="s">
        <v>67</v>
      </c>
      <c r="M606" s="29" t="s">
        <v>3365</v>
      </c>
      <c r="N606" s="33">
        <v>46296.0</v>
      </c>
      <c r="O606" s="31" t="s">
        <v>1164</v>
      </c>
      <c r="P606" s="32" t="str">
        <f>HYPERLINK("https://api.typeform.com/responses/files/acbc3d88f7a4a5435caf63a947cad6f7d4624b0374ec4f73e2287465f7f33d88/Transcript___Game_Quality_Assurance_Intern___Bui_Trong_Tin.pdf")</f>
        <v>https://api.typeform.com/responses/files/acbc3d88f7a4a5435caf63a947cad6f7d4624b0374ec4f73e2287465f7f33d88/Transcript___Game_Quality_Assurance_Intern___Bui_Trong_Tin.pdf</v>
      </c>
      <c r="Q606" s="29" t="b">
        <v>0</v>
      </c>
      <c r="R606" s="29" t="s">
        <v>5949</v>
      </c>
      <c r="S606" s="29" t="s">
        <v>5950</v>
      </c>
      <c r="T606" s="29" t="s">
        <v>5951</v>
      </c>
      <c r="U606" s="29" t="s">
        <v>72</v>
      </c>
      <c r="V606" s="29" t="s">
        <v>73</v>
      </c>
      <c r="X606" s="29" t="s">
        <v>5952</v>
      </c>
      <c r="Y606" s="34">
        <v>46149.66960648148</v>
      </c>
      <c r="Z606" s="29" t="s">
        <v>5953</v>
      </c>
      <c r="AA606" s="6">
        <v>3.0</v>
      </c>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row>
    <row r="607" ht="22.5" hidden="1" customHeight="1">
      <c r="A607" s="29" t="s">
        <v>5954</v>
      </c>
      <c r="B607" s="30">
        <v>37989.0</v>
      </c>
      <c r="C607" s="29" t="s">
        <v>5955</v>
      </c>
      <c r="D607" s="31" t="s">
        <v>5956</v>
      </c>
      <c r="E607" s="29" t="s">
        <v>99</v>
      </c>
      <c r="F607" s="29" t="s">
        <v>127</v>
      </c>
      <c r="G607" s="32" t="str">
        <f>HYPERLINK("https://api.typeform.com/responses/files/19b94fc688886f0acc6ebe358e67e11020db473886d1297151f5b72399a5f621/CV___Game_Design_Intern___Lâm_Mai_Hương_Giang.pdf")</f>
        <v>https://api.typeform.com/responses/files/19b94fc688886f0acc6ebe358e67e11020db473886d1297151f5b72399a5f621/CV___Game_Design_Intern___Lâm_Mai_Hương_Giang.pdf</v>
      </c>
      <c r="H607" s="29" t="s">
        <v>5957</v>
      </c>
      <c r="I607" s="29" t="s">
        <v>5958</v>
      </c>
      <c r="J607" s="29" t="s">
        <v>338</v>
      </c>
      <c r="L607" s="29" t="s">
        <v>67</v>
      </c>
      <c r="M607" s="29" t="s">
        <v>5959</v>
      </c>
      <c r="N607" s="33">
        <v>46244.0</v>
      </c>
      <c r="O607" s="31" t="s">
        <v>3624</v>
      </c>
      <c r="P607" s="32" t="str">
        <f>HYPERLINK("https://api.typeform.com/responses/files/7e9e7ac98293a39bb14d5fc234366566f3d2ae951b9f17e304e178538e92de6d/Transcript___Game_Design_Intern___Lâm_Mai_Hương_Giang.pdf")</f>
        <v>https://api.typeform.com/responses/files/7e9e7ac98293a39bb14d5fc234366566f3d2ae951b9f17e304e178538e92de6d/Transcript___Game_Design_Intern___Lâm_Mai_Hương_Giang.pdf</v>
      </c>
      <c r="Q607" s="29" t="b">
        <v>1</v>
      </c>
      <c r="R607" s="29" t="s">
        <v>5960</v>
      </c>
      <c r="S607" s="29" t="s">
        <v>5961</v>
      </c>
      <c r="T607" s="29" t="s">
        <v>72</v>
      </c>
      <c r="U607" s="29" t="s">
        <v>72</v>
      </c>
      <c r="V607" s="29" t="s">
        <v>236</v>
      </c>
      <c r="X607" s="29" t="s">
        <v>5962</v>
      </c>
      <c r="Y607" s="34">
        <v>46149.66583333333</v>
      </c>
      <c r="Z607" s="29" t="s">
        <v>5963</v>
      </c>
      <c r="AA607" s="6">
        <v>2.1</v>
      </c>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row>
    <row r="608" ht="22.5" hidden="1" customHeight="1">
      <c r="A608" s="29" t="s">
        <v>5964</v>
      </c>
      <c r="B608" s="30">
        <v>38677.0</v>
      </c>
      <c r="C608" s="29" t="s">
        <v>5965</v>
      </c>
      <c r="D608" s="31" t="s">
        <v>5966</v>
      </c>
      <c r="E608" s="29" t="s">
        <v>61</v>
      </c>
      <c r="F608" s="29" t="s">
        <v>99</v>
      </c>
      <c r="G608" s="32" t="str">
        <f>HYPERLINK("https://api.typeform.com/responses/files/bc706f04e2f7e12869711cc36e42142642c554c929d858fcad7f01562f4f6f59/CV__Unity_Development_Intern___Nguyễn_Nhật_Huy.pdf")</f>
        <v>https://api.typeform.com/responses/files/bc706f04e2f7e12869711cc36e42142642c554c929d858fcad7f01562f4f6f59/CV__Unity_Development_Intern___Nguyễn_Nhật_Huy.pdf</v>
      </c>
      <c r="H608" s="29" t="s">
        <v>5967</v>
      </c>
      <c r="I608" s="29" t="s">
        <v>5968</v>
      </c>
      <c r="J608" s="29" t="s">
        <v>372</v>
      </c>
      <c r="L608" s="29" t="s">
        <v>219</v>
      </c>
      <c r="M608" s="29" t="s">
        <v>132</v>
      </c>
      <c r="N608" s="33">
        <v>46608.0</v>
      </c>
      <c r="O608" s="31" t="s">
        <v>625</v>
      </c>
      <c r="P608" s="32" t="str">
        <f>HYPERLINK("https://api.typeform.com/responses/files/dc496fe622ecf3f955f0b44d49909e1a756c8f38f085f978f2ecc9b3e631b560/Transcript___Unity_Development_Intern___Nguyễn_Nhật_Huy.docx")</f>
        <v>https://api.typeform.com/responses/files/dc496fe622ecf3f955f0b44d49909e1a756c8f38f085f978f2ecc9b3e631b560/Transcript___Unity_Development_Intern___Nguyễn_Nhật_Huy.docx</v>
      </c>
      <c r="Q608" s="29" t="b">
        <v>1</v>
      </c>
      <c r="R608" s="29" t="s">
        <v>5969</v>
      </c>
      <c r="S608" s="29" t="s">
        <v>5970</v>
      </c>
      <c r="T608" s="29" t="s">
        <v>72</v>
      </c>
      <c r="U608" s="29" t="s">
        <v>72</v>
      </c>
      <c r="V608" s="29" t="s">
        <v>73</v>
      </c>
      <c r="X608" s="29" t="s">
        <v>5971</v>
      </c>
      <c r="Y608" s="34">
        <v>46149.68403935185</v>
      </c>
      <c r="Z608" s="29" t="s">
        <v>5972</v>
      </c>
      <c r="AA608" s="6">
        <v>3.0</v>
      </c>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row>
    <row r="609" ht="22.5" hidden="1" customHeight="1">
      <c r="A609" s="29" t="s">
        <v>5973</v>
      </c>
      <c r="B609" s="30">
        <v>38623.0</v>
      </c>
      <c r="C609" s="29" t="s">
        <v>5974</v>
      </c>
      <c r="D609" s="31" t="s">
        <v>5975</v>
      </c>
      <c r="E609" s="29" t="s">
        <v>62</v>
      </c>
      <c r="F609" s="29" t="s">
        <v>62</v>
      </c>
      <c r="G609" s="32" t="str">
        <f>HYPERLINK("https://api.typeform.com/responses/files/9c2181e593823d11d8bc9e2427b32cbc8ea01b991b3722f7a495cdb1d4d41621/CV___AI_Engineering_Intern___Huỳnh_Ngọc_Anh_Thư.pdf")</f>
        <v>https://api.typeform.com/responses/files/9c2181e593823d11d8bc9e2427b32cbc8ea01b991b3722f7a495cdb1d4d41621/CV___AI_Engineering_Intern___Huỳnh_Ngọc_Anh_Thư.pdf</v>
      </c>
      <c r="H609" s="29" t="s">
        <v>5976</v>
      </c>
      <c r="I609" s="29" t="s">
        <v>5977</v>
      </c>
      <c r="J609" s="29" t="s">
        <v>338</v>
      </c>
      <c r="L609" s="29" t="s">
        <v>219</v>
      </c>
      <c r="M609" s="29" t="s">
        <v>570</v>
      </c>
      <c r="N609" s="33">
        <v>46388.0</v>
      </c>
      <c r="O609" s="31" t="s">
        <v>5978</v>
      </c>
      <c r="P609" s="32" t="str">
        <f>HYPERLINK("https://api.typeform.com/responses/files/d3c072df59ee74531eb275bf2e3d16484811493959e6331cdb869b1b30e048c7/Transcript___AI_Engineering_Intern___Huỳnh_Ngọc_Anh_Thư.pdf")</f>
        <v>https://api.typeform.com/responses/files/d3c072df59ee74531eb275bf2e3d16484811493959e6331cdb869b1b30e048c7/Transcript___AI_Engineering_Intern___Huỳnh_Ngọc_Anh_Thư.pdf</v>
      </c>
      <c r="Q609" s="29" t="b">
        <v>1</v>
      </c>
      <c r="R609" s="29" t="s">
        <v>5979</v>
      </c>
      <c r="S609" s="29" t="s">
        <v>5980</v>
      </c>
      <c r="T609" s="29" t="s">
        <v>72</v>
      </c>
      <c r="U609" s="29" t="s">
        <v>72</v>
      </c>
      <c r="V609" s="29" t="s">
        <v>73</v>
      </c>
      <c r="X609" s="29" t="s">
        <v>5981</v>
      </c>
      <c r="Y609" s="34">
        <v>46149.69681712963</v>
      </c>
      <c r="Z609" s="29" t="s">
        <v>5982</v>
      </c>
      <c r="AA609" s="6">
        <v>3.0</v>
      </c>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row>
    <row r="610" ht="22.5" hidden="1" customHeight="1">
      <c r="A610" s="29" t="s">
        <v>5983</v>
      </c>
      <c r="B610" s="30">
        <v>38360.0</v>
      </c>
      <c r="C610" s="29" t="s">
        <v>5984</v>
      </c>
      <c r="D610" s="31" t="s">
        <v>5985</v>
      </c>
      <c r="E610" s="29" t="s">
        <v>62</v>
      </c>
      <c r="G610" s="32" t="str">
        <f>HYPERLINK("https://api.typeform.com/responses/files/af20850e5fd50399ecd9949b8e5bb2b6ef7f86140ef64edfd5e89f5394c0001d/CV___AI_Engineering_Intern___Hoàng_Văn_Minh.pdf")</f>
        <v>https://api.typeform.com/responses/files/af20850e5fd50399ecd9949b8e5bb2b6ef7f86140ef64edfd5e89f5394c0001d/CV___AI_Engineering_Intern___Hoàng_Văn_Minh.pdf</v>
      </c>
      <c r="H610" s="29" t="s">
        <v>5986</v>
      </c>
      <c r="I610" s="29" t="s">
        <v>5987</v>
      </c>
      <c r="J610" s="29" t="s">
        <v>338</v>
      </c>
      <c r="L610" s="29" t="s">
        <v>219</v>
      </c>
      <c r="M610" s="29" t="s">
        <v>570</v>
      </c>
      <c r="N610" s="33">
        <v>46388.0</v>
      </c>
      <c r="O610" s="31" t="s">
        <v>5988</v>
      </c>
      <c r="P610" s="32" t="str">
        <f>HYPERLINK("https://api.typeform.com/responses/files/0059ed1d7f89fad4c9a372da3192ffa47fc1495827e5993b8744f8a4aa16c739/Transcript___AI_Engineering_Intern___Hoàng_Văn_Minh.pdf")</f>
        <v>https://api.typeform.com/responses/files/0059ed1d7f89fad4c9a372da3192ffa47fc1495827e5993b8744f8a4aa16c739/Transcript___AI_Engineering_Intern___Hoàng_Văn_Minh.pdf</v>
      </c>
      <c r="Q610" s="29" t="b">
        <v>1</v>
      </c>
      <c r="R610" s="29" t="s">
        <v>5989</v>
      </c>
      <c r="S610" s="29" t="s">
        <v>5990</v>
      </c>
      <c r="T610" s="29" t="s">
        <v>72</v>
      </c>
      <c r="U610" s="29" t="s">
        <v>72</v>
      </c>
      <c r="V610" s="29" t="s">
        <v>73</v>
      </c>
      <c r="X610" s="29" t="s">
        <v>5991</v>
      </c>
      <c r="Y610" s="34">
        <v>46149.71990740741</v>
      </c>
      <c r="Z610" s="29" t="s">
        <v>5992</v>
      </c>
      <c r="AA610" s="6">
        <v>3.0</v>
      </c>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row>
    <row r="611" ht="22.5" hidden="1" customHeight="1">
      <c r="A611" s="29" t="s">
        <v>5993</v>
      </c>
      <c r="B611" s="30">
        <v>36361.0</v>
      </c>
      <c r="C611" s="29" t="s">
        <v>5994</v>
      </c>
      <c r="D611" s="31" t="s">
        <v>5995</v>
      </c>
      <c r="E611" s="29" t="s">
        <v>99</v>
      </c>
      <c r="F611" s="29" t="s">
        <v>99</v>
      </c>
      <c r="G611" s="32" t="str">
        <f>HYPERLINK("https://api.typeform.com/responses/files/2991017b2221d73d00c02a055ffa037d35ea85af48020129d78ff9e2fa2919dd/CV___Game_Design_Intern___Nhơn_Minh_Kiệt.pdf")</f>
        <v>https://api.typeform.com/responses/files/2991017b2221d73d00c02a055ffa037d35ea85af48020129d78ff9e2fa2919dd/CV___Game_Design_Intern___Nhơn_Minh_Kiệt.pdf</v>
      </c>
      <c r="H611" s="29" t="s">
        <v>5996</v>
      </c>
      <c r="I611" s="29" t="s">
        <v>5997</v>
      </c>
      <c r="J611" s="29" t="s">
        <v>338</v>
      </c>
      <c r="L611" s="29" t="s">
        <v>5998</v>
      </c>
      <c r="M611" s="29" t="s">
        <v>5615</v>
      </c>
      <c r="N611" s="33">
        <v>44925.0</v>
      </c>
      <c r="O611" s="31" t="s">
        <v>483</v>
      </c>
      <c r="P611" s="32" t="str">
        <f>HYPERLINK("https://api.typeform.com/responses/files/bc39f9fbe92f05f93d06f57069ac8cc8fa17e19338797c1f7f111782d628d3ae/IMG_6894.png")</f>
        <v>https://api.typeform.com/responses/files/bc39f9fbe92f05f93d06f57069ac8cc8fa17e19338797c1f7f111782d628d3ae/IMG_6894.png</v>
      </c>
      <c r="Q611" s="29" t="b">
        <v>0</v>
      </c>
      <c r="R611" s="29" t="s">
        <v>1437</v>
      </c>
      <c r="S611" s="29" t="s">
        <v>5999</v>
      </c>
      <c r="T611" s="29" t="s">
        <v>72</v>
      </c>
      <c r="U611" s="29" t="s">
        <v>72</v>
      </c>
      <c r="V611" s="29" t="s">
        <v>90</v>
      </c>
      <c r="X611" s="29" t="s">
        <v>6000</v>
      </c>
      <c r="Y611" s="34">
        <v>46149.71991898148</v>
      </c>
      <c r="Z611" s="29" t="s">
        <v>6001</v>
      </c>
      <c r="AA611" s="6">
        <v>2.1</v>
      </c>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row>
    <row r="612" ht="22.5" hidden="1" customHeight="1">
      <c r="A612" s="29" t="s">
        <v>6002</v>
      </c>
      <c r="B612" s="30">
        <v>37975.0</v>
      </c>
      <c r="C612" s="29" t="s">
        <v>6003</v>
      </c>
      <c r="D612" s="31" t="s">
        <v>6004</v>
      </c>
      <c r="E612" s="29" t="s">
        <v>62</v>
      </c>
      <c r="G612" s="32" t="str">
        <f>HYPERLINK("https://api.typeform.com/responses/files/24a0ac4644e4c3c2f2d526ed0f163da30480460ccc771886e12668bd80afe123/CV___AI_Engineering_Intern___Nguyễn_Phước_Thành_Tâm.pdf")</f>
        <v>https://api.typeform.com/responses/files/24a0ac4644e4c3c2f2d526ed0f163da30480460ccc771886e12668bd80afe123/CV___AI_Engineering_Intern___Nguyễn_Phước_Thành_Tâm.pdf</v>
      </c>
      <c r="H612" s="29" t="s">
        <v>6005</v>
      </c>
      <c r="I612" s="29" t="s">
        <v>6006</v>
      </c>
      <c r="J612" s="29" t="s">
        <v>277</v>
      </c>
      <c r="L612" s="29" t="s">
        <v>6007</v>
      </c>
      <c r="M612" s="29" t="s">
        <v>6008</v>
      </c>
      <c r="N612" s="33">
        <v>46351.0</v>
      </c>
      <c r="O612" s="31" t="s">
        <v>6009</v>
      </c>
      <c r="P612" s="32" t="str">
        <f>HYPERLINK("https://api.typeform.com/responses/files/bf4f05ef5f202edd1da8b5a37e6bb70577b2e23e24e701010d3c2793e8d49005/Transcript___AI_Engineering_Intern___Nguyễn_Phước_Thành_Tâm.pdf")</f>
        <v>https://api.typeform.com/responses/files/bf4f05ef5f202edd1da8b5a37e6bb70577b2e23e24e701010d3c2793e8d49005/Transcript___AI_Engineering_Intern___Nguyễn_Phước_Thành_Tâm.pdf</v>
      </c>
      <c r="Q612" s="29" t="b">
        <v>0</v>
      </c>
      <c r="R612" s="29" t="s">
        <v>376</v>
      </c>
      <c r="S612" s="29" t="s">
        <v>6010</v>
      </c>
      <c r="T612" s="29" t="s">
        <v>72</v>
      </c>
      <c r="U612" s="29" t="s">
        <v>72</v>
      </c>
      <c r="V612" s="29" t="s">
        <v>90</v>
      </c>
      <c r="X612" s="29" t="s">
        <v>6011</v>
      </c>
      <c r="Y612" s="34">
        <v>46149.73369212963</v>
      </c>
      <c r="Z612" s="29" t="s">
        <v>6012</v>
      </c>
      <c r="AA612" s="6">
        <v>3.0</v>
      </c>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row>
    <row r="613" ht="22.5" hidden="1" customHeight="1">
      <c r="A613" s="29" t="s">
        <v>6013</v>
      </c>
      <c r="B613" s="30">
        <v>38551.0</v>
      </c>
      <c r="C613" s="29" t="s">
        <v>6014</v>
      </c>
      <c r="D613" s="31" t="s">
        <v>6015</v>
      </c>
      <c r="E613" s="29" t="s">
        <v>99</v>
      </c>
      <c r="F613" s="29" t="s">
        <v>62</v>
      </c>
      <c r="G613" s="32" t="str">
        <f>HYPERLINK("https://api.typeform.com/responses/files/edea34de3b1a9d6e7c1847a51f7e3deaf3162c824d438bda02e63549af15456a/CV___Game_Design_Intern___Nguyễn_Bùi_Quang.pdf")</f>
        <v>https://api.typeform.com/responses/files/edea34de3b1a9d6e7c1847a51f7e3deaf3162c824d438bda02e63549af15456a/CV___Game_Design_Intern___Nguyễn_Bùi_Quang.pdf</v>
      </c>
      <c r="H613" s="29" t="s">
        <v>6016</v>
      </c>
      <c r="I613" s="29" t="s">
        <v>6017</v>
      </c>
      <c r="J613" s="29" t="s">
        <v>715</v>
      </c>
      <c r="L613" s="29" t="s">
        <v>219</v>
      </c>
      <c r="M613" s="29" t="s">
        <v>399</v>
      </c>
      <c r="N613" s="33">
        <v>46661.0</v>
      </c>
      <c r="O613" s="31" t="s">
        <v>299</v>
      </c>
      <c r="P613" s="32" t="str">
        <f>HYPERLINK("https://api.typeform.com/responses/files/e6900a4c50719fe948fcc02ead287948ba4bd6942322d5565fc2031a213813d0/Transcript___Game_Design_Intern___Nguyễn_Bùi_Quang.pdf")</f>
        <v>https://api.typeform.com/responses/files/e6900a4c50719fe948fcc02ead287948ba4bd6942322d5565fc2031a213813d0/Transcript___Game_Design_Intern___Nguyễn_Bùi_Quang.pdf</v>
      </c>
      <c r="Q613" s="29" t="b">
        <v>0</v>
      </c>
      <c r="R613" s="29" t="s">
        <v>222</v>
      </c>
      <c r="S613" s="29" t="s">
        <v>222</v>
      </c>
      <c r="T613" s="29" t="s">
        <v>72</v>
      </c>
      <c r="U613" s="29" t="s">
        <v>72</v>
      </c>
      <c r="V613" s="29" t="s">
        <v>6018</v>
      </c>
      <c r="Y613" s="34">
        <v>46149.7678125</v>
      </c>
      <c r="Z613" s="29" t="s">
        <v>6019</v>
      </c>
      <c r="AA613" s="6">
        <v>2.1</v>
      </c>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row>
    <row r="614" ht="22.5" hidden="1" customHeight="1">
      <c r="A614" s="29" t="s">
        <v>6020</v>
      </c>
      <c r="B614" s="30">
        <v>37066.0</v>
      </c>
      <c r="C614" s="29" t="s">
        <v>6021</v>
      </c>
      <c r="D614" s="31" t="s">
        <v>6022</v>
      </c>
      <c r="E614" s="29" t="s">
        <v>774</v>
      </c>
      <c r="F614" s="29" t="s">
        <v>82</v>
      </c>
      <c r="G614" s="32" t="str">
        <f>HYPERLINK("https://api.typeform.com/responses/files/1e5239c6bbbad82941b3f86433ea2e879c6f872d795da19a9088cd3434ba0893/Phạm_Thị_Thùy_Dương__Game_User_Acquisition_Intern.pdf")</f>
        <v>https://api.typeform.com/responses/files/1e5239c6bbbad82941b3f86433ea2e879c6f872d795da19a9088cd3434ba0893/Phạm_Thị_Thùy_Dương__Game_User_Acquisition_Intern.pdf</v>
      </c>
      <c r="H614" s="29" t="s">
        <v>6023</v>
      </c>
      <c r="I614" s="29" t="s">
        <v>6024</v>
      </c>
      <c r="J614" s="29" t="s">
        <v>2581</v>
      </c>
      <c r="L614" s="29" t="s">
        <v>2763</v>
      </c>
      <c r="M614" s="29" t="s">
        <v>1496</v>
      </c>
      <c r="N614" s="33">
        <v>44927.0</v>
      </c>
      <c r="O614" s="31" t="s">
        <v>1220</v>
      </c>
      <c r="P614" s="32" t="str">
        <f>HYPERLINK("https://api.typeform.com/responses/files/3e7265a94e7cf4ba9d74f037fce3c927011671afb8846882ccddf72a4dd938f1/Phạm_Thị_Thùy_Dương__Game_User_Acquisition_Intern.pdf")</f>
        <v>https://api.typeform.com/responses/files/3e7265a94e7cf4ba9d74f037fce3c927011671afb8846882ccddf72a4dd938f1/Phạm_Thị_Thùy_Dương__Game_User_Acquisition_Intern.pdf</v>
      </c>
      <c r="Q614" s="29" t="b">
        <v>0</v>
      </c>
      <c r="R614" s="29" t="s">
        <v>6025</v>
      </c>
      <c r="S614" s="29" t="s">
        <v>6026</v>
      </c>
      <c r="T614" s="29" t="s">
        <v>72</v>
      </c>
      <c r="U614" s="29" t="s">
        <v>72</v>
      </c>
      <c r="V614" s="29" t="s">
        <v>90</v>
      </c>
      <c r="X614" s="29" t="s">
        <v>6027</v>
      </c>
      <c r="Y614" s="34">
        <v>46149.87532407408</v>
      </c>
      <c r="Z614" s="29" t="s">
        <v>6028</v>
      </c>
      <c r="AA614" s="6">
        <v>3.0</v>
      </c>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row>
    <row r="615" ht="22.5" hidden="1" customHeight="1">
      <c r="A615" s="29" t="s">
        <v>452</v>
      </c>
      <c r="B615" s="30">
        <v>38215.0</v>
      </c>
      <c r="C615" s="29" t="s">
        <v>6029</v>
      </c>
      <c r="D615" s="31" t="s">
        <v>454</v>
      </c>
      <c r="E615" s="29" t="s">
        <v>99</v>
      </c>
      <c r="F615" s="29" t="s">
        <v>61</v>
      </c>
      <c r="G615" s="32" t="str">
        <f>HYPERLINK("https://api.typeform.com/responses/files/0aa071ecf023fd20887d17c9285a7007928a23b0e501a7e8bcc91894506082ee/NguyenThanhHien_CV.pdf")</f>
        <v>https://api.typeform.com/responses/files/0aa071ecf023fd20887d17c9285a7007928a23b0e501a7e8bcc91894506082ee/NguyenThanhHien_CV.pdf</v>
      </c>
      <c r="H615" s="29" t="s">
        <v>6030</v>
      </c>
      <c r="I615" s="29" t="s">
        <v>6031</v>
      </c>
      <c r="J615" s="29" t="s">
        <v>144</v>
      </c>
      <c r="L615" s="29" t="s">
        <v>103</v>
      </c>
      <c r="M615" s="29" t="s">
        <v>6032</v>
      </c>
      <c r="N615" s="33">
        <v>45950.0</v>
      </c>
      <c r="O615" s="31" t="s">
        <v>458</v>
      </c>
      <c r="P615" s="32" t="str">
        <f>HYPERLINK("https://api.typeform.com/responses/files/4a82d09f8c0a18165abcfa7308e0932725388a2650c83357e7c00e2937c1c0f6/Bảng_điểm__FPT_Polytechnic__2_.pdf")</f>
        <v>https://api.typeform.com/responses/files/4a82d09f8c0a18165abcfa7308e0932725388a2650c83357e7c00e2937c1c0f6/Bảng_điểm__FPT_Polytechnic__2_.pdf</v>
      </c>
      <c r="Q615" s="29" t="b">
        <v>1</v>
      </c>
      <c r="R615" s="29" t="s">
        <v>6033</v>
      </c>
      <c r="S615" s="29" t="s">
        <v>460</v>
      </c>
      <c r="T615" s="29" t="s">
        <v>72</v>
      </c>
      <c r="U615" s="29" t="s">
        <v>72</v>
      </c>
      <c r="V615" s="29" t="s">
        <v>90</v>
      </c>
      <c r="X615" s="29" t="s">
        <v>6034</v>
      </c>
      <c r="Y615" s="34">
        <v>46149.88655092593</v>
      </c>
      <c r="Z615" s="29" t="s">
        <v>6035</v>
      </c>
      <c r="AA615" s="6">
        <v>3.0</v>
      </c>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row>
    <row r="616" ht="22.5" hidden="1" customHeight="1">
      <c r="A616" s="29" t="s">
        <v>6036</v>
      </c>
      <c r="B616" s="30">
        <v>38412.0</v>
      </c>
      <c r="C616" s="29" t="s">
        <v>6037</v>
      </c>
      <c r="D616" s="31" t="s">
        <v>6038</v>
      </c>
      <c r="E616" s="29" t="s">
        <v>82</v>
      </c>
      <c r="F616" s="29" t="s">
        <v>99</v>
      </c>
      <c r="G616" s="32" t="str">
        <f>HYPERLINK("https://api.typeform.com/responses/files/b061918d3522d7b58e7ea1274bd6a4206ba73905ec7f3147806db43646b2c6f1/CV_Data_Analysis_Intern_Tran_Ngoc_Nhi.docx")</f>
        <v>https://api.typeform.com/responses/files/b061918d3522d7b58e7ea1274bd6a4206ba73905ec7f3147806db43646b2c6f1/CV_Data_Analysis_Intern_Tran_Ngoc_Nhi.docx</v>
      </c>
      <c r="H616" s="29" t="s">
        <v>6039</v>
      </c>
      <c r="I616" s="29" t="s">
        <v>6040</v>
      </c>
      <c r="J616" s="29" t="s">
        <v>644</v>
      </c>
      <c r="L616" s="29" t="s">
        <v>219</v>
      </c>
      <c r="M616" s="29" t="s">
        <v>384</v>
      </c>
      <c r="N616" s="33">
        <v>46569.0</v>
      </c>
      <c r="O616" s="31" t="s">
        <v>105</v>
      </c>
      <c r="P616" s="32" t="str">
        <f>HYPERLINK("https://api.typeform.com/responses/files/836f9557edbe9427b53e87d21978f0ff6e5632c8c03cdd2a76ffb90a6b2666fc/Transcript_Data_Analysis_Intern_Trần_Ngọc_Nhi.xls")</f>
        <v>https://api.typeform.com/responses/files/836f9557edbe9427b53e87d21978f0ff6e5632c8c03cdd2a76ffb90a6b2666fc/Transcript_Data_Analysis_Intern_Trần_Ngọc_Nhi.xls</v>
      </c>
      <c r="Q616" s="29" t="b">
        <v>1</v>
      </c>
      <c r="R616" s="29" t="s">
        <v>6041</v>
      </c>
      <c r="S616" s="29" t="s">
        <v>6042</v>
      </c>
      <c r="T616" s="29" t="s">
        <v>72</v>
      </c>
      <c r="U616" s="29" t="s">
        <v>72</v>
      </c>
      <c r="V616" s="29" t="s">
        <v>4409</v>
      </c>
      <c r="X616" s="29" t="s">
        <v>6043</v>
      </c>
      <c r="Y616" s="34">
        <v>46150.01967592593</v>
      </c>
      <c r="Z616" s="29" t="s">
        <v>6044</v>
      </c>
      <c r="AA616" s="6">
        <v>3.0</v>
      </c>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row>
    <row r="617" ht="22.5" hidden="1" customHeight="1">
      <c r="A617" s="29" t="s">
        <v>6045</v>
      </c>
      <c r="B617" s="30">
        <v>38574.0</v>
      </c>
      <c r="C617" s="29" t="s">
        <v>6046</v>
      </c>
      <c r="D617" s="31" t="s">
        <v>6047</v>
      </c>
      <c r="E617" s="29" t="s">
        <v>82</v>
      </c>
      <c r="G617" s="32" t="str">
        <f>HYPERLINK("https://api.typeform.com/responses/files/0a9a7fcae150d0f6e18104ddec830629cab60fdea54d2d0ee52eb6a17080a9f8/My_resume__1_.pdf")</f>
        <v>https://api.typeform.com/responses/files/0a9a7fcae150d0f6e18104ddec830629cab60fdea54d2d0ee52eb6a17080a9f8/My_resume__1_.pdf</v>
      </c>
      <c r="H617" s="29" t="s">
        <v>6048</v>
      </c>
      <c r="I617" s="29" t="s">
        <v>6049</v>
      </c>
      <c r="J617" s="29" t="s">
        <v>326</v>
      </c>
      <c r="L617" s="29" t="s">
        <v>219</v>
      </c>
      <c r="M617" s="29" t="s">
        <v>384</v>
      </c>
      <c r="N617" s="33">
        <v>46731.0</v>
      </c>
      <c r="O617" s="31" t="s">
        <v>766</v>
      </c>
      <c r="P617" s="32" t="str">
        <f>HYPERLINK("https://api.typeform.com/responses/files/db9582f71ef33dd1a5a9c263809716366ffba542ceff68e28fab85f80eedee3a/Transcript___Data_Analysis_Intern___Nguyen_Thi_Khanh_Ly.pdf")</f>
        <v>https://api.typeform.com/responses/files/db9582f71ef33dd1a5a9c263809716366ffba542ceff68e28fab85f80eedee3a/Transcript___Data_Analysis_Intern___Nguyen_Thi_Khanh_Ly.pdf</v>
      </c>
      <c r="Q617" s="29" t="b">
        <v>0</v>
      </c>
      <c r="R617" s="29" t="s">
        <v>222</v>
      </c>
      <c r="S617" s="29" t="s">
        <v>6050</v>
      </c>
      <c r="T617" s="29" t="s">
        <v>72</v>
      </c>
      <c r="U617" s="29" t="s">
        <v>72</v>
      </c>
      <c r="V617" s="29" t="s">
        <v>90</v>
      </c>
      <c r="Y617" s="34">
        <v>46150.16222222222</v>
      </c>
      <c r="Z617" s="29" t="s">
        <v>6051</v>
      </c>
      <c r="AA617" s="6">
        <v>3.0</v>
      </c>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row>
    <row r="618" ht="22.5" hidden="1" customHeight="1">
      <c r="A618" s="29" t="s">
        <v>6052</v>
      </c>
      <c r="B618" s="30">
        <v>38184.0</v>
      </c>
      <c r="C618" s="29" t="s">
        <v>6053</v>
      </c>
      <c r="D618" s="31" t="s">
        <v>6054</v>
      </c>
      <c r="E618" s="29" t="s">
        <v>99</v>
      </c>
      <c r="F618" s="29" t="s">
        <v>774</v>
      </c>
      <c r="G618" s="32" t="str">
        <f>HYPERLINK("https://api.typeform.com/responses/files/1baefdedfabfecd1bfee1f4a1dd966ebf524c73cd4de6394d5d9582eb2e93867/Cv_GAME_DESIG_INTERN_Hà_Ngọc_Tuyết_Như.webp")</f>
        <v>https://api.typeform.com/responses/files/1baefdedfabfecd1bfee1f4a1dd966ebf524c73cd4de6394d5d9582eb2e93867/Cv_GAME_DESIG_INTERN_Hà_Ngọc_Tuyết_Như.webp</v>
      </c>
      <c r="H618" s="29" t="s">
        <v>6055</v>
      </c>
      <c r="I618" s="29" t="s">
        <v>6056</v>
      </c>
      <c r="J618" s="29" t="s">
        <v>65</v>
      </c>
      <c r="K618" s="29" t="s">
        <v>6057</v>
      </c>
      <c r="L618" s="29" t="s">
        <v>67</v>
      </c>
      <c r="M618" s="29" t="s">
        <v>132</v>
      </c>
      <c r="N618" s="33">
        <v>46722.0</v>
      </c>
      <c r="O618" s="31" t="s">
        <v>685</v>
      </c>
      <c r="P618" s="32" t="str">
        <f>HYPERLINK("https://api.typeform.com/responses/files/d9e6ae581f9317c4b7e1bb407498c0e999607e01357df1b06a0da757a375f1d1/Transcript_GAME_DESIG_INTERN__HÀ_NGỌC_TUYẾT_NHƯ.pdf")</f>
        <v>https://api.typeform.com/responses/files/d9e6ae581f9317c4b7e1bb407498c0e999607e01357df1b06a0da757a375f1d1/Transcript_GAME_DESIG_INTERN__HÀ_NGỌC_TUYẾT_NHƯ.pdf</v>
      </c>
      <c r="Q618" s="29" t="b">
        <v>0</v>
      </c>
      <c r="R618" s="29" t="s">
        <v>6058</v>
      </c>
      <c r="S618" s="29" t="s">
        <v>6059</v>
      </c>
      <c r="T618" s="29" t="s">
        <v>72</v>
      </c>
      <c r="U618" s="29" t="s">
        <v>72</v>
      </c>
      <c r="V618" s="29" t="s">
        <v>6060</v>
      </c>
      <c r="X618" s="29" t="s">
        <v>6061</v>
      </c>
      <c r="Y618" s="34">
        <v>46150.16626157407</v>
      </c>
      <c r="Z618" s="29" t="s">
        <v>6062</v>
      </c>
      <c r="AA618" s="6">
        <v>3.0</v>
      </c>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row>
    <row r="619" ht="22.5" hidden="1" customHeight="1">
      <c r="A619" s="29" t="s">
        <v>6063</v>
      </c>
      <c r="B619" s="30">
        <v>38420.0</v>
      </c>
      <c r="C619" s="29" t="s">
        <v>6064</v>
      </c>
      <c r="D619" s="31" t="s">
        <v>6065</v>
      </c>
      <c r="E619" s="29" t="s">
        <v>774</v>
      </c>
      <c r="F619" s="29" t="s">
        <v>99</v>
      </c>
      <c r="G619" s="32" t="str">
        <f>HYPERLINK("https://api.typeform.com/responses/files/6c13068c817aa6677c606b6de4a012a529d9996eb7f79e39dba0a640ca9172e8/CV___Game_User_Acquisition_Intern___Trần_Xuân_Mai.pdf")</f>
        <v>https://api.typeform.com/responses/files/6c13068c817aa6677c606b6de4a012a529d9996eb7f79e39dba0a640ca9172e8/CV___Game_User_Acquisition_Intern___Trần_Xuân_Mai.pdf</v>
      </c>
      <c r="H619" s="29" t="s">
        <v>6066</v>
      </c>
      <c r="I619" s="29" t="s">
        <v>6067</v>
      </c>
      <c r="J619" s="29" t="s">
        <v>842</v>
      </c>
      <c r="L619" s="29" t="s">
        <v>219</v>
      </c>
      <c r="M619" s="29" t="s">
        <v>6068</v>
      </c>
      <c r="N619" s="33">
        <v>46477.0</v>
      </c>
      <c r="O619" s="31" t="s">
        <v>6069</v>
      </c>
      <c r="P619" s="32" t="str">
        <f>HYPERLINK("https://api.typeform.com/responses/files/c55a84cb11e29d2961bdd1d1547985b528dc62d9b3510d8292438e643822d16e/Transcript___Game_User_Acquisition_Intern___Trần_Xuân_Mai.pdf")</f>
        <v>https://api.typeform.com/responses/files/c55a84cb11e29d2961bdd1d1547985b528dc62d9b3510d8292438e643822d16e/Transcript___Game_User_Acquisition_Intern___Trần_Xuân_Mai.pdf</v>
      </c>
      <c r="Q619" s="29" t="b">
        <v>0</v>
      </c>
      <c r="R619" s="29" t="s">
        <v>6070</v>
      </c>
      <c r="S619" s="29" t="s">
        <v>6071</v>
      </c>
      <c r="T619" s="29" t="s">
        <v>72</v>
      </c>
      <c r="U619" s="29" t="s">
        <v>72</v>
      </c>
      <c r="V619" s="29" t="s">
        <v>73</v>
      </c>
      <c r="X619" s="29" t="s">
        <v>6072</v>
      </c>
      <c r="Y619" s="34">
        <v>46150.25578703704</v>
      </c>
      <c r="Z619" s="29" t="s">
        <v>6073</v>
      </c>
      <c r="AA619" s="6">
        <v>3.0</v>
      </c>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row>
    <row r="620" ht="22.5" hidden="1" customHeight="1">
      <c r="A620" s="29" t="s">
        <v>6074</v>
      </c>
      <c r="B620" s="30">
        <v>38507.0</v>
      </c>
      <c r="C620" s="29" t="s">
        <v>6075</v>
      </c>
      <c r="D620" s="31" t="s">
        <v>6076</v>
      </c>
      <c r="E620" s="29" t="s">
        <v>82</v>
      </c>
      <c r="F620" s="29" t="s">
        <v>62</v>
      </c>
      <c r="G620" s="32" t="str">
        <f>HYPERLINK("https://api.typeform.com/responses/files/3254b64f13a27f76da14b0b61b9d7ae6afc3c572fff4557c028da7608efac33d/CV___Data_Analysis_Intern___Võ_Thị_Đông_Nghi.pdf")</f>
        <v>https://api.typeform.com/responses/files/3254b64f13a27f76da14b0b61b9d7ae6afc3c572fff4557c028da7608efac33d/CV___Data_Analysis_Intern___Võ_Thị_Đông_Nghi.pdf</v>
      </c>
      <c r="H620" s="29" t="s">
        <v>6077</v>
      </c>
      <c r="I620" s="29" t="s">
        <v>6078</v>
      </c>
      <c r="J620" s="29" t="s">
        <v>715</v>
      </c>
      <c r="L620" s="29" t="s">
        <v>219</v>
      </c>
      <c r="M620" s="29" t="s">
        <v>399</v>
      </c>
      <c r="N620" s="33">
        <v>46721.0</v>
      </c>
      <c r="O620" s="29" t="s">
        <v>6079</v>
      </c>
      <c r="P620" s="32" t="str">
        <f>HYPERLINK("https://api.typeform.com/responses/files/7ce6ca216df89d9165328b81e086dad7b7159d755772a34bb5501439df90d556/Transcript___Data_Analysis_Intern___Võ_Thị_Đông_Nghi.pdf")</f>
        <v>https://api.typeform.com/responses/files/7ce6ca216df89d9165328b81e086dad7b7159d755772a34bb5501439df90d556/Transcript___Data_Analysis_Intern___Võ_Thị_Đông_Nghi.pdf</v>
      </c>
      <c r="Q620" s="29" t="b">
        <v>1</v>
      </c>
      <c r="R620" s="29" t="s">
        <v>6080</v>
      </c>
      <c r="S620" s="29" t="s">
        <v>6081</v>
      </c>
      <c r="T620" s="29" t="s">
        <v>72</v>
      </c>
      <c r="U620" s="29" t="s">
        <v>72</v>
      </c>
      <c r="V620" s="29" t="s">
        <v>3195</v>
      </c>
      <c r="X620" s="29" t="s">
        <v>6082</v>
      </c>
      <c r="Y620" s="34">
        <v>46150.27667824074</v>
      </c>
      <c r="Z620" s="29" t="s">
        <v>6083</v>
      </c>
      <c r="AA620" s="6">
        <v>3.0</v>
      </c>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row>
    <row r="621" ht="22.5" hidden="1" customHeight="1">
      <c r="A621" s="29" t="s">
        <v>3412</v>
      </c>
      <c r="B621" s="30">
        <v>38480.0</v>
      </c>
      <c r="C621" s="29" t="s">
        <v>3413</v>
      </c>
      <c r="D621" s="31" t="s">
        <v>3414</v>
      </c>
      <c r="E621" s="29" t="s">
        <v>82</v>
      </c>
      <c r="F621" s="29" t="s">
        <v>82</v>
      </c>
      <c r="G621" s="32" t="str">
        <f>HYPERLINK("https://api.typeform.com/responses/files/f36563f61b681171eb61af56ee526a5f819320e770a05c21b54129beb8317b8b/CV___Data_Analyst_Intern___Nguyen_Ngoc_Phuong.pdf")</f>
        <v>https://api.typeform.com/responses/files/f36563f61b681171eb61af56ee526a5f819320e770a05c21b54129beb8317b8b/CV___Data_Analyst_Intern___Nguyen_Ngoc_Phuong.pdf</v>
      </c>
      <c r="H621" s="29" t="s">
        <v>6084</v>
      </c>
      <c r="I621" s="29" t="s">
        <v>6085</v>
      </c>
      <c r="J621" s="29" t="s">
        <v>1069</v>
      </c>
      <c r="L621" s="29" t="s">
        <v>219</v>
      </c>
      <c r="M621" s="29" t="s">
        <v>132</v>
      </c>
      <c r="N621" s="33">
        <v>46966.0</v>
      </c>
      <c r="O621" s="31" t="s">
        <v>3417</v>
      </c>
      <c r="P621" s="32" t="str">
        <f>HYPERLINK("https://api.typeform.com/responses/files/7f7563944540a870649de08553849a508ff6d6f2d53e78725463d163d7ebed4d/Transcript___Data_Analysis_Intern___Nguyễn_Ngọc_Phương.pdf")</f>
        <v>https://api.typeform.com/responses/files/7f7563944540a870649de08553849a508ff6d6f2d53e78725463d163d7ebed4d/Transcript___Data_Analysis_Intern___Nguyễn_Ngọc_Phương.pdf</v>
      </c>
      <c r="Q621" s="29" t="b">
        <v>1</v>
      </c>
      <c r="R621" s="29" t="s">
        <v>6086</v>
      </c>
      <c r="S621" s="29" t="s">
        <v>6087</v>
      </c>
      <c r="T621" s="29" t="s">
        <v>72</v>
      </c>
      <c r="U621" s="29" t="s">
        <v>72</v>
      </c>
      <c r="V621" s="29" t="s">
        <v>236</v>
      </c>
      <c r="X621" s="29" t="s">
        <v>6088</v>
      </c>
      <c r="Y621" s="34">
        <v>46150.31313657408</v>
      </c>
      <c r="Z621" s="29" t="s">
        <v>6089</v>
      </c>
      <c r="AA621" s="6">
        <v>3.0</v>
      </c>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row>
    <row r="622" ht="22.5" hidden="1" customHeight="1">
      <c r="A622" s="29" t="s">
        <v>6090</v>
      </c>
      <c r="B622" s="30">
        <v>38461.0</v>
      </c>
      <c r="C622" s="29" t="s">
        <v>6091</v>
      </c>
      <c r="D622" s="31" t="s">
        <v>6092</v>
      </c>
      <c r="E622" s="29" t="s">
        <v>82</v>
      </c>
      <c r="F622" s="29" t="s">
        <v>774</v>
      </c>
      <c r="G622" s="32" t="str">
        <f>HYPERLINK("https://api.typeform.com/responses/files/2931d30a800641c0c2e8734d37f5636685aaf1020732293d510cb191b38cab92/CV___Data_Analysis_Intern___Lê_Hiếu_Ngân.pdf")</f>
        <v>https://api.typeform.com/responses/files/2931d30a800641c0c2e8734d37f5636685aaf1020732293d510cb191b38cab92/CV___Data_Analysis_Intern___Lê_Hiếu_Ngân.pdf</v>
      </c>
      <c r="H622" s="29" t="s">
        <v>6093</v>
      </c>
      <c r="I622" s="29" t="s">
        <v>6094</v>
      </c>
      <c r="J622" s="29" t="s">
        <v>1311</v>
      </c>
      <c r="L622" s="29" t="s">
        <v>219</v>
      </c>
      <c r="M622" s="29" t="s">
        <v>4827</v>
      </c>
      <c r="N622" s="33">
        <v>46492.0</v>
      </c>
      <c r="O622" s="31" t="s">
        <v>6095</v>
      </c>
      <c r="P622" s="32" t="str">
        <f>HYPERLINK("https://api.typeform.com/responses/files/3fdc113d17502784c46eb54f1abceb1957a6f917e3e933759db1227c6a225fb1/Transcript___Data_Analysis_Intern___Lê_Hiếu_Ngân.pdf")</f>
        <v>https://api.typeform.com/responses/files/3fdc113d17502784c46eb54f1abceb1957a6f917e3e933759db1227c6a225fb1/Transcript___Data_Analysis_Intern___Lê_Hiếu_Ngân.pdf</v>
      </c>
      <c r="Q622" s="29" t="b">
        <v>1</v>
      </c>
      <c r="R622" s="29" t="s">
        <v>6096</v>
      </c>
      <c r="S622" s="29" t="s">
        <v>300</v>
      </c>
      <c r="T622" s="29" t="s">
        <v>72</v>
      </c>
      <c r="U622" s="29" t="s">
        <v>72</v>
      </c>
      <c r="V622" s="29" t="s">
        <v>236</v>
      </c>
      <c r="Y622" s="34">
        <v>46150.35304398148</v>
      </c>
      <c r="Z622" s="29" t="s">
        <v>6097</v>
      </c>
      <c r="AA622" s="6">
        <v>3.0</v>
      </c>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row>
    <row r="623" ht="22.5" hidden="1" customHeight="1">
      <c r="A623" s="29" t="s">
        <v>1440</v>
      </c>
      <c r="B623" s="30">
        <v>34100.0</v>
      </c>
      <c r="C623" s="29" t="s">
        <v>1441</v>
      </c>
      <c r="D623" s="31" t="s">
        <v>1442</v>
      </c>
      <c r="E623" s="29" t="s">
        <v>127</v>
      </c>
      <c r="F623" s="29" t="s">
        <v>99</v>
      </c>
      <c r="G623" s="32" t="str">
        <f>HYPERLINK("https://api.typeform.com/responses/files/c5b0a52ba821419c677db4c42db17744802c1c55a53a960aff1437fa41ce9979/LeMinhQuang_GameDesigner.docx")</f>
        <v>https://api.typeform.com/responses/files/c5b0a52ba821419c677db4c42db17744802c1c55a53a960aff1437fa41ce9979/LeMinhQuang_GameDesigner.docx</v>
      </c>
      <c r="H623" s="29" t="s">
        <v>6098</v>
      </c>
      <c r="I623" s="29" t="s">
        <v>6099</v>
      </c>
      <c r="J623" s="29" t="s">
        <v>777</v>
      </c>
      <c r="L623" s="29" t="s">
        <v>103</v>
      </c>
      <c r="M623" s="29" t="s">
        <v>1445</v>
      </c>
      <c r="N623" s="33">
        <v>46125.0</v>
      </c>
      <c r="O623" s="31" t="s">
        <v>727</v>
      </c>
      <c r="P623" s="32" t="str">
        <f>HYPERLINK("https://api.typeform.com/responses/files/9d09ef9827c92bf59b640fd89373e0789316ae3ccde732642d4d89af3e4a2aab/Transcript___Game_Designer___Le_Minh_Quang.pdf")</f>
        <v>https://api.typeform.com/responses/files/9d09ef9827c92bf59b640fd89373e0789316ae3ccde732642d4d89af3e4a2aab/Transcript___Game_Designer___Le_Minh_Quang.pdf</v>
      </c>
      <c r="Q623" s="29" t="b">
        <v>1</v>
      </c>
      <c r="R623" s="29" t="s">
        <v>6100</v>
      </c>
      <c r="S623" s="29" t="s">
        <v>6101</v>
      </c>
      <c r="T623" s="29" t="s">
        <v>72</v>
      </c>
      <c r="U623" s="29" t="s">
        <v>72</v>
      </c>
      <c r="V623" s="29" t="s">
        <v>236</v>
      </c>
      <c r="X623" s="29" t="s">
        <v>6102</v>
      </c>
      <c r="Y623" s="34">
        <v>46150.369421296295</v>
      </c>
      <c r="Z623" s="29" t="s">
        <v>6103</v>
      </c>
      <c r="AA623" s="6">
        <v>3.0</v>
      </c>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row>
    <row r="624" ht="22.5" hidden="1" customHeight="1">
      <c r="A624" s="29" t="s">
        <v>6104</v>
      </c>
      <c r="B624" s="30">
        <v>38337.0</v>
      </c>
      <c r="C624" s="29" t="s">
        <v>6105</v>
      </c>
      <c r="D624" s="31" t="s">
        <v>6106</v>
      </c>
      <c r="E624" s="29" t="s">
        <v>127</v>
      </c>
      <c r="F624" s="29" t="s">
        <v>99</v>
      </c>
      <c r="G624" s="32" t="str">
        <f>HYPERLINK("https://api.typeform.com/responses/files/f2c6a15e19edebf93e4f9e9dcb976c930de524b70fceed8b49d0e52856e7fbc3/CV_Game_Quality_Assurance_Intern_Nguyễn_Thị_Ngọc_Hânpdf.pdf")</f>
        <v>https://api.typeform.com/responses/files/f2c6a15e19edebf93e4f9e9dcb976c930de524b70fceed8b49d0e52856e7fbc3/CV_Game_Quality_Assurance_Intern_Nguyễn_Thị_Ngọc_Hânpdf.pdf</v>
      </c>
      <c r="H624" s="29" t="s">
        <v>6107</v>
      </c>
      <c r="I624" s="29" t="s">
        <v>6108</v>
      </c>
      <c r="J624" s="29" t="s">
        <v>65</v>
      </c>
      <c r="K624" s="29" t="s">
        <v>6109</v>
      </c>
      <c r="L624" s="29" t="s">
        <v>67</v>
      </c>
      <c r="M624" s="29" t="s">
        <v>132</v>
      </c>
      <c r="N624" s="33">
        <v>46539.0</v>
      </c>
      <c r="O624" s="31" t="s">
        <v>6110</v>
      </c>
      <c r="P624" s="32" t="str">
        <f>HYPERLINK("https://api.typeform.com/responses/files/39b19fad813b9848576a900c98e80327dc811674b87a613f4dea3ff509f4206b/Transcript_Game_Quality_Assurance_Intern_Nguyễn_Thị_Ngọc_Hân.pdf")</f>
        <v>https://api.typeform.com/responses/files/39b19fad813b9848576a900c98e80327dc811674b87a613f4dea3ff509f4206b/Transcript_Game_Quality_Assurance_Intern_Nguyễn_Thị_Ngọc_Hân.pdf</v>
      </c>
      <c r="Q624" s="29" t="b">
        <v>0</v>
      </c>
      <c r="R624" s="29" t="s">
        <v>1457</v>
      </c>
      <c r="S624" s="29" t="s">
        <v>6111</v>
      </c>
      <c r="T624" s="29" t="s">
        <v>72</v>
      </c>
      <c r="U624" s="29" t="s">
        <v>72</v>
      </c>
      <c r="V624" s="29" t="s">
        <v>6112</v>
      </c>
      <c r="X624" s="29" t="s">
        <v>6113</v>
      </c>
      <c r="Y624" s="34">
        <v>46150.385243055556</v>
      </c>
      <c r="Z624" s="29" t="s">
        <v>6114</v>
      </c>
      <c r="AA624" s="6">
        <v>3.0</v>
      </c>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row>
    <row r="625" ht="22.5" hidden="1" customHeight="1">
      <c r="A625" s="29" t="s">
        <v>6115</v>
      </c>
      <c r="B625" s="30">
        <v>38002.0</v>
      </c>
      <c r="C625" s="29" t="s">
        <v>6116</v>
      </c>
      <c r="D625" s="31" t="s">
        <v>6117</v>
      </c>
      <c r="E625" s="29" t="s">
        <v>62</v>
      </c>
      <c r="F625" s="29" t="s">
        <v>82</v>
      </c>
      <c r="G625" s="32" t="str">
        <f>HYPERLINK("https://api.typeform.com/responses/files/707ec72d1b720e421a35a92b8c32d05d198e7a6f2ad3b84e3ba47eb41d36b137/CV_AI_Engineer_Intern_Phan_Văn_Hoàng.pdf")</f>
        <v>https://api.typeform.com/responses/files/707ec72d1b720e421a35a92b8c32d05d198e7a6f2ad3b84e3ba47eb41d36b137/CV_AI_Engineer_Intern_Phan_Văn_Hoàng.pdf</v>
      </c>
      <c r="H625" s="29" t="s">
        <v>6118</v>
      </c>
      <c r="I625" s="29" t="s">
        <v>6119</v>
      </c>
      <c r="J625" s="29" t="s">
        <v>326</v>
      </c>
      <c r="L625" s="29" t="s">
        <v>67</v>
      </c>
      <c r="M625" s="29" t="s">
        <v>86</v>
      </c>
      <c r="N625" s="33">
        <v>46357.0</v>
      </c>
      <c r="O625" s="31" t="s">
        <v>1132</v>
      </c>
      <c r="P625" s="32" t="str">
        <f>HYPERLINK("https://api.typeform.com/responses/files/bd7f753c0903feb807d40472f9639b528f75a3c204e464f5f96b0c13f0c615aa/Transcript_AI_Engineer_Intern_Phan_Văn_Hoàng.pdf")</f>
        <v>https://api.typeform.com/responses/files/bd7f753c0903feb807d40472f9639b528f75a3c204e464f5f96b0c13f0c615aa/Transcript_AI_Engineer_Intern_Phan_Văn_Hoàng.pdf</v>
      </c>
      <c r="Q625" s="29" t="b">
        <v>1</v>
      </c>
      <c r="R625" s="29" t="s">
        <v>6120</v>
      </c>
      <c r="S625" s="29" t="s">
        <v>6121</v>
      </c>
      <c r="T625" s="29" t="s">
        <v>72</v>
      </c>
      <c r="U625" s="29" t="s">
        <v>72</v>
      </c>
      <c r="V625" s="29" t="s">
        <v>6122</v>
      </c>
      <c r="W625" s="29" t="s">
        <v>6123</v>
      </c>
      <c r="Y625" s="34">
        <v>46150.40288194444</v>
      </c>
      <c r="Z625" s="29" t="s">
        <v>6124</v>
      </c>
      <c r="AA625" s="6">
        <v>3.0</v>
      </c>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row>
    <row r="626" ht="22.5" hidden="1" customHeight="1">
      <c r="A626" s="29" t="s">
        <v>6125</v>
      </c>
      <c r="B626" s="30">
        <v>38416.0</v>
      </c>
      <c r="C626" s="29" t="s">
        <v>6126</v>
      </c>
      <c r="D626" s="31" t="s">
        <v>6127</v>
      </c>
      <c r="E626" s="29" t="s">
        <v>82</v>
      </c>
      <c r="F626" s="29" t="s">
        <v>774</v>
      </c>
      <c r="G626" s="32" t="str">
        <f>HYPERLINK("https://api.typeform.com/responses/files/2cd6bd7f33bdd003829874f4ee5c262f17ebd824007ef9f82dbbc72a80211330/CV___Data_Analyst_Intern___Nguyễn_Đình_Sinh_Quảng.pdf")</f>
        <v>https://api.typeform.com/responses/files/2cd6bd7f33bdd003829874f4ee5c262f17ebd824007ef9f82dbbc72a80211330/CV___Data_Analyst_Intern___Nguyễn_Đình_Sinh_Quảng.pdf</v>
      </c>
      <c r="H626" s="29" t="s">
        <v>6128</v>
      </c>
      <c r="I626" s="29" t="s">
        <v>6129</v>
      </c>
      <c r="J626" s="29" t="s">
        <v>65</v>
      </c>
      <c r="K626" s="29" t="s">
        <v>6130</v>
      </c>
      <c r="L626" s="29" t="s">
        <v>169</v>
      </c>
      <c r="M626" s="29" t="s">
        <v>1090</v>
      </c>
      <c r="N626" s="33">
        <v>46905.0</v>
      </c>
      <c r="O626" s="31" t="s">
        <v>1679</v>
      </c>
      <c r="P626" s="32" t="str">
        <f>HYPERLINK("https://api.typeform.com/responses/files/a873d402ddea8b5f7473b25a989f77a9baec13a731848d73d02b336f37ee3f3c/Transcript.pdf")</f>
        <v>https://api.typeform.com/responses/files/a873d402ddea8b5f7473b25a989f77a9baec13a731848d73d02b336f37ee3f3c/Transcript.pdf</v>
      </c>
      <c r="Q626" s="29" t="b">
        <v>1</v>
      </c>
      <c r="R626" s="29" t="s">
        <v>6131</v>
      </c>
      <c r="S626" s="29" t="s">
        <v>6132</v>
      </c>
      <c r="T626" s="29" t="s">
        <v>72</v>
      </c>
      <c r="U626" s="29" t="s">
        <v>72</v>
      </c>
      <c r="V626" s="29" t="s">
        <v>269</v>
      </c>
      <c r="X626" s="29" t="s">
        <v>6133</v>
      </c>
      <c r="Y626" s="34">
        <v>46150.41131944444</v>
      </c>
      <c r="Z626" s="29" t="s">
        <v>6134</v>
      </c>
      <c r="AA626" s="6">
        <v>3.0</v>
      </c>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row>
    <row r="627" ht="22.5" hidden="1" customHeight="1">
      <c r="A627" s="29" t="s">
        <v>6135</v>
      </c>
      <c r="B627" s="30">
        <v>37179.0</v>
      </c>
      <c r="C627" s="29" t="s">
        <v>6136</v>
      </c>
      <c r="D627" s="31" t="s">
        <v>6137</v>
      </c>
      <c r="E627" s="29" t="s">
        <v>774</v>
      </c>
      <c r="F627" s="29" t="s">
        <v>82</v>
      </c>
      <c r="G627" s="32" t="str">
        <f>HYPERLINK("https://api.typeform.com/responses/files/b757f7ef9a1266bae0e2fbe2a196d0a15cb06425e2d96ce6112dd5a8159e9624/Marketing_Executive___Phan_Thị_Thùy_Trang..pdf")</f>
        <v>https://api.typeform.com/responses/files/b757f7ef9a1266bae0e2fbe2a196d0a15cb06425e2d96ce6112dd5a8159e9624/Marketing_Executive___Phan_Thị_Thùy_Trang..pdf</v>
      </c>
      <c r="H627" s="29" t="s">
        <v>6138</v>
      </c>
      <c r="I627" s="29" t="s">
        <v>6139</v>
      </c>
      <c r="J627" s="29" t="s">
        <v>777</v>
      </c>
      <c r="L627" s="29" t="s">
        <v>103</v>
      </c>
      <c r="M627" s="29" t="s">
        <v>6140</v>
      </c>
      <c r="N627" s="33">
        <v>45759.0</v>
      </c>
      <c r="O627" s="31" t="s">
        <v>147</v>
      </c>
      <c r="P627" s="32" t="str">
        <f>HYPERLINK("https://api.typeform.com/responses/files/16c24a2f1ab7a0c7980cae48717e30249cd39e70868a79a757685f815d29f4a0/Statement_of_Completion___BP318.pdf")</f>
        <v>https://api.typeform.com/responses/files/16c24a2f1ab7a0c7980cae48717e30249cd39e70868a79a757685f815d29f4a0/Statement_of_Completion___BP318.pdf</v>
      </c>
      <c r="Q627" s="29" t="b">
        <v>1</v>
      </c>
      <c r="R627" s="29" t="s">
        <v>6141</v>
      </c>
      <c r="S627" s="29" t="s">
        <v>6142</v>
      </c>
      <c r="T627" s="29" t="s">
        <v>72</v>
      </c>
      <c r="U627" s="29" t="s">
        <v>72</v>
      </c>
      <c r="V627" s="29" t="s">
        <v>90</v>
      </c>
      <c r="Y627" s="34">
        <v>46150.442557870374</v>
      </c>
      <c r="Z627" s="29" t="s">
        <v>6143</v>
      </c>
      <c r="AA627" s="6">
        <v>3.0</v>
      </c>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row>
    <row r="628" ht="22.5" hidden="1" customHeight="1">
      <c r="A628" s="29" t="s">
        <v>6144</v>
      </c>
      <c r="B628" s="30">
        <v>38788.0</v>
      </c>
      <c r="C628" s="29" t="s">
        <v>6145</v>
      </c>
      <c r="D628" s="31" t="s">
        <v>6146</v>
      </c>
      <c r="E628" s="29" t="s">
        <v>633</v>
      </c>
      <c r="F628" s="29" t="s">
        <v>633</v>
      </c>
      <c r="G628" s="32" t="str">
        <f>HYPERLINK("https://api.typeform.com/responses/files/000892336c1c6e60338e2d7b6d8b1e3bf090657d648b6fc3fb1b255d0f58d640/CV___HR_Intern___Phùng_Nguyễn_Khánh_Trâm.pdf")</f>
        <v>https://api.typeform.com/responses/files/000892336c1c6e60338e2d7b6d8b1e3bf090657d648b6fc3fb1b255d0f58d640/CV___HR_Intern___Phùng_Nguyễn_Khánh_Trâm.pdf</v>
      </c>
      <c r="H628" s="29" t="s">
        <v>6147</v>
      </c>
      <c r="I628" s="29" t="s">
        <v>6148</v>
      </c>
      <c r="J628" s="29" t="s">
        <v>1311</v>
      </c>
      <c r="L628" s="29" t="s">
        <v>169</v>
      </c>
      <c r="M628" s="29" t="s">
        <v>6149</v>
      </c>
      <c r="N628" s="33">
        <v>46858.0</v>
      </c>
      <c r="O628" s="31" t="s">
        <v>1321</v>
      </c>
      <c r="P628" s="32" t="str">
        <f>HYPERLINK("https://api.typeform.com/responses/files/e51cc7832950fad1ff8f2b88d3167430957cc91a396cda9bbaece399ee5e2f5a/Transcript___HR_Intern___Phùng_Nguyễn_Khánh_Trâm.pdf")</f>
        <v>https://api.typeform.com/responses/files/e51cc7832950fad1ff8f2b88d3167430957cc91a396cda9bbaece399ee5e2f5a/Transcript___HR_Intern___Phùng_Nguyễn_Khánh_Trâm.pdf</v>
      </c>
      <c r="Q628" s="29" t="b">
        <v>1</v>
      </c>
      <c r="R628" s="29" t="s">
        <v>6150</v>
      </c>
      <c r="S628" s="29" t="s">
        <v>6151</v>
      </c>
      <c r="T628" s="29" t="s">
        <v>72</v>
      </c>
      <c r="U628" s="29" t="s">
        <v>72</v>
      </c>
      <c r="V628" s="29" t="s">
        <v>90</v>
      </c>
      <c r="Y628" s="34">
        <v>46150.45649305556</v>
      </c>
      <c r="Z628" s="29" t="s">
        <v>6152</v>
      </c>
      <c r="AA628" s="6">
        <v>3.0</v>
      </c>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row>
    <row r="629" ht="22.5" hidden="1" customHeight="1">
      <c r="A629" s="29" t="s">
        <v>6153</v>
      </c>
      <c r="B629" s="30">
        <v>38390.0</v>
      </c>
      <c r="C629" s="29" t="s">
        <v>6154</v>
      </c>
      <c r="D629" s="31" t="s">
        <v>6155</v>
      </c>
      <c r="E629" s="29" t="s">
        <v>82</v>
      </c>
      <c r="F629" s="29" t="s">
        <v>62</v>
      </c>
      <c r="G629" s="32" t="str">
        <f>HYPERLINK("https://api.typeform.com/responses/files/94dda5d5f494ccfafe9c8a669572d09ba3f40fbfeac1e5df049140de533e74cd/CV___Data_Analysis_Intern___Nguyễn_Lợi_Thanh_Dũng.pdf")</f>
        <v>https://api.typeform.com/responses/files/94dda5d5f494ccfafe9c8a669572d09ba3f40fbfeac1e5df049140de533e74cd/CV___Data_Analysis_Intern___Nguyễn_Lợi_Thanh_Dũng.pdf</v>
      </c>
      <c r="H629" s="29" t="s">
        <v>6156</v>
      </c>
      <c r="I629" s="29" t="s">
        <v>6157</v>
      </c>
      <c r="J629" s="29" t="s">
        <v>842</v>
      </c>
      <c r="L629" s="29" t="s">
        <v>219</v>
      </c>
      <c r="M629" s="29" t="s">
        <v>384</v>
      </c>
      <c r="N629" s="33">
        <v>46357.0</v>
      </c>
      <c r="O629" s="31" t="s">
        <v>3997</v>
      </c>
      <c r="P629" s="32" t="str">
        <f>HYPERLINK("https://api.typeform.com/responses/files/942ee7c9875d38368a3d715ec9f166b32ce68c913189492c351fc9333f7a89d3/Transcript___Data_Analysis_Intern___Nguyễn_Lợi_Thanh_Dũng.pdf")</f>
        <v>https://api.typeform.com/responses/files/942ee7c9875d38368a3d715ec9f166b32ce68c913189492c351fc9333f7a89d3/Transcript___Data_Analysis_Intern___Nguyễn_Lợi_Thanh_Dũng.pdf</v>
      </c>
      <c r="Q629" s="29" t="b">
        <v>1</v>
      </c>
      <c r="R629" s="29" t="s">
        <v>6158</v>
      </c>
      <c r="S629" s="29" t="s">
        <v>6159</v>
      </c>
      <c r="T629" s="29" t="s">
        <v>72</v>
      </c>
      <c r="U629" s="29" t="s">
        <v>72</v>
      </c>
      <c r="V629" s="29" t="s">
        <v>73</v>
      </c>
      <c r="X629" s="29" t="s">
        <v>6160</v>
      </c>
      <c r="Y629" s="34">
        <v>46150.45700231481</v>
      </c>
      <c r="Z629" s="29" t="s">
        <v>6161</v>
      </c>
      <c r="AA629" s="6">
        <v>3.0</v>
      </c>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row>
    <row r="630" ht="22.5" hidden="1" customHeight="1">
      <c r="A630" s="29" t="s">
        <v>6162</v>
      </c>
      <c r="B630" s="30">
        <v>37887.0</v>
      </c>
      <c r="C630" s="29" t="s">
        <v>6163</v>
      </c>
      <c r="D630" s="31" t="s">
        <v>6164</v>
      </c>
      <c r="E630" s="29" t="s">
        <v>61</v>
      </c>
      <c r="F630" s="29" t="s">
        <v>99</v>
      </c>
      <c r="G630" s="32" t="str">
        <f>HYPERLINK("https://api.typeform.com/responses/files/e24a1ab8e988d199b7dd0cd12e33697c8af41d830641cb5d103e7d483c390829/CV___Unity_Development_Intern___Game_Design_Intern___Nguyễn_Gia_Bảo_Danh.pdf")</f>
        <v>https://api.typeform.com/responses/files/e24a1ab8e988d199b7dd0cd12e33697c8af41d830641cb5d103e7d483c390829/CV___Unity_Development_Intern___Game_Design_Intern___Nguyễn_Gia_Bảo_Danh.pdf</v>
      </c>
      <c r="H630" s="29" t="s">
        <v>6165</v>
      </c>
      <c r="I630" s="29" t="s">
        <v>6166</v>
      </c>
      <c r="J630" s="29" t="s">
        <v>326</v>
      </c>
      <c r="L630" s="29" t="s">
        <v>6167</v>
      </c>
      <c r="M630" s="29" t="s">
        <v>6168</v>
      </c>
      <c r="N630" s="33">
        <v>46203.0</v>
      </c>
      <c r="O630" s="31" t="s">
        <v>6169</v>
      </c>
      <c r="P630" s="32" t="str">
        <f>HYPERLINK("https://api.typeform.com/responses/files/fb883a43dde023cb6ded7edf512b7988e541ec51dd84409473cd042ef44c4049/Transcript___Unity_Development_Intern___Game_Design_Intern___Nguyễn_Gia_Bảo_Danh.pdf")</f>
        <v>https://api.typeform.com/responses/files/fb883a43dde023cb6ded7edf512b7988e541ec51dd84409473cd042ef44c4049/Transcript___Unity_Development_Intern___Game_Design_Intern___Nguyễn_Gia_Bảo_Danh.pdf</v>
      </c>
      <c r="Q630" s="29" t="b">
        <v>1</v>
      </c>
      <c r="R630" s="29" t="s">
        <v>6170</v>
      </c>
      <c r="S630" s="29" t="s">
        <v>6171</v>
      </c>
      <c r="T630" s="29" t="s">
        <v>72</v>
      </c>
      <c r="U630" s="29" t="s">
        <v>72</v>
      </c>
      <c r="V630" s="29" t="s">
        <v>2389</v>
      </c>
      <c r="X630" s="29" t="s">
        <v>6172</v>
      </c>
      <c r="Y630" s="34">
        <v>46150.48143518518</v>
      </c>
      <c r="Z630" s="29" t="s">
        <v>6173</v>
      </c>
      <c r="AA630" s="6">
        <v>3.0</v>
      </c>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row>
    <row r="631" ht="22.5" hidden="1" customHeight="1">
      <c r="A631" s="29" t="s">
        <v>6174</v>
      </c>
      <c r="B631" s="30">
        <v>38224.0</v>
      </c>
      <c r="C631" s="29" t="s">
        <v>1835</v>
      </c>
      <c r="D631" s="31" t="s">
        <v>1836</v>
      </c>
      <c r="E631" s="29" t="s">
        <v>62</v>
      </c>
      <c r="F631" s="29" t="s">
        <v>82</v>
      </c>
      <c r="G631" s="32" t="str">
        <f>HYPERLINK("https://api.typeform.com/responses/files/e968c3f4b66dc8f596f5d2fe892463c79c9166c0be33f04ef6650f55b6d5aecb/CV___AI_Engineer_Intern___Lâm_Nhật_Minh.pdf")</f>
        <v>https://api.typeform.com/responses/files/e968c3f4b66dc8f596f5d2fe892463c79c9166c0be33f04ef6650f55b6d5aecb/CV___AI_Engineer_Intern___Lâm_Nhật_Minh.pdf</v>
      </c>
      <c r="H631" s="29" t="s">
        <v>6175</v>
      </c>
      <c r="I631" s="29" t="s">
        <v>6176</v>
      </c>
      <c r="J631" s="29" t="s">
        <v>1069</v>
      </c>
      <c r="L631" s="29" t="s">
        <v>67</v>
      </c>
      <c r="M631" s="29" t="s">
        <v>1839</v>
      </c>
      <c r="N631" s="33">
        <v>46670.0</v>
      </c>
      <c r="O631" s="31" t="s">
        <v>1034</v>
      </c>
      <c r="P631" s="32" t="str">
        <f>HYPERLINK("https://api.typeform.com/responses/files/ef9c8f57e43175d8b83ad14a40ee78362bf7de842452fb6893de05fc7f2fd402/Transcript___AI_Engineer_Intern___Lâm_Nhật_Minh.pdf")</f>
        <v>https://api.typeform.com/responses/files/ef9c8f57e43175d8b83ad14a40ee78362bf7de842452fb6893de05fc7f2fd402/Transcript___AI_Engineer_Intern___Lâm_Nhật_Minh.pdf</v>
      </c>
      <c r="Q631" s="29" t="b">
        <v>1</v>
      </c>
      <c r="R631" s="29" t="s">
        <v>6177</v>
      </c>
      <c r="S631" s="29" t="s">
        <v>6178</v>
      </c>
      <c r="T631" s="29" t="s">
        <v>72</v>
      </c>
      <c r="U631" s="29" t="s">
        <v>72</v>
      </c>
      <c r="V631" s="29" t="s">
        <v>403</v>
      </c>
      <c r="W631" s="29" t="s">
        <v>1843</v>
      </c>
      <c r="X631" s="29" t="s">
        <v>6179</v>
      </c>
      <c r="Y631" s="34">
        <v>46150.48556712963</v>
      </c>
      <c r="Z631" s="29" t="s">
        <v>6180</v>
      </c>
      <c r="AA631" s="6">
        <v>3.0</v>
      </c>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row>
    <row r="632" ht="22.5" hidden="1" customHeight="1">
      <c r="A632" s="29" t="s">
        <v>6181</v>
      </c>
      <c r="B632" s="30">
        <v>37618.0</v>
      </c>
      <c r="C632" s="29" t="s">
        <v>6182</v>
      </c>
      <c r="D632" s="31" t="s">
        <v>6183</v>
      </c>
      <c r="E632" s="29" t="s">
        <v>61</v>
      </c>
      <c r="F632" s="29" t="s">
        <v>99</v>
      </c>
      <c r="G632" s="32" t="str">
        <f>HYPERLINK("https://api.typeform.com/responses/files/68bde0fb74306f5c80cfb5b68c597c692506eac4e653c6176903c07102f09494/LeDucManh_Unity_Programer_CV.pdf")</f>
        <v>https://api.typeform.com/responses/files/68bde0fb74306f5c80cfb5b68c597c692506eac4e653c6176903c07102f09494/LeDucManh_Unity_Programer_CV.pdf</v>
      </c>
      <c r="H632" s="29" t="s">
        <v>6184</v>
      </c>
      <c r="I632" s="29" t="s">
        <v>6185</v>
      </c>
      <c r="J632" s="29" t="s">
        <v>65</v>
      </c>
      <c r="K632" s="29" t="s">
        <v>961</v>
      </c>
      <c r="L632" s="29" t="s">
        <v>103</v>
      </c>
      <c r="M632" s="29" t="s">
        <v>278</v>
      </c>
      <c r="N632" s="33">
        <v>45976.0</v>
      </c>
      <c r="O632" s="31" t="s">
        <v>147</v>
      </c>
      <c r="P632" s="32" t="str">
        <f>HYPERLINK("https://api.typeform.com/responses/files/7eae848533cba60faf8ff67340a73b1aaffec81f85620edcccc1c73b992d594c/StudentTranscript_DE170764__LeDucManh.xls")</f>
        <v>https://api.typeform.com/responses/files/7eae848533cba60faf8ff67340a73b1aaffec81f85620edcccc1c73b992d594c/StudentTranscript_DE170764__LeDucManh.xls</v>
      </c>
      <c r="Q632" s="29" t="b">
        <v>1</v>
      </c>
      <c r="R632" s="29" t="s">
        <v>6186</v>
      </c>
      <c r="S632" s="29" t="s">
        <v>6187</v>
      </c>
      <c r="T632" s="29" t="s">
        <v>72</v>
      </c>
      <c r="U632" s="29" t="s">
        <v>72</v>
      </c>
      <c r="V632" s="29" t="s">
        <v>224</v>
      </c>
      <c r="X632" s="29" t="s">
        <v>6188</v>
      </c>
      <c r="Y632" s="34">
        <v>46150.488125</v>
      </c>
      <c r="Z632" s="29" t="s">
        <v>6189</v>
      </c>
      <c r="AA632" s="6">
        <v>3.0</v>
      </c>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row>
    <row r="633" ht="22.5" hidden="1" customHeight="1">
      <c r="A633" s="29" t="s">
        <v>6190</v>
      </c>
      <c r="B633" s="30">
        <v>38205.0</v>
      </c>
      <c r="C633" s="29" t="s">
        <v>6191</v>
      </c>
      <c r="D633" s="31" t="s">
        <v>6192</v>
      </c>
      <c r="E633" s="29" t="s">
        <v>61</v>
      </c>
      <c r="F633" s="29" t="s">
        <v>99</v>
      </c>
      <c r="G633" s="32" t="str">
        <f>HYPERLINK("https://api.typeform.com/responses/files/cd81738f22c033d0d75580459419b76cb9c2073e73811d81152c5de2d301e9ef/Le_Minh_Truong_TopCV.vn_080526.184633.pdf")</f>
        <v>https://api.typeform.com/responses/files/cd81738f22c033d0d75580459419b76cb9c2073e73811d81152c5de2d301e9ef/Le_Minh_Truong_TopCV.vn_080526.184633.pdf</v>
      </c>
      <c r="H633" s="29" t="s">
        <v>6193</v>
      </c>
      <c r="I633" s="29" t="s">
        <v>6194</v>
      </c>
      <c r="J633" s="29" t="s">
        <v>65</v>
      </c>
      <c r="K633" s="29" t="s">
        <v>6195</v>
      </c>
      <c r="L633" s="29" t="s">
        <v>67</v>
      </c>
      <c r="M633" s="29" t="s">
        <v>551</v>
      </c>
      <c r="N633" s="33">
        <v>46357.0</v>
      </c>
      <c r="O633" s="31" t="s">
        <v>6196</v>
      </c>
      <c r="P633" s="32" t="str">
        <f>HYPERLINK("https://api.typeform.com/responses/files/09e76fc81ef2cd4dc1ce640382279e074be26f605bee3361a5d5ce26270f7500/bangdiem.pdf")</f>
        <v>https://api.typeform.com/responses/files/09e76fc81ef2cd4dc1ce640382279e074be26f605bee3361a5d5ce26270f7500/bangdiem.pdf</v>
      </c>
      <c r="Q633" s="29" t="b">
        <v>1</v>
      </c>
      <c r="R633" s="29" t="s">
        <v>6197</v>
      </c>
      <c r="S633" s="29" t="s">
        <v>6198</v>
      </c>
      <c r="T633" s="29" t="s">
        <v>72</v>
      </c>
      <c r="U633" s="29" t="s">
        <v>72</v>
      </c>
      <c r="V633" s="29" t="s">
        <v>174</v>
      </c>
      <c r="X633" s="29" t="s">
        <v>6199</v>
      </c>
      <c r="Y633" s="34">
        <v>46150.51459490741</v>
      </c>
      <c r="Z633" s="29" t="s">
        <v>6200</v>
      </c>
      <c r="AA633" s="6">
        <v>3.0</v>
      </c>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row>
    <row r="634" ht="22.5" hidden="1" customHeight="1">
      <c r="A634" s="29" t="s">
        <v>6201</v>
      </c>
      <c r="B634" s="30">
        <v>38171.0</v>
      </c>
      <c r="C634" s="29" t="s">
        <v>6202</v>
      </c>
      <c r="D634" s="31" t="s">
        <v>6203</v>
      </c>
      <c r="E634" s="29" t="s">
        <v>61</v>
      </c>
      <c r="F634" s="29" t="s">
        <v>99</v>
      </c>
      <c r="G634" s="32" t="str">
        <f>HYPERLINK("https://api.typeform.com/responses/files/0a18ddfbfccdeb9663850f88f59862cbdff924a4b94858ccaf21529d6fab670b/CV___Unity_Development_Intern___Nguyễn_Hữu_Sang.pdf")</f>
        <v>https://api.typeform.com/responses/files/0a18ddfbfccdeb9663850f88f59862cbdff924a4b94858ccaf21529d6fab670b/CV___Unity_Development_Intern___Nguyễn_Hữu_Sang.pdf</v>
      </c>
      <c r="H634" s="29" t="s">
        <v>6204</v>
      </c>
      <c r="I634" s="29" t="s">
        <v>6205</v>
      </c>
      <c r="J634" s="29" t="s">
        <v>277</v>
      </c>
      <c r="L634" s="29" t="s">
        <v>67</v>
      </c>
      <c r="M634" s="29" t="s">
        <v>6206</v>
      </c>
      <c r="N634" s="33">
        <v>46447.0</v>
      </c>
      <c r="O634" s="31" t="s">
        <v>317</v>
      </c>
      <c r="P634" s="32" t="str">
        <f>HYPERLINK("https://api.typeform.com/responses/files/d99bba9225861d4965f8fb47f9c2d54cd580bac203e95d6a71227fdd1495572b/Transcript___Unity_Development_Intern___Nguyễn_Hữu_Sang.pdf")</f>
        <v>https://api.typeform.com/responses/files/d99bba9225861d4965f8fb47f9c2d54cd580bac203e95d6a71227fdd1495572b/Transcript___Unity_Development_Intern___Nguyễn_Hữu_Sang.pdf</v>
      </c>
      <c r="Q634" s="29" t="b">
        <v>1</v>
      </c>
      <c r="R634" s="29" t="s">
        <v>6207</v>
      </c>
      <c r="S634" s="29" t="s">
        <v>6208</v>
      </c>
      <c r="T634" s="29" t="s">
        <v>72</v>
      </c>
      <c r="U634" s="29" t="s">
        <v>72</v>
      </c>
      <c r="V634" s="29" t="s">
        <v>73</v>
      </c>
      <c r="X634" s="29" t="s">
        <v>6209</v>
      </c>
      <c r="Y634" s="34">
        <v>46150.52652777778</v>
      </c>
      <c r="Z634" s="29" t="s">
        <v>6210</v>
      </c>
      <c r="AA634" s="6">
        <v>3.0</v>
      </c>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row>
    <row r="635" ht="22.5" hidden="1" customHeight="1">
      <c r="A635" s="29" t="s">
        <v>6211</v>
      </c>
      <c r="B635" s="30">
        <v>38075.0</v>
      </c>
      <c r="C635" s="29" t="s">
        <v>6212</v>
      </c>
      <c r="D635" s="31" t="s">
        <v>6213</v>
      </c>
      <c r="E635" s="29" t="s">
        <v>82</v>
      </c>
      <c r="F635" s="29" t="s">
        <v>62</v>
      </c>
      <c r="G635" s="32" t="str">
        <f>HYPERLINK("https://api.typeform.com/responses/files/79ccb9e78382cd9e540c2cea7f60daa9a67ae7f880bb660e96948090387166e0/CV___Data_Analysis_Intern___Nguyễn_Công_Minh.pdf")</f>
        <v>https://api.typeform.com/responses/files/79ccb9e78382cd9e540c2cea7f60daa9a67ae7f880bb660e96948090387166e0/CV___Data_Analysis_Intern___Nguyễn_Công_Minh.pdf</v>
      </c>
      <c r="H635" s="29" t="s">
        <v>6214</v>
      </c>
      <c r="I635" s="29" t="s">
        <v>6215</v>
      </c>
      <c r="J635" s="29" t="s">
        <v>842</v>
      </c>
      <c r="L635" s="29" t="s">
        <v>219</v>
      </c>
      <c r="M635" s="29" t="s">
        <v>6216</v>
      </c>
      <c r="N635" s="33">
        <v>46466.0</v>
      </c>
      <c r="O635" s="31" t="s">
        <v>6217</v>
      </c>
      <c r="P635" s="32" t="str">
        <f>HYPERLINK("https://api.typeform.com/responses/files/a3800d928aaf803124ce4e3acececcc1e54cab75cc5244e92aadc071f1fd36ac/Transcript___Data_Analysis_Intern___Nguyễn_Công_Minh.pdf")</f>
        <v>https://api.typeform.com/responses/files/a3800d928aaf803124ce4e3acececcc1e54cab75cc5244e92aadc071f1fd36ac/Transcript___Data_Analysis_Intern___Nguyễn_Công_Minh.pdf</v>
      </c>
      <c r="Q635" s="29" t="b">
        <v>0</v>
      </c>
      <c r="R635" s="29" t="s">
        <v>6218</v>
      </c>
      <c r="S635" s="29" t="s">
        <v>6219</v>
      </c>
      <c r="T635" s="29" t="s">
        <v>72</v>
      </c>
      <c r="U635" s="29" t="s">
        <v>72</v>
      </c>
      <c r="V635" s="29" t="s">
        <v>90</v>
      </c>
      <c r="X635" s="29" t="s">
        <v>6220</v>
      </c>
      <c r="Y635" s="34">
        <v>46150.5340162037</v>
      </c>
      <c r="Z635" s="29" t="s">
        <v>6221</v>
      </c>
      <c r="AA635" s="6">
        <v>3.0</v>
      </c>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row>
    <row r="636" ht="22.5" hidden="1" customHeight="1">
      <c r="A636" s="29" t="s">
        <v>6222</v>
      </c>
      <c r="B636" s="30">
        <v>37371.0</v>
      </c>
      <c r="C636" s="29" t="s">
        <v>6223</v>
      </c>
      <c r="D636" s="31" t="s">
        <v>6224</v>
      </c>
      <c r="E636" s="29" t="s">
        <v>99</v>
      </c>
      <c r="F636" s="29" t="s">
        <v>82</v>
      </c>
      <c r="G636" s="32" t="str">
        <f>HYPERLINK("https://api.typeform.com/responses/files/d662685d834c56d06b684f3e6996ed8cf5c5a3d1c668e406cfcab9fc767142a3/CV___Game_Designer_Intern___Vo_Van_Chi_Thuan.pdf")</f>
        <v>https://api.typeform.com/responses/files/d662685d834c56d06b684f3e6996ed8cf5c5a3d1c668e406cfcab9fc767142a3/CV___Game_Designer_Intern___Vo_Van_Chi_Thuan.pdf</v>
      </c>
      <c r="H636" s="29" t="s">
        <v>6225</v>
      </c>
      <c r="I636" s="29" t="s">
        <v>6226</v>
      </c>
      <c r="J636" s="29" t="s">
        <v>65</v>
      </c>
      <c r="K636" s="29" t="s">
        <v>6227</v>
      </c>
      <c r="L636" s="29" t="s">
        <v>103</v>
      </c>
      <c r="M636" s="29" t="s">
        <v>104</v>
      </c>
      <c r="N636" s="33">
        <v>46137.0</v>
      </c>
      <c r="O636" s="31" t="s">
        <v>2375</v>
      </c>
      <c r="P636" s="32" t="str">
        <f>HYPERLINK("https://api.typeform.com/responses/files/868d275b38ae89ec57bc47ae4fb8706274b4b1af271723aeb3ebe105b8ad150b/Transcript___Game_Designer_Intern___Vo_Van_Chi_Thuan.xlsx")</f>
        <v>https://api.typeform.com/responses/files/868d275b38ae89ec57bc47ae4fb8706274b4b1af271723aeb3ebe105b8ad150b/Transcript___Game_Designer_Intern___Vo_Van_Chi_Thuan.xlsx</v>
      </c>
      <c r="Q636" s="29" t="b">
        <v>1</v>
      </c>
      <c r="R636" s="29" t="s">
        <v>6228</v>
      </c>
      <c r="S636" s="29" t="s">
        <v>6229</v>
      </c>
      <c r="T636" s="29" t="s">
        <v>72</v>
      </c>
      <c r="U636" s="29" t="s">
        <v>72</v>
      </c>
      <c r="V636" s="29" t="s">
        <v>73</v>
      </c>
      <c r="X636" s="29" t="s">
        <v>6230</v>
      </c>
      <c r="Y636" s="34">
        <v>46150.568344907406</v>
      </c>
      <c r="Z636" s="29" t="s">
        <v>6231</v>
      </c>
      <c r="AA636" s="6">
        <v>3.0</v>
      </c>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row>
    <row r="637" ht="22.5" hidden="1" customHeight="1">
      <c r="A637" s="29" t="s">
        <v>6232</v>
      </c>
      <c r="B637" s="30">
        <v>38566.0</v>
      </c>
      <c r="C637" s="29" t="s">
        <v>6233</v>
      </c>
      <c r="D637" s="31" t="s">
        <v>6234</v>
      </c>
      <c r="E637" s="29" t="s">
        <v>82</v>
      </c>
      <c r="F637" s="29" t="s">
        <v>82</v>
      </c>
      <c r="G637" s="32" t="str">
        <f>HYPERLINK("https://api.typeform.com/responses/files/0dc5502dcc36e2cec5f8209e8487c141886e975da855c45aad7b6b7afff57c24/CV___Data_Analysis_Intern___Tô_Trần_Nhã_Uyên.pdf")</f>
        <v>https://api.typeform.com/responses/files/0dc5502dcc36e2cec5f8209e8487c141886e975da855c45aad7b6b7afff57c24/CV___Data_Analysis_Intern___Tô_Trần_Nhã_Uyên.pdf</v>
      </c>
      <c r="H637" s="29" t="s">
        <v>6235</v>
      </c>
      <c r="I637" s="29" t="s">
        <v>6236</v>
      </c>
      <c r="J637" s="29" t="s">
        <v>85</v>
      </c>
      <c r="L637" s="29" t="s">
        <v>219</v>
      </c>
      <c r="M637" s="29" t="s">
        <v>5453</v>
      </c>
      <c r="N637" s="33">
        <v>46387.0</v>
      </c>
      <c r="O637" s="31" t="s">
        <v>1382</v>
      </c>
      <c r="P637" s="32" t="str">
        <f>HYPERLINK("https://api.typeform.com/responses/files/bdbbf104ebaca25c2791166d6236a01028247767cdf5ed5062037708282bdaa6/Transcript___Data_Analysis_Intern___Tô_Trần_Nhã_Uyên.pdf")</f>
        <v>https://api.typeform.com/responses/files/bdbbf104ebaca25c2791166d6236a01028247767cdf5ed5062037708282bdaa6/Transcript___Data_Analysis_Intern___Tô_Trần_Nhã_Uyên.pdf</v>
      </c>
      <c r="Q637" s="29" t="b">
        <v>1</v>
      </c>
      <c r="R637" s="29" t="s">
        <v>6237</v>
      </c>
      <c r="S637" s="29" t="s">
        <v>6238</v>
      </c>
      <c r="T637" s="29" t="s">
        <v>72</v>
      </c>
      <c r="U637" s="29" t="s">
        <v>72</v>
      </c>
      <c r="V637" s="29" t="s">
        <v>6239</v>
      </c>
      <c r="X637" s="29" t="s">
        <v>6240</v>
      </c>
      <c r="Y637" s="34">
        <v>46150.569652777776</v>
      </c>
      <c r="Z637" s="29" t="s">
        <v>6241</v>
      </c>
      <c r="AA637" s="6">
        <v>3.0</v>
      </c>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row>
    <row r="638" ht="22.5" hidden="1" customHeight="1">
      <c r="A638" s="29" t="s">
        <v>6242</v>
      </c>
      <c r="B638" s="30">
        <v>38550.0</v>
      </c>
      <c r="C638" s="29" t="s">
        <v>6243</v>
      </c>
      <c r="D638" s="31" t="s">
        <v>6244</v>
      </c>
      <c r="E638" s="29" t="s">
        <v>99</v>
      </c>
      <c r="F638" s="29" t="s">
        <v>61</v>
      </c>
      <c r="G638" s="32" t="str">
        <f>HYPERLINK("https://api.typeform.com/responses/files/874e0551480b7cdebd5cee3899120d091d852bad18ab5297d6205ebf5f719eaf/CV___Game_Designer_Intern___Bùi_Bách_Nguyên.pdf")</f>
        <v>https://api.typeform.com/responses/files/874e0551480b7cdebd5cee3899120d091d852bad18ab5297d6205ebf5f719eaf/CV___Game_Designer_Intern___Bùi_Bách_Nguyên.pdf</v>
      </c>
      <c r="H638" s="29" t="s">
        <v>6245</v>
      </c>
      <c r="I638" s="29" t="s">
        <v>6246</v>
      </c>
      <c r="J638" s="29" t="s">
        <v>85</v>
      </c>
      <c r="L638" s="29" t="s">
        <v>219</v>
      </c>
      <c r="M638" s="29" t="s">
        <v>6247</v>
      </c>
      <c r="N638" s="33">
        <v>46539.0</v>
      </c>
      <c r="O638" s="31" t="s">
        <v>2220</v>
      </c>
      <c r="P638" s="32" t="str">
        <f>HYPERLINK("https://api.typeform.com/responses/files/4d4341fe7fa6204df48f084229b4c92bce0df6caf43538f51eb31d27206c9e11/Transcript___Game_Designer_Intern___Bùi_Bách_Nguyên.pdf")</f>
        <v>https://api.typeform.com/responses/files/4d4341fe7fa6204df48f084229b4c92bce0df6caf43538f51eb31d27206c9e11/Transcript___Game_Designer_Intern___Bùi_Bách_Nguyên.pdf</v>
      </c>
      <c r="Q638" s="29" t="b">
        <v>1</v>
      </c>
      <c r="R638" s="29" t="s">
        <v>6248</v>
      </c>
      <c r="S638" s="29" t="s">
        <v>6249</v>
      </c>
      <c r="T638" s="29" t="s">
        <v>72</v>
      </c>
      <c r="U638" s="29" t="s">
        <v>72</v>
      </c>
      <c r="V638" s="29" t="s">
        <v>6250</v>
      </c>
      <c r="X638" s="29" t="s">
        <v>6251</v>
      </c>
      <c r="Y638" s="34">
        <v>46150.57059027778</v>
      </c>
      <c r="Z638" s="29" t="s">
        <v>6252</v>
      </c>
      <c r="AA638" s="6">
        <v>3.0</v>
      </c>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row>
    <row r="639" ht="22.5" hidden="1" customHeight="1">
      <c r="A639" s="29" t="s">
        <v>6253</v>
      </c>
      <c r="B639" s="30">
        <v>36579.0</v>
      </c>
      <c r="C639" s="29" t="s">
        <v>6254</v>
      </c>
      <c r="D639" s="31" t="s">
        <v>6255</v>
      </c>
      <c r="E639" s="29" t="s">
        <v>774</v>
      </c>
      <c r="F639" s="29" t="s">
        <v>774</v>
      </c>
      <c r="G639" s="32" t="str">
        <f>HYPERLINK("https://api.typeform.com/responses/files/5364ae1c58fbb72d1d704104d6a7bc8f8678feb7fbbbd7b12d765d18af023b84/CV_Game_User_Acquisition_Intern__Pham_Ngoc_Yen_Nhi.pdf")</f>
        <v>https://api.typeform.com/responses/files/5364ae1c58fbb72d1d704104d6a7bc8f8678feb7fbbbd7b12d765d18af023b84/CV_Game_User_Acquisition_Intern__Pham_Ngoc_Yen_Nhi.pdf</v>
      </c>
      <c r="H639" s="29" t="s">
        <v>6256</v>
      </c>
      <c r="I639" s="29" t="s">
        <v>6257</v>
      </c>
      <c r="J639" s="29" t="s">
        <v>1311</v>
      </c>
      <c r="L639" s="29" t="s">
        <v>6258</v>
      </c>
      <c r="M639" s="29" t="s">
        <v>6259</v>
      </c>
      <c r="N639" s="33">
        <v>45322.0</v>
      </c>
      <c r="O639" s="31" t="s">
        <v>6260</v>
      </c>
      <c r="P639" s="32" t="str">
        <f>HYPERLINK("https://api.typeform.com/responses/files/b682d2a15c5a2d88dcaaf4a2c906e8f469f1deb506d61d929897b52e024973a4/Transcript___Game_User_Acquisition_Intern___Pham_Ngoc_Yen_Nhi.pdf")</f>
        <v>https://api.typeform.com/responses/files/b682d2a15c5a2d88dcaaf4a2c906e8f469f1deb506d61d929897b52e024973a4/Transcript___Game_User_Acquisition_Intern___Pham_Ngoc_Yen_Nhi.pdf</v>
      </c>
      <c r="Q639" s="29" t="b">
        <v>1</v>
      </c>
      <c r="R639" s="29" t="s">
        <v>6261</v>
      </c>
      <c r="S639" s="29" t="s">
        <v>6262</v>
      </c>
      <c r="T639" s="29" t="s">
        <v>72</v>
      </c>
      <c r="U639" s="29" t="s">
        <v>72</v>
      </c>
      <c r="V639" s="29" t="s">
        <v>73</v>
      </c>
      <c r="X639" s="29" t="s">
        <v>6263</v>
      </c>
      <c r="Y639" s="34">
        <v>46150.62385416667</v>
      </c>
      <c r="Z639" s="29" t="s">
        <v>6264</v>
      </c>
      <c r="AA639" s="6">
        <v>3.0</v>
      </c>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row>
    <row r="640" ht="22.5" hidden="1" customHeight="1">
      <c r="A640" s="29" t="s">
        <v>6265</v>
      </c>
      <c r="B640" s="30">
        <v>37697.0</v>
      </c>
      <c r="C640" s="29" t="s">
        <v>6266</v>
      </c>
      <c r="D640" s="31" t="s">
        <v>6267</v>
      </c>
      <c r="E640" s="29" t="s">
        <v>82</v>
      </c>
      <c r="F640" s="29" t="s">
        <v>633</v>
      </c>
      <c r="G640" s="32" t="str">
        <f>HYPERLINK("https://api.typeform.com/responses/files/6c9a6b2aefb52ddec5622b41bc30dd4e47ab80d4e2e3bedcab5e3f1706dad1b3/CV___Data_Analysis_Intern___LÊ_HOÀNG_NHƯ.pdf")</f>
        <v>https://api.typeform.com/responses/files/6c9a6b2aefb52ddec5622b41bc30dd4e47ab80d4e2e3bedcab5e3f1706dad1b3/CV___Data_Analysis_Intern___LÊ_HOÀNG_NHƯ.pdf</v>
      </c>
      <c r="H640" s="29" t="s">
        <v>6268</v>
      </c>
      <c r="I640" s="29" t="s">
        <v>6269</v>
      </c>
      <c r="J640" s="29" t="s">
        <v>244</v>
      </c>
      <c r="L640" s="29" t="s">
        <v>103</v>
      </c>
      <c r="M640" s="29" t="s">
        <v>6270</v>
      </c>
      <c r="N640" s="33">
        <v>45657.0</v>
      </c>
      <c r="O640" s="31" t="s">
        <v>6271</v>
      </c>
      <c r="P640" s="32" t="str">
        <f>HYPERLINK("https://api.typeform.com/responses/files/768a6b07b6d7567d80f726bf0f0670ae6adad21213eb8425c33ebea770d23ce2/Transcript___Data_Analysis_Intern___LÊ_HOÀNG_NHƯ.pdf")</f>
        <v>https://api.typeform.com/responses/files/768a6b07b6d7567d80f726bf0f0670ae6adad21213eb8425c33ebea770d23ce2/Transcript___Data_Analysis_Intern___LÊ_HOÀNG_NHƯ.pdf</v>
      </c>
      <c r="Q640" s="29" t="b">
        <v>1</v>
      </c>
      <c r="R640" s="29" t="s">
        <v>6272</v>
      </c>
      <c r="S640" s="29" t="s">
        <v>6273</v>
      </c>
      <c r="T640" s="29" t="s">
        <v>72</v>
      </c>
      <c r="U640" s="29" t="s">
        <v>72</v>
      </c>
      <c r="V640" s="29" t="s">
        <v>73</v>
      </c>
      <c r="X640" s="29" t="s">
        <v>6274</v>
      </c>
      <c r="Y640" s="34">
        <v>46150.64141203704</v>
      </c>
      <c r="Z640" s="29" t="s">
        <v>6275</v>
      </c>
      <c r="AA640" s="6">
        <v>3.0</v>
      </c>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row>
    <row r="641" ht="22.5" hidden="1" customHeight="1">
      <c r="A641" s="29" t="s">
        <v>6276</v>
      </c>
      <c r="B641" s="30">
        <v>38632.0</v>
      </c>
      <c r="C641" s="29" t="s">
        <v>6277</v>
      </c>
      <c r="D641" s="31" t="s">
        <v>6278</v>
      </c>
      <c r="E641" s="29" t="s">
        <v>82</v>
      </c>
      <c r="F641" s="29" t="s">
        <v>633</v>
      </c>
      <c r="G641" s="32" t="str">
        <f>HYPERLINK("https://api.typeform.com/responses/files/b0af5f8a486b8b04f208d9f9c74f8341183f4571d21fb3661efc41b754c641ed/CV___Data_Analysis_Intern___Huỳnh_Chơn_Thành_Nhân.pdf")</f>
        <v>https://api.typeform.com/responses/files/b0af5f8a486b8b04f208d9f9c74f8341183f4571d21fb3661efc41b754c641ed/CV___Data_Analysis_Intern___Huỳnh_Chơn_Thành_Nhân.pdf</v>
      </c>
      <c r="H641" s="29" t="s">
        <v>6279</v>
      </c>
      <c r="I641" s="29" t="s">
        <v>6280</v>
      </c>
      <c r="J641" s="29" t="s">
        <v>1311</v>
      </c>
      <c r="L641" s="29" t="s">
        <v>67</v>
      </c>
      <c r="M641" s="29" t="s">
        <v>6259</v>
      </c>
      <c r="N641" s="33">
        <v>46495.0</v>
      </c>
      <c r="O641" s="31" t="s">
        <v>4088</v>
      </c>
      <c r="P641" s="32" t="str">
        <f>HYPERLINK("https://api.typeform.com/responses/files/fc3c566d694710b0bfab752d773dcb4324551ea0435c8eaa097095d89feb9274/Transcript___Data_Analysis_Intern___Huỳnh_Chơn_Thành_Nhân.pdf")</f>
        <v>https://api.typeform.com/responses/files/fc3c566d694710b0bfab752d773dcb4324551ea0435c8eaa097095d89feb9274/Transcript___Data_Analysis_Intern___Huỳnh_Chơn_Thành_Nhân.pdf</v>
      </c>
      <c r="Q641" s="29" t="b">
        <v>0</v>
      </c>
      <c r="R641" s="29" t="s">
        <v>300</v>
      </c>
      <c r="S641" s="29" t="s">
        <v>6281</v>
      </c>
      <c r="T641" s="29" t="s">
        <v>72</v>
      </c>
      <c r="U641" s="29" t="s">
        <v>72</v>
      </c>
      <c r="V641" s="29" t="s">
        <v>73</v>
      </c>
      <c r="X641" s="29" t="s">
        <v>300</v>
      </c>
      <c r="Y641" s="34">
        <v>46150.658368055556</v>
      </c>
      <c r="Z641" s="29" t="s">
        <v>6282</v>
      </c>
      <c r="AA641" s="6">
        <v>3.0</v>
      </c>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row>
    <row r="642" ht="22.5" hidden="1" customHeight="1">
      <c r="A642" s="29" t="s">
        <v>6283</v>
      </c>
      <c r="B642" s="30">
        <v>38227.0</v>
      </c>
      <c r="C642" s="29" t="s">
        <v>6284</v>
      </c>
      <c r="D642" s="31" t="s">
        <v>6285</v>
      </c>
      <c r="E642" s="29" t="s">
        <v>62</v>
      </c>
      <c r="F642" s="29" t="s">
        <v>82</v>
      </c>
      <c r="G642" s="32" t="str">
        <f>HYPERLINK("https://api.typeform.com/responses/files/0a868a82a1ce8298a5a2737b618868b9dd5922b1c12adc8dd5ccda177f4ddb6c/CV___AI_Engineering_Intern___Võ_Công_Khanh.pdf")</f>
        <v>https://api.typeform.com/responses/files/0a868a82a1ce8298a5a2737b618868b9dd5922b1c12adc8dd5ccda177f4ddb6c/CV___AI_Engineering_Intern___Võ_Công_Khanh.pdf</v>
      </c>
      <c r="H642" s="29" t="s">
        <v>6286</v>
      </c>
      <c r="I642" s="29" t="s">
        <v>6287</v>
      </c>
      <c r="J642" s="29" t="s">
        <v>65</v>
      </c>
      <c r="K642" s="29" t="s">
        <v>6288</v>
      </c>
      <c r="L642" s="29" t="s">
        <v>67</v>
      </c>
      <c r="M642" s="29" t="s">
        <v>684</v>
      </c>
      <c r="N642" s="33">
        <v>46196.0</v>
      </c>
      <c r="O642" s="31" t="s">
        <v>6289</v>
      </c>
      <c r="P642" s="32" t="str">
        <f>HYPERLINK("https://api.typeform.com/responses/files/4727cf3b0fd098f098cc5c8a7d20b2a2980032bb1c79ecd0a740be0b709e3bfd/Transcript___AI_Engineering_Intern___Võ_Công_Khanh.pdf")</f>
        <v>https://api.typeform.com/responses/files/4727cf3b0fd098f098cc5c8a7d20b2a2980032bb1c79ecd0a740be0b709e3bfd/Transcript___AI_Engineering_Intern___Võ_Công_Khanh.pdf</v>
      </c>
      <c r="Q642" s="29" t="b">
        <v>0</v>
      </c>
      <c r="R642" s="29" t="s">
        <v>6290</v>
      </c>
      <c r="S642" s="29" t="s">
        <v>6290</v>
      </c>
      <c r="T642" s="29" t="s">
        <v>72</v>
      </c>
      <c r="U642" s="29" t="s">
        <v>72</v>
      </c>
      <c r="V642" s="29" t="s">
        <v>73</v>
      </c>
      <c r="Y642" s="34">
        <v>46150.66578703704</v>
      </c>
      <c r="Z642" s="29" t="s">
        <v>6291</v>
      </c>
      <c r="AA642" s="6">
        <v>3.0</v>
      </c>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row>
    <row r="643" ht="22.5" hidden="1" customHeight="1">
      <c r="A643" s="29" t="s">
        <v>6292</v>
      </c>
      <c r="B643" s="30">
        <v>38379.0</v>
      </c>
      <c r="C643" s="29" t="s">
        <v>6293</v>
      </c>
      <c r="D643" s="31" t="s">
        <v>6294</v>
      </c>
      <c r="E643" s="29" t="s">
        <v>61</v>
      </c>
      <c r="F643" s="29" t="s">
        <v>99</v>
      </c>
      <c r="G643" s="32" t="str">
        <f>HYPERLINK("https://api.typeform.com/responses/files/5243664a785779e46484bf37c623f595ca4a76cb8393e7d16ad11e993aeb8e9f/CV___Unity_Development_Intern___Nguyễn_Thanh_Vũ.pdf")</f>
        <v>https://api.typeform.com/responses/files/5243664a785779e46484bf37c623f595ca4a76cb8393e7d16ad11e993aeb8e9f/CV___Unity_Development_Intern___Nguyễn_Thanh_Vũ.pdf</v>
      </c>
      <c r="H643" s="29" t="s">
        <v>6295</v>
      </c>
      <c r="I643" s="29" t="s">
        <v>6296</v>
      </c>
      <c r="J643" s="29" t="s">
        <v>85</v>
      </c>
      <c r="L643" s="29" t="s">
        <v>219</v>
      </c>
      <c r="M643" s="29" t="s">
        <v>4674</v>
      </c>
      <c r="N643" s="33">
        <v>46547.0</v>
      </c>
      <c r="O643" s="31" t="s">
        <v>6289</v>
      </c>
      <c r="P643" s="32" t="str">
        <f>HYPERLINK("https://api.typeform.com/responses/files/63424e1100dfe3186d771326b22fdf827b3a110be0f146389697680a804635b6/Transcript___Unity_Development_Intern___Nguyễn_Thanh_Vũ.pdf")</f>
        <v>https://api.typeform.com/responses/files/63424e1100dfe3186d771326b22fdf827b3a110be0f146389697680a804635b6/Transcript___Unity_Development_Intern___Nguyễn_Thanh_Vũ.pdf</v>
      </c>
      <c r="Q643" s="29" t="b">
        <v>1</v>
      </c>
      <c r="R643" s="29" t="s">
        <v>6297</v>
      </c>
      <c r="S643" s="29" t="s">
        <v>6298</v>
      </c>
      <c r="T643" s="29" t="s">
        <v>72</v>
      </c>
      <c r="U643" s="29" t="s">
        <v>72</v>
      </c>
      <c r="V643" s="29" t="s">
        <v>544</v>
      </c>
      <c r="X643" s="29" t="s">
        <v>6299</v>
      </c>
      <c r="Y643" s="34">
        <v>46150.70741898148</v>
      </c>
      <c r="Z643" s="29" t="s">
        <v>6300</v>
      </c>
      <c r="AA643" s="6">
        <v>3.0</v>
      </c>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row>
    <row r="644" ht="22.5" hidden="1" customHeight="1">
      <c r="A644" s="29" t="s">
        <v>6301</v>
      </c>
      <c r="B644" s="30">
        <v>37678.0</v>
      </c>
      <c r="C644" s="29" t="s">
        <v>6302</v>
      </c>
      <c r="D644" s="31" t="s">
        <v>6303</v>
      </c>
      <c r="E644" s="29" t="s">
        <v>99</v>
      </c>
      <c r="F644" s="29" t="s">
        <v>82</v>
      </c>
      <c r="G644" s="32" t="str">
        <f>HYPERLINK("https://api.typeform.com/responses/files/ff2462ddc35380accb6d96feb9b1e55b27132189cf5a0615d3e3fc55c59b2fac/CV___Game_Design_Intern___Huỳnh_Phước_Tài.pdf")</f>
        <v>https://api.typeform.com/responses/files/ff2462ddc35380accb6d96feb9b1e55b27132189cf5a0615d3e3fc55c59b2fac/CV___Game_Design_Intern___Huỳnh_Phước_Tài.pdf</v>
      </c>
      <c r="H644" s="29" t="s">
        <v>6304</v>
      </c>
      <c r="I644" s="29" t="s">
        <v>6305</v>
      </c>
      <c r="J644" s="29" t="s">
        <v>85</v>
      </c>
      <c r="L644" s="29" t="s">
        <v>103</v>
      </c>
      <c r="M644" s="29" t="s">
        <v>1183</v>
      </c>
      <c r="N644" s="33">
        <v>46181.0</v>
      </c>
      <c r="O644" s="31" t="s">
        <v>1686</v>
      </c>
      <c r="P644" s="32" t="str">
        <f>HYPERLINK("https://api.typeform.com/responses/files/3c3c098192749fe9b8699c609bafbcbf255809e71b5391f0ae8eb1244a923f63/Transcript___Game_Design_Intern___Huỳnh_Phước_Tài.pdf")</f>
        <v>https://api.typeform.com/responses/files/3c3c098192749fe9b8699c609bafbcbf255809e71b5391f0ae8eb1244a923f63/Transcript___Game_Design_Intern___Huỳnh_Phước_Tài.pdf</v>
      </c>
      <c r="Q644" s="29" t="b">
        <v>1</v>
      </c>
      <c r="R644" s="29" t="s">
        <v>6306</v>
      </c>
      <c r="S644" s="29" t="s">
        <v>6307</v>
      </c>
      <c r="T644" s="29" t="s">
        <v>72</v>
      </c>
      <c r="U644" s="29" t="s">
        <v>72</v>
      </c>
      <c r="V644" s="29" t="s">
        <v>90</v>
      </c>
      <c r="Y644" s="34">
        <v>46150.7084375</v>
      </c>
      <c r="Z644" s="29" t="s">
        <v>6308</v>
      </c>
      <c r="AA644" s="6">
        <v>3.0</v>
      </c>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row>
    <row r="645" ht="22.5" hidden="1" customHeight="1">
      <c r="A645" s="29" t="s">
        <v>6309</v>
      </c>
      <c r="B645" s="30">
        <v>37053.0</v>
      </c>
      <c r="C645" s="29" t="s">
        <v>6310</v>
      </c>
      <c r="D645" s="31" t="s">
        <v>6311</v>
      </c>
      <c r="E645" s="29" t="s">
        <v>774</v>
      </c>
      <c r="F645" s="29" t="s">
        <v>82</v>
      </c>
      <c r="G645" s="32" t="str">
        <f>HYPERLINK("https://api.typeform.com/responses/files/02f5950acc28cb1d5f85f123457dbe86562bad520966b53a2630f172170ed026/CV_Game_User_Acquisition_Marketing_Intern___Data_Analysis_Intern__Võ_Nguyễn_Lan_Nhi.pdf")</f>
        <v>https://api.typeform.com/responses/files/02f5950acc28cb1d5f85f123457dbe86562bad520966b53a2630f172170ed026/CV_Game_User_Acquisition_Marketing_Intern___Data_Analysis_Intern__Võ_Nguyễn_Lan_Nhi.pdf</v>
      </c>
      <c r="H645" s="29" t="s">
        <v>6312</v>
      </c>
      <c r="I645" s="29" t="s">
        <v>6313</v>
      </c>
      <c r="J645" s="29" t="s">
        <v>65</v>
      </c>
      <c r="K645" s="29" t="s">
        <v>961</v>
      </c>
      <c r="L645" s="29" t="s">
        <v>6258</v>
      </c>
      <c r="M645" s="29" t="s">
        <v>6314</v>
      </c>
      <c r="N645" s="33">
        <v>45107.0</v>
      </c>
      <c r="O645" s="31" t="s">
        <v>1679</v>
      </c>
      <c r="P645" s="32" t="str">
        <f>HYPERLINK("https://api.typeform.com/responses/files/7b60266f23cd581a3ca8bd5d06b5f3ef2a135796f74fdbc5d5f87d7f18959caa/Transcript_Game_User_Acquisition_Marketing_Intern___Data_Analysis_Intern__Võ_Nguyễn_Lan_Nhi.pdf")</f>
        <v>https://api.typeform.com/responses/files/7b60266f23cd581a3ca8bd5d06b5f3ef2a135796f74fdbc5d5f87d7f18959caa/Transcript_Game_User_Acquisition_Marketing_Intern___Data_Analysis_Intern__Võ_Nguyễn_Lan_Nhi.pdf</v>
      </c>
      <c r="Q645" s="29" t="b">
        <v>1</v>
      </c>
      <c r="R645" s="29" t="s">
        <v>6315</v>
      </c>
      <c r="S645" s="29" t="s">
        <v>6316</v>
      </c>
      <c r="T645" s="29" t="s">
        <v>72</v>
      </c>
      <c r="U645" s="29" t="s">
        <v>72</v>
      </c>
      <c r="V645" s="29" t="s">
        <v>73</v>
      </c>
      <c r="X645" s="29" t="s">
        <v>6317</v>
      </c>
      <c r="Y645" s="34">
        <v>46151.175983796296</v>
      </c>
      <c r="Z645" s="29" t="s">
        <v>6318</v>
      </c>
      <c r="AA645" s="6">
        <v>3.0</v>
      </c>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row>
    <row r="646">
      <c r="A646" s="36" t="s">
        <v>6319</v>
      </c>
      <c r="B646" s="37">
        <v>38459.0</v>
      </c>
      <c r="C646" s="36" t="s">
        <v>6320</v>
      </c>
      <c r="D646" s="38" t="s">
        <v>6321</v>
      </c>
      <c r="E646" s="36" t="s">
        <v>61</v>
      </c>
      <c r="F646" s="36" t="s">
        <v>127</v>
      </c>
      <c r="G646" s="39" t="str">
        <f>HYPERLINK("https://api.typeform.com/responses/files/8bd21819597d9bed876ed6b2b9581152a3d21c87d818931514d88c626702f4cb/CV___Unity_Development_Intern__Game_Quality_Assurance_Intern___Trần_Quốc_Bảo.pdf")</f>
        <v>https://api.typeform.com/responses/files/8bd21819597d9bed876ed6b2b9581152a3d21c87d818931514d88c626702f4cb/CV___Unity_Development_Intern__Game_Quality_Assurance_Intern___Trần_Quốc_Bảo.pdf</v>
      </c>
      <c r="H646" s="36" t="s">
        <v>6322</v>
      </c>
      <c r="I646" s="36" t="s">
        <v>6323</v>
      </c>
      <c r="J646" s="36" t="s">
        <v>715</v>
      </c>
      <c r="L646" s="36" t="s">
        <v>219</v>
      </c>
      <c r="M646" s="36" t="s">
        <v>930</v>
      </c>
      <c r="N646" s="37">
        <v>46193.0</v>
      </c>
      <c r="O646" s="38" t="s">
        <v>6324</v>
      </c>
      <c r="P646" s="39" t="str">
        <f>HYPERLINK("https://api.typeform.com/responses/files/6046301e7831df9ba18ea3ab7f078f7df4dabda5b69d27278f709190cd230684/score.pdf")</f>
        <v>https://api.typeform.com/responses/files/6046301e7831df9ba18ea3ab7f078f7df4dabda5b69d27278f709190cd230684/score.pdf</v>
      </c>
      <c r="Q646" s="36" t="b">
        <v>1</v>
      </c>
      <c r="R646" s="36" t="s">
        <v>6325</v>
      </c>
      <c r="S646" s="36" t="s">
        <v>6326</v>
      </c>
      <c r="T646" s="36" t="s">
        <v>72</v>
      </c>
      <c r="U646" s="36" t="s">
        <v>72</v>
      </c>
      <c r="V646" s="36" t="s">
        <v>3962</v>
      </c>
      <c r="X646" s="36" t="s">
        <v>6327</v>
      </c>
      <c r="Y646" s="40">
        <v>46156.4158912037</v>
      </c>
      <c r="Z646" s="36" t="s">
        <v>6328</v>
      </c>
      <c r="AA646" s="41"/>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row>
    <row r="647">
      <c r="A647" s="36" t="s">
        <v>6329</v>
      </c>
      <c r="B647" s="37">
        <v>38760.0</v>
      </c>
      <c r="C647" s="36" t="s">
        <v>6330</v>
      </c>
      <c r="D647" s="38" t="s">
        <v>6331</v>
      </c>
      <c r="E647" s="36" t="s">
        <v>82</v>
      </c>
      <c r="F647" s="36" t="s">
        <v>62</v>
      </c>
      <c r="G647" s="39" t="str">
        <f>HYPERLINK("https://api.typeform.com/responses/files/70d6a3ee72a78ca0da955e5c38efdb3b551ea99ff55da7baa5ffa524f197b79b/CV___Data_Analysis_Intern___Tran_Ngoc_Hai_Tran.pdf")</f>
        <v>https://api.typeform.com/responses/files/70d6a3ee72a78ca0da955e5c38efdb3b551ea99ff55da7baa5ffa524f197b79b/CV___Data_Analysis_Intern___Tran_Ngoc_Hai_Tran.pdf</v>
      </c>
      <c r="H647" s="36" t="s">
        <v>6332</v>
      </c>
      <c r="I647" s="36" t="s">
        <v>6333</v>
      </c>
      <c r="J647" s="36" t="s">
        <v>5837</v>
      </c>
      <c r="L647" s="36" t="s">
        <v>6334</v>
      </c>
      <c r="M647" s="36" t="s">
        <v>6335</v>
      </c>
      <c r="N647" s="37">
        <v>46538.0</v>
      </c>
      <c r="O647" s="38" t="s">
        <v>542</v>
      </c>
      <c r="P647" s="39" t="str">
        <f>HYPERLINK("https://api.typeform.com/responses/files/32d1ae31ceba3dc8bd1e9b351344848fe73a4100cae3a64422215e3224b8fde5/CV___Data_Analysis_Intern___Tran_Ngoc_Hai_Tran.pdf")</f>
        <v>https://api.typeform.com/responses/files/32d1ae31ceba3dc8bd1e9b351344848fe73a4100cae3a64422215e3224b8fde5/CV___Data_Analysis_Intern___Tran_Ngoc_Hai_Tran.pdf</v>
      </c>
      <c r="Q647" s="36" t="b">
        <v>0</v>
      </c>
      <c r="R647" s="36" t="s">
        <v>280</v>
      </c>
      <c r="S647" s="36" t="s">
        <v>2545</v>
      </c>
      <c r="T647" s="36" t="s">
        <v>72</v>
      </c>
      <c r="U647" s="36" t="s">
        <v>72</v>
      </c>
      <c r="V647" s="36" t="s">
        <v>73</v>
      </c>
      <c r="X647" s="36" t="s">
        <v>2545</v>
      </c>
      <c r="Y647" s="40">
        <v>46156.65523148148</v>
      </c>
      <c r="Z647" s="36" t="s">
        <v>6336</v>
      </c>
      <c r="AA647" s="41"/>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row>
    <row r="648">
      <c r="A648" s="27"/>
      <c r="B648" s="42"/>
      <c r="C648" s="27"/>
      <c r="D648" s="27"/>
      <c r="E648" s="27"/>
      <c r="F648" s="27"/>
      <c r="G648" s="43"/>
      <c r="H648" s="27"/>
      <c r="I648" s="27"/>
      <c r="J648" s="27"/>
      <c r="K648" s="27"/>
      <c r="L648" s="27"/>
      <c r="M648" s="27"/>
      <c r="N648" s="27"/>
      <c r="O648" s="27"/>
      <c r="P648" s="43"/>
      <c r="Q648" s="27"/>
      <c r="R648" s="27"/>
      <c r="S648" s="43"/>
      <c r="T648" s="27"/>
      <c r="U648" s="27"/>
      <c r="V648" s="27"/>
      <c r="W648" s="27"/>
      <c r="X648" s="27"/>
      <c r="Y648" s="27"/>
      <c r="Z648" s="27"/>
      <c r="AA648" s="41"/>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row>
    <row r="649">
      <c r="A649" s="27"/>
      <c r="B649" s="42"/>
      <c r="C649" s="27"/>
      <c r="D649" s="27"/>
      <c r="E649" s="27"/>
      <c r="F649" s="27"/>
      <c r="G649" s="43"/>
      <c r="H649" s="27"/>
      <c r="I649" s="27"/>
      <c r="J649" s="27"/>
      <c r="K649" s="27"/>
      <c r="L649" s="27"/>
      <c r="M649" s="27"/>
      <c r="N649" s="27"/>
      <c r="O649" s="27"/>
      <c r="P649" s="43"/>
      <c r="Q649" s="27"/>
      <c r="R649" s="27"/>
      <c r="S649" s="43"/>
      <c r="T649" s="27"/>
      <c r="U649" s="27"/>
      <c r="V649" s="27"/>
      <c r="W649" s="27"/>
      <c r="X649" s="27"/>
      <c r="Y649" s="27"/>
      <c r="Z649" s="27"/>
      <c r="AA649" s="41"/>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row>
    <row r="650">
      <c r="A650" s="27"/>
      <c r="B650" s="42"/>
      <c r="C650" s="27"/>
      <c r="D650" s="27"/>
      <c r="E650" s="27"/>
      <c r="F650" s="27"/>
      <c r="G650" s="43"/>
      <c r="H650" s="27"/>
      <c r="I650" s="27"/>
      <c r="J650" s="27"/>
      <c r="K650" s="27"/>
      <c r="L650" s="27"/>
      <c r="M650" s="27"/>
      <c r="N650" s="27"/>
      <c r="O650" s="27"/>
      <c r="P650" s="43"/>
      <c r="Q650" s="27"/>
      <c r="R650" s="27"/>
      <c r="S650" s="43"/>
      <c r="T650" s="27"/>
      <c r="U650" s="27"/>
      <c r="V650" s="27"/>
      <c r="W650" s="27"/>
      <c r="X650" s="27"/>
      <c r="Y650" s="27"/>
      <c r="Z650" s="27"/>
      <c r="AA650" s="41"/>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row>
    <row r="651">
      <c r="A651" s="27"/>
      <c r="B651" s="42"/>
      <c r="C651" s="27"/>
      <c r="D651" s="27"/>
      <c r="E651" s="27"/>
      <c r="F651" s="27"/>
      <c r="G651" s="43"/>
      <c r="H651" s="27"/>
      <c r="I651" s="27"/>
      <c r="J651" s="27"/>
      <c r="K651" s="27"/>
      <c r="L651" s="27"/>
      <c r="M651" s="27"/>
      <c r="N651" s="27"/>
      <c r="O651" s="27"/>
      <c r="P651" s="43"/>
      <c r="Q651" s="27"/>
      <c r="R651" s="27"/>
      <c r="S651" s="43"/>
      <c r="T651" s="27"/>
      <c r="U651" s="27"/>
      <c r="V651" s="27"/>
      <c r="W651" s="27"/>
      <c r="X651" s="27"/>
      <c r="Y651" s="27"/>
      <c r="Z651" s="27"/>
      <c r="AA651" s="41"/>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row>
    <row r="652">
      <c r="A652" s="27"/>
      <c r="B652" s="42"/>
      <c r="C652" s="27"/>
      <c r="D652" s="27"/>
      <c r="E652" s="27"/>
      <c r="F652" s="27"/>
      <c r="G652" s="43"/>
      <c r="H652" s="27"/>
      <c r="I652" s="27"/>
      <c r="J652" s="27"/>
      <c r="K652" s="27"/>
      <c r="L652" s="27"/>
      <c r="M652" s="27"/>
      <c r="N652" s="27"/>
      <c r="O652" s="27"/>
      <c r="P652" s="43"/>
      <c r="Q652" s="27"/>
      <c r="R652" s="27"/>
      <c r="S652" s="43"/>
      <c r="T652" s="27"/>
      <c r="U652" s="27"/>
      <c r="V652" s="27"/>
      <c r="W652" s="27"/>
      <c r="X652" s="27"/>
      <c r="Y652" s="27"/>
      <c r="Z652" s="27"/>
      <c r="AA652" s="41"/>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row>
    <row r="653">
      <c r="A653" s="27"/>
      <c r="B653" s="42"/>
      <c r="C653" s="27"/>
      <c r="D653" s="27"/>
      <c r="E653" s="27"/>
      <c r="F653" s="27"/>
      <c r="G653" s="43"/>
      <c r="H653" s="27"/>
      <c r="I653" s="27"/>
      <c r="J653" s="27"/>
      <c r="K653" s="27"/>
      <c r="L653" s="27"/>
      <c r="M653" s="27"/>
      <c r="N653" s="27"/>
      <c r="O653" s="27"/>
      <c r="P653" s="43"/>
      <c r="Q653" s="27"/>
      <c r="R653" s="27"/>
      <c r="S653" s="43"/>
      <c r="T653" s="27"/>
      <c r="U653" s="27"/>
      <c r="V653" s="27"/>
      <c r="W653" s="27"/>
      <c r="X653" s="27"/>
      <c r="Y653" s="27"/>
      <c r="Z653" s="27"/>
      <c r="AA653" s="41"/>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row>
    <row r="654">
      <c r="A654" s="27"/>
      <c r="B654" s="42"/>
      <c r="C654" s="27"/>
      <c r="D654" s="27"/>
      <c r="E654" s="27"/>
      <c r="F654" s="27"/>
      <c r="G654" s="43"/>
      <c r="H654" s="27"/>
      <c r="I654" s="27"/>
      <c r="J654" s="27"/>
      <c r="K654" s="27"/>
      <c r="L654" s="27"/>
      <c r="M654" s="27"/>
      <c r="N654" s="27"/>
      <c r="O654" s="27"/>
      <c r="P654" s="43"/>
      <c r="Q654" s="27"/>
      <c r="R654" s="27"/>
      <c r="S654" s="43"/>
      <c r="T654" s="27"/>
      <c r="U654" s="27"/>
      <c r="V654" s="27"/>
      <c r="W654" s="27"/>
      <c r="X654" s="27"/>
      <c r="Y654" s="27"/>
      <c r="Z654" s="27"/>
      <c r="AA654" s="41"/>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row>
    <row r="655">
      <c r="A655" s="27"/>
      <c r="B655" s="42"/>
      <c r="C655" s="27"/>
      <c r="D655" s="27"/>
      <c r="E655" s="27"/>
      <c r="F655" s="27"/>
      <c r="G655" s="43"/>
      <c r="H655" s="27"/>
      <c r="I655" s="27"/>
      <c r="J655" s="27"/>
      <c r="K655" s="27"/>
      <c r="L655" s="27"/>
      <c r="M655" s="27"/>
      <c r="N655" s="27"/>
      <c r="O655" s="27"/>
      <c r="P655" s="43"/>
      <c r="Q655" s="27"/>
      <c r="R655" s="27"/>
      <c r="S655" s="43"/>
      <c r="T655" s="27"/>
      <c r="U655" s="27"/>
      <c r="V655" s="27"/>
      <c r="W655" s="27"/>
      <c r="X655" s="27"/>
      <c r="Y655" s="27"/>
      <c r="Z655" s="27"/>
      <c r="AA655" s="41"/>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row>
    <row r="656">
      <c r="A656" s="27"/>
      <c r="B656" s="42"/>
      <c r="C656" s="27"/>
      <c r="D656" s="27"/>
      <c r="E656" s="27"/>
      <c r="F656" s="27"/>
      <c r="G656" s="43"/>
      <c r="H656" s="27"/>
      <c r="I656" s="27"/>
      <c r="J656" s="27"/>
      <c r="K656" s="27"/>
      <c r="L656" s="27"/>
      <c r="M656" s="27"/>
      <c r="N656" s="27"/>
      <c r="O656" s="27"/>
      <c r="P656" s="43"/>
      <c r="Q656" s="27"/>
      <c r="R656" s="27"/>
      <c r="S656" s="43"/>
      <c r="T656" s="27"/>
      <c r="U656" s="27"/>
      <c r="V656" s="27"/>
      <c r="W656" s="27"/>
      <c r="X656" s="27"/>
      <c r="Y656" s="27"/>
      <c r="Z656" s="27"/>
      <c r="AA656" s="41"/>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row>
    <row r="657">
      <c r="A657" s="27"/>
      <c r="B657" s="42"/>
      <c r="C657" s="27"/>
      <c r="D657" s="27"/>
      <c r="E657" s="27"/>
      <c r="F657" s="27"/>
      <c r="G657" s="43"/>
      <c r="H657" s="27"/>
      <c r="I657" s="27"/>
      <c r="J657" s="27"/>
      <c r="K657" s="27"/>
      <c r="L657" s="27"/>
      <c r="M657" s="27"/>
      <c r="N657" s="27"/>
      <c r="O657" s="27"/>
      <c r="P657" s="43"/>
      <c r="Q657" s="27"/>
      <c r="R657" s="27"/>
      <c r="S657" s="43"/>
      <c r="T657" s="27"/>
      <c r="U657" s="27"/>
      <c r="V657" s="27"/>
      <c r="W657" s="27"/>
      <c r="X657" s="27"/>
      <c r="Y657" s="27"/>
      <c r="Z657" s="27"/>
      <c r="AA657" s="41"/>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row>
    <row r="658">
      <c r="A658" s="27"/>
      <c r="B658" s="42"/>
      <c r="C658" s="27"/>
      <c r="D658" s="27"/>
      <c r="E658" s="27"/>
      <c r="F658" s="27"/>
      <c r="G658" s="43"/>
      <c r="H658" s="27"/>
      <c r="I658" s="27"/>
      <c r="J658" s="27"/>
      <c r="K658" s="27"/>
      <c r="L658" s="27"/>
      <c r="M658" s="27"/>
      <c r="N658" s="27"/>
      <c r="O658" s="27"/>
      <c r="P658" s="43"/>
      <c r="Q658" s="27"/>
      <c r="R658" s="27"/>
      <c r="S658" s="43"/>
      <c r="T658" s="27"/>
      <c r="U658" s="27"/>
      <c r="V658" s="27"/>
      <c r="W658" s="27"/>
      <c r="X658" s="27"/>
      <c r="Y658" s="27"/>
      <c r="Z658" s="27"/>
      <c r="AA658" s="41"/>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row>
    <row r="659">
      <c r="A659" s="27"/>
      <c r="B659" s="42"/>
      <c r="C659" s="27"/>
      <c r="D659" s="27"/>
      <c r="E659" s="27"/>
      <c r="F659" s="27"/>
      <c r="G659" s="43"/>
      <c r="H659" s="27"/>
      <c r="I659" s="27"/>
      <c r="J659" s="27"/>
      <c r="K659" s="27"/>
      <c r="L659" s="27"/>
      <c r="M659" s="27"/>
      <c r="N659" s="27"/>
      <c r="O659" s="27"/>
      <c r="P659" s="43"/>
      <c r="Q659" s="27"/>
      <c r="R659" s="27"/>
      <c r="S659" s="43"/>
      <c r="T659" s="27"/>
      <c r="U659" s="27"/>
      <c r="V659" s="27"/>
      <c r="W659" s="27"/>
      <c r="X659" s="27"/>
      <c r="Y659" s="27"/>
      <c r="Z659" s="27"/>
      <c r="AA659" s="41"/>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row>
    <row r="660">
      <c r="A660" s="27"/>
      <c r="B660" s="42"/>
      <c r="C660" s="27"/>
      <c r="D660" s="27"/>
      <c r="E660" s="27"/>
      <c r="F660" s="27"/>
      <c r="G660" s="43"/>
      <c r="H660" s="27"/>
      <c r="I660" s="27"/>
      <c r="J660" s="27"/>
      <c r="K660" s="27"/>
      <c r="L660" s="27"/>
      <c r="M660" s="27"/>
      <c r="N660" s="27"/>
      <c r="O660" s="27"/>
      <c r="P660" s="43"/>
      <c r="Q660" s="27"/>
      <c r="R660" s="27"/>
      <c r="S660" s="43"/>
      <c r="T660" s="27"/>
      <c r="U660" s="27"/>
      <c r="V660" s="27"/>
      <c r="W660" s="27"/>
      <c r="X660" s="27"/>
      <c r="Y660" s="27"/>
      <c r="Z660" s="27"/>
      <c r="AA660" s="41"/>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row>
    <row r="661">
      <c r="A661" s="27"/>
      <c r="B661" s="42"/>
      <c r="C661" s="27"/>
      <c r="D661" s="27"/>
      <c r="E661" s="27"/>
      <c r="F661" s="27"/>
      <c r="G661" s="43"/>
      <c r="H661" s="27"/>
      <c r="I661" s="27"/>
      <c r="J661" s="27"/>
      <c r="K661" s="27"/>
      <c r="L661" s="27"/>
      <c r="M661" s="27"/>
      <c r="N661" s="27"/>
      <c r="O661" s="27"/>
      <c r="P661" s="43"/>
      <c r="Q661" s="27"/>
      <c r="R661" s="27"/>
      <c r="S661" s="43"/>
      <c r="T661" s="27"/>
      <c r="U661" s="27"/>
      <c r="V661" s="27"/>
      <c r="W661" s="27"/>
      <c r="X661" s="27"/>
      <c r="Y661" s="27"/>
      <c r="Z661" s="27"/>
      <c r="AA661" s="41"/>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row>
    <row r="662">
      <c r="A662" s="27"/>
      <c r="B662" s="42"/>
      <c r="C662" s="27"/>
      <c r="D662" s="27"/>
      <c r="E662" s="27"/>
      <c r="F662" s="27"/>
      <c r="G662" s="43"/>
      <c r="H662" s="27"/>
      <c r="I662" s="27"/>
      <c r="J662" s="27"/>
      <c r="K662" s="27"/>
      <c r="L662" s="27"/>
      <c r="M662" s="27"/>
      <c r="N662" s="27"/>
      <c r="O662" s="27"/>
      <c r="P662" s="43"/>
      <c r="Q662" s="27"/>
      <c r="R662" s="27"/>
      <c r="S662" s="43"/>
      <c r="T662" s="27"/>
      <c r="U662" s="27"/>
      <c r="V662" s="27"/>
      <c r="W662" s="27"/>
      <c r="X662" s="27"/>
      <c r="Y662" s="27"/>
      <c r="Z662" s="27"/>
      <c r="AA662" s="41"/>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row>
    <row r="663">
      <c r="A663" s="27"/>
      <c r="B663" s="42"/>
      <c r="C663" s="27"/>
      <c r="D663" s="27"/>
      <c r="E663" s="27"/>
      <c r="F663" s="27"/>
      <c r="G663" s="43"/>
      <c r="H663" s="27"/>
      <c r="I663" s="27"/>
      <c r="J663" s="27"/>
      <c r="K663" s="27"/>
      <c r="L663" s="27"/>
      <c r="M663" s="27"/>
      <c r="N663" s="27"/>
      <c r="O663" s="27"/>
      <c r="P663" s="43"/>
      <c r="Q663" s="27"/>
      <c r="R663" s="27"/>
      <c r="S663" s="43"/>
      <c r="T663" s="27"/>
      <c r="U663" s="27"/>
      <c r="V663" s="27"/>
      <c r="W663" s="27"/>
      <c r="X663" s="27"/>
      <c r="Y663" s="27"/>
      <c r="Z663" s="27"/>
      <c r="AA663" s="41"/>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row>
    <row r="664">
      <c r="A664" s="27"/>
      <c r="B664" s="42"/>
      <c r="C664" s="27"/>
      <c r="D664" s="27"/>
      <c r="E664" s="27"/>
      <c r="F664" s="27"/>
      <c r="G664" s="43"/>
      <c r="H664" s="27"/>
      <c r="I664" s="27"/>
      <c r="J664" s="27"/>
      <c r="K664" s="27"/>
      <c r="L664" s="27"/>
      <c r="M664" s="27"/>
      <c r="N664" s="27"/>
      <c r="O664" s="27"/>
      <c r="P664" s="43"/>
      <c r="Q664" s="27"/>
      <c r="R664" s="27"/>
      <c r="S664" s="43"/>
      <c r="T664" s="27"/>
      <c r="U664" s="27"/>
      <c r="V664" s="27"/>
      <c r="W664" s="27"/>
      <c r="X664" s="27"/>
      <c r="Y664" s="27"/>
      <c r="Z664" s="27"/>
      <c r="AA664" s="41"/>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row>
    <row r="665">
      <c r="A665" s="27"/>
      <c r="B665" s="42"/>
      <c r="C665" s="27"/>
      <c r="D665" s="27"/>
      <c r="E665" s="27"/>
      <c r="F665" s="27"/>
      <c r="G665" s="43"/>
      <c r="H665" s="27"/>
      <c r="I665" s="27"/>
      <c r="J665" s="27"/>
      <c r="K665" s="27"/>
      <c r="L665" s="27"/>
      <c r="M665" s="27"/>
      <c r="N665" s="27"/>
      <c r="O665" s="27"/>
      <c r="P665" s="43"/>
      <c r="Q665" s="27"/>
      <c r="R665" s="27"/>
      <c r="S665" s="43"/>
      <c r="T665" s="27"/>
      <c r="U665" s="27"/>
      <c r="V665" s="27"/>
      <c r="W665" s="27"/>
      <c r="X665" s="27"/>
      <c r="Y665" s="27"/>
      <c r="Z665" s="27"/>
      <c r="AA665" s="41"/>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row>
    <row r="666">
      <c r="A666" s="27"/>
      <c r="B666" s="42"/>
      <c r="C666" s="27"/>
      <c r="D666" s="27"/>
      <c r="E666" s="27"/>
      <c r="F666" s="27"/>
      <c r="G666" s="43"/>
      <c r="H666" s="27"/>
      <c r="I666" s="27"/>
      <c r="J666" s="27"/>
      <c r="K666" s="27"/>
      <c r="L666" s="27"/>
      <c r="M666" s="27"/>
      <c r="N666" s="27"/>
      <c r="O666" s="27"/>
      <c r="P666" s="43"/>
      <c r="Q666" s="27"/>
      <c r="R666" s="27"/>
      <c r="S666" s="43"/>
      <c r="T666" s="27"/>
      <c r="U666" s="27"/>
      <c r="V666" s="27"/>
      <c r="W666" s="27"/>
      <c r="X666" s="27"/>
      <c r="Y666" s="27"/>
      <c r="Z666" s="27"/>
      <c r="AA666" s="41"/>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row>
    <row r="667">
      <c r="A667" s="27"/>
      <c r="B667" s="42"/>
      <c r="C667" s="27"/>
      <c r="D667" s="27"/>
      <c r="E667" s="27"/>
      <c r="F667" s="27"/>
      <c r="G667" s="43"/>
      <c r="H667" s="27"/>
      <c r="I667" s="27"/>
      <c r="J667" s="27"/>
      <c r="K667" s="27"/>
      <c r="L667" s="27"/>
      <c r="M667" s="27"/>
      <c r="N667" s="27"/>
      <c r="O667" s="27"/>
      <c r="P667" s="43"/>
      <c r="Q667" s="27"/>
      <c r="R667" s="27"/>
      <c r="S667" s="43"/>
      <c r="T667" s="27"/>
      <c r="U667" s="27"/>
      <c r="V667" s="27"/>
      <c r="W667" s="27"/>
      <c r="X667" s="27"/>
      <c r="Y667" s="27"/>
      <c r="Z667" s="27"/>
      <c r="AA667" s="41"/>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row>
    <row r="668">
      <c r="A668" s="27"/>
      <c r="B668" s="42"/>
      <c r="C668" s="27"/>
      <c r="D668" s="27"/>
      <c r="E668" s="27"/>
      <c r="F668" s="27"/>
      <c r="G668" s="43"/>
      <c r="H668" s="27"/>
      <c r="I668" s="27"/>
      <c r="J668" s="27"/>
      <c r="K668" s="27"/>
      <c r="L668" s="27"/>
      <c r="M668" s="27"/>
      <c r="N668" s="27"/>
      <c r="O668" s="27"/>
      <c r="P668" s="43"/>
      <c r="Q668" s="27"/>
      <c r="R668" s="27"/>
      <c r="S668" s="43"/>
      <c r="T668" s="27"/>
      <c r="U668" s="27"/>
      <c r="V668" s="27"/>
      <c r="W668" s="27"/>
      <c r="X668" s="27"/>
      <c r="Y668" s="27"/>
      <c r="Z668" s="27"/>
      <c r="AA668" s="41"/>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row>
    <row r="669">
      <c r="A669" s="27"/>
      <c r="B669" s="42"/>
      <c r="C669" s="27"/>
      <c r="D669" s="27"/>
      <c r="E669" s="27"/>
      <c r="F669" s="27"/>
      <c r="G669" s="43"/>
      <c r="H669" s="27"/>
      <c r="I669" s="27"/>
      <c r="J669" s="27"/>
      <c r="K669" s="27"/>
      <c r="L669" s="27"/>
      <c r="M669" s="27"/>
      <c r="N669" s="27"/>
      <c r="O669" s="27"/>
      <c r="P669" s="43"/>
      <c r="Q669" s="27"/>
      <c r="R669" s="27"/>
      <c r="S669" s="43"/>
      <c r="T669" s="27"/>
      <c r="U669" s="27"/>
      <c r="V669" s="27"/>
      <c r="W669" s="27"/>
      <c r="X669" s="27"/>
      <c r="Y669" s="27"/>
      <c r="Z669" s="27"/>
      <c r="AA669" s="41"/>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row>
    <row r="670">
      <c r="A670" s="27"/>
      <c r="B670" s="42"/>
      <c r="C670" s="27"/>
      <c r="D670" s="27"/>
      <c r="E670" s="27"/>
      <c r="F670" s="27"/>
      <c r="G670" s="43"/>
      <c r="H670" s="27"/>
      <c r="I670" s="27"/>
      <c r="J670" s="27"/>
      <c r="K670" s="27"/>
      <c r="L670" s="27"/>
      <c r="M670" s="27"/>
      <c r="N670" s="27"/>
      <c r="O670" s="27"/>
      <c r="P670" s="43"/>
      <c r="Q670" s="27"/>
      <c r="R670" s="27"/>
      <c r="S670" s="43"/>
      <c r="T670" s="27"/>
      <c r="U670" s="27"/>
      <c r="V670" s="27"/>
      <c r="W670" s="27"/>
      <c r="X670" s="27"/>
      <c r="Y670" s="27"/>
      <c r="Z670" s="27"/>
      <c r="AA670" s="41"/>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row>
    <row r="671">
      <c r="A671" s="27"/>
      <c r="B671" s="42"/>
      <c r="C671" s="27"/>
      <c r="D671" s="27"/>
      <c r="E671" s="27"/>
      <c r="F671" s="27"/>
      <c r="G671" s="43"/>
      <c r="H671" s="27"/>
      <c r="I671" s="27"/>
      <c r="J671" s="27"/>
      <c r="K671" s="27"/>
      <c r="L671" s="27"/>
      <c r="M671" s="27"/>
      <c r="N671" s="27"/>
      <c r="O671" s="27"/>
      <c r="P671" s="43"/>
      <c r="Q671" s="27"/>
      <c r="R671" s="27"/>
      <c r="S671" s="43"/>
      <c r="T671" s="27"/>
      <c r="U671" s="27"/>
      <c r="V671" s="27"/>
      <c r="W671" s="27"/>
      <c r="X671" s="27"/>
      <c r="Y671" s="27"/>
      <c r="Z671" s="27"/>
      <c r="AA671" s="41"/>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row>
    <row r="672">
      <c r="A672" s="27"/>
      <c r="B672" s="42"/>
      <c r="C672" s="27"/>
      <c r="D672" s="27"/>
      <c r="E672" s="27"/>
      <c r="F672" s="27"/>
      <c r="G672" s="43"/>
      <c r="H672" s="27"/>
      <c r="I672" s="27"/>
      <c r="J672" s="27"/>
      <c r="K672" s="27"/>
      <c r="L672" s="27"/>
      <c r="M672" s="27"/>
      <c r="N672" s="27"/>
      <c r="O672" s="27"/>
      <c r="P672" s="43"/>
      <c r="Q672" s="27"/>
      <c r="R672" s="27"/>
      <c r="S672" s="43"/>
      <c r="T672" s="27"/>
      <c r="U672" s="27"/>
      <c r="V672" s="27"/>
      <c r="W672" s="27"/>
      <c r="X672" s="27"/>
      <c r="Y672" s="27"/>
      <c r="Z672" s="27"/>
      <c r="AA672" s="41"/>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row>
    <row r="673">
      <c r="A673" s="27"/>
      <c r="B673" s="42"/>
      <c r="C673" s="27"/>
      <c r="D673" s="27"/>
      <c r="E673" s="27"/>
      <c r="F673" s="27"/>
      <c r="G673" s="43"/>
      <c r="H673" s="27"/>
      <c r="I673" s="27"/>
      <c r="J673" s="27"/>
      <c r="K673" s="27"/>
      <c r="L673" s="27"/>
      <c r="M673" s="27"/>
      <c r="N673" s="27"/>
      <c r="O673" s="27"/>
      <c r="P673" s="43"/>
      <c r="Q673" s="27"/>
      <c r="R673" s="27"/>
      <c r="S673" s="43"/>
      <c r="T673" s="27"/>
      <c r="U673" s="27"/>
      <c r="V673" s="27"/>
      <c r="W673" s="27"/>
      <c r="X673" s="27"/>
      <c r="Y673" s="27"/>
      <c r="Z673" s="27"/>
      <c r="AA673" s="41"/>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row>
    <row r="674">
      <c r="A674" s="27"/>
      <c r="B674" s="42"/>
      <c r="C674" s="27"/>
      <c r="D674" s="27"/>
      <c r="E674" s="27"/>
      <c r="F674" s="27"/>
      <c r="G674" s="43"/>
      <c r="H674" s="27"/>
      <c r="I674" s="27"/>
      <c r="J674" s="27"/>
      <c r="K674" s="27"/>
      <c r="L674" s="27"/>
      <c r="M674" s="27"/>
      <c r="N674" s="27"/>
      <c r="O674" s="27"/>
      <c r="P674" s="43"/>
      <c r="Q674" s="27"/>
      <c r="R674" s="27"/>
      <c r="S674" s="43"/>
      <c r="T674" s="27"/>
      <c r="U674" s="27"/>
      <c r="V674" s="27"/>
      <c r="W674" s="27"/>
      <c r="X674" s="27"/>
      <c r="Y674" s="27"/>
      <c r="Z674" s="27"/>
      <c r="AA674" s="41"/>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row>
    <row r="675">
      <c r="A675" s="27"/>
      <c r="B675" s="42"/>
      <c r="C675" s="27"/>
      <c r="D675" s="27"/>
      <c r="E675" s="27"/>
      <c r="F675" s="27"/>
      <c r="G675" s="43"/>
      <c r="H675" s="27"/>
      <c r="I675" s="27"/>
      <c r="J675" s="27"/>
      <c r="K675" s="27"/>
      <c r="L675" s="27"/>
      <c r="M675" s="27"/>
      <c r="N675" s="27"/>
      <c r="O675" s="27"/>
      <c r="P675" s="43"/>
      <c r="Q675" s="27"/>
      <c r="R675" s="27"/>
      <c r="S675" s="43"/>
      <c r="T675" s="27"/>
      <c r="U675" s="27"/>
      <c r="V675" s="27"/>
      <c r="W675" s="27"/>
      <c r="X675" s="27"/>
      <c r="Y675" s="27"/>
      <c r="Z675" s="27"/>
      <c r="AA675" s="41"/>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row>
    <row r="676">
      <c r="A676" s="27"/>
      <c r="B676" s="42"/>
      <c r="C676" s="27"/>
      <c r="D676" s="27"/>
      <c r="E676" s="27"/>
      <c r="F676" s="27"/>
      <c r="G676" s="43"/>
      <c r="H676" s="27"/>
      <c r="I676" s="27"/>
      <c r="J676" s="27"/>
      <c r="K676" s="27"/>
      <c r="L676" s="27"/>
      <c r="M676" s="27"/>
      <c r="N676" s="27"/>
      <c r="O676" s="27"/>
      <c r="P676" s="43"/>
      <c r="Q676" s="27"/>
      <c r="R676" s="27"/>
      <c r="S676" s="43"/>
      <c r="T676" s="27"/>
      <c r="U676" s="27"/>
      <c r="V676" s="27"/>
      <c r="W676" s="27"/>
      <c r="X676" s="27"/>
      <c r="Y676" s="27"/>
      <c r="Z676" s="27"/>
      <c r="AA676" s="41"/>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row>
    <row r="677">
      <c r="A677" s="27"/>
      <c r="B677" s="42"/>
      <c r="C677" s="27"/>
      <c r="D677" s="27"/>
      <c r="E677" s="27"/>
      <c r="F677" s="27"/>
      <c r="G677" s="43"/>
      <c r="H677" s="27"/>
      <c r="I677" s="27"/>
      <c r="J677" s="27"/>
      <c r="K677" s="27"/>
      <c r="L677" s="27"/>
      <c r="M677" s="27"/>
      <c r="N677" s="27"/>
      <c r="O677" s="27"/>
      <c r="P677" s="43"/>
      <c r="Q677" s="27"/>
      <c r="R677" s="27"/>
      <c r="S677" s="43"/>
      <c r="T677" s="27"/>
      <c r="U677" s="27"/>
      <c r="V677" s="27"/>
      <c r="W677" s="27"/>
      <c r="X677" s="27"/>
      <c r="Y677" s="27"/>
      <c r="Z677" s="27"/>
      <c r="AA677" s="41"/>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row>
    <row r="678">
      <c r="A678" s="27"/>
      <c r="B678" s="42"/>
      <c r="C678" s="27"/>
      <c r="D678" s="27"/>
      <c r="E678" s="27"/>
      <c r="F678" s="27"/>
      <c r="G678" s="43"/>
      <c r="H678" s="27"/>
      <c r="I678" s="27"/>
      <c r="J678" s="27"/>
      <c r="K678" s="27"/>
      <c r="L678" s="27"/>
      <c r="M678" s="27"/>
      <c r="N678" s="27"/>
      <c r="O678" s="27"/>
      <c r="P678" s="43"/>
      <c r="Q678" s="27"/>
      <c r="R678" s="27"/>
      <c r="S678" s="43"/>
      <c r="T678" s="27"/>
      <c r="U678" s="27"/>
      <c r="V678" s="27"/>
      <c r="W678" s="27"/>
      <c r="X678" s="27"/>
      <c r="Y678" s="27"/>
      <c r="Z678" s="27"/>
      <c r="AA678" s="41"/>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row>
    <row r="679">
      <c r="A679" s="27"/>
      <c r="B679" s="42"/>
      <c r="C679" s="27"/>
      <c r="D679" s="27"/>
      <c r="E679" s="27"/>
      <c r="F679" s="27"/>
      <c r="G679" s="43"/>
      <c r="H679" s="27"/>
      <c r="I679" s="27"/>
      <c r="J679" s="27"/>
      <c r="K679" s="27"/>
      <c r="L679" s="27"/>
      <c r="M679" s="27"/>
      <c r="N679" s="27"/>
      <c r="O679" s="27"/>
      <c r="P679" s="43"/>
      <c r="Q679" s="27"/>
      <c r="R679" s="27"/>
      <c r="S679" s="43"/>
      <c r="T679" s="27"/>
      <c r="U679" s="27"/>
      <c r="V679" s="27"/>
      <c r="W679" s="27"/>
      <c r="X679" s="27"/>
      <c r="Y679" s="27"/>
      <c r="Z679" s="27"/>
      <c r="AA679" s="41"/>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row>
    <row r="680">
      <c r="A680" s="27"/>
      <c r="B680" s="42"/>
      <c r="C680" s="27"/>
      <c r="D680" s="27"/>
      <c r="E680" s="27"/>
      <c r="F680" s="27"/>
      <c r="G680" s="43"/>
      <c r="H680" s="27"/>
      <c r="I680" s="27"/>
      <c r="J680" s="27"/>
      <c r="K680" s="27"/>
      <c r="L680" s="27"/>
      <c r="M680" s="27"/>
      <c r="N680" s="27"/>
      <c r="O680" s="27"/>
      <c r="P680" s="43"/>
      <c r="Q680" s="27"/>
      <c r="R680" s="27"/>
      <c r="S680" s="43"/>
      <c r="T680" s="27"/>
      <c r="U680" s="27"/>
      <c r="V680" s="27"/>
      <c r="W680" s="27"/>
      <c r="X680" s="27"/>
      <c r="Y680" s="27"/>
      <c r="Z680" s="27"/>
      <c r="AA680" s="41"/>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row>
    <row r="681">
      <c r="A681" s="27"/>
      <c r="B681" s="42"/>
      <c r="C681" s="27"/>
      <c r="D681" s="27"/>
      <c r="E681" s="27"/>
      <c r="F681" s="27"/>
      <c r="G681" s="43"/>
      <c r="H681" s="27"/>
      <c r="I681" s="27"/>
      <c r="J681" s="27"/>
      <c r="K681" s="27"/>
      <c r="L681" s="27"/>
      <c r="M681" s="27"/>
      <c r="N681" s="27"/>
      <c r="O681" s="27"/>
      <c r="P681" s="43"/>
      <c r="Q681" s="27"/>
      <c r="R681" s="27"/>
      <c r="S681" s="43"/>
      <c r="T681" s="27"/>
      <c r="U681" s="27"/>
      <c r="V681" s="27"/>
      <c r="W681" s="27"/>
      <c r="X681" s="27"/>
      <c r="Y681" s="27"/>
      <c r="Z681" s="27"/>
      <c r="AA681" s="41"/>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row>
    <row r="682">
      <c r="A682" s="27"/>
      <c r="B682" s="42"/>
      <c r="C682" s="27"/>
      <c r="D682" s="27"/>
      <c r="E682" s="27"/>
      <c r="F682" s="27"/>
      <c r="G682" s="43"/>
      <c r="H682" s="27"/>
      <c r="I682" s="27"/>
      <c r="J682" s="27"/>
      <c r="K682" s="27"/>
      <c r="L682" s="27"/>
      <c r="M682" s="27"/>
      <c r="N682" s="27"/>
      <c r="O682" s="27"/>
      <c r="P682" s="43"/>
      <c r="Q682" s="27"/>
      <c r="R682" s="27"/>
      <c r="S682" s="43"/>
      <c r="T682" s="27"/>
      <c r="U682" s="27"/>
      <c r="V682" s="27"/>
      <c r="W682" s="27"/>
      <c r="X682" s="27"/>
      <c r="Y682" s="27"/>
      <c r="Z682" s="27"/>
      <c r="AA682" s="41"/>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row>
    <row r="683">
      <c r="A683" s="27"/>
      <c r="B683" s="42"/>
      <c r="C683" s="27"/>
      <c r="D683" s="27"/>
      <c r="E683" s="27"/>
      <c r="F683" s="27"/>
      <c r="G683" s="43"/>
      <c r="H683" s="27"/>
      <c r="I683" s="27"/>
      <c r="J683" s="27"/>
      <c r="K683" s="27"/>
      <c r="L683" s="27"/>
      <c r="M683" s="27"/>
      <c r="N683" s="27"/>
      <c r="O683" s="27"/>
      <c r="P683" s="43"/>
      <c r="Q683" s="27"/>
      <c r="R683" s="27"/>
      <c r="S683" s="43"/>
      <c r="T683" s="27"/>
      <c r="U683" s="27"/>
      <c r="V683" s="27"/>
      <c r="W683" s="27"/>
      <c r="X683" s="27"/>
      <c r="Y683" s="27"/>
      <c r="Z683" s="27"/>
      <c r="AA683" s="41"/>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row>
    <row r="684">
      <c r="A684" s="27"/>
      <c r="B684" s="42"/>
      <c r="C684" s="27"/>
      <c r="D684" s="27"/>
      <c r="E684" s="27"/>
      <c r="F684" s="27"/>
      <c r="G684" s="43"/>
      <c r="H684" s="27"/>
      <c r="I684" s="27"/>
      <c r="J684" s="27"/>
      <c r="K684" s="27"/>
      <c r="L684" s="27"/>
      <c r="M684" s="27"/>
      <c r="N684" s="27"/>
      <c r="O684" s="27"/>
      <c r="P684" s="43"/>
      <c r="Q684" s="27"/>
      <c r="R684" s="27"/>
      <c r="S684" s="43"/>
      <c r="T684" s="27"/>
      <c r="U684" s="27"/>
      <c r="V684" s="27"/>
      <c r="W684" s="27"/>
      <c r="X684" s="27"/>
      <c r="Y684" s="27"/>
      <c r="Z684" s="27"/>
      <c r="AA684" s="41"/>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row>
    <row r="685">
      <c r="A685" s="27"/>
      <c r="B685" s="42"/>
      <c r="C685" s="27"/>
      <c r="D685" s="27"/>
      <c r="E685" s="27"/>
      <c r="F685" s="27"/>
      <c r="G685" s="43"/>
      <c r="H685" s="27"/>
      <c r="I685" s="27"/>
      <c r="J685" s="27"/>
      <c r="K685" s="27"/>
      <c r="L685" s="27"/>
      <c r="M685" s="27"/>
      <c r="N685" s="27"/>
      <c r="O685" s="27"/>
      <c r="P685" s="43"/>
      <c r="Q685" s="27"/>
      <c r="R685" s="27"/>
      <c r="S685" s="43"/>
      <c r="T685" s="27"/>
      <c r="U685" s="27"/>
      <c r="V685" s="27"/>
      <c r="W685" s="27"/>
      <c r="X685" s="27"/>
      <c r="Y685" s="27"/>
      <c r="Z685" s="27"/>
      <c r="AA685" s="41"/>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row>
    <row r="686">
      <c r="A686" s="27"/>
      <c r="B686" s="42"/>
      <c r="C686" s="27"/>
      <c r="D686" s="27"/>
      <c r="E686" s="27"/>
      <c r="F686" s="27"/>
      <c r="G686" s="43"/>
      <c r="H686" s="27"/>
      <c r="I686" s="27"/>
      <c r="J686" s="27"/>
      <c r="K686" s="27"/>
      <c r="L686" s="27"/>
      <c r="M686" s="27"/>
      <c r="N686" s="27"/>
      <c r="O686" s="27"/>
      <c r="P686" s="43"/>
      <c r="Q686" s="27"/>
      <c r="R686" s="27"/>
      <c r="S686" s="43"/>
      <c r="T686" s="27"/>
      <c r="U686" s="27"/>
      <c r="V686" s="27"/>
      <c r="W686" s="27"/>
      <c r="X686" s="27"/>
      <c r="Y686" s="27"/>
      <c r="Z686" s="27"/>
      <c r="AA686" s="41"/>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row>
    <row r="687">
      <c r="A687" s="27"/>
      <c r="B687" s="42"/>
      <c r="C687" s="27"/>
      <c r="D687" s="27"/>
      <c r="E687" s="27"/>
      <c r="F687" s="27"/>
      <c r="G687" s="43"/>
      <c r="H687" s="27"/>
      <c r="I687" s="27"/>
      <c r="J687" s="27"/>
      <c r="K687" s="27"/>
      <c r="L687" s="27"/>
      <c r="M687" s="27"/>
      <c r="N687" s="27"/>
      <c r="O687" s="27"/>
      <c r="P687" s="43"/>
      <c r="Q687" s="27"/>
      <c r="R687" s="27"/>
      <c r="S687" s="43"/>
      <c r="T687" s="27"/>
      <c r="U687" s="27"/>
      <c r="V687" s="27"/>
      <c r="W687" s="27"/>
      <c r="X687" s="27"/>
      <c r="Y687" s="27"/>
      <c r="Z687" s="27"/>
      <c r="AA687" s="41"/>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row>
    <row r="688">
      <c r="A688" s="27"/>
      <c r="B688" s="42"/>
      <c r="C688" s="27"/>
      <c r="D688" s="27"/>
      <c r="E688" s="27"/>
      <c r="F688" s="27"/>
      <c r="G688" s="43"/>
      <c r="H688" s="27"/>
      <c r="I688" s="27"/>
      <c r="J688" s="27"/>
      <c r="K688" s="27"/>
      <c r="L688" s="27"/>
      <c r="M688" s="27"/>
      <c r="N688" s="27"/>
      <c r="O688" s="27"/>
      <c r="P688" s="43"/>
      <c r="Q688" s="27"/>
      <c r="R688" s="27"/>
      <c r="S688" s="43"/>
      <c r="T688" s="27"/>
      <c r="U688" s="27"/>
      <c r="V688" s="27"/>
      <c r="W688" s="27"/>
      <c r="X688" s="27"/>
      <c r="Y688" s="27"/>
      <c r="Z688" s="27"/>
      <c r="AA688" s="41"/>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row>
    <row r="689">
      <c r="A689" s="27"/>
      <c r="B689" s="42"/>
      <c r="C689" s="27"/>
      <c r="D689" s="27"/>
      <c r="E689" s="27"/>
      <c r="F689" s="27"/>
      <c r="G689" s="43"/>
      <c r="H689" s="27"/>
      <c r="I689" s="27"/>
      <c r="J689" s="27"/>
      <c r="K689" s="27"/>
      <c r="L689" s="27"/>
      <c r="M689" s="27"/>
      <c r="N689" s="27"/>
      <c r="O689" s="27"/>
      <c r="P689" s="43"/>
      <c r="Q689" s="27"/>
      <c r="R689" s="27"/>
      <c r="S689" s="43"/>
      <c r="T689" s="27"/>
      <c r="U689" s="27"/>
      <c r="V689" s="27"/>
      <c r="W689" s="27"/>
      <c r="X689" s="27"/>
      <c r="Y689" s="27"/>
      <c r="Z689" s="27"/>
      <c r="AA689" s="41"/>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row>
    <row r="690">
      <c r="A690" s="27"/>
      <c r="B690" s="42"/>
      <c r="C690" s="27"/>
      <c r="D690" s="27"/>
      <c r="E690" s="27"/>
      <c r="F690" s="27"/>
      <c r="G690" s="43"/>
      <c r="H690" s="27"/>
      <c r="I690" s="27"/>
      <c r="J690" s="27"/>
      <c r="K690" s="27"/>
      <c r="L690" s="27"/>
      <c r="M690" s="27"/>
      <c r="N690" s="27"/>
      <c r="O690" s="27"/>
      <c r="P690" s="43"/>
      <c r="Q690" s="27"/>
      <c r="R690" s="27"/>
      <c r="S690" s="43"/>
      <c r="T690" s="27"/>
      <c r="U690" s="27"/>
      <c r="V690" s="27"/>
      <c r="W690" s="27"/>
      <c r="X690" s="27"/>
      <c r="Y690" s="27"/>
      <c r="Z690" s="27"/>
      <c r="AA690" s="41"/>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row>
    <row r="691">
      <c r="A691" s="27"/>
      <c r="B691" s="42"/>
      <c r="C691" s="27"/>
      <c r="D691" s="27"/>
      <c r="E691" s="27"/>
      <c r="F691" s="27"/>
      <c r="G691" s="43"/>
      <c r="H691" s="27"/>
      <c r="I691" s="27"/>
      <c r="J691" s="27"/>
      <c r="K691" s="27"/>
      <c r="L691" s="27"/>
      <c r="M691" s="27"/>
      <c r="N691" s="27"/>
      <c r="O691" s="27"/>
      <c r="P691" s="43"/>
      <c r="Q691" s="27"/>
      <c r="R691" s="27"/>
      <c r="S691" s="43"/>
      <c r="T691" s="27"/>
      <c r="U691" s="27"/>
      <c r="V691" s="27"/>
      <c r="W691" s="27"/>
      <c r="X691" s="27"/>
      <c r="Y691" s="27"/>
      <c r="Z691" s="27"/>
      <c r="AA691" s="41"/>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row>
    <row r="692">
      <c r="A692" s="27"/>
      <c r="B692" s="42"/>
      <c r="C692" s="27"/>
      <c r="D692" s="27"/>
      <c r="E692" s="27"/>
      <c r="F692" s="27"/>
      <c r="G692" s="43"/>
      <c r="H692" s="27"/>
      <c r="I692" s="27"/>
      <c r="J692" s="27"/>
      <c r="K692" s="27"/>
      <c r="L692" s="27"/>
      <c r="M692" s="27"/>
      <c r="N692" s="27"/>
      <c r="O692" s="27"/>
      <c r="P692" s="43"/>
      <c r="Q692" s="27"/>
      <c r="R692" s="27"/>
      <c r="S692" s="43"/>
      <c r="T692" s="27"/>
      <c r="U692" s="27"/>
      <c r="V692" s="27"/>
      <c r="W692" s="27"/>
      <c r="X692" s="27"/>
      <c r="Y692" s="27"/>
      <c r="Z692" s="27"/>
      <c r="AA692" s="41"/>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row>
    <row r="693">
      <c r="A693" s="27"/>
      <c r="B693" s="42"/>
      <c r="C693" s="27"/>
      <c r="D693" s="27"/>
      <c r="E693" s="27"/>
      <c r="F693" s="27"/>
      <c r="G693" s="43"/>
      <c r="H693" s="27"/>
      <c r="I693" s="27"/>
      <c r="J693" s="27"/>
      <c r="K693" s="27"/>
      <c r="L693" s="27"/>
      <c r="M693" s="27"/>
      <c r="N693" s="27"/>
      <c r="O693" s="27"/>
      <c r="P693" s="43"/>
      <c r="Q693" s="27"/>
      <c r="R693" s="27"/>
      <c r="S693" s="43"/>
      <c r="T693" s="27"/>
      <c r="U693" s="27"/>
      <c r="V693" s="27"/>
      <c r="W693" s="27"/>
      <c r="X693" s="27"/>
      <c r="Y693" s="27"/>
      <c r="Z693" s="27"/>
      <c r="AA693" s="41"/>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row>
    <row r="694">
      <c r="A694" s="27"/>
      <c r="B694" s="42"/>
      <c r="C694" s="27"/>
      <c r="D694" s="27"/>
      <c r="E694" s="27"/>
      <c r="F694" s="27"/>
      <c r="G694" s="43"/>
      <c r="H694" s="27"/>
      <c r="I694" s="27"/>
      <c r="J694" s="27"/>
      <c r="K694" s="27"/>
      <c r="L694" s="27"/>
      <c r="M694" s="27"/>
      <c r="N694" s="27"/>
      <c r="O694" s="27"/>
      <c r="P694" s="43"/>
      <c r="Q694" s="27"/>
      <c r="R694" s="27"/>
      <c r="S694" s="43"/>
      <c r="T694" s="27"/>
      <c r="U694" s="27"/>
      <c r="V694" s="27"/>
      <c r="W694" s="27"/>
      <c r="X694" s="27"/>
      <c r="Y694" s="27"/>
      <c r="Z694" s="27"/>
      <c r="AA694" s="41"/>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row>
    <row r="695">
      <c r="A695" s="27"/>
      <c r="B695" s="42"/>
      <c r="C695" s="27"/>
      <c r="D695" s="27"/>
      <c r="E695" s="27"/>
      <c r="F695" s="27"/>
      <c r="G695" s="43"/>
      <c r="H695" s="27"/>
      <c r="I695" s="27"/>
      <c r="J695" s="27"/>
      <c r="K695" s="27"/>
      <c r="L695" s="27"/>
      <c r="M695" s="27"/>
      <c r="N695" s="27"/>
      <c r="O695" s="27"/>
      <c r="P695" s="43"/>
      <c r="Q695" s="27"/>
      <c r="R695" s="27"/>
      <c r="S695" s="43"/>
      <c r="T695" s="27"/>
      <c r="U695" s="27"/>
      <c r="V695" s="27"/>
      <c r="W695" s="27"/>
      <c r="X695" s="27"/>
      <c r="Y695" s="27"/>
      <c r="Z695" s="27"/>
      <c r="AA695" s="41"/>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row>
    <row r="696">
      <c r="A696" s="27"/>
      <c r="B696" s="42"/>
      <c r="C696" s="27"/>
      <c r="D696" s="27"/>
      <c r="E696" s="27"/>
      <c r="F696" s="27"/>
      <c r="G696" s="43"/>
      <c r="H696" s="27"/>
      <c r="I696" s="27"/>
      <c r="J696" s="27"/>
      <c r="K696" s="27"/>
      <c r="L696" s="27"/>
      <c r="M696" s="27"/>
      <c r="N696" s="27"/>
      <c r="O696" s="27"/>
      <c r="P696" s="43"/>
      <c r="Q696" s="27"/>
      <c r="R696" s="27"/>
      <c r="S696" s="43"/>
      <c r="T696" s="27"/>
      <c r="U696" s="27"/>
      <c r="V696" s="27"/>
      <c r="W696" s="27"/>
      <c r="X696" s="27"/>
      <c r="Y696" s="27"/>
      <c r="Z696" s="27"/>
      <c r="AA696" s="41"/>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row>
    <row r="697">
      <c r="A697" s="27"/>
      <c r="B697" s="42"/>
      <c r="C697" s="27"/>
      <c r="D697" s="27"/>
      <c r="E697" s="27"/>
      <c r="F697" s="27"/>
      <c r="G697" s="43"/>
      <c r="H697" s="27"/>
      <c r="I697" s="27"/>
      <c r="J697" s="27"/>
      <c r="K697" s="27"/>
      <c r="L697" s="27"/>
      <c r="M697" s="27"/>
      <c r="N697" s="27"/>
      <c r="O697" s="27"/>
      <c r="P697" s="43"/>
      <c r="Q697" s="27"/>
      <c r="R697" s="27"/>
      <c r="S697" s="43"/>
      <c r="T697" s="27"/>
      <c r="U697" s="27"/>
      <c r="V697" s="27"/>
      <c r="W697" s="27"/>
      <c r="X697" s="27"/>
      <c r="Y697" s="27"/>
      <c r="Z697" s="27"/>
      <c r="AA697" s="41"/>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row>
    <row r="698">
      <c r="A698" s="27"/>
      <c r="B698" s="42"/>
      <c r="C698" s="27"/>
      <c r="D698" s="27"/>
      <c r="E698" s="27"/>
      <c r="F698" s="27"/>
      <c r="G698" s="43"/>
      <c r="H698" s="27"/>
      <c r="I698" s="27"/>
      <c r="J698" s="27"/>
      <c r="K698" s="27"/>
      <c r="L698" s="27"/>
      <c r="M698" s="27"/>
      <c r="N698" s="27"/>
      <c r="O698" s="27"/>
      <c r="P698" s="43"/>
      <c r="Q698" s="27"/>
      <c r="R698" s="27"/>
      <c r="S698" s="43"/>
      <c r="T698" s="27"/>
      <c r="U698" s="27"/>
      <c r="V698" s="27"/>
      <c r="W698" s="27"/>
      <c r="X698" s="27"/>
      <c r="Y698" s="27"/>
      <c r="Z698" s="27"/>
      <c r="AA698" s="41"/>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row>
    <row r="699">
      <c r="A699" s="27"/>
      <c r="B699" s="42"/>
      <c r="C699" s="27"/>
      <c r="D699" s="27"/>
      <c r="E699" s="27"/>
      <c r="F699" s="27"/>
      <c r="G699" s="43"/>
      <c r="H699" s="27"/>
      <c r="I699" s="27"/>
      <c r="J699" s="27"/>
      <c r="K699" s="27"/>
      <c r="L699" s="27"/>
      <c r="M699" s="27"/>
      <c r="N699" s="27"/>
      <c r="O699" s="27"/>
      <c r="P699" s="43"/>
      <c r="Q699" s="27"/>
      <c r="R699" s="27"/>
      <c r="S699" s="43"/>
      <c r="T699" s="27"/>
      <c r="U699" s="27"/>
      <c r="V699" s="27"/>
      <c r="W699" s="27"/>
      <c r="X699" s="27"/>
      <c r="Y699" s="27"/>
      <c r="Z699" s="27"/>
      <c r="AA699" s="41"/>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row>
    <row r="700">
      <c r="A700" s="27"/>
      <c r="B700" s="42"/>
      <c r="C700" s="27"/>
      <c r="D700" s="27"/>
      <c r="E700" s="27"/>
      <c r="F700" s="27"/>
      <c r="G700" s="43"/>
      <c r="H700" s="27"/>
      <c r="I700" s="27"/>
      <c r="J700" s="27"/>
      <c r="K700" s="27"/>
      <c r="L700" s="27"/>
      <c r="M700" s="27"/>
      <c r="N700" s="27"/>
      <c r="O700" s="27"/>
      <c r="P700" s="43"/>
      <c r="Q700" s="27"/>
      <c r="R700" s="27"/>
      <c r="S700" s="43"/>
      <c r="T700" s="27"/>
      <c r="U700" s="27"/>
      <c r="V700" s="27"/>
      <c r="W700" s="27"/>
      <c r="X700" s="27"/>
      <c r="Y700" s="27"/>
      <c r="Z700" s="27"/>
      <c r="AA700" s="41"/>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row>
    <row r="701">
      <c r="A701" s="27"/>
      <c r="B701" s="42"/>
      <c r="C701" s="27"/>
      <c r="D701" s="27"/>
      <c r="E701" s="27"/>
      <c r="F701" s="27"/>
      <c r="G701" s="43"/>
      <c r="H701" s="27"/>
      <c r="I701" s="27"/>
      <c r="J701" s="27"/>
      <c r="K701" s="27"/>
      <c r="L701" s="27"/>
      <c r="M701" s="27"/>
      <c r="N701" s="27"/>
      <c r="O701" s="27"/>
      <c r="P701" s="43"/>
      <c r="Q701" s="27"/>
      <c r="R701" s="27"/>
      <c r="S701" s="43"/>
      <c r="T701" s="27"/>
      <c r="U701" s="27"/>
      <c r="V701" s="27"/>
      <c r="W701" s="27"/>
      <c r="X701" s="27"/>
      <c r="Y701" s="27"/>
      <c r="Z701" s="27"/>
      <c r="AA701" s="41"/>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row>
    <row r="702">
      <c r="A702" s="27"/>
      <c r="B702" s="42"/>
      <c r="C702" s="27"/>
      <c r="D702" s="27"/>
      <c r="E702" s="27"/>
      <c r="F702" s="27"/>
      <c r="G702" s="43"/>
      <c r="H702" s="27"/>
      <c r="I702" s="27"/>
      <c r="J702" s="27"/>
      <c r="K702" s="27"/>
      <c r="L702" s="27"/>
      <c r="M702" s="27"/>
      <c r="N702" s="27"/>
      <c r="O702" s="27"/>
      <c r="P702" s="43"/>
      <c r="Q702" s="27"/>
      <c r="R702" s="27"/>
      <c r="S702" s="43"/>
      <c r="T702" s="27"/>
      <c r="U702" s="27"/>
      <c r="V702" s="27"/>
      <c r="W702" s="27"/>
      <c r="X702" s="27"/>
      <c r="Y702" s="27"/>
      <c r="Z702" s="27"/>
      <c r="AA702" s="41"/>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row>
    <row r="703">
      <c r="A703" s="27"/>
      <c r="B703" s="42"/>
      <c r="C703" s="27"/>
      <c r="D703" s="27"/>
      <c r="E703" s="27"/>
      <c r="F703" s="27"/>
      <c r="G703" s="43"/>
      <c r="H703" s="27"/>
      <c r="I703" s="27"/>
      <c r="J703" s="27"/>
      <c r="K703" s="27"/>
      <c r="L703" s="27"/>
      <c r="M703" s="27"/>
      <c r="N703" s="27"/>
      <c r="O703" s="27"/>
      <c r="P703" s="43"/>
      <c r="Q703" s="27"/>
      <c r="R703" s="27"/>
      <c r="S703" s="43"/>
      <c r="T703" s="27"/>
      <c r="U703" s="27"/>
      <c r="V703" s="27"/>
      <c r="W703" s="27"/>
      <c r="X703" s="27"/>
      <c r="Y703" s="27"/>
      <c r="Z703" s="27"/>
      <c r="AA703" s="41"/>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row>
    <row r="704">
      <c r="A704" s="27"/>
      <c r="B704" s="42"/>
      <c r="C704" s="27"/>
      <c r="D704" s="27"/>
      <c r="E704" s="27"/>
      <c r="F704" s="27"/>
      <c r="G704" s="43"/>
      <c r="H704" s="27"/>
      <c r="I704" s="27"/>
      <c r="J704" s="27"/>
      <c r="K704" s="27"/>
      <c r="L704" s="27"/>
      <c r="M704" s="27"/>
      <c r="N704" s="27"/>
      <c r="O704" s="27"/>
      <c r="P704" s="43"/>
      <c r="Q704" s="27"/>
      <c r="R704" s="27"/>
      <c r="S704" s="43"/>
      <c r="T704" s="27"/>
      <c r="U704" s="27"/>
      <c r="V704" s="27"/>
      <c r="W704" s="27"/>
      <c r="X704" s="27"/>
      <c r="Y704" s="27"/>
      <c r="Z704" s="27"/>
      <c r="AA704" s="41"/>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row>
    <row r="705">
      <c r="A705" s="27"/>
      <c r="B705" s="42"/>
      <c r="C705" s="27"/>
      <c r="D705" s="27"/>
      <c r="E705" s="27"/>
      <c r="F705" s="27"/>
      <c r="G705" s="43"/>
      <c r="H705" s="27"/>
      <c r="I705" s="27"/>
      <c r="J705" s="27"/>
      <c r="K705" s="27"/>
      <c r="L705" s="27"/>
      <c r="M705" s="27"/>
      <c r="N705" s="27"/>
      <c r="O705" s="27"/>
      <c r="P705" s="43"/>
      <c r="Q705" s="27"/>
      <c r="R705" s="27"/>
      <c r="S705" s="43"/>
      <c r="T705" s="27"/>
      <c r="U705" s="27"/>
      <c r="V705" s="27"/>
      <c r="W705" s="27"/>
      <c r="X705" s="27"/>
      <c r="Y705" s="27"/>
      <c r="Z705" s="27"/>
      <c r="AA705" s="41"/>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row>
    <row r="706">
      <c r="A706" s="27"/>
      <c r="B706" s="42"/>
      <c r="C706" s="27"/>
      <c r="D706" s="27"/>
      <c r="E706" s="27"/>
      <c r="F706" s="27"/>
      <c r="G706" s="43"/>
      <c r="H706" s="27"/>
      <c r="I706" s="27"/>
      <c r="J706" s="27"/>
      <c r="K706" s="27"/>
      <c r="L706" s="27"/>
      <c r="M706" s="27"/>
      <c r="N706" s="27"/>
      <c r="O706" s="27"/>
      <c r="P706" s="43"/>
      <c r="Q706" s="27"/>
      <c r="R706" s="27"/>
      <c r="S706" s="43"/>
      <c r="T706" s="27"/>
      <c r="U706" s="27"/>
      <c r="V706" s="27"/>
      <c r="W706" s="27"/>
      <c r="X706" s="27"/>
      <c r="Y706" s="27"/>
      <c r="Z706" s="27"/>
      <c r="AA706" s="41"/>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row>
    <row r="707">
      <c r="A707" s="27"/>
      <c r="B707" s="42"/>
      <c r="C707" s="27"/>
      <c r="D707" s="27"/>
      <c r="E707" s="27"/>
      <c r="F707" s="27"/>
      <c r="G707" s="43"/>
      <c r="H707" s="27"/>
      <c r="I707" s="27"/>
      <c r="J707" s="27"/>
      <c r="K707" s="27"/>
      <c r="L707" s="27"/>
      <c r="M707" s="27"/>
      <c r="N707" s="27"/>
      <c r="O707" s="27"/>
      <c r="P707" s="43"/>
      <c r="Q707" s="27"/>
      <c r="R707" s="27"/>
      <c r="S707" s="43"/>
      <c r="T707" s="27"/>
      <c r="U707" s="27"/>
      <c r="V707" s="27"/>
      <c r="W707" s="27"/>
      <c r="X707" s="27"/>
      <c r="Y707" s="27"/>
      <c r="Z707" s="27"/>
      <c r="AA707" s="41"/>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row>
    <row r="708">
      <c r="A708" s="27"/>
      <c r="B708" s="42"/>
      <c r="C708" s="27"/>
      <c r="D708" s="27"/>
      <c r="E708" s="27"/>
      <c r="F708" s="27"/>
      <c r="G708" s="43"/>
      <c r="H708" s="27"/>
      <c r="I708" s="27"/>
      <c r="J708" s="27"/>
      <c r="K708" s="27"/>
      <c r="L708" s="27"/>
      <c r="M708" s="27"/>
      <c r="N708" s="27"/>
      <c r="O708" s="27"/>
      <c r="P708" s="43"/>
      <c r="Q708" s="27"/>
      <c r="R708" s="27"/>
      <c r="S708" s="43"/>
      <c r="T708" s="27"/>
      <c r="U708" s="27"/>
      <c r="V708" s="27"/>
      <c r="W708" s="27"/>
      <c r="X708" s="27"/>
      <c r="Y708" s="27"/>
      <c r="Z708" s="27"/>
      <c r="AA708" s="41"/>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row>
    <row r="709">
      <c r="A709" s="27"/>
      <c r="B709" s="42"/>
      <c r="C709" s="27"/>
      <c r="D709" s="27"/>
      <c r="E709" s="27"/>
      <c r="F709" s="27"/>
      <c r="G709" s="43"/>
      <c r="H709" s="27"/>
      <c r="I709" s="27"/>
      <c r="J709" s="27"/>
      <c r="K709" s="27"/>
      <c r="L709" s="27"/>
      <c r="M709" s="27"/>
      <c r="N709" s="27"/>
      <c r="O709" s="27"/>
      <c r="P709" s="43"/>
      <c r="Q709" s="27"/>
      <c r="R709" s="27"/>
      <c r="S709" s="43"/>
      <c r="T709" s="27"/>
      <c r="U709" s="27"/>
      <c r="V709" s="27"/>
      <c r="W709" s="27"/>
      <c r="X709" s="27"/>
      <c r="Y709" s="27"/>
      <c r="Z709" s="27"/>
      <c r="AA709" s="41"/>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row>
    <row r="710">
      <c r="A710" s="27"/>
      <c r="B710" s="42"/>
      <c r="C710" s="27"/>
      <c r="D710" s="27"/>
      <c r="E710" s="27"/>
      <c r="F710" s="27"/>
      <c r="G710" s="43"/>
      <c r="H710" s="27"/>
      <c r="I710" s="27"/>
      <c r="J710" s="27"/>
      <c r="K710" s="27"/>
      <c r="L710" s="27"/>
      <c r="M710" s="27"/>
      <c r="N710" s="27"/>
      <c r="O710" s="27"/>
      <c r="P710" s="43"/>
      <c r="Q710" s="27"/>
      <c r="R710" s="27"/>
      <c r="S710" s="43"/>
      <c r="T710" s="27"/>
      <c r="U710" s="27"/>
      <c r="V710" s="27"/>
      <c r="W710" s="27"/>
      <c r="X710" s="27"/>
      <c r="Y710" s="27"/>
      <c r="Z710" s="27"/>
      <c r="AA710" s="41"/>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row>
    <row r="711">
      <c r="A711" s="27"/>
      <c r="B711" s="42"/>
      <c r="C711" s="27"/>
      <c r="D711" s="27"/>
      <c r="E711" s="27"/>
      <c r="F711" s="27"/>
      <c r="G711" s="43"/>
      <c r="H711" s="27"/>
      <c r="I711" s="27"/>
      <c r="J711" s="27"/>
      <c r="K711" s="27"/>
      <c r="L711" s="27"/>
      <c r="M711" s="27"/>
      <c r="N711" s="27"/>
      <c r="O711" s="27"/>
      <c r="P711" s="43"/>
      <c r="Q711" s="27"/>
      <c r="R711" s="27"/>
      <c r="S711" s="43"/>
      <c r="T711" s="27"/>
      <c r="U711" s="27"/>
      <c r="V711" s="27"/>
      <c r="W711" s="27"/>
      <c r="X711" s="27"/>
      <c r="Y711" s="27"/>
      <c r="Z711" s="27"/>
      <c r="AA711" s="41"/>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row>
    <row r="712">
      <c r="A712" s="27"/>
      <c r="B712" s="42"/>
      <c r="C712" s="27"/>
      <c r="D712" s="27"/>
      <c r="E712" s="27"/>
      <c r="F712" s="27"/>
      <c r="G712" s="43"/>
      <c r="H712" s="27"/>
      <c r="I712" s="27"/>
      <c r="J712" s="27"/>
      <c r="K712" s="27"/>
      <c r="L712" s="27"/>
      <c r="M712" s="27"/>
      <c r="N712" s="27"/>
      <c r="O712" s="27"/>
      <c r="P712" s="43"/>
      <c r="Q712" s="27"/>
      <c r="R712" s="27"/>
      <c r="S712" s="43"/>
      <c r="T712" s="27"/>
      <c r="U712" s="27"/>
      <c r="V712" s="27"/>
      <c r="W712" s="27"/>
      <c r="X712" s="27"/>
      <c r="Y712" s="27"/>
      <c r="Z712" s="27"/>
      <c r="AA712" s="41"/>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row>
    <row r="713">
      <c r="A713" s="27"/>
      <c r="B713" s="42"/>
      <c r="C713" s="27"/>
      <c r="D713" s="27"/>
      <c r="E713" s="27"/>
      <c r="F713" s="27"/>
      <c r="G713" s="43"/>
      <c r="H713" s="27"/>
      <c r="I713" s="27"/>
      <c r="J713" s="27"/>
      <c r="K713" s="27"/>
      <c r="L713" s="27"/>
      <c r="M713" s="27"/>
      <c r="N713" s="27"/>
      <c r="O713" s="27"/>
      <c r="P713" s="43"/>
      <c r="Q713" s="27"/>
      <c r="R713" s="27"/>
      <c r="S713" s="43"/>
      <c r="T713" s="27"/>
      <c r="U713" s="27"/>
      <c r="V713" s="27"/>
      <c r="W713" s="27"/>
      <c r="X713" s="27"/>
      <c r="Y713" s="27"/>
      <c r="Z713" s="27"/>
      <c r="AA713" s="41"/>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row>
    <row r="714">
      <c r="A714" s="27"/>
      <c r="B714" s="42"/>
      <c r="C714" s="27"/>
      <c r="D714" s="27"/>
      <c r="E714" s="27"/>
      <c r="F714" s="27"/>
      <c r="G714" s="43"/>
      <c r="H714" s="27"/>
      <c r="I714" s="27"/>
      <c r="J714" s="27"/>
      <c r="K714" s="27"/>
      <c r="L714" s="27"/>
      <c r="M714" s="27"/>
      <c r="N714" s="27"/>
      <c r="O714" s="27"/>
      <c r="P714" s="43"/>
      <c r="Q714" s="27"/>
      <c r="R714" s="27"/>
      <c r="S714" s="43"/>
      <c r="T714" s="27"/>
      <c r="U714" s="27"/>
      <c r="V714" s="27"/>
      <c r="W714" s="27"/>
      <c r="X714" s="27"/>
      <c r="Y714" s="27"/>
      <c r="Z714" s="27"/>
      <c r="AA714" s="41"/>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row>
    <row r="715">
      <c r="A715" s="27"/>
      <c r="B715" s="42"/>
      <c r="C715" s="27"/>
      <c r="D715" s="27"/>
      <c r="E715" s="27"/>
      <c r="F715" s="27"/>
      <c r="G715" s="43"/>
      <c r="H715" s="27"/>
      <c r="I715" s="27"/>
      <c r="J715" s="27"/>
      <c r="K715" s="27"/>
      <c r="L715" s="27"/>
      <c r="M715" s="27"/>
      <c r="N715" s="27"/>
      <c r="O715" s="27"/>
      <c r="P715" s="43"/>
      <c r="Q715" s="27"/>
      <c r="R715" s="27"/>
      <c r="S715" s="43"/>
      <c r="T715" s="27"/>
      <c r="U715" s="27"/>
      <c r="V715" s="27"/>
      <c r="W715" s="27"/>
      <c r="X715" s="27"/>
      <c r="Y715" s="27"/>
      <c r="Z715" s="27"/>
      <c r="AA715" s="41"/>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row>
    <row r="716">
      <c r="A716" s="27"/>
      <c r="B716" s="42"/>
      <c r="C716" s="27"/>
      <c r="D716" s="27"/>
      <c r="E716" s="27"/>
      <c r="F716" s="27"/>
      <c r="G716" s="43"/>
      <c r="H716" s="27"/>
      <c r="I716" s="27"/>
      <c r="J716" s="27"/>
      <c r="K716" s="27"/>
      <c r="L716" s="27"/>
      <c r="M716" s="27"/>
      <c r="N716" s="27"/>
      <c r="O716" s="27"/>
      <c r="P716" s="43"/>
      <c r="Q716" s="27"/>
      <c r="R716" s="27"/>
      <c r="S716" s="43"/>
      <c r="T716" s="27"/>
      <c r="U716" s="27"/>
      <c r="V716" s="27"/>
      <c r="W716" s="27"/>
      <c r="X716" s="27"/>
      <c r="Y716" s="27"/>
      <c r="Z716" s="27"/>
      <c r="AA716" s="41"/>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row>
    <row r="717">
      <c r="A717" s="27"/>
      <c r="B717" s="42"/>
      <c r="C717" s="27"/>
      <c r="D717" s="27"/>
      <c r="E717" s="27"/>
      <c r="F717" s="27"/>
      <c r="G717" s="43"/>
      <c r="H717" s="27"/>
      <c r="I717" s="27"/>
      <c r="J717" s="27"/>
      <c r="K717" s="27"/>
      <c r="L717" s="27"/>
      <c r="M717" s="27"/>
      <c r="N717" s="27"/>
      <c r="O717" s="27"/>
      <c r="P717" s="43"/>
      <c r="Q717" s="27"/>
      <c r="R717" s="27"/>
      <c r="S717" s="43"/>
      <c r="T717" s="27"/>
      <c r="U717" s="27"/>
      <c r="V717" s="27"/>
      <c r="W717" s="27"/>
      <c r="X717" s="27"/>
      <c r="Y717" s="27"/>
      <c r="Z717" s="27"/>
      <c r="AA717" s="41"/>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row>
    <row r="718">
      <c r="A718" s="27"/>
      <c r="B718" s="42"/>
      <c r="C718" s="27"/>
      <c r="D718" s="27"/>
      <c r="E718" s="27"/>
      <c r="F718" s="27"/>
      <c r="G718" s="43"/>
      <c r="H718" s="27"/>
      <c r="I718" s="27"/>
      <c r="J718" s="27"/>
      <c r="K718" s="27"/>
      <c r="L718" s="27"/>
      <c r="M718" s="27"/>
      <c r="N718" s="27"/>
      <c r="O718" s="27"/>
      <c r="P718" s="43"/>
      <c r="Q718" s="27"/>
      <c r="R718" s="27"/>
      <c r="S718" s="43"/>
      <c r="T718" s="27"/>
      <c r="U718" s="27"/>
      <c r="V718" s="27"/>
      <c r="W718" s="27"/>
      <c r="X718" s="27"/>
      <c r="Y718" s="27"/>
      <c r="Z718" s="27"/>
      <c r="AA718" s="41"/>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row>
    <row r="719">
      <c r="A719" s="27"/>
      <c r="B719" s="42"/>
      <c r="C719" s="27"/>
      <c r="D719" s="27"/>
      <c r="E719" s="27"/>
      <c r="F719" s="27"/>
      <c r="G719" s="43"/>
      <c r="H719" s="27"/>
      <c r="I719" s="27"/>
      <c r="J719" s="27"/>
      <c r="K719" s="27"/>
      <c r="L719" s="27"/>
      <c r="M719" s="27"/>
      <c r="N719" s="27"/>
      <c r="O719" s="27"/>
      <c r="P719" s="43"/>
      <c r="Q719" s="27"/>
      <c r="R719" s="27"/>
      <c r="S719" s="43"/>
      <c r="T719" s="27"/>
      <c r="U719" s="27"/>
      <c r="V719" s="27"/>
      <c r="W719" s="27"/>
      <c r="X719" s="27"/>
      <c r="Y719" s="27"/>
      <c r="Z719" s="27"/>
      <c r="AA719" s="41"/>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row>
    <row r="720">
      <c r="A720" s="27"/>
      <c r="B720" s="42"/>
      <c r="C720" s="27"/>
      <c r="D720" s="27"/>
      <c r="E720" s="27"/>
      <c r="F720" s="27"/>
      <c r="G720" s="43"/>
      <c r="H720" s="27"/>
      <c r="I720" s="27"/>
      <c r="J720" s="27"/>
      <c r="K720" s="27"/>
      <c r="L720" s="27"/>
      <c r="M720" s="27"/>
      <c r="N720" s="27"/>
      <c r="O720" s="27"/>
      <c r="P720" s="43"/>
      <c r="Q720" s="27"/>
      <c r="R720" s="27"/>
      <c r="S720" s="43"/>
      <c r="T720" s="27"/>
      <c r="U720" s="27"/>
      <c r="V720" s="27"/>
      <c r="W720" s="27"/>
      <c r="X720" s="27"/>
      <c r="Y720" s="27"/>
      <c r="Z720" s="27"/>
      <c r="AA720" s="41"/>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row>
    <row r="721">
      <c r="A721" s="27"/>
      <c r="B721" s="42"/>
      <c r="C721" s="27"/>
      <c r="D721" s="27"/>
      <c r="E721" s="27"/>
      <c r="F721" s="27"/>
      <c r="G721" s="43"/>
      <c r="H721" s="27"/>
      <c r="I721" s="27"/>
      <c r="J721" s="27"/>
      <c r="K721" s="27"/>
      <c r="L721" s="27"/>
      <c r="M721" s="27"/>
      <c r="N721" s="27"/>
      <c r="O721" s="27"/>
      <c r="P721" s="43"/>
      <c r="Q721" s="27"/>
      <c r="R721" s="27"/>
      <c r="S721" s="43"/>
      <c r="T721" s="27"/>
      <c r="U721" s="27"/>
      <c r="V721" s="27"/>
      <c r="W721" s="27"/>
      <c r="X721" s="27"/>
      <c r="Y721" s="27"/>
      <c r="Z721" s="27"/>
      <c r="AA721" s="41"/>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row>
    <row r="722">
      <c r="A722" s="27"/>
      <c r="B722" s="42"/>
      <c r="C722" s="27"/>
      <c r="D722" s="27"/>
      <c r="E722" s="27"/>
      <c r="F722" s="27"/>
      <c r="G722" s="43"/>
      <c r="H722" s="27"/>
      <c r="I722" s="27"/>
      <c r="J722" s="27"/>
      <c r="K722" s="27"/>
      <c r="L722" s="27"/>
      <c r="M722" s="27"/>
      <c r="N722" s="27"/>
      <c r="O722" s="27"/>
      <c r="P722" s="43"/>
      <c r="Q722" s="27"/>
      <c r="R722" s="27"/>
      <c r="S722" s="43"/>
      <c r="T722" s="27"/>
      <c r="U722" s="27"/>
      <c r="V722" s="27"/>
      <c r="W722" s="27"/>
      <c r="X722" s="27"/>
      <c r="Y722" s="27"/>
      <c r="Z722" s="27"/>
      <c r="AA722" s="41"/>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row>
    <row r="723">
      <c r="A723" s="27"/>
      <c r="B723" s="42"/>
      <c r="C723" s="27"/>
      <c r="D723" s="27"/>
      <c r="E723" s="27"/>
      <c r="F723" s="27"/>
      <c r="G723" s="43"/>
      <c r="H723" s="27"/>
      <c r="I723" s="27"/>
      <c r="J723" s="27"/>
      <c r="K723" s="27"/>
      <c r="L723" s="27"/>
      <c r="M723" s="27"/>
      <c r="N723" s="27"/>
      <c r="O723" s="27"/>
      <c r="P723" s="43"/>
      <c r="Q723" s="27"/>
      <c r="R723" s="27"/>
      <c r="S723" s="43"/>
      <c r="T723" s="27"/>
      <c r="U723" s="27"/>
      <c r="V723" s="27"/>
      <c r="W723" s="27"/>
      <c r="X723" s="27"/>
      <c r="Y723" s="27"/>
      <c r="Z723" s="27"/>
      <c r="AA723" s="41"/>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row>
    <row r="724">
      <c r="A724" s="27"/>
      <c r="B724" s="42"/>
      <c r="C724" s="27"/>
      <c r="D724" s="27"/>
      <c r="E724" s="27"/>
      <c r="F724" s="27"/>
      <c r="G724" s="43"/>
      <c r="H724" s="27"/>
      <c r="I724" s="27"/>
      <c r="J724" s="27"/>
      <c r="K724" s="27"/>
      <c r="L724" s="27"/>
      <c r="M724" s="27"/>
      <c r="N724" s="27"/>
      <c r="O724" s="27"/>
      <c r="P724" s="43"/>
      <c r="Q724" s="27"/>
      <c r="R724" s="27"/>
      <c r="S724" s="43"/>
      <c r="T724" s="27"/>
      <c r="U724" s="27"/>
      <c r="V724" s="27"/>
      <c r="W724" s="27"/>
      <c r="X724" s="27"/>
      <c r="Y724" s="27"/>
      <c r="Z724" s="27"/>
      <c r="AA724" s="41"/>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row>
    <row r="725">
      <c r="A725" s="27"/>
      <c r="B725" s="42"/>
      <c r="C725" s="27"/>
      <c r="D725" s="27"/>
      <c r="E725" s="27"/>
      <c r="F725" s="27"/>
      <c r="G725" s="43"/>
      <c r="H725" s="27"/>
      <c r="I725" s="27"/>
      <c r="J725" s="27"/>
      <c r="K725" s="27"/>
      <c r="L725" s="27"/>
      <c r="M725" s="27"/>
      <c r="N725" s="27"/>
      <c r="O725" s="27"/>
      <c r="P725" s="43"/>
      <c r="Q725" s="27"/>
      <c r="R725" s="27"/>
      <c r="S725" s="43"/>
      <c r="T725" s="27"/>
      <c r="U725" s="27"/>
      <c r="V725" s="27"/>
      <c r="W725" s="27"/>
      <c r="X725" s="27"/>
      <c r="Y725" s="27"/>
      <c r="Z725" s="27"/>
      <c r="AA725" s="41"/>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row>
    <row r="726">
      <c r="A726" s="27"/>
      <c r="B726" s="42"/>
      <c r="C726" s="27"/>
      <c r="D726" s="27"/>
      <c r="E726" s="27"/>
      <c r="F726" s="27"/>
      <c r="G726" s="43"/>
      <c r="H726" s="27"/>
      <c r="I726" s="27"/>
      <c r="J726" s="27"/>
      <c r="K726" s="27"/>
      <c r="L726" s="27"/>
      <c r="M726" s="27"/>
      <c r="N726" s="27"/>
      <c r="O726" s="27"/>
      <c r="P726" s="43"/>
      <c r="Q726" s="27"/>
      <c r="R726" s="27"/>
      <c r="S726" s="43"/>
      <c r="T726" s="27"/>
      <c r="U726" s="27"/>
      <c r="V726" s="27"/>
      <c r="W726" s="27"/>
      <c r="X726" s="27"/>
      <c r="Y726" s="27"/>
      <c r="Z726" s="27"/>
      <c r="AA726" s="41"/>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row>
    <row r="727">
      <c r="A727" s="27"/>
      <c r="B727" s="42"/>
      <c r="C727" s="27"/>
      <c r="D727" s="27"/>
      <c r="E727" s="27"/>
      <c r="F727" s="27"/>
      <c r="G727" s="43"/>
      <c r="H727" s="27"/>
      <c r="I727" s="27"/>
      <c r="J727" s="27"/>
      <c r="K727" s="27"/>
      <c r="L727" s="27"/>
      <c r="M727" s="27"/>
      <c r="N727" s="27"/>
      <c r="O727" s="27"/>
      <c r="P727" s="43"/>
      <c r="Q727" s="27"/>
      <c r="R727" s="27"/>
      <c r="S727" s="43"/>
      <c r="T727" s="27"/>
      <c r="U727" s="27"/>
      <c r="V727" s="27"/>
      <c r="W727" s="27"/>
      <c r="X727" s="27"/>
      <c r="Y727" s="27"/>
      <c r="Z727" s="27"/>
      <c r="AA727" s="41"/>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row>
    <row r="728">
      <c r="A728" s="27"/>
      <c r="B728" s="42"/>
      <c r="C728" s="27"/>
      <c r="D728" s="27"/>
      <c r="E728" s="27"/>
      <c r="F728" s="27"/>
      <c r="G728" s="43"/>
      <c r="H728" s="27"/>
      <c r="I728" s="27"/>
      <c r="J728" s="27"/>
      <c r="K728" s="27"/>
      <c r="L728" s="27"/>
      <c r="M728" s="27"/>
      <c r="N728" s="27"/>
      <c r="O728" s="27"/>
      <c r="P728" s="43"/>
      <c r="Q728" s="27"/>
      <c r="R728" s="27"/>
      <c r="S728" s="43"/>
      <c r="T728" s="27"/>
      <c r="U728" s="27"/>
      <c r="V728" s="27"/>
      <c r="W728" s="27"/>
      <c r="X728" s="27"/>
      <c r="Y728" s="27"/>
      <c r="Z728" s="27"/>
      <c r="AA728" s="41"/>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row>
    <row r="729">
      <c r="A729" s="27"/>
      <c r="B729" s="42"/>
      <c r="C729" s="27"/>
      <c r="D729" s="27"/>
      <c r="E729" s="27"/>
      <c r="F729" s="27"/>
      <c r="G729" s="43"/>
      <c r="H729" s="27"/>
      <c r="I729" s="27"/>
      <c r="J729" s="27"/>
      <c r="K729" s="27"/>
      <c r="L729" s="27"/>
      <c r="M729" s="27"/>
      <c r="N729" s="27"/>
      <c r="O729" s="27"/>
      <c r="P729" s="43"/>
      <c r="Q729" s="27"/>
      <c r="R729" s="27"/>
      <c r="S729" s="43"/>
      <c r="T729" s="27"/>
      <c r="U729" s="27"/>
      <c r="V729" s="27"/>
      <c r="W729" s="27"/>
      <c r="X729" s="27"/>
      <c r="Y729" s="27"/>
      <c r="Z729" s="27"/>
      <c r="AA729" s="41"/>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row>
    <row r="730">
      <c r="A730" s="27"/>
      <c r="B730" s="42"/>
      <c r="C730" s="27"/>
      <c r="D730" s="27"/>
      <c r="E730" s="27"/>
      <c r="F730" s="27"/>
      <c r="G730" s="43"/>
      <c r="H730" s="27"/>
      <c r="I730" s="27"/>
      <c r="J730" s="27"/>
      <c r="K730" s="27"/>
      <c r="L730" s="27"/>
      <c r="M730" s="27"/>
      <c r="N730" s="27"/>
      <c r="O730" s="27"/>
      <c r="P730" s="43"/>
      <c r="Q730" s="27"/>
      <c r="R730" s="27"/>
      <c r="S730" s="43"/>
      <c r="T730" s="27"/>
      <c r="U730" s="27"/>
      <c r="V730" s="27"/>
      <c r="W730" s="27"/>
      <c r="X730" s="27"/>
      <c r="Y730" s="27"/>
      <c r="Z730" s="27"/>
      <c r="AA730" s="41"/>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row>
    <row r="731">
      <c r="A731" s="27"/>
      <c r="B731" s="42"/>
      <c r="C731" s="27"/>
      <c r="D731" s="27"/>
      <c r="E731" s="27"/>
      <c r="F731" s="27"/>
      <c r="G731" s="43"/>
      <c r="H731" s="27"/>
      <c r="I731" s="27"/>
      <c r="J731" s="27"/>
      <c r="K731" s="27"/>
      <c r="L731" s="27"/>
      <c r="M731" s="27"/>
      <c r="N731" s="27"/>
      <c r="O731" s="27"/>
      <c r="P731" s="43"/>
      <c r="Q731" s="27"/>
      <c r="R731" s="27"/>
      <c r="S731" s="43"/>
      <c r="T731" s="27"/>
      <c r="U731" s="27"/>
      <c r="V731" s="27"/>
      <c r="W731" s="27"/>
      <c r="X731" s="27"/>
      <c r="Y731" s="27"/>
      <c r="Z731" s="27"/>
      <c r="AA731" s="41"/>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row>
    <row r="732">
      <c r="A732" s="27"/>
      <c r="B732" s="42"/>
      <c r="C732" s="27"/>
      <c r="D732" s="27"/>
      <c r="E732" s="27"/>
      <c r="F732" s="27"/>
      <c r="G732" s="43"/>
      <c r="H732" s="27"/>
      <c r="I732" s="27"/>
      <c r="J732" s="27"/>
      <c r="K732" s="27"/>
      <c r="L732" s="27"/>
      <c r="M732" s="27"/>
      <c r="N732" s="27"/>
      <c r="O732" s="27"/>
      <c r="P732" s="43"/>
      <c r="Q732" s="27"/>
      <c r="R732" s="27"/>
      <c r="S732" s="43"/>
      <c r="T732" s="27"/>
      <c r="U732" s="27"/>
      <c r="V732" s="27"/>
      <c r="W732" s="27"/>
      <c r="X732" s="27"/>
      <c r="Y732" s="27"/>
      <c r="Z732" s="27"/>
      <c r="AA732" s="41"/>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row>
    <row r="733">
      <c r="A733" s="27"/>
      <c r="B733" s="42"/>
      <c r="C733" s="27"/>
      <c r="D733" s="27"/>
      <c r="E733" s="27"/>
      <c r="F733" s="27"/>
      <c r="G733" s="43"/>
      <c r="H733" s="27"/>
      <c r="I733" s="27"/>
      <c r="J733" s="27"/>
      <c r="K733" s="27"/>
      <c r="L733" s="27"/>
      <c r="M733" s="27"/>
      <c r="N733" s="27"/>
      <c r="O733" s="27"/>
      <c r="P733" s="43"/>
      <c r="Q733" s="27"/>
      <c r="R733" s="27"/>
      <c r="S733" s="43"/>
      <c r="T733" s="27"/>
      <c r="U733" s="27"/>
      <c r="V733" s="27"/>
      <c r="W733" s="27"/>
      <c r="X733" s="27"/>
      <c r="Y733" s="27"/>
      <c r="Z733" s="27"/>
      <c r="AA733" s="41"/>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row>
    <row r="734">
      <c r="A734" s="27"/>
      <c r="B734" s="42"/>
      <c r="C734" s="27"/>
      <c r="D734" s="27"/>
      <c r="E734" s="27"/>
      <c r="F734" s="27"/>
      <c r="G734" s="43"/>
      <c r="H734" s="27"/>
      <c r="I734" s="27"/>
      <c r="J734" s="27"/>
      <c r="K734" s="27"/>
      <c r="L734" s="27"/>
      <c r="M734" s="27"/>
      <c r="N734" s="27"/>
      <c r="O734" s="27"/>
      <c r="P734" s="43"/>
      <c r="Q734" s="27"/>
      <c r="R734" s="27"/>
      <c r="S734" s="43"/>
      <c r="T734" s="27"/>
      <c r="U734" s="27"/>
      <c r="V734" s="27"/>
      <c r="W734" s="27"/>
      <c r="X734" s="27"/>
      <c r="Y734" s="27"/>
      <c r="Z734" s="27"/>
      <c r="AA734" s="41"/>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row>
    <row r="735">
      <c r="A735" s="27"/>
      <c r="B735" s="42"/>
      <c r="C735" s="27"/>
      <c r="D735" s="27"/>
      <c r="E735" s="27"/>
      <c r="F735" s="27"/>
      <c r="G735" s="43"/>
      <c r="H735" s="27"/>
      <c r="I735" s="27"/>
      <c r="J735" s="27"/>
      <c r="K735" s="27"/>
      <c r="L735" s="27"/>
      <c r="M735" s="27"/>
      <c r="N735" s="27"/>
      <c r="O735" s="27"/>
      <c r="P735" s="43"/>
      <c r="Q735" s="27"/>
      <c r="R735" s="27"/>
      <c r="S735" s="43"/>
      <c r="T735" s="27"/>
      <c r="U735" s="27"/>
      <c r="V735" s="27"/>
      <c r="W735" s="27"/>
      <c r="X735" s="27"/>
      <c r="Y735" s="27"/>
      <c r="Z735" s="27"/>
      <c r="AA735" s="41"/>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row>
    <row r="736">
      <c r="A736" s="27"/>
      <c r="B736" s="42"/>
      <c r="C736" s="27"/>
      <c r="D736" s="27"/>
      <c r="E736" s="27"/>
      <c r="F736" s="27"/>
      <c r="G736" s="43"/>
      <c r="H736" s="27"/>
      <c r="I736" s="27"/>
      <c r="J736" s="27"/>
      <c r="K736" s="27"/>
      <c r="L736" s="27"/>
      <c r="M736" s="27"/>
      <c r="N736" s="27"/>
      <c r="O736" s="27"/>
      <c r="P736" s="43"/>
      <c r="Q736" s="27"/>
      <c r="R736" s="27"/>
      <c r="S736" s="43"/>
      <c r="T736" s="27"/>
      <c r="U736" s="27"/>
      <c r="V736" s="27"/>
      <c r="W736" s="27"/>
      <c r="X736" s="27"/>
      <c r="Y736" s="27"/>
      <c r="Z736" s="27"/>
      <c r="AA736" s="41"/>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row>
    <row r="737">
      <c r="A737" s="27"/>
      <c r="B737" s="42"/>
      <c r="C737" s="27"/>
      <c r="D737" s="27"/>
      <c r="E737" s="27"/>
      <c r="F737" s="27"/>
      <c r="G737" s="43"/>
      <c r="H737" s="27"/>
      <c r="I737" s="27"/>
      <c r="J737" s="27"/>
      <c r="K737" s="27"/>
      <c r="L737" s="27"/>
      <c r="M737" s="27"/>
      <c r="N737" s="27"/>
      <c r="O737" s="27"/>
      <c r="P737" s="43"/>
      <c r="Q737" s="27"/>
      <c r="R737" s="27"/>
      <c r="S737" s="43"/>
      <c r="T737" s="27"/>
      <c r="U737" s="27"/>
      <c r="V737" s="27"/>
      <c r="W737" s="27"/>
      <c r="X737" s="27"/>
      <c r="Y737" s="27"/>
      <c r="Z737" s="27"/>
      <c r="AA737" s="41"/>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row>
    <row r="738">
      <c r="A738" s="27"/>
      <c r="B738" s="42"/>
      <c r="C738" s="27"/>
      <c r="D738" s="27"/>
      <c r="E738" s="27"/>
      <c r="F738" s="27"/>
      <c r="G738" s="43"/>
      <c r="H738" s="27"/>
      <c r="I738" s="27"/>
      <c r="J738" s="27"/>
      <c r="K738" s="27"/>
      <c r="L738" s="27"/>
      <c r="M738" s="27"/>
      <c r="N738" s="27"/>
      <c r="O738" s="27"/>
      <c r="P738" s="43"/>
      <c r="Q738" s="27"/>
      <c r="R738" s="27"/>
      <c r="S738" s="43"/>
      <c r="T738" s="27"/>
      <c r="U738" s="27"/>
      <c r="V738" s="27"/>
      <c r="W738" s="27"/>
      <c r="X738" s="27"/>
      <c r="Y738" s="27"/>
      <c r="Z738" s="27"/>
      <c r="AA738" s="41"/>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row>
    <row r="739">
      <c r="A739" s="27"/>
      <c r="B739" s="42"/>
      <c r="C739" s="27"/>
      <c r="D739" s="27"/>
      <c r="E739" s="27"/>
      <c r="F739" s="27"/>
      <c r="G739" s="43"/>
      <c r="H739" s="27"/>
      <c r="I739" s="27"/>
      <c r="J739" s="27"/>
      <c r="K739" s="27"/>
      <c r="L739" s="27"/>
      <c r="M739" s="27"/>
      <c r="N739" s="27"/>
      <c r="O739" s="27"/>
      <c r="P739" s="43"/>
      <c r="Q739" s="27"/>
      <c r="R739" s="27"/>
      <c r="S739" s="43"/>
      <c r="T739" s="27"/>
      <c r="U739" s="27"/>
      <c r="V739" s="27"/>
      <c r="W739" s="27"/>
      <c r="X739" s="27"/>
      <c r="Y739" s="27"/>
      <c r="Z739" s="27"/>
      <c r="AA739" s="41"/>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row>
    <row r="740">
      <c r="A740" s="27"/>
      <c r="B740" s="42"/>
      <c r="C740" s="27"/>
      <c r="D740" s="27"/>
      <c r="E740" s="27"/>
      <c r="F740" s="27"/>
      <c r="G740" s="43"/>
      <c r="H740" s="27"/>
      <c r="I740" s="27"/>
      <c r="J740" s="27"/>
      <c r="K740" s="27"/>
      <c r="L740" s="27"/>
      <c r="M740" s="27"/>
      <c r="N740" s="27"/>
      <c r="O740" s="27"/>
      <c r="P740" s="43"/>
      <c r="Q740" s="27"/>
      <c r="R740" s="27"/>
      <c r="S740" s="43"/>
      <c r="T740" s="27"/>
      <c r="U740" s="27"/>
      <c r="V740" s="27"/>
      <c r="W740" s="27"/>
      <c r="X740" s="27"/>
      <c r="Y740" s="27"/>
      <c r="Z740" s="27"/>
      <c r="AA740" s="41"/>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row>
    <row r="741">
      <c r="A741" s="27"/>
      <c r="B741" s="42"/>
      <c r="C741" s="27"/>
      <c r="D741" s="27"/>
      <c r="E741" s="27"/>
      <c r="F741" s="27"/>
      <c r="G741" s="43"/>
      <c r="H741" s="27"/>
      <c r="I741" s="27"/>
      <c r="J741" s="27"/>
      <c r="K741" s="27"/>
      <c r="L741" s="27"/>
      <c r="M741" s="27"/>
      <c r="N741" s="27"/>
      <c r="O741" s="27"/>
      <c r="P741" s="43"/>
      <c r="Q741" s="27"/>
      <c r="R741" s="27"/>
      <c r="S741" s="43"/>
      <c r="T741" s="27"/>
      <c r="U741" s="27"/>
      <c r="V741" s="27"/>
      <c r="W741" s="27"/>
      <c r="X741" s="27"/>
      <c r="Y741" s="27"/>
      <c r="Z741" s="27"/>
      <c r="AA741" s="41"/>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row>
    <row r="742">
      <c r="A742" s="27"/>
      <c r="B742" s="42"/>
      <c r="C742" s="27"/>
      <c r="D742" s="27"/>
      <c r="E742" s="27"/>
      <c r="F742" s="27"/>
      <c r="G742" s="43"/>
      <c r="H742" s="27"/>
      <c r="I742" s="27"/>
      <c r="J742" s="27"/>
      <c r="K742" s="27"/>
      <c r="L742" s="27"/>
      <c r="M742" s="27"/>
      <c r="N742" s="27"/>
      <c r="O742" s="27"/>
      <c r="P742" s="43"/>
      <c r="Q742" s="27"/>
      <c r="R742" s="27"/>
      <c r="S742" s="43"/>
      <c r="T742" s="27"/>
      <c r="U742" s="27"/>
      <c r="V742" s="27"/>
      <c r="W742" s="27"/>
      <c r="X742" s="27"/>
      <c r="Y742" s="27"/>
      <c r="Z742" s="27"/>
      <c r="AA742" s="41"/>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row>
    <row r="743">
      <c r="A743" s="27"/>
      <c r="B743" s="42"/>
      <c r="C743" s="27"/>
      <c r="D743" s="27"/>
      <c r="E743" s="27"/>
      <c r="F743" s="27"/>
      <c r="G743" s="43"/>
      <c r="H743" s="27"/>
      <c r="I743" s="27"/>
      <c r="J743" s="27"/>
      <c r="K743" s="27"/>
      <c r="L743" s="27"/>
      <c r="M743" s="27"/>
      <c r="N743" s="27"/>
      <c r="O743" s="27"/>
      <c r="P743" s="43"/>
      <c r="Q743" s="27"/>
      <c r="R743" s="27"/>
      <c r="S743" s="43"/>
      <c r="T743" s="27"/>
      <c r="U743" s="27"/>
      <c r="V743" s="27"/>
      <c r="W743" s="27"/>
      <c r="X743" s="27"/>
      <c r="Y743" s="27"/>
      <c r="Z743" s="27"/>
      <c r="AA743" s="41"/>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row>
    <row r="744">
      <c r="A744" s="27"/>
      <c r="B744" s="42"/>
      <c r="C744" s="27"/>
      <c r="D744" s="27"/>
      <c r="E744" s="27"/>
      <c r="F744" s="27"/>
      <c r="G744" s="43"/>
      <c r="H744" s="27"/>
      <c r="I744" s="27"/>
      <c r="J744" s="27"/>
      <c r="K744" s="27"/>
      <c r="L744" s="27"/>
      <c r="M744" s="27"/>
      <c r="N744" s="27"/>
      <c r="O744" s="27"/>
      <c r="P744" s="43"/>
      <c r="Q744" s="27"/>
      <c r="R744" s="27"/>
      <c r="S744" s="43"/>
      <c r="T744" s="27"/>
      <c r="U744" s="27"/>
      <c r="V744" s="27"/>
      <c r="W744" s="27"/>
      <c r="X744" s="27"/>
      <c r="Y744" s="27"/>
      <c r="Z744" s="27"/>
      <c r="AA744" s="41"/>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row>
    <row r="745">
      <c r="A745" s="27"/>
      <c r="B745" s="42"/>
      <c r="C745" s="27"/>
      <c r="D745" s="27"/>
      <c r="E745" s="27"/>
      <c r="F745" s="27"/>
      <c r="G745" s="43"/>
      <c r="H745" s="27"/>
      <c r="I745" s="27"/>
      <c r="J745" s="27"/>
      <c r="K745" s="27"/>
      <c r="L745" s="27"/>
      <c r="M745" s="27"/>
      <c r="N745" s="27"/>
      <c r="O745" s="27"/>
      <c r="P745" s="43"/>
      <c r="Q745" s="27"/>
      <c r="R745" s="27"/>
      <c r="S745" s="43"/>
      <c r="T745" s="27"/>
      <c r="U745" s="27"/>
      <c r="V745" s="27"/>
      <c r="W745" s="27"/>
      <c r="X745" s="27"/>
      <c r="Y745" s="27"/>
      <c r="Z745" s="27"/>
      <c r="AA745" s="41"/>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row>
    <row r="746">
      <c r="A746" s="27"/>
      <c r="B746" s="42"/>
      <c r="C746" s="27"/>
      <c r="D746" s="27"/>
      <c r="E746" s="27"/>
      <c r="F746" s="27"/>
      <c r="G746" s="43"/>
      <c r="H746" s="27"/>
      <c r="I746" s="27"/>
      <c r="J746" s="27"/>
      <c r="K746" s="27"/>
      <c r="L746" s="27"/>
      <c r="M746" s="27"/>
      <c r="N746" s="27"/>
      <c r="O746" s="27"/>
      <c r="P746" s="43"/>
      <c r="Q746" s="27"/>
      <c r="R746" s="27"/>
      <c r="S746" s="43"/>
      <c r="T746" s="27"/>
      <c r="U746" s="27"/>
      <c r="V746" s="27"/>
      <c r="W746" s="27"/>
      <c r="X746" s="27"/>
      <c r="Y746" s="27"/>
      <c r="Z746" s="27"/>
      <c r="AA746" s="41"/>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row>
    <row r="747">
      <c r="A747" s="27"/>
      <c r="B747" s="42"/>
      <c r="C747" s="27"/>
      <c r="D747" s="27"/>
      <c r="E747" s="27"/>
      <c r="F747" s="27"/>
      <c r="G747" s="43"/>
      <c r="H747" s="27"/>
      <c r="I747" s="27"/>
      <c r="J747" s="27"/>
      <c r="K747" s="27"/>
      <c r="L747" s="27"/>
      <c r="M747" s="27"/>
      <c r="N747" s="27"/>
      <c r="O747" s="27"/>
      <c r="P747" s="43"/>
      <c r="Q747" s="27"/>
      <c r="R747" s="27"/>
      <c r="S747" s="43"/>
      <c r="T747" s="27"/>
      <c r="U747" s="27"/>
      <c r="V747" s="27"/>
      <c r="W747" s="27"/>
      <c r="X747" s="27"/>
      <c r="Y747" s="27"/>
      <c r="Z747" s="27"/>
      <c r="AA747" s="41"/>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row>
    <row r="748">
      <c r="A748" s="27"/>
      <c r="B748" s="42"/>
      <c r="C748" s="27"/>
      <c r="D748" s="27"/>
      <c r="E748" s="27"/>
      <c r="F748" s="27"/>
      <c r="G748" s="43"/>
      <c r="H748" s="27"/>
      <c r="I748" s="27"/>
      <c r="J748" s="27"/>
      <c r="K748" s="27"/>
      <c r="L748" s="27"/>
      <c r="M748" s="27"/>
      <c r="N748" s="27"/>
      <c r="O748" s="27"/>
      <c r="P748" s="43"/>
      <c r="Q748" s="27"/>
      <c r="R748" s="27"/>
      <c r="S748" s="43"/>
      <c r="T748" s="27"/>
      <c r="U748" s="27"/>
      <c r="V748" s="27"/>
      <c r="W748" s="27"/>
      <c r="X748" s="27"/>
      <c r="Y748" s="27"/>
      <c r="Z748" s="27"/>
      <c r="AA748" s="41"/>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row>
    <row r="749">
      <c r="A749" s="27"/>
      <c r="B749" s="42"/>
      <c r="C749" s="27"/>
      <c r="D749" s="27"/>
      <c r="E749" s="27"/>
      <c r="F749" s="27"/>
      <c r="G749" s="43"/>
      <c r="H749" s="27"/>
      <c r="I749" s="27"/>
      <c r="J749" s="27"/>
      <c r="K749" s="27"/>
      <c r="L749" s="27"/>
      <c r="M749" s="27"/>
      <c r="N749" s="27"/>
      <c r="O749" s="27"/>
      <c r="P749" s="43"/>
      <c r="Q749" s="27"/>
      <c r="R749" s="27"/>
      <c r="S749" s="43"/>
      <c r="T749" s="27"/>
      <c r="U749" s="27"/>
      <c r="V749" s="27"/>
      <c r="W749" s="27"/>
      <c r="X749" s="27"/>
      <c r="Y749" s="27"/>
      <c r="Z749" s="27"/>
      <c r="AA749" s="41"/>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row>
    <row r="750">
      <c r="A750" s="27"/>
      <c r="B750" s="42"/>
      <c r="C750" s="27"/>
      <c r="D750" s="27"/>
      <c r="E750" s="27"/>
      <c r="F750" s="27"/>
      <c r="G750" s="43"/>
      <c r="H750" s="27"/>
      <c r="I750" s="27"/>
      <c r="J750" s="27"/>
      <c r="K750" s="27"/>
      <c r="L750" s="27"/>
      <c r="M750" s="27"/>
      <c r="N750" s="27"/>
      <c r="O750" s="27"/>
      <c r="P750" s="43"/>
      <c r="Q750" s="27"/>
      <c r="R750" s="27"/>
      <c r="S750" s="43"/>
      <c r="T750" s="27"/>
      <c r="U750" s="27"/>
      <c r="V750" s="27"/>
      <c r="W750" s="27"/>
      <c r="X750" s="27"/>
      <c r="Y750" s="27"/>
      <c r="Z750" s="27"/>
      <c r="AA750" s="41"/>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row>
    <row r="751">
      <c r="A751" s="27"/>
      <c r="B751" s="42"/>
      <c r="C751" s="27"/>
      <c r="D751" s="27"/>
      <c r="E751" s="27"/>
      <c r="F751" s="27"/>
      <c r="G751" s="43"/>
      <c r="H751" s="27"/>
      <c r="I751" s="27"/>
      <c r="J751" s="27"/>
      <c r="K751" s="27"/>
      <c r="L751" s="27"/>
      <c r="M751" s="27"/>
      <c r="N751" s="27"/>
      <c r="O751" s="27"/>
      <c r="P751" s="43"/>
      <c r="Q751" s="27"/>
      <c r="R751" s="27"/>
      <c r="S751" s="43"/>
      <c r="T751" s="27"/>
      <c r="U751" s="27"/>
      <c r="V751" s="27"/>
      <c r="W751" s="27"/>
      <c r="X751" s="27"/>
      <c r="Y751" s="27"/>
      <c r="Z751" s="27"/>
      <c r="AA751" s="41"/>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row>
    <row r="752">
      <c r="A752" s="27"/>
      <c r="B752" s="42"/>
      <c r="C752" s="27"/>
      <c r="D752" s="27"/>
      <c r="E752" s="27"/>
      <c r="F752" s="27"/>
      <c r="G752" s="43"/>
      <c r="H752" s="27"/>
      <c r="I752" s="27"/>
      <c r="J752" s="27"/>
      <c r="K752" s="27"/>
      <c r="L752" s="27"/>
      <c r="M752" s="27"/>
      <c r="N752" s="27"/>
      <c r="O752" s="27"/>
      <c r="P752" s="43"/>
      <c r="Q752" s="27"/>
      <c r="R752" s="27"/>
      <c r="S752" s="43"/>
      <c r="T752" s="27"/>
      <c r="U752" s="27"/>
      <c r="V752" s="27"/>
      <c r="W752" s="27"/>
      <c r="X752" s="27"/>
      <c r="Y752" s="27"/>
      <c r="Z752" s="27"/>
      <c r="AA752" s="41"/>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row>
    <row r="753">
      <c r="A753" s="27"/>
      <c r="B753" s="42"/>
      <c r="C753" s="27"/>
      <c r="D753" s="27"/>
      <c r="E753" s="27"/>
      <c r="F753" s="27"/>
      <c r="G753" s="43"/>
      <c r="H753" s="27"/>
      <c r="I753" s="27"/>
      <c r="J753" s="27"/>
      <c r="K753" s="27"/>
      <c r="L753" s="27"/>
      <c r="M753" s="27"/>
      <c r="N753" s="27"/>
      <c r="O753" s="27"/>
      <c r="P753" s="43"/>
      <c r="Q753" s="27"/>
      <c r="R753" s="27"/>
      <c r="S753" s="43"/>
      <c r="T753" s="27"/>
      <c r="U753" s="27"/>
      <c r="V753" s="27"/>
      <c r="W753" s="27"/>
      <c r="X753" s="27"/>
      <c r="Y753" s="27"/>
      <c r="Z753" s="27"/>
      <c r="AA753" s="41"/>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row>
    <row r="754">
      <c r="A754" s="27"/>
      <c r="B754" s="42"/>
      <c r="C754" s="27"/>
      <c r="D754" s="27"/>
      <c r="E754" s="27"/>
      <c r="F754" s="27"/>
      <c r="G754" s="43"/>
      <c r="H754" s="27"/>
      <c r="I754" s="27"/>
      <c r="J754" s="27"/>
      <c r="K754" s="27"/>
      <c r="L754" s="27"/>
      <c r="M754" s="27"/>
      <c r="N754" s="27"/>
      <c r="O754" s="27"/>
      <c r="P754" s="43"/>
      <c r="Q754" s="27"/>
      <c r="R754" s="27"/>
      <c r="S754" s="43"/>
      <c r="T754" s="27"/>
      <c r="U754" s="27"/>
      <c r="V754" s="27"/>
      <c r="W754" s="27"/>
      <c r="X754" s="27"/>
      <c r="Y754" s="27"/>
      <c r="Z754" s="27"/>
      <c r="AA754" s="41"/>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row>
    <row r="755">
      <c r="A755" s="27"/>
      <c r="B755" s="42"/>
      <c r="C755" s="27"/>
      <c r="D755" s="27"/>
      <c r="E755" s="27"/>
      <c r="F755" s="27"/>
      <c r="G755" s="43"/>
      <c r="H755" s="27"/>
      <c r="I755" s="27"/>
      <c r="J755" s="27"/>
      <c r="K755" s="27"/>
      <c r="L755" s="27"/>
      <c r="M755" s="27"/>
      <c r="N755" s="27"/>
      <c r="O755" s="27"/>
      <c r="P755" s="43"/>
      <c r="Q755" s="27"/>
      <c r="R755" s="27"/>
      <c r="S755" s="43"/>
      <c r="T755" s="27"/>
      <c r="U755" s="27"/>
      <c r="V755" s="27"/>
      <c r="W755" s="27"/>
      <c r="X755" s="27"/>
      <c r="Y755" s="27"/>
      <c r="Z755" s="27"/>
      <c r="AA755" s="41"/>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row>
    <row r="756">
      <c r="A756" s="27"/>
      <c r="B756" s="42"/>
      <c r="C756" s="27"/>
      <c r="D756" s="27"/>
      <c r="E756" s="27"/>
      <c r="F756" s="27"/>
      <c r="G756" s="43"/>
      <c r="H756" s="27"/>
      <c r="I756" s="27"/>
      <c r="J756" s="27"/>
      <c r="K756" s="27"/>
      <c r="L756" s="27"/>
      <c r="M756" s="27"/>
      <c r="N756" s="27"/>
      <c r="O756" s="27"/>
      <c r="P756" s="43"/>
      <c r="Q756" s="27"/>
      <c r="R756" s="27"/>
      <c r="S756" s="43"/>
      <c r="T756" s="27"/>
      <c r="U756" s="27"/>
      <c r="V756" s="27"/>
      <c r="W756" s="27"/>
      <c r="X756" s="27"/>
      <c r="Y756" s="27"/>
      <c r="Z756" s="27"/>
      <c r="AA756" s="41"/>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row>
    <row r="757">
      <c r="A757" s="27"/>
      <c r="B757" s="42"/>
      <c r="C757" s="27"/>
      <c r="D757" s="27"/>
      <c r="E757" s="27"/>
      <c r="F757" s="27"/>
      <c r="G757" s="43"/>
      <c r="H757" s="27"/>
      <c r="I757" s="27"/>
      <c r="J757" s="27"/>
      <c r="K757" s="27"/>
      <c r="L757" s="27"/>
      <c r="M757" s="27"/>
      <c r="N757" s="27"/>
      <c r="O757" s="27"/>
      <c r="P757" s="43"/>
      <c r="Q757" s="27"/>
      <c r="R757" s="27"/>
      <c r="S757" s="43"/>
      <c r="T757" s="27"/>
      <c r="U757" s="27"/>
      <c r="V757" s="27"/>
      <c r="W757" s="27"/>
      <c r="X757" s="27"/>
      <c r="Y757" s="27"/>
      <c r="Z757" s="27"/>
      <c r="AA757" s="41"/>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row>
    <row r="758">
      <c r="A758" s="27"/>
      <c r="B758" s="42"/>
      <c r="C758" s="27"/>
      <c r="D758" s="27"/>
      <c r="E758" s="27"/>
      <c r="F758" s="27"/>
      <c r="G758" s="43"/>
      <c r="H758" s="27"/>
      <c r="I758" s="27"/>
      <c r="J758" s="27"/>
      <c r="K758" s="27"/>
      <c r="L758" s="27"/>
      <c r="M758" s="27"/>
      <c r="N758" s="27"/>
      <c r="O758" s="27"/>
      <c r="P758" s="43"/>
      <c r="Q758" s="27"/>
      <c r="R758" s="27"/>
      <c r="S758" s="43"/>
      <c r="T758" s="27"/>
      <c r="U758" s="27"/>
      <c r="V758" s="27"/>
      <c r="W758" s="27"/>
      <c r="X758" s="27"/>
      <c r="Y758" s="27"/>
      <c r="Z758" s="27"/>
      <c r="AA758" s="41"/>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row>
    <row r="759">
      <c r="A759" s="27"/>
      <c r="B759" s="42"/>
      <c r="C759" s="27"/>
      <c r="D759" s="27"/>
      <c r="E759" s="27"/>
      <c r="F759" s="27"/>
      <c r="G759" s="43"/>
      <c r="H759" s="27"/>
      <c r="I759" s="27"/>
      <c r="J759" s="27"/>
      <c r="K759" s="27"/>
      <c r="L759" s="27"/>
      <c r="M759" s="27"/>
      <c r="N759" s="27"/>
      <c r="O759" s="27"/>
      <c r="P759" s="43"/>
      <c r="Q759" s="27"/>
      <c r="R759" s="27"/>
      <c r="S759" s="43"/>
      <c r="T759" s="27"/>
      <c r="U759" s="27"/>
      <c r="V759" s="27"/>
      <c r="W759" s="27"/>
      <c r="X759" s="27"/>
      <c r="Y759" s="27"/>
      <c r="Z759" s="27"/>
      <c r="AA759" s="41"/>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row>
    <row r="760">
      <c r="A760" s="27"/>
      <c r="B760" s="42"/>
      <c r="C760" s="27"/>
      <c r="D760" s="27"/>
      <c r="E760" s="27"/>
      <c r="F760" s="27"/>
      <c r="G760" s="43"/>
      <c r="H760" s="27"/>
      <c r="I760" s="27"/>
      <c r="J760" s="27"/>
      <c r="K760" s="27"/>
      <c r="L760" s="27"/>
      <c r="M760" s="27"/>
      <c r="N760" s="27"/>
      <c r="O760" s="27"/>
      <c r="P760" s="43"/>
      <c r="Q760" s="27"/>
      <c r="R760" s="27"/>
      <c r="S760" s="43"/>
      <c r="T760" s="27"/>
      <c r="U760" s="27"/>
      <c r="V760" s="27"/>
      <c r="W760" s="27"/>
      <c r="X760" s="27"/>
      <c r="Y760" s="27"/>
      <c r="Z760" s="27"/>
      <c r="AA760" s="41"/>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row>
    <row r="761">
      <c r="A761" s="27"/>
      <c r="B761" s="42"/>
      <c r="C761" s="27"/>
      <c r="D761" s="27"/>
      <c r="E761" s="27"/>
      <c r="F761" s="27"/>
      <c r="G761" s="43"/>
      <c r="H761" s="27"/>
      <c r="I761" s="27"/>
      <c r="J761" s="27"/>
      <c r="K761" s="27"/>
      <c r="L761" s="27"/>
      <c r="M761" s="27"/>
      <c r="N761" s="27"/>
      <c r="O761" s="27"/>
      <c r="P761" s="43"/>
      <c r="Q761" s="27"/>
      <c r="R761" s="27"/>
      <c r="S761" s="43"/>
      <c r="T761" s="27"/>
      <c r="U761" s="27"/>
      <c r="V761" s="27"/>
      <c r="W761" s="27"/>
      <c r="X761" s="27"/>
      <c r="Y761" s="27"/>
      <c r="Z761" s="27"/>
      <c r="AA761" s="41"/>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row>
    <row r="762">
      <c r="A762" s="27"/>
      <c r="B762" s="42"/>
      <c r="C762" s="27"/>
      <c r="D762" s="27"/>
      <c r="E762" s="27"/>
      <c r="F762" s="27"/>
      <c r="G762" s="43"/>
      <c r="H762" s="27"/>
      <c r="I762" s="27"/>
      <c r="J762" s="27"/>
      <c r="K762" s="27"/>
      <c r="L762" s="27"/>
      <c r="M762" s="27"/>
      <c r="N762" s="27"/>
      <c r="O762" s="27"/>
      <c r="P762" s="43"/>
      <c r="Q762" s="27"/>
      <c r="R762" s="27"/>
      <c r="S762" s="43"/>
      <c r="T762" s="27"/>
      <c r="U762" s="27"/>
      <c r="V762" s="27"/>
      <c r="W762" s="27"/>
      <c r="X762" s="27"/>
      <c r="Y762" s="27"/>
      <c r="Z762" s="27"/>
      <c r="AA762" s="41"/>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row>
    <row r="763">
      <c r="A763" s="27"/>
      <c r="B763" s="42"/>
      <c r="C763" s="27"/>
      <c r="D763" s="27"/>
      <c r="E763" s="27"/>
      <c r="F763" s="27"/>
      <c r="G763" s="43"/>
      <c r="H763" s="27"/>
      <c r="I763" s="27"/>
      <c r="J763" s="27"/>
      <c r="K763" s="27"/>
      <c r="L763" s="27"/>
      <c r="M763" s="27"/>
      <c r="N763" s="27"/>
      <c r="O763" s="27"/>
      <c r="P763" s="43"/>
      <c r="Q763" s="27"/>
      <c r="R763" s="27"/>
      <c r="S763" s="43"/>
      <c r="T763" s="27"/>
      <c r="U763" s="27"/>
      <c r="V763" s="27"/>
      <c r="W763" s="27"/>
      <c r="X763" s="27"/>
      <c r="Y763" s="27"/>
      <c r="Z763" s="27"/>
      <c r="AA763" s="41"/>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row>
    <row r="764">
      <c r="A764" s="27"/>
      <c r="B764" s="42"/>
      <c r="C764" s="27"/>
      <c r="D764" s="27"/>
      <c r="E764" s="27"/>
      <c r="F764" s="27"/>
      <c r="G764" s="43"/>
      <c r="H764" s="27"/>
      <c r="I764" s="27"/>
      <c r="J764" s="27"/>
      <c r="K764" s="27"/>
      <c r="L764" s="27"/>
      <c r="M764" s="27"/>
      <c r="N764" s="27"/>
      <c r="O764" s="27"/>
      <c r="P764" s="43"/>
      <c r="Q764" s="27"/>
      <c r="R764" s="27"/>
      <c r="S764" s="43"/>
      <c r="T764" s="27"/>
      <c r="U764" s="27"/>
      <c r="V764" s="27"/>
      <c r="W764" s="27"/>
      <c r="X764" s="27"/>
      <c r="Y764" s="27"/>
      <c r="Z764" s="27"/>
      <c r="AA764" s="41"/>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row>
    <row r="765">
      <c r="A765" s="27"/>
      <c r="B765" s="42"/>
      <c r="C765" s="27"/>
      <c r="D765" s="27"/>
      <c r="E765" s="27"/>
      <c r="F765" s="27"/>
      <c r="G765" s="43"/>
      <c r="H765" s="27"/>
      <c r="I765" s="27"/>
      <c r="J765" s="27"/>
      <c r="K765" s="27"/>
      <c r="L765" s="27"/>
      <c r="M765" s="27"/>
      <c r="N765" s="27"/>
      <c r="O765" s="27"/>
      <c r="P765" s="43"/>
      <c r="Q765" s="27"/>
      <c r="R765" s="27"/>
      <c r="S765" s="43"/>
      <c r="T765" s="27"/>
      <c r="U765" s="27"/>
      <c r="V765" s="27"/>
      <c r="W765" s="27"/>
      <c r="X765" s="27"/>
      <c r="Y765" s="27"/>
      <c r="Z765" s="27"/>
      <c r="AA765" s="41"/>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row>
    <row r="766">
      <c r="A766" s="27"/>
      <c r="B766" s="42"/>
      <c r="C766" s="27"/>
      <c r="D766" s="27"/>
      <c r="E766" s="27"/>
      <c r="F766" s="27"/>
      <c r="G766" s="43"/>
      <c r="H766" s="27"/>
      <c r="I766" s="27"/>
      <c r="J766" s="27"/>
      <c r="K766" s="27"/>
      <c r="L766" s="27"/>
      <c r="M766" s="27"/>
      <c r="N766" s="27"/>
      <c r="O766" s="27"/>
      <c r="P766" s="43"/>
      <c r="Q766" s="27"/>
      <c r="R766" s="27"/>
      <c r="S766" s="43"/>
      <c r="T766" s="27"/>
      <c r="U766" s="27"/>
      <c r="V766" s="27"/>
      <c r="W766" s="27"/>
      <c r="X766" s="27"/>
      <c r="Y766" s="27"/>
      <c r="Z766" s="27"/>
      <c r="AA766" s="41"/>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row>
    <row r="767">
      <c r="A767" s="27"/>
      <c r="B767" s="42"/>
      <c r="C767" s="27"/>
      <c r="D767" s="27"/>
      <c r="E767" s="27"/>
      <c r="F767" s="27"/>
      <c r="G767" s="43"/>
      <c r="H767" s="27"/>
      <c r="I767" s="27"/>
      <c r="J767" s="27"/>
      <c r="K767" s="27"/>
      <c r="L767" s="27"/>
      <c r="M767" s="27"/>
      <c r="N767" s="27"/>
      <c r="O767" s="27"/>
      <c r="P767" s="43"/>
      <c r="Q767" s="27"/>
      <c r="R767" s="27"/>
      <c r="S767" s="43"/>
      <c r="T767" s="27"/>
      <c r="U767" s="27"/>
      <c r="V767" s="27"/>
      <c r="W767" s="27"/>
      <c r="X767" s="27"/>
      <c r="Y767" s="27"/>
      <c r="Z767" s="27"/>
      <c r="AA767" s="41"/>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row>
    <row r="768">
      <c r="A768" s="27"/>
      <c r="B768" s="42"/>
      <c r="C768" s="27"/>
      <c r="D768" s="27"/>
      <c r="E768" s="27"/>
      <c r="F768" s="27"/>
      <c r="G768" s="43"/>
      <c r="H768" s="27"/>
      <c r="I768" s="27"/>
      <c r="J768" s="27"/>
      <c r="K768" s="27"/>
      <c r="L768" s="27"/>
      <c r="M768" s="27"/>
      <c r="N768" s="27"/>
      <c r="O768" s="27"/>
      <c r="P768" s="43"/>
      <c r="Q768" s="27"/>
      <c r="R768" s="27"/>
      <c r="S768" s="43"/>
      <c r="T768" s="27"/>
      <c r="U768" s="27"/>
      <c r="V768" s="27"/>
      <c r="W768" s="27"/>
      <c r="X768" s="27"/>
      <c r="Y768" s="27"/>
      <c r="Z768" s="27"/>
      <c r="AA768" s="41"/>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row>
    <row r="769">
      <c r="A769" s="27"/>
      <c r="B769" s="42"/>
      <c r="C769" s="27"/>
      <c r="D769" s="27"/>
      <c r="E769" s="27"/>
      <c r="F769" s="27"/>
      <c r="G769" s="43"/>
      <c r="H769" s="27"/>
      <c r="I769" s="27"/>
      <c r="J769" s="27"/>
      <c r="K769" s="27"/>
      <c r="L769" s="27"/>
      <c r="M769" s="27"/>
      <c r="N769" s="27"/>
      <c r="O769" s="27"/>
      <c r="P769" s="43"/>
      <c r="Q769" s="27"/>
      <c r="R769" s="27"/>
      <c r="S769" s="43"/>
      <c r="T769" s="27"/>
      <c r="U769" s="27"/>
      <c r="V769" s="27"/>
      <c r="W769" s="27"/>
      <c r="X769" s="27"/>
      <c r="Y769" s="27"/>
      <c r="Z769" s="27"/>
      <c r="AA769" s="41"/>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row>
    <row r="770">
      <c r="A770" s="27"/>
      <c r="B770" s="42"/>
      <c r="C770" s="27"/>
      <c r="D770" s="27"/>
      <c r="E770" s="27"/>
      <c r="F770" s="27"/>
      <c r="G770" s="43"/>
      <c r="H770" s="27"/>
      <c r="I770" s="27"/>
      <c r="J770" s="27"/>
      <c r="K770" s="27"/>
      <c r="L770" s="27"/>
      <c r="M770" s="27"/>
      <c r="N770" s="27"/>
      <c r="O770" s="27"/>
      <c r="P770" s="43"/>
      <c r="Q770" s="27"/>
      <c r="R770" s="27"/>
      <c r="S770" s="43"/>
      <c r="T770" s="27"/>
      <c r="U770" s="27"/>
      <c r="V770" s="27"/>
      <c r="W770" s="27"/>
      <c r="X770" s="27"/>
      <c r="Y770" s="27"/>
      <c r="Z770" s="27"/>
      <c r="AA770" s="41"/>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row>
    <row r="771">
      <c r="A771" s="27"/>
      <c r="B771" s="42"/>
      <c r="C771" s="27"/>
      <c r="D771" s="27"/>
      <c r="E771" s="27"/>
      <c r="F771" s="27"/>
      <c r="G771" s="43"/>
      <c r="H771" s="27"/>
      <c r="I771" s="27"/>
      <c r="J771" s="27"/>
      <c r="K771" s="27"/>
      <c r="L771" s="27"/>
      <c r="M771" s="27"/>
      <c r="N771" s="27"/>
      <c r="O771" s="27"/>
      <c r="P771" s="43"/>
      <c r="Q771" s="27"/>
      <c r="R771" s="27"/>
      <c r="S771" s="43"/>
      <c r="T771" s="27"/>
      <c r="U771" s="27"/>
      <c r="V771" s="27"/>
      <c r="W771" s="27"/>
      <c r="X771" s="27"/>
      <c r="Y771" s="27"/>
      <c r="Z771" s="27"/>
      <c r="AA771" s="41"/>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row>
    <row r="772">
      <c r="A772" s="27"/>
      <c r="B772" s="42"/>
      <c r="C772" s="27"/>
      <c r="D772" s="27"/>
      <c r="E772" s="27"/>
      <c r="F772" s="27"/>
      <c r="G772" s="43"/>
      <c r="H772" s="27"/>
      <c r="I772" s="27"/>
      <c r="J772" s="27"/>
      <c r="K772" s="27"/>
      <c r="L772" s="27"/>
      <c r="M772" s="27"/>
      <c r="N772" s="27"/>
      <c r="O772" s="27"/>
      <c r="P772" s="43"/>
      <c r="Q772" s="27"/>
      <c r="R772" s="27"/>
      <c r="S772" s="43"/>
      <c r="T772" s="27"/>
      <c r="U772" s="27"/>
      <c r="V772" s="27"/>
      <c r="W772" s="27"/>
      <c r="X772" s="27"/>
      <c r="Y772" s="27"/>
      <c r="Z772" s="27"/>
      <c r="AA772" s="41"/>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row>
    <row r="773">
      <c r="A773" s="27"/>
      <c r="B773" s="42"/>
      <c r="C773" s="27"/>
      <c r="D773" s="27"/>
      <c r="E773" s="27"/>
      <c r="F773" s="27"/>
      <c r="G773" s="43"/>
      <c r="H773" s="27"/>
      <c r="I773" s="27"/>
      <c r="J773" s="27"/>
      <c r="K773" s="27"/>
      <c r="L773" s="27"/>
      <c r="M773" s="27"/>
      <c r="N773" s="27"/>
      <c r="O773" s="27"/>
      <c r="P773" s="43"/>
      <c r="Q773" s="27"/>
      <c r="R773" s="27"/>
      <c r="S773" s="43"/>
      <c r="T773" s="27"/>
      <c r="U773" s="27"/>
      <c r="V773" s="27"/>
      <c r="W773" s="27"/>
      <c r="X773" s="27"/>
      <c r="Y773" s="27"/>
      <c r="Z773" s="27"/>
      <c r="AA773" s="41"/>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row>
    <row r="774">
      <c r="A774" s="27"/>
      <c r="B774" s="42"/>
      <c r="C774" s="27"/>
      <c r="D774" s="27"/>
      <c r="E774" s="27"/>
      <c r="F774" s="27"/>
      <c r="G774" s="43"/>
      <c r="H774" s="27"/>
      <c r="I774" s="27"/>
      <c r="J774" s="27"/>
      <c r="K774" s="27"/>
      <c r="L774" s="27"/>
      <c r="M774" s="27"/>
      <c r="N774" s="27"/>
      <c r="O774" s="27"/>
      <c r="P774" s="43"/>
      <c r="Q774" s="27"/>
      <c r="R774" s="27"/>
      <c r="S774" s="43"/>
      <c r="T774" s="27"/>
      <c r="U774" s="27"/>
      <c r="V774" s="27"/>
      <c r="W774" s="27"/>
      <c r="X774" s="27"/>
      <c r="Y774" s="27"/>
      <c r="Z774" s="27"/>
      <c r="AA774" s="41"/>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row>
    <row r="775">
      <c r="A775" s="27"/>
      <c r="B775" s="42"/>
      <c r="C775" s="27"/>
      <c r="D775" s="27"/>
      <c r="E775" s="27"/>
      <c r="F775" s="27"/>
      <c r="G775" s="43"/>
      <c r="H775" s="27"/>
      <c r="I775" s="27"/>
      <c r="J775" s="27"/>
      <c r="K775" s="27"/>
      <c r="L775" s="27"/>
      <c r="M775" s="27"/>
      <c r="N775" s="27"/>
      <c r="O775" s="27"/>
      <c r="P775" s="43"/>
      <c r="Q775" s="27"/>
      <c r="R775" s="27"/>
      <c r="S775" s="43"/>
      <c r="T775" s="27"/>
      <c r="U775" s="27"/>
      <c r="V775" s="27"/>
      <c r="W775" s="27"/>
      <c r="X775" s="27"/>
      <c r="Y775" s="27"/>
      <c r="Z775" s="27"/>
      <c r="AA775" s="41"/>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row>
    <row r="776">
      <c r="A776" s="27"/>
      <c r="B776" s="42"/>
      <c r="C776" s="27"/>
      <c r="D776" s="27"/>
      <c r="E776" s="27"/>
      <c r="F776" s="27"/>
      <c r="G776" s="43"/>
      <c r="H776" s="27"/>
      <c r="I776" s="27"/>
      <c r="J776" s="27"/>
      <c r="K776" s="27"/>
      <c r="L776" s="27"/>
      <c r="M776" s="27"/>
      <c r="N776" s="27"/>
      <c r="O776" s="27"/>
      <c r="P776" s="43"/>
      <c r="Q776" s="27"/>
      <c r="R776" s="27"/>
      <c r="S776" s="43"/>
      <c r="T776" s="27"/>
      <c r="U776" s="27"/>
      <c r="V776" s="27"/>
      <c r="W776" s="27"/>
      <c r="X776" s="27"/>
      <c r="Y776" s="27"/>
      <c r="Z776" s="27"/>
      <c r="AA776" s="41"/>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row>
    <row r="777">
      <c r="A777" s="27"/>
      <c r="B777" s="42"/>
      <c r="C777" s="27"/>
      <c r="D777" s="27"/>
      <c r="E777" s="27"/>
      <c r="F777" s="27"/>
      <c r="G777" s="43"/>
      <c r="H777" s="27"/>
      <c r="I777" s="27"/>
      <c r="J777" s="27"/>
      <c r="K777" s="27"/>
      <c r="L777" s="27"/>
      <c r="M777" s="27"/>
      <c r="N777" s="27"/>
      <c r="O777" s="27"/>
      <c r="P777" s="43"/>
      <c r="Q777" s="27"/>
      <c r="R777" s="27"/>
      <c r="S777" s="43"/>
      <c r="T777" s="27"/>
      <c r="U777" s="27"/>
      <c r="V777" s="27"/>
      <c r="W777" s="27"/>
      <c r="X777" s="27"/>
      <c r="Y777" s="27"/>
      <c r="Z777" s="27"/>
      <c r="AA777" s="41"/>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row>
    <row r="778">
      <c r="A778" s="27"/>
      <c r="B778" s="42"/>
      <c r="C778" s="27"/>
      <c r="D778" s="27"/>
      <c r="E778" s="27"/>
      <c r="F778" s="27"/>
      <c r="G778" s="43"/>
      <c r="H778" s="27"/>
      <c r="I778" s="27"/>
      <c r="J778" s="27"/>
      <c r="K778" s="27"/>
      <c r="L778" s="27"/>
      <c r="M778" s="27"/>
      <c r="N778" s="27"/>
      <c r="O778" s="27"/>
      <c r="P778" s="43"/>
      <c r="Q778" s="27"/>
      <c r="R778" s="27"/>
      <c r="S778" s="43"/>
      <c r="T778" s="27"/>
      <c r="U778" s="27"/>
      <c r="V778" s="27"/>
      <c r="W778" s="27"/>
      <c r="X778" s="27"/>
      <c r="Y778" s="27"/>
      <c r="Z778" s="27"/>
      <c r="AA778" s="41"/>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row>
    <row r="779">
      <c r="A779" s="27"/>
      <c r="B779" s="42"/>
      <c r="C779" s="27"/>
      <c r="D779" s="27"/>
      <c r="E779" s="27"/>
      <c r="F779" s="27"/>
      <c r="G779" s="43"/>
      <c r="H779" s="27"/>
      <c r="I779" s="27"/>
      <c r="J779" s="27"/>
      <c r="K779" s="27"/>
      <c r="L779" s="27"/>
      <c r="M779" s="27"/>
      <c r="N779" s="27"/>
      <c r="O779" s="27"/>
      <c r="P779" s="43"/>
      <c r="Q779" s="27"/>
      <c r="R779" s="27"/>
      <c r="S779" s="43"/>
      <c r="T779" s="27"/>
      <c r="U779" s="27"/>
      <c r="V779" s="27"/>
      <c r="W779" s="27"/>
      <c r="X779" s="27"/>
      <c r="Y779" s="27"/>
      <c r="Z779" s="27"/>
      <c r="AA779" s="41"/>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row>
    <row r="780">
      <c r="A780" s="27"/>
      <c r="B780" s="42"/>
      <c r="C780" s="27"/>
      <c r="D780" s="27"/>
      <c r="E780" s="27"/>
      <c r="F780" s="27"/>
      <c r="G780" s="43"/>
      <c r="H780" s="27"/>
      <c r="I780" s="27"/>
      <c r="J780" s="27"/>
      <c r="K780" s="27"/>
      <c r="L780" s="27"/>
      <c r="M780" s="27"/>
      <c r="N780" s="27"/>
      <c r="O780" s="27"/>
      <c r="P780" s="43"/>
      <c r="Q780" s="27"/>
      <c r="R780" s="27"/>
      <c r="S780" s="43"/>
      <c r="T780" s="27"/>
      <c r="U780" s="27"/>
      <c r="V780" s="27"/>
      <c r="W780" s="27"/>
      <c r="X780" s="27"/>
      <c r="Y780" s="27"/>
      <c r="Z780" s="27"/>
      <c r="AA780" s="41"/>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row>
    <row r="781">
      <c r="A781" s="27"/>
      <c r="B781" s="42"/>
      <c r="C781" s="27"/>
      <c r="D781" s="27"/>
      <c r="E781" s="27"/>
      <c r="F781" s="27"/>
      <c r="G781" s="43"/>
      <c r="H781" s="27"/>
      <c r="I781" s="27"/>
      <c r="J781" s="27"/>
      <c r="K781" s="27"/>
      <c r="L781" s="27"/>
      <c r="M781" s="27"/>
      <c r="N781" s="27"/>
      <c r="O781" s="27"/>
      <c r="P781" s="43"/>
      <c r="Q781" s="27"/>
      <c r="R781" s="27"/>
      <c r="S781" s="43"/>
      <c r="T781" s="27"/>
      <c r="U781" s="27"/>
      <c r="V781" s="27"/>
      <c r="W781" s="27"/>
      <c r="X781" s="27"/>
      <c r="Y781" s="27"/>
      <c r="Z781" s="27"/>
      <c r="AA781" s="41"/>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row>
    <row r="782">
      <c r="A782" s="27"/>
      <c r="B782" s="42"/>
      <c r="C782" s="27"/>
      <c r="D782" s="27"/>
      <c r="E782" s="27"/>
      <c r="F782" s="27"/>
      <c r="G782" s="43"/>
      <c r="H782" s="27"/>
      <c r="I782" s="27"/>
      <c r="J782" s="27"/>
      <c r="K782" s="27"/>
      <c r="L782" s="27"/>
      <c r="M782" s="27"/>
      <c r="N782" s="27"/>
      <c r="O782" s="27"/>
      <c r="P782" s="43"/>
      <c r="Q782" s="27"/>
      <c r="R782" s="27"/>
      <c r="S782" s="43"/>
      <c r="T782" s="27"/>
      <c r="U782" s="27"/>
      <c r="V782" s="27"/>
      <c r="W782" s="27"/>
      <c r="X782" s="27"/>
      <c r="Y782" s="27"/>
      <c r="Z782" s="27"/>
      <c r="AA782" s="41"/>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row>
    <row r="783">
      <c r="A783" s="27"/>
      <c r="B783" s="42"/>
      <c r="C783" s="27"/>
      <c r="D783" s="27"/>
      <c r="E783" s="27"/>
      <c r="F783" s="27"/>
      <c r="G783" s="43"/>
      <c r="H783" s="27"/>
      <c r="I783" s="27"/>
      <c r="J783" s="27"/>
      <c r="K783" s="27"/>
      <c r="L783" s="27"/>
      <c r="M783" s="27"/>
      <c r="N783" s="27"/>
      <c r="O783" s="27"/>
      <c r="P783" s="43"/>
      <c r="Q783" s="27"/>
      <c r="R783" s="27"/>
      <c r="S783" s="43"/>
      <c r="T783" s="27"/>
      <c r="U783" s="27"/>
      <c r="V783" s="27"/>
      <c r="W783" s="27"/>
      <c r="X783" s="27"/>
      <c r="Y783" s="27"/>
      <c r="Z783" s="27"/>
      <c r="AA783" s="41"/>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row>
    <row r="784">
      <c r="A784" s="27"/>
      <c r="B784" s="42"/>
      <c r="C784" s="27"/>
      <c r="D784" s="27"/>
      <c r="E784" s="27"/>
      <c r="F784" s="27"/>
      <c r="G784" s="43"/>
      <c r="H784" s="27"/>
      <c r="I784" s="27"/>
      <c r="J784" s="27"/>
      <c r="K784" s="27"/>
      <c r="L784" s="27"/>
      <c r="M784" s="27"/>
      <c r="N784" s="27"/>
      <c r="O784" s="27"/>
      <c r="P784" s="43"/>
      <c r="Q784" s="27"/>
      <c r="R784" s="27"/>
      <c r="S784" s="43"/>
      <c r="T784" s="27"/>
      <c r="U784" s="27"/>
      <c r="V784" s="27"/>
      <c r="W784" s="27"/>
      <c r="X784" s="27"/>
      <c r="Y784" s="27"/>
      <c r="Z784" s="27"/>
      <c r="AA784" s="41"/>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row>
    <row r="785">
      <c r="A785" s="27"/>
      <c r="B785" s="42"/>
      <c r="C785" s="27"/>
      <c r="D785" s="27"/>
      <c r="E785" s="27"/>
      <c r="F785" s="27"/>
      <c r="G785" s="43"/>
      <c r="H785" s="27"/>
      <c r="I785" s="27"/>
      <c r="J785" s="27"/>
      <c r="K785" s="27"/>
      <c r="L785" s="27"/>
      <c r="M785" s="27"/>
      <c r="N785" s="27"/>
      <c r="O785" s="27"/>
      <c r="P785" s="43"/>
      <c r="Q785" s="27"/>
      <c r="R785" s="27"/>
      <c r="S785" s="43"/>
      <c r="T785" s="27"/>
      <c r="U785" s="27"/>
      <c r="V785" s="27"/>
      <c r="W785" s="27"/>
      <c r="X785" s="27"/>
      <c r="Y785" s="27"/>
      <c r="Z785" s="27"/>
      <c r="AA785" s="41"/>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row>
    <row r="786">
      <c r="A786" s="27"/>
      <c r="B786" s="42"/>
      <c r="C786" s="27"/>
      <c r="D786" s="27"/>
      <c r="E786" s="27"/>
      <c r="F786" s="27"/>
      <c r="G786" s="43"/>
      <c r="H786" s="27"/>
      <c r="I786" s="27"/>
      <c r="J786" s="27"/>
      <c r="K786" s="27"/>
      <c r="L786" s="27"/>
      <c r="M786" s="27"/>
      <c r="N786" s="27"/>
      <c r="O786" s="27"/>
      <c r="P786" s="43"/>
      <c r="Q786" s="27"/>
      <c r="R786" s="27"/>
      <c r="S786" s="43"/>
      <c r="T786" s="27"/>
      <c r="U786" s="27"/>
      <c r="V786" s="27"/>
      <c r="W786" s="27"/>
      <c r="X786" s="27"/>
      <c r="Y786" s="27"/>
      <c r="Z786" s="27"/>
      <c r="AA786" s="41"/>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row>
    <row r="787">
      <c r="A787" s="27"/>
      <c r="B787" s="42"/>
      <c r="C787" s="27"/>
      <c r="D787" s="27"/>
      <c r="E787" s="27"/>
      <c r="F787" s="27"/>
      <c r="G787" s="43"/>
      <c r="H787" s="27"/>
      <c r="I787" s="27"/>
      <c r="J787" s="27"/>
      <c r="K787" s="27"/>
      <c r="L787" s="27"/>
      <c r="M787" s="27"/>
      <c r="N787" s="27"/>
      <c r="O787" s="27"/>
      <c r="P787" s="43"/>
      <c r="Q787" s="27"/>
      <c r="R787" s="27"/>
      <c r="S787" s="43"/>
      <c r="T787" s="27"/>
      <c r="U787" s="27"/>
      <c r="V787" s="27"/>
      <c r="W787" s="27"/>
      <c r="X787" s="27"/>
      <c r="Y787" s="27"/>
      <c r="Z787" s="27"/>
      <c r="AA787" s="41"/>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row>
    <row r="788">
      <c r="A788" s="27"/>
      <c r="B788" s="42"/>
      <c r="C788" s="27"/>
      <c r="D788" s="27"/>
      <c r="E788" s="27"/>
      <c r="F788" s="27"/>
      <c r="G788" s="43"/>
      <c r="H788" s="27"/>
      <c r="I788" s="27"/>
      <c r="J788" s="27"/>
      <c r="K788" s="27"/>
      <c r="L788" s="27"/>
      <c r="M788" s="27"/>
      <c r="N788" s="27"/>
      <c r="O788" s="27"/>
      <c r="P788" s="43"/>
      <c r="Q788" s="27"/>
      <c r="R788" s="27"/>
      <c r="S788" s="43"/>
      <c r="T788" s="27"/>
      <c r="U788" s="27"/>
      <c r="V788" s="27"/>
      <c r="W788" s="27"/>
      <c r="X788" s="27"/>
      <c r="Y788" s="27"/>
      <c r="Z788" s="27"/>
      <c r="AA788" s="41"/>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row>
    <row r="789">
      <c r="A789" s="27"/>
      <c r="B789" s="42"/>
      <c r="C789" s="27"/>
      <c r="D789" s="27"/>
      <c r="E789" s="27"/>
      <c r="F789" s="27"/>
      <c r="G789" s="43"/>
      <c r="H789" s="27"/>
      <c r="I789" s="27"/>
      <c r="J789" s="27"/>
      <c r="K789" s="27"/>
      <c r="L789" s="27"/>
      <c r="M789" s="27"/>
      <c r="N789" s="27"/>
      <c r="O789" s="27"/>
      <c r="P789" s="43"/>
      <c r="Q789" s="27"/>
      <c r="R789" s="27"/>
      <c r="S789" s="43"/>
      <c r="T789" s="27"/>
      <c r="U789" s="27"/>
      <c r="V789" s="27"/>
      <c r="W789" s="27"/>
      <c r="X789" s="27"/>
      <c r="Y789" s="27"/>
      <c r="Z789" s="27"/>
      <c r="AA789" s="41"/>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row>
    <row r="790">
      <c r="A790" s="27"/>
      <c r="B790" s="42"/>
      <c r="C790" s="27"/>
      <c r="D790" s="27"/>
      <c r="E790" s="27"/>
      <c r="F790" s="27"/>
      <c r="G790" s="43"/>
      <c r="H790" s="27"/>
      <c r="I790" s="27"/>
      <c r="J790" s="27"/>
      <c r="K790" s="27"/>
      <c r="L790" s="27"/>
      <c r="M790" s="27"/>
      <c r="N790" s="27"/>
      <c r="O790" s="27"/>
      <c r="P790" s="43"/>
      <c r="Q790" s="27"/>
      <c r="R790" s="27"/>
      <c r="S790" s="43"/>
      <c r="T790" s="27"/>
      <c r="U790" s="27"/>
      <c r="V790" s="27"/>
      <c r="W790" s="27"/>
      <c r="X790" s="27"/>
      <c r="Y790" s="27"/>
      <c r="Z790" s="27"/>
      <c r="AA790" s="41"/>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row>
    <row r="791">
      <c r="A791" s="27"/>
      <c r="B791" s="42"/>
      <c r="C791" s="27"/>
      <c r="D791" s="27"/>
      <c r="E791" s="27"/>
      <c r="F791" s="27"/>
      <c r="G791" s="43"/>
      <c r="H791" s="27"/>
      <c r="I791" s="27"/>
      <c r="J791" s="27"/>
      <c r="K791" s="27"/>
      <c r="L791" s="27"/>
      <c r="M791" s="27"/>
      <c r="N791" s="27"/>
      <c r="O791" s="27"/>
      <c r="P791" s="43"/>
      <c r="Q791" s="27"/>
      <c r="R791" s="27"/>
      <c r="S791" s="43"/>
      <c r="T791" s="27"/>
      <c r="U791" s="27"/>
      <c r="V791" s="27"/>
      <c r="W791" s="27"/>
      <c r="X791" s="27"/>
      <c r="Y791" s="27"/>
      <c r="Z791" s="27"/>
      <c r="AA791" s="41"/>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row>
    <row r="792">
      <c r="A792" s="27"/>
      <c r="B792" s="42"/>
      <c r="C792" s="27"/>
      <c r="D792" s="27"/>
      <c r="E792" s="27"/>
      <c r="F792" s="27"/>
      <c r="G792" s="43"/>
      <c r="H792" s="27"/>
      <c r="I792" s="27"/>
      <c r="J792" s="27"/>
      <c r="K792" s="27"/>
      <c r="L792" s="27"/>
      <c r="M792" s="27"/>
      <c r="N792" s="27"/>
      <c r="O792" s="27"/>
      <c r="P792" s="43"/>
      <c r="Q792" s="27"/>
      <c r="R792" s="27"/>
      <c r="S792" s="43"/>
      <c r="T792" s="27"/>
      <c r="U792" s="27"/>
      <c r="V792" s="27"/>
      <c r="W792" s="27"/>
      <c r="X792" s="27"/>
      <c r="Y792" s="27"/>
      <c r="Z792" s="27"/>
      <c r="AA792" s="41"/>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row>
    <row r="793">
      <c r="A793" s="27"/>
      <c r="B793" s="42"/>
      <c r="C793" s="27"/>
      <c r="D793" s="27"/>
      <c r="E793" s="27"/>
      <c r="F793" s="27"/>
      <c r="G793" s="43"/>
      <c r="H793" s="27"/>
      <c r="I793" s="27"/>
      <c r="J793" s="27"/>
      <c r="K793" s="27"/>
      <c r="L793" s="27"/>
      <c r="M793" s="27"/>
      <c r="N793" s="27"/>
      <c r="O793" s="27"/>
      <c r="P793" s="43"/>
      <c r="Q793" s="27"/>
      <c r="R793" s="27"/>
      <c r="S793" s="43"/>
      <c r="T793" s="27"/>
      <c r="U793" s="27"/>
      <c r="V793" s="27"/>
      <c r="W793" s="27"/>
      <c r="X793" s="27"/>
      <c r="Y793" s="27"/>
      <c r="Z793" s="27"/>
      <c r="AA793" s="41"/>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row>
    <row r="794">
      <c r="A794" s="27"/>
      <c r="B794" s="42"/>
      <c r="C794" s="27"/>
      <c r="D794" s="27"/>
      <c r="E794" s="27"/>
      <c r="F794" s="27"/>
      <c r="G794" s="43"/>
      <c r="H794" s="27"/>
      <c r="I794" s="27"/>
      <c r="J794" s="27"/>
      <c r="K794" s="27"/>
      <c r="L794" s="27"/>
      <c r="M794" s="27"/>
      <c r="N794" s="27"/>
      <c r="O794" s="27"/>
      <c r="P794" s="43"/>
      <c r="Q794" s="27"/>
      <c r="R794" s="27"/>
      <c r="S794" s="43"/>
      <c r="T794" s="27"/>
      <c r="U794" s="27"/>
      <c r="V794" s="27"/>
      <c r="W794" s="27"/>
      <c r="X794" s="27"/>
      <c r="Y794" s="27"/>
      <c r="Z794" s="27"/>
      <c r="AA794" s="41"/>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row>
    <row r="795">
      <c r="A795" s="27"/>
      <c r="B795" s="42"/>
      <c r="C795" s="27"/>
      <c r="D795" s="27"/>
      <c r="E795" s="27"/>
      <c r="F795" s="27"/>
      <c r="G795" s="43"/>
      <c r="H795" s="27"/>
      <c r="I795" s="27"/>
      <c r="J795" s="27"/>
      <c r="K795" s="27"/>
      <c r="L795" s="27"/>
      <c r="M795" s="27"/>
      <c r="N795" s="27"/>
      <c r="O795" s="27"/>
      <c r="P795" s="43"/>
      <c r="Q795" s="27"/>
      <c r="R795" s="27"/>
      <c r="S795" s="43"/>
      <c r="T795" s="27"/>
      <c r="U795" s="27"/>
      <c r="V795" s="27"/>
      <c r="W795" s="27"/>
      <c r="X795" s="27"/>
      <c r="Y795" s="27"/>
      <c r="Z795" s="27"/>
      <c r="AA795" s="41"/>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row>
    <row r="796">
      <c r="A796" s="27"/>
      <c r="B796" s="42"/>
      <c r="C796" s="27"/>
      <c r="D796" s="27"/>
      <c r="E796" s="27"/>
      <c r="F796" s="27"/>
      <c r="G796" s="43"/>
      <c r="H796" s="27"/>
      <c r="I796" s="27"/>
      <c r="J796" s="27"/>
      <c r="K796" s="27"/>
      <c r="L796" s="27"/>
      <c r="M796" s="27"/>
      <c r="N796" s="27"/>
      <c r="O796" s="27"/>
      <c r="P796" s="43"/>
      <c r="Q796" s="27"/>
      <c r="R796" s="27"/>
      <c r="S796" s="43"/>
      <c r="T796" s="27"/>
      <c r="U796" s="27"/>
      <c r="V796" s="27"/>
      <c r="W796" s="27"/>
      <c r="X796" s="27"/>
      <c r="Y796" s="27"/>
      <c r="Z796" s="27"/>
      <c r="AA796" s="41"/>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row>
    <row r="797">
      <c r="A797" s="27"/>
      <c r="B797" s="42"/>
      <c r="C797" s="27"/>
      <c r="D797" s="27"/>
      <c r="E797" s="27"/>
      <c r="F797" s="27"/>
      <c r="G797" s="43"/>
      <c r="H797" s="27"/>
      <c r="I797" s="27"/>
      <c r="J797" s="27"/>
      <c r="K797" s="27"/>
      <c r="L797" s="27"/>
      <c r="M797" s="27"/>
      <c r="N797" s="27"/>
      <c r="O797" s="27"/>
      <c r="P797" s="43"/>
      <c r="Q797" s="27"/>
      <c r="R797" s="27"/>
      <c r="S797" s="43"/>
      <c r="T797" s="27"/>
      <c r="U797" s="27"/>
      <c r="V797" s="27"/>
      <c r="W797" s="27"/>
      <c r="X797" s="27"/>
      <c r="Y797" s="27"/>
      <c r="Z797" s="27"/>
      <c r="AA797" s="41"/>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row>
    <row r="798">
      <c r="A798" s="27"/>
      <c r="B798" s="42"/>
      <c r="C798" s="27"/>
      <c r="D798" s="27"/>
      <c r="E798" s="27"/>
      <c r="F798" s="27"/>
      <c r="G798" s="43"/>
      <c r="H798" s="27"/>
      <c r="I798" s="27"/>
      <c r="J798" s="27"/>
      <c r="K798" s="27"/>
      <c r="L798" s="27"/>
      <c r="M798" s="27"/>
      <c r="N798" s="27"/>
      <c r="O798" s="27"/>
      <c r="P798" s="43"/>
      <c r="Q798" s="27"/>
      <c r="R798" s="27"/>
      <c r="S798" s="43"/>
      <c r="T798" s="27"/>
      <c r="U798" s="27"/>
      <c r="V798" s="27"/>
      <c r="W798" s="27"/>
      <c r="X798" s="27"/>
      <c r="Y798" s="27"/>
      <c r="Z798" s="27"/>
      <c r="AA798" s="41"/>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row>
    <row r="799">
      <c r="A799" s="27"/>
      <c r="B799" s="42"/>
      <c r="C799" s="27"/>
      <c r="D799" s="27"/>
      <c r="E799" s="27"/>
      <c r="F799" s="27"/>
      <c r="G799" s="43"/>
      <c r="H799" s="27"/>
      <c r="I799" s="27"/>
      <c r="J799" s="27"/>
      <c r="K799" s="27"/>
      <c r="L799" s="27"/>
      <c r="M799" s="27"/>
      <c r="N799" s="27"/>
      <c r="O799" s="27"/>
      <c r="P799" s="43"/>
      <c r="Q799" s="27"/>
      <c r="R799" s="27"/>
      <c r="S799" s="43"/>
      <c r="T799" s="27"/>
      <c r="U799" s="27"/>
      <c r="V799" s="27"/>
      <c r="W799" s="27"/>
      <c r="X799" s="27"/>
      <c r="Y799" s="27"/>
      <c r="Z799" s="27"/>
      <c r="AA799" s="41"/>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row>
    <row r="800">
      <c r="A800" s="27"/>
      <c r="B800" s="42"/>
      <c r="C800" s="27"/>
      <c r="D800" s="27"/>
      <c r="E800" s="27"/>
      <c r="F800" s="27"/>
      <c r="G800" s="43"/>
      <c r="H800" s="27"/>
      <c r="I800" s="27"/>
      <c r="J800" s="27"/>
      <c r="K800" s="27"/>
      <c r="L800" s="27"/>
      <c r="M800" s="27"/>
      <c r="N800" s="27"/>
      <c r="O800" s="27"/>
      <c r="P800" s="43"/>
      <c r="Q800" s="27"/>
      <c r="R800" s="27"/>
      <c r="S800" s="43"/>
      <c r="T800" s="27"/>
      <c r="U800" s="27"/>
      <c r="V800" s="27"/>
      <c r="W800" s="27"/>
      <c r="X800" s="27"/>
      <c r="Y800" s="27"/>
      <c r="Z800" s="27"/>
      <c r="AA800" s="41"/>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row>
    <row r="801">
      <c r="A801" s="27"/>
      <c r="B801" s="42"/>
      <c r="C801" s="27"/>
      <c r="D801" s="27"/>
      <c r="E801" s="27"/>
      <c r="F801" s="27"/>
      <c r="G801" s="43"/>
      <c r="H801" s="27"/>
      <c r="I801" s="27"/>
      <c r="J801" s="27"/>
      <c r="K801" s="27"/>
      <c r="L801" s="27"/>
      <c r="M801" s="27"/>
      <c r="N801" s="27"/>
      <c r="O801" s="27"/>
      <c r="P801" s="43"/>
      <c r="Q801" s="27"/>
      <c r="R801" s="27"/>
      <c r="S801" s="43"/>
      <c r="T801" s="27"/>
      <c r="U801" s="27"/>
      <c r="V801" s="27"/>
      <c r="W801" s="27"/>
      <c r="X801" s="27"/>
      <c r="Y801" s="27"/>
      <c r="Z801" s="27"/>
      <c r="AA801" s="41"/>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row>
    <row r="802">
      <c r="A802" s="27"/>
      <c r="B802" s="42"/>
      <c r="C802" s="27"/>
      <c r="D802" s="27"/>
      <c r="E802" s="27"/>
      <c r="F802" s="27"/>
      <c r="G802" s="43"/>
      <c r="H802" s="27"/>
      <c r="I802" s="27"/>
      <c r="J802" s="27"/>
      <c r="K802" s="27"/>
      <c r="L802" s="27"/>
      <c r="M802" s="27"/>
      <c r="N802" s="27"/>
      <c r="O802" s="27"/>
      <c r="P802" s="43"/>
      <c r="Q802" s="27"/>
      <c r="R802" s="27"/>
      <c r="S802" s="43"/>
      <c r="T802" s="27"/>
      <c r="U802" s="27"/>
      <c r="V802" s="27"/>
      <c r="W802" s="27"/>
      <c r="X802" s="27"/>
      <c r="Y802" s="27"/>
      <c r="Z802" s="27"/>
      <c r="AA802" s="41"/>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row>
    <row r="803">
      <c r="A803" s="27"/>
      <c r="B803" s="42"/>
      <c r="C803" s="27"/>
      <c r="D803" s="27"/>
      <c r="E803" s="27"/>
      <c r="F803" s="27"/>
      <c r="G803" s="43"/>
      <c r="H803" s="27"/>
      <c r="I803" s="27"/>
      <c r="J803" s="27"/>
      <c r="K803" s="27"/>
      <c r="L803" s="27"/>
      <c r="M803" s="27"/>
      <c r="N803" s="27"/>
      <c r="O803" s="27"/>
      <c r="P803" s="43"/>
      <c r="Q803" s="27"/>
      <c r="R803" s="27"/>
      <c r="S803" s="43"/>
      <c r="T803" s="27"/>
      <c r="U803" s="27"/>
      <c r="V803" s="27"/>
      <c r="W803" s="27"/>
      <c r="X803" s="27"/>
      <c r="Y803" s="27"/>
      <c r="Z803" s="27"/>
      <c r="AA803" s="41"/>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row>
    <row r="804">
      <c r="A804" s="27"/>
      <c r="B804" s="42"/>
      <c r="C804" s="27"/>
      <c r="D804" s="27"/>
      <c r="E804" s="27"/>
      <c r="F804" s="27"/>
      <c r="G804" s="43"/>
      <c r="H804" s="27"/>
      <c r="I804" s="27"/>
      <c r="J804" s="27"/>
      <c r="K804" s="27"/>
      <c r="L804" s="27"/>
      <c r="M804" s="27"/>
      <c r="N804" s="27"/>
      <c r="O804" s="27"/>
      <c r="P804" s="43"/>
      <c r="Q804" s="27"/>
      <c r="R804" s="27"/>
      <c r="S804" s="43"/>
      <c r="T804" s="27"/>
      <c r="U804" s="27"/>
      <c r="V804" s="27"/>
      <c r="W804" s="27"/>
      <c r="X804" s="27"/>
      <c r="Y804" s="27"/>
      <c r="Z804" s="27"/>
      <c r="AA804" s="41"/>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row>
    <row r="805">
      <c r="A805" s="27"/>
      <c r="B805" s="42"/>
      <c r="C805" s="27"/>
      <c r="D805" s="27"/>
      <c r="E805" s="27"/>
      <c r="F805" s="27"/>
      <c r="G805" s="43"/>
      <c r="H805" s="27"/>
      <c r="I805" s="27"/>
      <c r="J805" s="27"/>
      <c r="K805" s="27"/>
      <c r="L805" s="27"/>
      <c r="M805" s="27"/>
      <c r="N805" s="27"/>
      <c r="O805" s="27"/>
      <c r="P805" s="43"/>
      <c r="Q805" s="27"/>
      <c r="R805" s="27"/>
      <c r="S805" s="43"/>
      <c r="T805" s="27"/>
      <c r="U805" s="27"/>
      <c r="V805" s="27"/>
      <c r="W805" s="27"/>
      <c r="X805" s="27"/>
      <c r="Y805" s="27"/>
      <c r="Z805" s="27"/>
      <c r="AA805" s="41"/>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row>
    <row r="806">
      <c r="A806" s="27"/>
      <c r="B806" s="42"/>
      <c r="C806" s="27"/>
      <c r="D806" s="27"/>
      <c r="E806" s="27"/>
      <c r="F806" s="27"/>
      <c r="G806" s="43"/>
      <c r="H806" s="27"/>
      <c r="I806" s="27"/>
      <c r="J806" s="27"/>
      <c r="K806" s="27"/>
      <c r="L806" s="27"/>
      <c r="M806" s="27"/>
      <c r="N806" s="27"/>
      <c r="O806" s="27"/>
      <c r="P806" s="43"/>
      <c r="Q806" s="27"/>
      <c r="R806" s="27"/>
      <c r="S806" s="43"/>
      <c r="T806" s="27"/>
      <c r="U806" s="27"/>
      <c r="V806" s="27"/>
      <c r="W806" s="27"/>
      <c r="X806" s="27"/>
      <c r="Y806" s="27"/>
      <c r="Z806" s="27"/>
      <c r="AA806" s="41"/>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row>
    <row r="807">
      <c r="A807" s="27"/>
      <c r="B807" s="42"/>
      <c r="C807" s="27"/>
      <c r="D807" s="27"/>
      <c r="E807" s="27"/>
      <c r="F807" s="27"/>
      <c r="G807" s="43"/>
      <c r="H807" s="27"/>
      <c r="I807" s="27"/>
      <c r="J807" s="27"/>
      <c r="K807" s="27"/>
      <c r="L807" s="27"/>
      <c r="M807" s="27"/>
      <c r="N807" s="27"/>
      <c r="O807" s="27"/>
      <c r="P807" s="43"/>
      <c r="Q807" s="27"/>
      <c r="R807" s="27"/>
      <c r="S807" s="43"/>
      <c r="T807" s="27"/>
      <c r="U807" s="27"/>
      <c r="V807" s="27"/>
      <c r="W807" s="27"/>
      <c r="X807" s="27"/>
      <c r="Y807" s="27"/>
      <c r="Z807" s="27"/>
      <c r="AA807" s="41"/>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row>
    <row r="808">
      <c r="A808" s="27"/>
      <c r="B808" s="42"/>
      <c r="C808" s="27"/>
      <c r="D808" s="27"/>
      <c r="E808" s="27"/>
      <c r="F808" s="27"/>
      <c r="G808" s="43"/>
      <c r="H808" s="27"/>
      <c r="I808" s="27"/>
      <c r="J808" s="27"/>
      <c r="K808" s="27"/>
      <c r="L808" s="27"/>
      <c r="M808" s="27"/>
      <c r="N808" s="27"/>
      <c r="O808" s="27"/>
      <c r="P808" s="43"/>
      <c r="Q808" s="27"/>
      <c r="R808" s="27"/>
      <c r="S808" s="43"/>
      <c r="T808" s="27"/>
      <c r="U808" s="27"/>
      <c r="V808" s="27"/>
      <c r="W808" s="27"/>
      <c r="X808" s="27"/>
      <c r="Y808" s="27"/>
      <c r="Z808" s="27"/>
      <c r="AA808" s="41"/>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row>
    <row r="809">
      <c r="A809" s="27"/>
      <c r="B809" s="42"/>
      <c r="C809" s="27"/>
      <c r="D809" s="27"/>
      <c r="E809" s="27"/>
      <c r="F809" s="27"/>
      <c r="G809" s="43"/>
      <c r="H809" s="27"/>
      <c r="I809" s="27"/>
      <c r="J809" s="27"/>
      <c r="K809" s="27"/>
      <c r="L809" s="27"/>
      <c r="M809" s="27"/>
      <c r="N809" s="27"/>
      <c r="O809" s="27"/>
      <c r="P809" s="43"/>
      <c r="Q809" s="27"/>
      <c r="R809" s="27"/>
      <c r="S809" s="43"/>
      <c r="T809" s="27"/>
      <c r="U809" s="27"/>
      <c r="V809" s="27"/>
      <c r="W809" s="27"/>
      <c r="X809" s="27"/>
      <c r="Y809" s="27"/>
      <c r="Z809" s="27"/>
      <c r="AA809" s="41"/>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row>
    <row r="810">
      <c r="A810" s="27"/>
      <c r="B810" s="42"/>
      <c r="C810" s="27"/>
      <c r="D810" s="27"/>
      <c r="E810" s="27"/>
      <c r="F810" s="27"/>
      <c r="G810" s="43"/>
      <c r="H810" s="27"/>
      <c r="I810" s="27"/>
      <c r="J810" s="27"/>
      <c r="K810" s="27"/>
      <c r="L810" s="27"/>
      <c r="M810" s="27"/>
      <c r="N810" s="27"/>
      <c r="O810" s="27"/>
      <c r="P810" s="43"/>
      <c r="Q810" s="27"/>
      <c r="R810" s="27"/>
      <c r="S810" s="43"/>
      <c r="T810" s="27"/>
      <c r="U810" s="27"/>
      <c r="V810" s="27"/>
      <c r="W810" s="27"/>
      <c r="X810" s="27"/>
      <c r="Y810" s="27"/>
      <c r="Z810" s="27"/>
      <c r="AA810" s="41"/>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row>
    <row r="811">
      <c r="A811" s="27"/>
      <c r="B811" s="42"/>
      <c r="C811" s="27"/>
      <c r="D811" s="27"/>
      <c r="E811" s="27"/>
      <c r="F811" s="27"/>
      <c r="G811" s="43"/>
      <c r="H811" s="27"/>
      <c r="I811" s="27"/>
      <c r="J811" s="27"/>
      <c r="K811" s="27"/>
      <c r="L811" s="27"/>
      <c r="M811" s="27"/>
      <c r="N811" s="27"/>
      <c r="O811" s="27"/>
      <c r="P811" s="43"/>
      <c r="Q811" s="27"/>
      <c r="R811" s="27"/>
      <c r="S811" s="43"/>
      <c r="T811" s="27"/>
      <c r="U811" s="27"/>
      <c r="V811" s="27"/>
      <c r="W811" s="27"/>
      <c r="X811" s="27"/>
      <c r="Y811" s="27"/>
      <c r="Z811" s="27"/>
      <c r="AA811" s="41"/>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row>
    <row r="812">
      <c r="A812" s="27"/>
      <c r="B812" s="42"/>
      <c r="C812" s="27"/>
      <c r="D812" s="27"/>
      <c r="E812" s="27"/>
      <c r="F812" s="27"/>
      <c r="G812" s="43"/>
      <c r="H812" s="27"/>
      <c r="I812" s="27"/>
      <c r="J812" s="27"/>
      <c r="K812" s="27"/>
      <c r="L812" s="27"/>
      <c r="M812" s="27"/>
      <c r="N812" s="27"/>
      <c r="O812" s="27"/>
      <c r="P812" s="43"/>
      <c r="Q812" s="27"/>
      <c r="R812" s="27"/>
      <c r="S812" s="43"/>
      <c r="T812" s="27"/>
      <c r="U812" s="27"/>
      <c r="V812" s="27"/>
      <c r="W812" s="27"/>
      <c r="X812" s="27"/>
      <c r="Y812" s="27"/>
      <c r="Z812" s="27"/>
      <c r="AA812" s="41"/>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row>
    <row r="813">
      <c r="A813" s="27"/>
      <c r="B813" s="42"/>
      <c r="C813" s="27"/>
      <c r="D813" s="27"/>
      <c r="E813" s="27"/>
      <c r="F813" s="27"/>
      <c r="G813" s="43"/>
      <c r="H813" s="27"/>
      <c r="I813" s="27"/>
      <c r="J813" s="27"/>
      <c r="K813" s="27"/>
      <c r="L813" s="27"/>
      <c r="M813" s="27"/>
      <c r="N813" s="27"/>
      <c r="O813" s="27"/>
      <c r="P813" s="43"/>
      <c r="Q813" s="27"/>
      <c r="R813" s="27"/>
      <c r="S813" s="43"/>
      <c r="T813" s="27"/>
      <c r="U813" s="27"/>
      <c r="V813" s="27"/>
      <c r="W813" s="27"/>
      <c r="X813" s="27"/>
      <c r="Y813" s="27"/>
      <c r="Z813" s="27"/>
      <c r="AA813" s="41"/>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row>
    <row r="814">
      <c r="A814" s="27"/>
      <c r="B814" s="42"/>
      <c r="C814" s="27"/>
      <c r="D814" s="27"/>
      <c r="E814" s="27"/>
      <c r="F814" s="27"/>
      <c r="G814" s="43"/>
      <c r="H814" s="27"/>
      <c r="I814" s="27"/>
      <c r="J814" s="27"/>
      <c r="K814" s="27"/>
      <c r="L814" s="27"/>
      <c r="M814" s="27"/>
      <c r="N814" s="27"/>
      <c r="O814" s="27"/>
      <c r="P814" s="43"/>
      <c r="Q814" s="27"/>
      <c r="R814" s="27"/>
      <c r="S814" s="43"/>
      <c r="T814" s="27"/>
      <c r="U814" s="27"/>
      <c r="V814" s="27"/>
      <c r="W814" s="27"/>
      <c r="X814" s="27"/>
      <c r="Y814" s="27"/>
      <c r="Z814" s="27"/>
      <c r="AA814" s="41"/>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row>
    <row r="815">
      <c r="A815" s="27"/>
      <c r="B815" s="42"/>
      <c r="C815" s="27"/>
      <c r="D815" s="27"/>
      <c r="E815" s="27"/>
      <c r="F815" s="27"/>
      <c r="G815" s="43"/>
      <c r="H815" s="27"/>
      <c r="I815" s="27"/>
      <c r="J815" s="27"/>
      <c r="K815" s="27"/>
      <c r="L815" s="27"/>
      <c r="M815" s="27"/>
      <c r="N815" s="27"/>
      <c r="O815" s="27"/>
      <c r="P815" s="43"/>
      <c r="Q815" s="27"/>
      <c r="R815" s="27"/>
      <c r="S815" s="43"/>
      <c r="T815" s="27"/>
      <c r="U815" s="27"/>
      <c r="V815" s="27"/>
      <c r="W815" s="27"/>
      <c r="X815" s="27"/>
      <c r="Y815" s="27"/>
      <c r="Z815" s="27"/>
      <c r="AA815" s="41"/>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row>
    <row r="816">
      <c r="A816" s="27"/>
      <c r="B816" s="42"/>
      <c r="C816" s="27"/>
      <c r="D816" s="27"/>
      <c r="E816" s="27"/>
      <c r="F816" s="27"/>
      <c r="G816" s="43"/>
      <c r="H816" s="27"/>
      <c r="I816" s="27"/>
      <c r="J816" s="27"/>
      <c r="K816" s="27"/>
      <c r="L816" s="27"/>
      <c r="M816" s="27"/>
      <c r="N816" s="27"/>
      <c r="O816" s="27"/>
      <c r="P816" s="43"/>
      <c r="Q816" s="27"/>
      <c r="R816" s="27"/>
      <c r="S816" s="43"/>
      <c r="T816" s="27"/>
      <c r="U816" s="27"/>
      <c r="V816" s="27"/>
      <c r="W816" s="27"/>
      <c r="X816" s="27"/>
      <c r="Y816" s="27"/>
      <c r="Z816" s="27"/>
      <c r="AA816" s="41"/>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row>
    <row r="817">
      <c r="A817" s="27"/>
      <c r="B817" s="42"/>
      <c r="C817" s="27"/>
      <c r="D817" s="27"/>
      <c r="E817" s="27"/>
      <c r="F817" s="27"/>
      <c r="G817" s="43"/>
      <c r="H817" s="27"/>
      <c r="I817" s="27"/>
      <c r="J817" s="27"/>
      <c r="K817" s="27"/>
      <c r="L817" s="27"/>
      <c r="M817" s="27"/>
      <c r="N817" s="27"/>
      <c r="O817" s="27"/>
      <c r="P817" s="43"/>
      <c r="Q817" s="27"/>
      <c r="R817" s="27"/>
      <c r="S817" s="43"/>
      <c r="T817" s="27"/>
      <c r="U817" s="27"/>
      <c r="V817" s="27"/>
      <c r="W817" s="27"/>
      <c r="X817" s="27"/>
      <c r="Y817" s="27"/>
      <c r="Z817" s="27"/>
      <c r="AA817" s="41"/>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row>
    <row r="818">
      <c r="A818" s="27"/>
      <c r="B818" s="42"/>
      <c r="C818" s="27"/>
      <c r="D818" s="27"/>
      <c r="E818" s="27"/>
      <c r="F818" s="27"/>
      <c r="G818" s="43"/>
      <c r="H818" s="27"/>
      <c r="I818" s="27"/>
      <c r="J818" s="27"/>
      <c r="K818" s="27"/>
      <c r="L818" s="27"/>
      <c r="M818" s="27"/>
      <c r="N818" s="27"/>
      <c r="O818" s="27"/>
      <c r="P818" s="43"/>
      <c r="Q818" s="27"/>
      <c r="R818" s="27"/>
      <c r="S818" s="43"/>
      <c r="T818" s="27"/>
      <c r="U818" s="27"/>
      <c r="V818" s="27"/>
      <c r="W818" s="27"/>
      <c r="X818" s="27"/>
      <c r="Y818" s="27"/>
      <c r="Z818" s="27"/>
      <c r="AA818" s="41"/>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row>
    <row r="819">
      <c r="A819" s="27"/>
      <c r="B819" s="42"/>
      <c r="C819" s="27"/>
      <c r="D819" s="27"/>
      <c r="E819" s="27"/>
      <c r="F819" s="27"/>
      <c r="G819" s="43"/>
      <c r="H819" s="27"/>
      <c r="I819" s="27"/>
      <c r="J819" s="27"/>
      <c r="K819" s="27"/>
      <c r="L819" s="27"/>
      <c r="M819" s="27"/>
      <c r="N819" s="27"/>
      <c r="O819" s="27"/>
      <c r="P819" s="43"/>
      <c r="Q819" s="27"/>
      <c r="R819" s="27"/>
      <c r="S819" s="43"/>
      <c r="T819" s="27"/>
      <c r="U819" s="27"/>
      <c r="V819" s="27"/>
      <c r="W819" s="27"/>
      <c r="X819" s="27"/>
      <c r="Y819" s="27"/>
      <c r="Z819" s="27"/>
      <c r="AA819" s="41"/>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row>
    <row r="820">
      <c r="A820" s="27"/>
      <c r="B820" s="42"/>
      <c r="C820" s="27"/>
      <c r="D820" s="27"/>
      <c r="E820" s="27"/>
      <c r="F820" s="27"/>
      <c r="G820" s="43"/>
      <c r="H820" s="27"/>
      <c r="I820" s="27"/>
      <c r="J820" s="27"/>
      <c r="K820" s="27"/>
      <c r="L820" s="27"/>
      <c r="M820" s="27"/>
      <c r="N820" s="27"/>
      <c r="O820" s="27"/>
      <c r="P820" s="43"/>
      <c r="Q820" s="27"/>
      <c r="R820" s="27"/>
      <c r="S820" s="43"/>
      <c r="T820" s="27"/>
      <c r="U820" s="27"/>
      <c r="V820" s="27"/>
      <c r="W820" s="27"/>
      <c r="X820" s="27"/>
      <c r="Y820" s="27"/>
      <c r="Z820" s="27"/>
      <c r="AA820" s="41"/>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row>
    <row r="821">
      <c r="A821" s="27"/>
      <c r="B821" s="42"/>
      <c r="C821" s="27"/>
      <c r="D821" s="27"/>
      <c r="E821" s="27"/>
      <c r="F821" s="27"/>
      <c r="G821" s="43"/>
      <c r="H821" s="27"/>
      <c r="I821" s="27"/>
      <c r="J821" s="27"/>
      <c r="K821" s="27"/>
      <c r="L821" s="27"/>
      <c r="M821" s="27"/>
      <c r="N821" s="27"/>
      <c r="O821" s="27"/>
      <c r="P821" s="43"/>
      <c r="Q821" s="27"/>
      <c r="R821" s="27"/>
      <c r="S821" s="43"/>
      <c r="T821" s="27"/>
      <c r="U821" s="27"/>
      <c r="V821" s="27"/>
      <c r="W821" s="27"/>
      <c r="X821" s="27"/>
      <c r="Y821" s="27"/>
      <c r="Z821" s="27"/>
      <c r="AA821" s="41"/>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row>
    <row r="822">
      <c r="A822" s="27"/>
      <c r="B822" s="42"/>
      <c r="C822" s="27"/>
      <c r="D822" s="27"/>
      <c r="E822" s="27"/>
      <c r="F822" s="27"/>
      <c r="G822" s="43"/>
      <c r="H822" s="27"/>
      <c r="I822" s="27"/>
      <c r="J822" s="27"/>
      <c r="K822" s="27"/>
      <c r="L822" s="27"/>
      <c r="M822" s="27"/>
      <c r="N822" s="27"/>
      <c r="O822" s="27"/>
      <c r="P822" s="43"/>
      <c r="Q822" s="27"/>
      <c r="R822" s="27"/>
      <c r="S822" s="43"/>
      <c r="T822" s="27"/>
      <c r="U822" s="27"/>
      <c r="V822" s="27"/>
      <c r="W822" s="27"/>
      <c r="X822" s="27"/>
      <c r="Y822" s="27"/>
      <c r="Z822" s="27"/>
      <c r="AA822" s="41"/>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row>
    <row r="823">
      <c r="A823" s="27"/>
      <c r="B823" s="42"/>
      <c r="C823" s="27"/>
      <c r="D823" s="27"/>
      <c r="E823" s="27"/>
      <c r="F823" s="27"/>
      <c r="G823" s="43"/>
      <c r="H823" s="27"/>
      <c r="I823" s="27"/>
      <c r="J823" s="27"/>
      <c r="K823" s="27"/>
      <c r="L823" s="27"/>
      <c r="M823" s="27"/>
      <c r="N823" s="27"/>
      <c r="O823" s="27"/>
      <c r="P823" s="43"/>
      <c r="Q823" s="27"/>
      <c r="R823" s="27"/>
      <c r="S823" s="43"/>
      <c r="T823" s="27"/>
      <c r="U823" s="27"/>
      <c r="V823" s="27"/>
      <c r="W823" s="27"/>
      <c r="X823" s="27"/>
      <c r="Y823" s="27"/>
      <c r="Z823" s="27"/>
      <c r="AA823" s="41"/>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row>
    <row r="824">
      <c r="A824" s="27"/>
      <c r="B824" s="42"/>
      <c r="C824" s="27"/>
      <c r="D824" s="27"/>
      <c r="E824" s="27"/>
      <c r="F824" s="27"/>
      <c r="G824" s="43"/>
      <c r="H824" s="27"/>
      <c r="I824" s="27"/>
      <c r="J824" s="27"/>
      <c r="K824" s="27"/>
      <c r="L824" s="27"/>
      <c r="M824" s="27"/>
      <c r="N824" s="27"/>
      <c r="O824" s="27"/>
      <c r="P824" s="43"/>
      <c r="Q824" s="27"/>
      <c r="R824" s="27"/>
      <c r="S824" s="43"/>
      <c r="T824" s="27"/>
      <c r="U824" s="27"/>
      <c r="V824" s="27"/>
      <c r="W824" s="27"/>
      <c r="X824" s="27"/>
      <c r="Y824" s="27"/>
      <c r="Z824" s="27"/>
      <c r="AA824" s="41"/>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row>
    <row r="825">
      <c r="A825" s="27"/>
      <c r="B825" s="42"/>
      <c r="C825" s="27"/>
      <c r="D825" s="27"/>
      <c r="E825" s="27"/>
      <c r="F825" s="27"/>
      <c r="G825" s="43"/>
      <c r="H825" s="27"/>
      <c r="I825" s="27"/>
      <c r="J825" s="27"/>
      <c r="K825" s="27"/>
      <c r="L825" s="27"/>
      <c r="M825" s="27"/>
      <c r="N825" s="27"/>
      <c r="O825" s="27"/>
      <c r="P825" s="43"/>
      <c r="Q825" s="27"/>
      <c r="R825" s="27"/>
      <c r="S825" s="43"/>
      <c r="T825" s="27"/>
      <c r="U825" s="27"/>
      <c r="V825" s="27"/>
      <c r="W825" s="27"/>
      <c r="X825" s="27"/>
      <c r="Y825" s="27"/>
      <c r="Z825" s="27"/>
      <c r="AA825" s="41"/>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row>
    <row r="826">
      <c r="A826" s="27"/>
      <c r="B826" s="42"/>
      <c r="C826" s="27"/>
      <c r="D826" s="27"/>
      <c r="E826" s="27"/>
      <c r="F826" s="27"/>
      <c r="G826" s="43"/>
      <c r="H826" s="27"/>
      <c r="I826" s="27"/>
      <c r="J826" s="27"/>
      <c r="K826" s="27"/>
      <c r="L826" s="27"/>
      <c r="M826" s="27"/>
      <c r="N826" s="27"/>
      <c r="O826" s="27"/>
      <c r="P826" s="43"/>
      <c r="Q826" s="27"/>
      <c r="R826" s="27"/>
      <c r="S826" s="43"/>
      <c r="T826" s="27"/>
      <c r="U826" s="27"/>
      <c r="V826" s="27"/>
      <c r="W826" s="27"/>
      <c r="X826" s="27"/>
      <c r="Y826" s="27"/>
      <c r="Z826" s="27"/>
      <c r="AA826" s="41"/>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row>
    <row r="827">
      <c r="A827" s="27"/>
      <c r="B827" s="42"/>
      <c r="C827" s="27"/>
      <c r="D827" s="27"/>
      <c r="E827" s="27"/>
      <c r="F827" s="27"/>
      <c r="G827" s="43"/>
      <c r="H827" s="27"/>
      <c r="I827" s="27"/>
      <c r="J827" s="27"/>
      <c r="K827" s="27"/>
      <c r="L827" s="27"/>
      <c r="M827" s="27"/>
      <c r="N827" s="27"/>
      <c r="O827" s="27"/>
      <c r="P827" s="43"/>
      <c r="Q827" s="27"/>
      <c r="R827" s="27"/>
      <c r="S827" s="43"/>
      <c r="T827" s="27"/>
      <c r="U827" s="27"/>
      <c r="V827" s="27"/>
      <c r="W827" s="27"/>
      <c r="X827" s="27"/>
      <c r="Y827" s="27"/>
      <c r="Z827" s="27"/>
      <c r="AA827" s="41"/>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row>
    <row r="828">
      <c r="A828" s="27"/>
      <c r="B828" s="42"/>
      <c r="C828" s="27"/>
      <c r="D828" s="27"/>
      <c r="E828" s="27"/>
      <c r="F828" s="27"/>
      <c r="G828" s="43"/>
      <c r="H828" s="27"/>
      <c r="I828" s="27"/>
      <c r="J828" s="27"/>
      <c r="K828" s="27"/>
      <c r="L828" s="27"/>
      <c r="M828" s="27"/>
      <c r="N828" s="27"/>
      <c r="O828" s="27"/>
      <c r="P828" s="43"/>
      <c r="Q828" s="27"/>
      <c r="R828" s="27"/>
      <c r="S828" s="43"/>
      <c r="T828" s="27"/>
      <c r="U828" s="27"/>
      <c r="V828" s="27"/>
      <c r="W828" s="27"/>
      <c r="X828" s="27"/>
      <c r="Y828" s="27"/>
      <c r="Z828" s="27"/>
      <c r="AA828" s="41"/>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row>
    <row r="829">
      <c r="A829" s="27"/>
      <c r="B829" s="42"/>
      <c r="C829" s="27"/>
      <c r="D829" s="27"/>
      <c r="E829" s="27"/>
      <c r="F829" s="27"/>
      <c r="G829" s="43"/>
      <c r="H829" s="27"/>
      <c r="I829" s="27"/>
      <c r="J829" s="27"/>
      <c r="K829" s="27"/>
      <c r="L829" s="27"/>
      <c r="M829" s="27"/>
      <c r="N829" s="27"/>
      <c r="O829" s="27"/>
      <c r="P829" s="43"/>
      <c r="Q829" s="27"/>
      <c r="R829" s="27"/>
      <c r="S829" s="43"/>
      <c r="T829" s="27"/>
      <c r="U829" s="27"/>
      <c r="V829" s="27"/>
      <c r="W829" s="27"/>
      <c r="X829" s="27"/>
      <c r="Y829" s="27"/>
      <c r="Z829" s="27"/>
      <c r="AA829" s="41"/>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row>
    <row r="830">
      <c r="A830" s="27"/>
      <c r="B830" s="42"/>
      <c r="C830" s="27"/>
      <c r="D830" s="27"/>
      <c r="E830" s="27"/>
      <c r="F830" s="27"/>
      <c r="G830" s="43"/>
      <c r="H830" s="27"/>
      <c r="I830" s="27"/>
      <c r="J830" s="27"/>
      <c r="K830" s="27"/>
      <c r="L830" s="27"/>
      <c r="M830" s="27"/>
      <c r="N830" s="27"/>
      <c r="O830" s="27"/>
      <c r="P830" s="43"/>
      <c r="Q830" s="27"/>
      <c r="R830" s="27"/>
      <c r="S830" s="43"/>
      <c r="T830" s="27"/>
      <c r="U830" s="27"/>
      <c r="V830" s="27"/>
      <c r="W830" s="27"/>
      <c r="X830" s="27"/>
      <c r="Y830" s="27"/>
      <c r="Z830" s="27"/>
      <c r="AA830" s="41"/>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row>
    <row r="831">
      <c r="A831" s="27"/>
      <c r="B831" s="42"/>
      <c r="C831" s="27"/>
      <c r="D831" s="27"/>
      <c r="E831" s="27"/>
      <c r="F831" s="27"/>
      <c r="G831" s="43"/>
      <c r="H831" s="27"/>
      <c r="I831" s="27"/>
      <c r="J831" s="27"/>
      <c r="K831" s="27"/>
      <c r="L831" s="27"/>
      <c r="M831" s="27"/>
      <c r="N831" s="27"/>
      <c r="O831" s="27"/>
      <c r="P831" s="43"/>
      <c r="Q831" s="27"/>
      <c r="R831" s="27"/>
      <c r="S831" s="43"/>
      <c r="T831" s="27"/>
      <c r="U831" s="27"/>
      <c r="V831" s="27"/>
      <c r="W831" s="27"/>
      <c r="X831" s="27"/>
      <c r="Y831" s="27"/>
      <c r="Z831" s="27"/>
      <c r="AA831" s="41"/>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row>
    <row r="832">
      <c r="A832" s="27"/>
      <c r="B832" s="42"/>
      <c r="C832" s="27"/>
      <c r="D832" s="27"/>
      <c r="E832" s="27"/>
      <c r="F832" s="27"/>
      <c r="G832" s="43"/>
      <c r="H832" s="27"/>
      <c r="I832" s="27"/>
      <c r="J832" s="27"/>
      <c r="K832" s="27"/>
      <c r="L832" s="27"/>
      <c r="M832" s="27"/>
      <c r="N832" s="27"/>
      <c r="O832" s="27"/>
      <c r="P832" s="43"/>
      <c r="Q832" s="27"/>
      <c r="R832" s="27"/>
      <c r="S832" s="43"/>
      <c r="T832" s="27"/>
      <c r="U832" s="27"/>
      <c r="V832" s="27"/>
      <c r="W832" s="27"/>
      <c r="X832" s="27"/>
      <c r="Y832" s="27"/>
      <c r="Z832" s="27"/>
      <c r="AA832" s="41"/>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row>
    <row r="833">
      <c r="A833" s="27"/>
      <c r="B833" s="42"/>
      <c r="C833" s="27"/>
      <c r="D833" s="27"/>
      <c r="E833" s="27"/>
      <c r="F833" s="27"/>
      <c r="G833" s="43"/>
      <c r="H833" s="27"/>
      <c r="I833" s="27"/>
      <c r="J833" s="27"/>
      <c r="K833" s="27"/>
      <c r="L833" s="27"/>
      <c r="M833" s="27"/>
      <c r="N833" s="27"/>
      <c r="O833" s="27"/>
      <c r="P833" s="43"/>
      <c r="Q833" s="27"/>
      <c r="R833" s="27"/>
      <c r="S833" s="43"/>
      <c r="T833" s="27"/>
      <c r="U833" s="27"/>
      <c r="V833" s="27"/>
      <c r="W833" s="27"/>
      <c r="X833" s="27"/>
      <c r="Y833" s="27"/>
      <c r="Z833" s="27"/>
      <c r="AA833" s="41"/>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row>
    <row r="834">
      <c r="A834" s="27"/>
      <c r="B834" s="42"/>
      <c r="C834" s="27"/>
      <c r="D834" s="27"/>
      <c r="E834" s="27"/>
      <c r="F834" s="27"/>
      <c r="G834" s="43"/>
      <c r="H834" s="27"/>
      <c r="I834" s="27"/>
      <c r="J834" s="27"/>
      <c r="K834" s="27"/>
      <c r="L834" s="27"/>
      <c r="M834" s="27"/>
      <c r="N834" s="27"/>
      <c r="O834" s="27"/>
      <c r="P834" s="43"/>
      <c r="Q834" s="27"/>
      <c r="R834" s="27"/>
      <c r="S834" s="43"/>
      <c r="T834" s="27"/>
      <c r="U834" s="27"/>
      <c r="V834" s="27"/>
      <c r="W834" s="27"/>
      <c r="X834" s="27"/>
      <c r="Y834" s="27"/>
      <c r="Z834" s="27"/>
      <c r="AA834" s="41"/>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row>
    <row r="835">
      <c r="A835" s="27"/>
      <c r="B835" s="42"/>
      <c r="C835" s="27"/>
      <c r="D835" s="27"/>
      <c r="E835" s="27"/>
      <c r="F835" s="27"/>
      <c r="G835" s="43"/>
      <c r="H835" s="27"/>
      <c r="I835" s="27"/>
      <c r="J835" s="27"/>
      <c r="K835" s="27"/>
      <c r="L835" s="27"/>
      <c r="M835" s="27"/>
      <c r="N835" s="27"/>
      <c r="O835" s="27"/>
      <c r="P835" s="43"/>
      <c r="Q835" s="27"/>
      <c r="R835" s="27"/>
      <c r="S835" s="43"/>
      <c r="T835" s="27"/>
      <c r="U835" s="27"/>
      <c r="V835" s="27"/>
      <c r="W835" s="27"/>
      <c r="X835" s="27"/>
      <c r="Y835" s="27"/>
      <c r="Z835" s="27"/>
      <c r="AA835" s="41"/>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row>
    <row r="836">
      <c r="A836" s="27"/>
      <c r="B836" s="42"/>
      <c r="C836" s="27"/>
      <c r="D836" s="27"/>
      <c r="E836" s="27"/>
      <c r="F836" s="27"/>
      <c r="G836" s="43"/>
      <c r="H836" s="27"/>
      <c r="I836" s="27"/>
      <c r="J836" s="27"/>
      <c r="K836" s="27"/>
      <c r="L836" s="27"/>
      <c r="M836" s="27"/>
      <c r="N836" s="27"/>
      <c r="O836" s="27"/>
      <c r="P836" s="43"/>
      <c r="Q836" s="27"/>
      <c r="R836" s="27"/>
      <c r="S836" s="43"/>
      <c r="T836" s="27"/>
      <c r="U836" s="27"/>
      <c r="V836" s="27"/>
      <c r="W836" s="27"/>
      <c r="X836" s="27"/>
      <c r="Y836" s="27"/>
      <c r="Z836" s="27"/>
      <c r="AA836" s="41"/>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row>
    <row r="837">
      <c r="A837" s="27"/>
      <c r="B837" s="42"/>
      <c r="C837" s="27"/>
      <c r="D837" s="27"/>
      <c r="E837" s="27"/>
      <c r="F837" s="27"/>
      <c r="G837" s="43"/>
      <c r="H837" s="27"/>
      <c r="I837" s="27"/>
      <c r="J837" s="27"/>
      <c r="K837" s="27"/>
      <c r="L837" s="27"/>
      <c r="M837" s="27"/>
      <c r="N837" s="27"/>
      <c r="O837" s="27"/>
      <c r="P837" s="43"/>
      <c r="Q837" s="27"/>
      <c r="R837" s="27"/>
      <c r="S837" s="43"/>
      <c r="T837" s="27"/>
      <c r="U837" s="27"/>
      <c r="V837" s="27"/>
      <c r="W837" s="27"/>
      <c r="X837" s="27"/>
      <c r="Y837" s="27"/>
      <c r="Z837" s="27"/>
      <c r="AA837" s="41"/>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row>
    <row r="838">
      <c r="A838" s="27"/>
      <c r="B838" s="42"/>
      <c r="C838" s="27"/>
      <c r="D838" s="27"/>
      <c r="E838" s="27"/>
      <c r="F838" s="27"/>
      <c r="G838" s="43"/>
      <c r="H838" s="27"/>
      <c r="I838" s="27"/>
      <c r="J838" s="27"/>
      <c r="K838" s="27"/>
      <c r="L838" s="27"/>
      <c r="M838" s="27"/>
      <c r="N838" s="27"/>
      <c r="O838" s="27"/>
      <c r="P838" s="43"/>
      <c r="Q838" s="27"/>
      <c r="R838" s="27"/>
      <c r="S838" s="43"/>
      <c r="T838" s="27"/>
      <c r="U838" s="27"/>
      <c r="V838" s="27"/>
      <c r="W838" s="27"/>
      <c r="X838" s="27"/>
      <c r="Y838" s="27"/>
      <c r="Z838" s="27"/>
      <c r="AA838" s="41"/>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row>
    <row r="839">
      <c r="A839" s="27"/>
      <c r="B839" s="42"/>
      <c r="C839" s="27"/>
      <c r="D839" s="27"/>
      <c r="E839" s="27"/>
      <c r="F839" s="27"/>
      <c r="G839" s="43"/>
      <c r="H839" s="27"/>
      <c r="I839" s="27"/>
      <c r="J839" s="27"/>
      <c r="K839" s="27"/>
      <c r="L839" s="27"/>
      <c r="M839" s="27"/>
      <c r="N839" s="27"/>
      <c r="O839" s="27"/>
      <c r="P839" s="43"/>
      <c r="Q839" s="27"/>
      <c r="R839" s="27"/>
      <c r="S839" s="43"/>
      <c r="T839" s="27"/>
      <c r="U839" s="27"/>
      <c r="V839" s="27"/>
      <c r="W839" s="27"/>
      <c r="X839" s="27"/>
      <c r="Y839" s="27"/>
      <c r="Z839" s="27"/>
      <c r="AA839" s="41"/>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row>
    <row r="840">
      <c r="A840" s="27"/>
      <c r="B840" s="42"/>
      <c r="C840" s="27"/>
      <c r="D840" s="27"/>
      <c r="E840" s="27"/>
      <c r="F840" s="27"/>
      <c r="G840" s="43"/>
      <c r="H840" s="27"/>
      <c r="I840" s="27"/>
      <c r="J840" s="27"/>
      <c r="K840" s="27"/>
      <c r="L840" s="27"/>
      <c r="M840" s="27"/>
      <c r="N840" s="27"/>
      <c r="O840" s="27"/>
      <c r="P840" s="43"/>
      <c r="Q840" s="27"/>
      <c r="R840" s="27"/>
      <c r="S840" s="43"/>
      <c r="T840" s="27"/>
      <c r="U840" s="27"/>
      <c r="V840" s="27"/>
      <c r="W840" s="27"/>
      <c r="X840" s="27"/>
      <c r="Y840" s="27"/>
      <c r="Z840" s="27"/>
      <c r="AA840" s="41"/>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row>
    <row r="841">
      <c r="A841" s="27"/>
      <c r="B841" s="42"/>
      <c r="C841" s="27"/>
      <c r="D841" s="27"/>
      <c r="E841" s="27"/>
      <c r="F841" s="27"/>
      <c r="G841" s="43"/>
      <c r="H841" s="27"/>
      <c r="I841" s="27"/>
      <c r="J841" s="27"/>
      <c r="K841" s="27"/>
      <c r="L841" s="27"/>
      <c r="M841" s="27"/>
      <c r="N841" s="27"/>
      <c r="O841" s="27"/>
      <c r="P841" s="43"/>
      <c r="Q841" s="27"/>
      <c r="R841" s="27"/>
      <c r="S841" s="43"/>
      <c r="T841" s="27"/>
      <c r="U841" s="27"/>
      <c r="V841" s="27"/>
      <c r="W841" s="27"/>
      <c r="X841" s="27"/>
      <c r="Y841" s="27"/>
      <c r="Z841" s="27"/>
      <c r="AA841" s="41"/>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row>
    <row r="842">
      <c r="A842" s="27"/>
      <c r="B842" s="42"/>
      <c r="C842" s="27"/>
      <c r="D842" s="27"/>
      <c r="E842" s="27"/>
      <c r="F842" s="27"/>
      <c r="G842" s="43"/>
      <c r="H842" s="27"/>
      <c r="I842" s="27"/>
      <c r="J842" s="27"/>
      <c r="K842" s="27"/>
      <c r="L842" s="27"/>
      <c r="M842" s="27"/>
      <c r="N842" s="27"/>
      <c r="O842" s="27"/>
      <c r="P842" s="43"/>
      <c r="Q842" s="27"/>
      <c r="R842" s="27"/>
      <c r="S842" s="43"/>
      <c r="T842" s="27"/>
      <c r="U842" s="27"/>
      <c r="V842" s="27"/>
      <c r="W842" s="27"/>
      <c r="X842" s="27"/>
      <c r="Y842" s="27"/>
      <c r="Z842" s="27"/>
      <c r="AA842" s="41"/>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row>
    <row r="843">
      <c r="A843" s="27"/>
      <c r="B843" s="42"/>
      <c r="C843" s="27"/>
      <c r="D843" s="27"/>
      <c r="E843" s="27"/>
      <c r="F843" s="27"/>
      <c r="G843" s="43"/>
      <c r="H843" s="27"/>
      <c r="I843" s="27"/>
      <c r="J843" s="27"/>
      <c r="K843" s="27"/>
      <c r="L843" s="27"/>
      <c r="M843" s="27"/>
      <c r="N843" s="27"/>
      <c r="O843" s="27"/>
      <c r="P843" s="43"/>
      <c r="Q843" s="27"/>
      <c r="R843" s="27"/>
      <c r="S843" s="43"/>
      <c r="T843" s="27"/>
      <c r="U843" s="27"/>
      <c r="V843" s="27"/>
      <c r="W843" s="27"/>
      <c r="X843" s="27"/>
      <c r="Y843" s="27"/>
      <c r="Z843" s="27"/>
      <c r="AA843" s="41"/>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row>
    <row r="844">
      <c r="A844" s="27"/>
      <c r="B844" s="42"/>
      <c r="C844" s="27"/>
      <c r="D844" s="27"/>
      <c r="E844" s="27"/>
      <c r="F844" s="27"/>
      <c r="G844" s="43"/>
      <c r="H844" s="27"/>
      <c r="I844" s="27"/>
      <c r="J844" s="27"/>
      <c r="K844" s="27"/>
      <c r="L844" s="27"/>
      <c r="M844" s="27"/>
      <c r="N844" s="27"/>
      <c r="O844" s="27"/>
      <c r="P844" s="43"/>
      <c r="Q844" s="27"/>
      <c r="R844" s="27"/>
      <c r="S844" s="43"/>
      <c r="T844" s="27"/>
      <c r="U844" s="27"/>
      <c r="V844" s="27"/>
      <c r="W844" s="27"/>
      <c r="X844" s="27"/>
      <c r="Y844" s="27"/>
      <c r="Z844" s="27"/>
      <c r="AA844" s="41"/>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row>
    <row r="845">
      <c r="A845" s="27"/>
      <c r="B845" s="42"/>
      <c r="C845" s="27"/>
      <c r="D845" s="27"/>
      <c r="E845" s="27"/>
      <c r="F845" s="27"/>
      <c r="G845" s="43"/>
      <c r="H845" s="27"/>
      <c r="I845" s="27"/>
      <c r="J845" s="27"/>
      <c r="K845" s="27"/>
      <c r="L845" s="27"/>
      <c r="M845" s="27"/>
      <c r="N845" s="27"/>
      <c r="O845" s="27"/>
      <c r="P845" s="43"/>
      <c r="Q845" s="27"/>
      <c r="R845" s="27"/>
      <c r="S845" s="43"/>
      <c r="T845" s="27"/>
      <c r="U845" s="27"/>
      <c r="V845" s="27"/>
      <c r="W845" s="27"/>
      <c r="X845" s="27"/>
      <c r="Y845" s="27"/>
      <c r="Z845" s="27"/>
      <c r="AA845" s="41"/>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row>
    <row r="846">
      <c r="A846" s="27"/>
      <c r="B846" s="42"/>
      <c r="C846" s="27"/>
      <c r="D846" s="27"/>
      <c r="E846" s="27"/>
      <c r="F846" s="27"/>
      <c r="G846" s="43"/>
      <c r="H846" s="27"/>
      <c r="I846" s="27"/>
      <c r="J846" s="27"/>
      <c r="K846" s="27"/>
      <c r="L846" s="27"/>
      <c r="M846" s="27"/>
      <c r="N846" s="27"/>
      <c r="O846" s="27"/>
      <c r="P846" s="43"/>
      <c r="Q846" s="27"/>
      <c r="R846" s="27"/>
      <c r="S846" s="43"/>
      <c r="T846" s="27"/>
      <c r="U846" s="27"/>
      <c r="V846" s="27"/>
      <c r="W846" s="27"/>
      <c r="X846" s="27"/>
      <c r="Y846" s="27"/>
      <c r="Z846" s="27"/>
      <c r="AA846" s="41"/>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row>
    <row r="847">
      <c r="A847" s="27"/>
      <c r="B847" s="42"/>
      <c r="C847" s="27"/>
      <c r="D847" s="27"/>
      <c r="E847" s="27"/>
      <c r="F847" s="27"/>
      <c r="G847" s="43"/>
      <c r="H847" s="27"/>
      <c r="I847" s="27"/>
      <c r="J847" s="27"/>
      <c r="K847" s="27"/>
      <c r="L847" s="27"/>
      <c r="M847" s="27"/>
      <c r="N847" s="27"/>
      <c r="O847" s="27"/>
      <c r="P847" s="43"/>
      <c r="Q847" s="27"/>
      <c r="R847" s="27"/>
      <c r="S847" s="43"/>
      <c r="T847" s="27"/>
      <c r="U847" s="27"/>
      <c r="V847" s="27"/>
      <c r="W847" s="27"/>
      <c r="X847" s="27"/>
      <c r="Y847" s="27"/>
      <c r="Z847" s="27"/>
      <c r="AA847" s="41"/>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row>
    <row r="848">
      <c r="A848" s="27"/>
      <c r="B848" s="42"/>
      <c r="C848" s="27"/>
      <c r="D848" s="27"/>
      <c r="E848" s="27"/>
      <c r="F848" s="27"/>
      <c r="G848" s="43"/>
      <c r="H848" s="27"/>
      <c r="I848" s="27"/>
      <c r="J848" s="27"/>
      <c r="K848" s="27"/>
      <c r="L848" s="27"/>
      <c r="M848" s="27"/>
      <c r="N848" s="27"/>
      <c r="O848" s="27"/>
      <c r="P848" s="43"/>
      <c r="Q848" s="27"/>
      <c r="R848" s="27"/>
      <c r="S848" s="43"/>
      <c r="T848" s="27"/>
      <c r="U848" s="27"/>
      <c r="V848" s="27"/>
      <c r="W848" s="27"/>
      <c r="X848" s="27"/>
      <c r="Y848" s="27"/>
      <c r="Z848" s="27"/>
      <c r="AA848" s="41"/>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row>
    <row r="849">
      <c r="A849" s="27"/>
      <c r="B849" s="42"/>
      <c r="C849" s="27"/>
      <c r="D849" s="27"/>
      <c r="E849" s="27"/>
      <c r="F849" s="27"/>
      <c r="G849" s="43"/>
      <c r="H849" s="27"/>
      <c r="I849" s="27"/>
      <c r="J849" s="27"/>
      <c r="K849" s="27"/>
      <c r="L849" s="27"/>
      <c r="M849" s="27"/>
      <c r="N849" s="27"/>
      <c r="O849" s="27"/>
      <c r="P849" s="43"/>
      <c r="Q849" s="27"/>
      <c r="R849" s="27"/>
      <c r="S849" s="43"/>
      <c r="T849" s="27"/>
      <c r="U849" s="27"/>
      <c r="V849" s="27"/>
      <c r="W849" s="27"/>
      <c r="X849" s="27"/>
      <c r="Y849" s="27"/>
      <c r="Z849" s="27"/>
      <c r="AA849" s="41"/>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row>
    <row r="850">
      <c r="A850" s="27"/>
      <c r="B850" s="42"/>
      <c r="C850" s="27"/>
      <c r="D850" s="27"/>
      <c r="E850" s="27"/>
      <c r="F850" s="27"/>
      <c r="G850" s="43"/>
      <c r="H850" s="27"/>
      <c r="I850" s="27"/>
      <c r="J850" s="27"/>
      <c r="K850" s="27"/>
      <c r="L850" s="27"/>
      <c r="M850" s="27"/>
      <c r="N850" s="27"/>
      <c r="O850" s="27"/>
      <c r="P850" s="43"/>
      <c r="Q850" s="27"/>
      <c r="R850" s="27"/>
      <c r="S850" s="43"/>
      <c r="T850" s="27"/>
      <c r="U850" s="27"/>
      <c r="V850" s="27"/>
      <c r="W850" s="27"/>
      <c r="X850" s="27"/>
      <c r="Y850" s="27"/>
      <c r="Z850" s="27"/>
      <c r="AA850" s="41"/>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row>
    <row r="851">
      <c r="A851" s="27"/>
      <c r="B851" s="42"/>
      <c r="C851" s="27"/>
      <c r="D851" s="27"/>
      <c r="E851" s="27"/>
      <c r="F851" s="27"/>
      <c r="G851" s="43"/>
      <c r="H851" s="27"/>
      <c r="I851" s="27"/>
      <c r="J851" s="27"/>
      <c r="K851" s="27"/>
      <c r="L851" s="27"/>
      <c r="M851" s="27"/>
      <c r="N851" s="27"/>
      <c r="O851" s="27"/>
      <c r="P851" s="43"/>
      <c r="Q851" s="27"/>
      <c r="R851" s="27"/>
      <c r="S851" s="43"/>
      <c r="T851" s="27"/>
      <c r="U851" s="27"/>
      <c r="V851" s="27"/>
      <c r="W851" s="27"/>
      <c r="X851" s="27"/>
      <c r="Y851" s="27"/>
      <c r="Z851" s="27"/>
      <c r="AA851" s="41"/>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row>
    <row r="852">
      <c r="A852" s="27"/>
      <c r="B852" s="42"/>
      <c r="C852" s="27"/>
      <c r="D852" s="27"/>
      <c r="E852" s="27"/>
      <c r="F852" s="27"/>
      <c r="G852" s="43"/>
      <c r="H852" s="27"/>
      <c r="I852" s="27"/>
      <c r="J852" s="27"/>
      <c r="K852" s="27"/>
      <c r="L852" s="27"/>
      <c r="M852" s="27"/>
      <c r="N852" s="27"/>
      <c r="O852" s="27"/>
      <c r="P852" s="43"/>
      <c r="Q852" s="27"/>
      <c r="R852" s="27"/>
      <c r="S852" s="43"/>
      <c r="T852" s="27"/>
      <c r="U852" s="27"/>
      <c r="V852" s="27"/>
      <c r="W852" s="27"/>
      <c r="X852" s="27"/>
      <c r="Y852" s="27"/>
      <c r="Z852" s="27"/>
      <c r="AA852" s="41"/>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row>
    <row r="853">
      <c r="A853" s="27"/>
      <c r="B853" s="42"/>
      <c r="C853" s="27"/>
      <c r="D853" s="27"/>
      <c r="E853" s="27"/>
      <c r="F853" s="27"/>
      <c r="G853" s="43"/>
      <c r="H853" s="27"/>
      <c r="I853" s="27"/>
      <c r="J853" s="27"/>
      <c r="K853" s="27"/>
      <c r="L853" s="27"/>
      <c r="M853" s="27"/>
      <c r="N853" s="27"/>
      <c r="O853" s="27"/>
      <c r="P853" s="43"/>
      <c r="Q853" s="27"/>
      <c r="R853" s="27"/>
      <c r="S853" s="43"/>
      <c r="T853" s="27"/>
      <c r="U853" s="27"/>
      <c r="V853" s="27"/>
      <c r="W853" s="27"/>
      <c r="X853" s="27"/>
      <c r="Y853" s="27"/>
      <c r="Z853" s="27"/>
      <c r="AA853" s="41"/>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row>
    <row r="854">
      <c r="A854" s="27"/>
      <c r="B854" s="42"/>
      <c r="C854" s="27"/>
      <c r="D854" s="27"/>
      <c r="E854" s="27"/>
      <c r="F854" s="27"/>
      <c r="G854" s="43"/>
      <c r="H854" s="27"/>
      <c r="I854" s="27"/>
      <c r="J854" s="27"/>
      <c r="K854" s="27"/>
      <c r="L854" s="27"/>
      <c r="M854" s="27"/>
      <c r="N854" s="27"/>
      <c r="O854" s="27"/>
      <c r="P854" s="43"/>
      <c r="Q854" s="27"/>
      <c r="R854" s="27"/>
      <c r="S854" s="43"/>
      <c r="T854" s="27"/>
      <c r="U854" s="27"/>
      <c r="V854" s="27"/>
      <c r="W854" s="27"/>
      <c r="X854" s="27"/>
      <c r="Y854" s="27"/>
      <c r="Z854" s="27"/>
      <c r="AA854" s="41"/>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row>
    <row r="855">
      <c r="A855" s="27"/>
      <c r="B855" s="42"/>
      <c r="C855" s="27"/>
      <c r="D855" s="27"/>
      <c r="E855" s="27"/>
      <c r="F855" s="27"/>
      <c r="G855" s="43"/>
      <c r="H855" s="27"/>
      <c r="I855" s="27"/>
      <c r="J855" s="27"/>
      <c r="K855" s="27"/>
      <c r="L855" s="27"/>
      <c r="M855" s="27"/>
      <c r="N855" s="27"/>
      <c r="O855" s="27"/>
      <c r="P855" s="43"/>
      <c r="Q855" s="27"/>
      <c r="R855" s="27"/>
      <c r="S855" s="43"/>
      <c r="T855" s="27"/>
      <c r="U855" s="27"/>
      <c r="V855" s="27"/>
      <c r="W855" s="27"/>
      <c r="X855" s="27"/>
      <c r="Y855" s="27"/>
      <c r="Z855" s="27"/>
      <c r="AA855" s="41"/>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row>
    <row r="856">
      <c r="A856" s="27"/>
      <c r="B856" s="42"/>
      <c r="C856" s="27"/>
      <c r="D856" s="27"/>
      <c r="E856" s="27"/>
      <c r="F856" s="27"/>
      <c r="G856" s="43"/>
      <c r="H856" s="27"/>
      <c r="I856" s="27"/>
      <c r="J856" s="27"/>
      <c r="K856" s="27"/>
      <c r="L856" s="27"/>
      <c r="M856" s="27"/>
      <c r="N856" s="27"/>
      <c r="O856" s="27"/>
      <c r="P856" s="43"/>
      <c r="Q856" s="27"/>
      <c r="R856" s="27"/>
      <c r="S856" s="43"/>
      <c r="T856" s="27"/>
      <c r="U856" s="27"/>
      <c r="V856" s="27"/>
      <c r="W856" s="27"/>
      <c r="X856" s="27"/>
      <c r="Y856" s="27"/>
      <c r="Z856" s="27"/>
      <c r="AA856" s="41"/>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row>
    <row r="857">
      <c r="A857" s="27"/>
      <c r="B857" s="42"/>
      <c r="C857" s="27"/>
      <c r="D857" s="27"/>
      <c r="E857" s="27"/>
      <c r="F857" s="27"/>
      <c r="G857" s="43"/>
      <c r="H857" s="27"/>
      <c r="I857" s="27"/>
      <c r="J857" s="27"/>
      <c r="K857" s="27"/>
      <c r="L857" s="27"/>
      <c r="M857" s="27"/>
      <c r="N857" s="27"/>
      <c r="O857" s="27"/>
      <c r="P857" s="43"/>
      <c r="Q857" s="27"/>
      <c r="R857" s="27"/>
      <c r="S857" s="43"/>
      <c r="T857" s="27"/>
      <c r="U857" s="27"/>
      <c r="V857" s="27"/>
      <c r="W857" s="27"/>
      <c r="X857" s="27"/>
      <c r="Y857" s="27"/>
      <c r="Z857" s="27"/>
      <c r="AA857" s="41"/>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row>
    <row r="858">
      <c r="A858" s="27"/>
      <c r="B858" s="42"/>
      <c r="C858" s="27"/>
      <c r="D858" s="27"/>
      <c r="E858" s="27"/>
      <c r="F858" s="27"/>
      <c r="G858" s="43"/>
      <c r="H858" s="27"/>
      <c r="I858" s="27"/>
      <c r="J858" s="27"/>
      <c r="K858" s="27"/>
      <c r="L858" s="27"/>
      <c r="M858" s="27"/>
      <c r="N858" s="27"/>
      <c r="O858" s="27"/>
      <c r="P858" s="43"/>
      <c r="Q858" s="27"/>
      <c r="R858" s="27"/>
      <c r="S858" s="43"/>
      <c r="T858" s="27"/>
      <c r="U858" s="27"/>
      <c r="V858" s="27"/>
      <c r="W858" s="27"/>
      <c r="X858" s="27"/>
      <c r="Y858" s="27"/>
      <c r="Z858" s="27"/>
      <c r="AA858" s="41"/>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row>
    <row r="859">
      <c r="A859" s="27"/>
      <c r="B859" s="42"/>
      <c r="C859" s="27"/>
      <c r="D859" s="27"/>
      <c r="E859" s="27"/>
      <c r="F859" s="27"/>
      <c r="G859" s="43"/>
      <c r="H859" s="27"/>
      <c r="I859" s="27"/>
      <c r="J859" s="27"/>
      <c r="K859" s="27"/>
      <c r="L859" s="27"/>
      <c r="M859" s="27"/>
      <c r="N859" s="27"/>
      <c r="O859" s="27"/>
      <c r="P859" s="43"/>
      <c r="Q859" s="27"/>
      <c r="R859" s="27"/>
      <c r="S859" s="43"/>
      <c r="T859" s="27"/>
      <c r="U859" s="27"/>
      <c r="V859" s="27"/>
      <c r="W859" s="27"/>
      <c r="X859" s="27"/>
      <c r="Y859" s="27"/>
      <c r="Z859" s="27"/>
      <c r="AA859" s="41"/>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row>
    <row r="860">
      <c r="A860" s="27"/>
      <c r="B860" s="42"/>
      <c r="C860" s="27"/>
      <c r="D860" s="27"/>
      <c r="E860" s="27"/>
      <c r="F860" s="27"/>
      <c r="G860" s="43"/>
      <c r="H860" s="27"/>
      <c r="I860" s="27"/>
      <c r="J860" s="27"/>
      <c r="K860" s="27"/>
      <c r="L860" s="27"/>
      <c r="M860" s="27"/>
      <c r="N860" s="27"/>
      <c r="O860" s="27"/>
      <c r="P860" s="43"/>
      <c r="Q860" s="27"/>
      <c r="R860" s="27"/>
      <c r="S860" s="43"/>
      <c r="T860" s="27"/>
      <c r="U860" s="27"/>
      <c r="V860" s="27"/>
      <c r="W860" s="27"/>
      <c r="X860" s="27"/>
      <c r="Y860" s="27"/>
      <c r="Z860" s="27"/>
      <c r="AA860" s="41"/>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row>
    <row r="861">
      <c r="A861" s="27"/>
      <c r="B861" s="42"/>
      <c r="C861" s="27"/>
      <c r="D861" s="27"/>
      <c r="E861" s="27"/>
      <c r="F861" s="27"/>
      <c r="G861" s="43"/>
      <c r="H861" s="27"/>
      <c r="I861" s="27"/>
      <c r="J861" s="27"/>
      <c r="K861" s="27"/>
      <c r="L861" s="27"/>
      <c r="M861" s="27"/>
      <c r="N861" s="27"/>
      <c r="O861" s="27"/>
      <c r="P861" s="43"/>
      <c r="Q861" s="27"/>
      <c r="R861" s="27"/>
      <c r="S861" s="43"/>
      <c r="T861" s="27"/>
      <c r="U861" s="27"/>
      <c r="V861" s="27"/>
      <c r="W861" s="27"/>
      <c r="X861" s="27"/>
      <c r="Y861" s="27"/>
      <c r="Z861" s="27"/>
      <c r="AA861" s="41"/>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row>
    <row r="862">
      <c r="A862" s="27"/>
      <c r="B862" s="42"/>
      <c r="C862" s="27"/>
      <c r="D862" s="27"/>
      <c r="E862" s="27"/>
      <c r="F862" s="27"/>
      <c r="G862" s="43"/>
      <c r="H862" s="27"/>
      <c r="I862" s="27"/>
      <c r="J862" s="27"/>
      <c r="K862" s="27"/>
      <c r="L862" s="27"/>
      <c r="M862" s="27"/>
      <c r="N862" s="27"/>
      <c r="O862" s="27"/>
      <c r="P862" s="43"/>
      <c r="Q862" s="27"/>
      <c r="R862" s="27"/>
      <c r="S862" s="43"/>
      <c r="T862" s="27"/>
      <c r="U862" s="27"/>
      <c r="V862" s="27"/>
      <c r="W862" s="27"/>
      <c r="X862" s="27"/>
      <c r="Y862" s="27"/>
      <c r="Z862" s="27"/>
      <c r="AA862" s="41"/>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row>
    <row r="863">
      <c r="A863" s="27"/>
      <c r="B863" s="42"/>
      <c r="C863" s="27"/>
      <c r="D863" s="27"/>
      <c r="E863" s="27"/>
      <c r="F863" s="27"/>
      <c r="G863" s="43"/>
      <c r="H863" s="27"/>
      <c r="I863" s="27"/>
      <c r="J863" s="27"/>
      <c r="K863" s="27"/>
      <c r="L863" s="27"/>
      <c r="M863" s="27"/>
      <c r="N863" s="27"/>
      <c r="O863" s="27"/>
      <c r="P863" s="43"/>
      <c r="Q863" s="27"/>
      <c r="R863" s="27"/>
      <c r="S863" s="43"/>
      <c r="T863" s="27"/>
      <c r="U863" s="27"/>
      <c r="V863" s="27"/>
      <c r="W863" s="27"/>
      <c r="X863" s="27"/>
      <c r="Y863" s="27"/>
      <c r="Z863" s="27"/>
      <c r="AA863" s="41"/>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row>
    <row r="864">
      <c r="A864" s="27"/>
      <c r="B864" s="42"/>
      <c r="C864" s="27"/>
      <c r="D864" s="27"/>
      <c r="E864" s="27"/>
      <c r="F864" s="27"/>
      <c r="G864" s="43"/>
      <c r="H864" s="27"/>
      <c r="I864" s="27"/>
      <c r="J864" s="27"/>
      <c r="K864" s="27"/>
      <c r="L864" s="27"/>
      <c r="M864" s="27"/>
      <c r="N864" s="27"/>
      <c r="O864" s="27"/>
      <c r="P864" s="43"/>
      <c r="Q864" s="27"/>
      <c r="R864" s="27"/>
      <c r="S864" s="43"/>
      <c r="T864" s="27"/>
      <c r="U864" s="27"/>
      <c r="V864" s="27"/>
      <c r="W864" s="27"/>
      <c r="X864" s="27"/>
      <c r="Y864" s="27"/>
      <c r="Z864" s="27"/>
      <c r="AA864" s="41"/>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row>
    <row r="865">
      <c r="A865" s="27"/>
      <c r="B865" s="42"/>
      <c r="C865" s="27"/>
      <c r="D865" s="27"/>
      <c r="E865" s="27"/>
      <c r="F865" s="27"/>
      <c r="G865" s="43"/>
      <c r="H865" s="27"/>
      <c r="I865" s="27"/>
      <c r="J865" s="27"/>
      <c r="K865" s="27"/>
      <c r="L865" s="27"/>
      <c r="M865" s="27"/>
      <c r="N865" s="27"/>
      <c r="O865" s="27"/>
      <c r="P865" s="43"/>
      <c r="Q865" s="27"/>
      <c r="R865" s="27"/>
      <c r="S865" s="43"/>
      <c r="T865" s="27"/>
      <c r="U865" s="27"/>
      <c r="V865" s="27"/>
      <c r="W865" s="27"/>
      <c r="X865" s="27"/>
      <c r="Y865" s="27"/>
      <c r="Z865" s="27"/>
      <c r="AA865" s="41"/>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row>
    <row r="866">
      <c r="A866" s="27"/>
      <c r="B866" s="42"/>
      <c r="C866" s="27"/>
      <c r="D866" s="27"/>
      <c r="E866" s="27"/>
      <c r="F866" s="27"/>
      <c r="G866" s="43"/>
      <c r="H866" s="27"/>
      <c r="I866" s="27"/>
      <c r="J866" s="27"/>
      <c r="K866" s="27"/>
      <c r="L866" s="27"/>
      <c r="M866" s="27"/>
      <c r="N866" s="27"/>
      <c r="O866" s="27"/>
      <c r="P866" s="43"/>
      <c r="Q866" s="27"/>
      <c r="R866" s="27"/>
      <c r="S866" s="43"/>
      <c r="T866" s="27"/>
      <c r="U866" s="27"/>
      <c r="V866" s="27"/>
      <c r="W866" s="27"/>
      <c r="X866" s="27"/>
      <c r="Y866" s="27"/>
      <c r="Z866" s="27"/>
      <c r="AA866" s="41"/>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row>
    <row r="867">
      <c r="A867" s="27"/>
      <c r="B867" s="42"/>
      <c r="C867" s="27"/>
      <c r="D867" s="27"/>
      <c r="E867" s="27"/>
      <c r="F867" s="27"/>
      <c r="G867" s="43"/>
      <c r="H867" s="27"/>
      <c r="I867" s="27"/>
      <c r="J867" s="27"/>
      <c r="K867" s="27"/>
      <c r="L867" s="27"/>
      <c r="M867" s="27"/>
      <c r="N867" s="27"/>
      <c r="O867" s="27"/>
      <c r="P867" s="43"/>
      <c r="Q867" s="27"/>
      <c r="R867" s="27"/>
      <c r="S867" s="43"/>
      <c r="T867" s="27"/>
      <c r="U867" s="27"/>
      <c r="V867" s="27"/>
      <c r="W867" s="27"/>
      <c r="X867" s="27"/>
      <c r="Y867" s="27"/>
      <c r="Z867" s="27"/>
      <c r="AA867" s="41"/>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row>
    <row r="868">
      <c r="A868" s="27"/>
      <c r="B868" s="42"/>
      <c r="C868" s="27"/>
      <c r="D868" s="27"/>
      <c r="E868" s="27"/>
      <c r="F868" s="27"/>
      <c r="G868" s="43"/>
      <c r="H868" s="27"/>
      <c r="I868" s="27"/>
      <c r="J868" s="27"/>
      <c r="K868" s="27"/>
      <c r="L868" s="27"/>
      <c r="M868" s="27"/>
      <c r="N868" s="27"/>
      <c r="O868" s="27"/>
      <c r="P868" s="43"/>
      <c r="Q868" s="27"/>
      <c r="R868" s="27"/>
      <c r="S868" s="43"/>
      <c r="T868" s="27"/>
      <c r="U868" s="27"/>
      <c r="V868" s="27"/>
      <c r="W868" s="27"/>
      <c r="X868" s="27"/>
      <c r="Y868" s="27"/>
      <c r="Z868" s="27"/>
      <c r="AA868" s="41"/>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row>
    <row r="869">
      <c r="A869" s="27"/>
      <c r="B869" s="42"/>
      <c r="C869" s="27"/>
      <c r="D869" s="27"/>
      <c r="E869" s="27"/>
      <c r="F869" s="27"/>
      <c r="G869" s="43"/>
      <c r="H869" s="27"/>
      <c r="I869" s="27"/>
      <c r="J869" s="27"/>
      <c r="K869" s="27"/>
      <c r="L869" s="27"/>
      <c r="M869" s="27"/>
      <c r="N869" s="27"/>
      <c r="O869" s="27"/>
      <c r="P869" s="43"/>
      <c r="Q869" s="27"/>
      <c r="R869" s="27"/>
      <c r="S869" s="43"/>
      <c r="T869" s="27"/>
      <c r="U869" s="27"/>
      <c r="V869" s="27"/>
      <c r="W869" s="27"/>
      <c r="X869" s="27"/>
      <c r="Y869" s="27"/>
      <c r="Z869" s="27"/>
      <c r="AA869" s="41"/>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row>
    <row r="870">
      <c r="A870" s="27"/>
      <c r="B870" s="42"/>
      <c r="C870" s="27"/>
      <c r="D870" s="27"/>
      <c r="E870" s="27"/>
      <c r="F870" s="27"/>
      <c r="G870" s="43"/>
      <c r="H870" s="27"/>
      <c r="I870" s="27"/>
      <c r="J870" s="27"/>
      <c r="K870" s="27"/>
      <c r="L870" s="27"/>
      <c r="M870" s="27"/>
      <c r="N870" s="27"/>
      <c r="O870" s="27"/>
      <c r="P870" s="43"/>
      <c r="Q870" s="27"/>
      <c r="R870" s="27"/>
      <c r="S870" s="43"/>
      <c r="T870" s="27"/>
      <c r="U870" s="27"/>
      <c r="V870" s="27"/>
      <c r="W870" s="27"/>
      <c r="X870" s="27"/>
      <c r="Y870" s="27"/>
      <c r="Z870" s="27"/>
      <c r="AA870" s="41"/>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row>
    <row r="871">
      <c r="A871" s="27"/>
      <c r="B871" s="42"/>
      <c r="C871" s="27"/>
      <c r="D871" s="27"/>
      <c r="E871" s="27"/>
      <c r="F871" s="27"/>
      <c r="G871" s="43"/>
      <c r="H871" s="27"/>
      <c r="I871" s="27"/>
      <c r="J871" s="27"/>
      <c r="K871" s="27"/>
      <c r="L871" s="27"/>
      <c r="M871" s="27"/>
      <c r="N871" s="27"/>
      <c r="O871" s="27"/>
      <c r="P871" s="43"/>
      <c r="Q871" s="27"/>
      <c r="R871" s="27"/>
      <c r="S871" s="43"/>
      <c r="T871" s="27"/>
      <c r="U871" s="27"/>
      <c r="V871" s="27"/>
      <c r="W871" s="27"/>
      <c r="X871" s="27"/>
      <c r="Y871" s="27"/>
      <c r="Z871" s="27"/>
      <c r="AA871" s="41"/>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row>
    <row r="872">
      <c r="A872" s="27"/>
      <c r="B872" s="42"/>
      <c r="C872" s="27"/>
      <c r="D872" s="27"/>
      <c r="E872" s="27"/>
      <c r="F872" s="27"/>
      <c r="G872" s="43"/>
      <c r="H872" s="27"/>
      <c r="I872" s="27"/>
      <c r="J872" s="27"/>
      <c r="K872" s="27"/>
      <c r="L872" s="27"/>
      <c r="M872" s="27"/>
      <c r="N872" s="27"/>
      <c r="O872" s="27"/>
      <c r="P872" s="43"/>
      <c r="Q872" s="27"/>
      <c r="R872" s="27"/>
      <c r="S872" s="43"/>
      <c r="T872" s="27"/>
      <c r="U872" s="27"/>
      <c r="V872" s="27"/>
      <c r="W872" s="27"/>
      <c r="X872" s="27"/>
      <c r="Y872" s="27"/>
      <c r="Z872" s="27"/>
      <c r="AA872" s="41"/>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row>
    <row r="873">
      <c r="A873" s="27"/>
      <c r="B873" s="42"/>
      <c r="C873" s="27"/>
      <c r="D873" s="27"/>
      <c r="E873" s="27"/>
      <c r="F873" s="27"/>
      <c r="G873" s="43"/>
      <c r="H873" s="27"/>
      <c r="I873" s="27"/>
      <c r="J873" s="27"/>
      <c r="K873" s="27"/>
      <c r="L873" s="27"/>
      <c r="M873" s="27"/>
      <c r="N873" s="27"/>
      <c r="O873" s="27"/>
      <c r="P873" s="43"/>
      <c r="Q873" s="27"/>
      <c r="R873" s="27"/>
      <c r="S873" s="43"/>
      <c r="T873" s="27"/>
      <c r="U873" s="27"/>
      <c r="V873" s="27"/>
      <c r="W873" s="27"/>
      <c r="X873" s="27"/>
      <c r="Y873" s="27"/>
      <c r="Z873" s="27"/>
      <c r="AA873" s="41"/>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row>
    <row r="874">
      <c r="A874" s="27"/>
      <c r="B874" s="42"/>
      <c r="C874" s="27"/>
      <c r="D874" s="27"/>
      <c r="E874" s="27"/>
      <c r="F874" s="27"/>
      <c r="G874" s="43"/>
      <c r="H874" s="27"/>
      <c r="I874" s="27"/>
      <c r="J874" s="27"/>
      <c r="K874" s="27"/>
      <c r="L874" s="27"/>
      <c r="M874" s="27"/>
      <c r="N874" s="27"/>
      <c r="O874" s="27"/>
      <c r="P874" s="43"/>
      <c r="Q874" s="27"/>
      <c r="R874" s="27"/>
      <c r="S874" s="43"/>
      <c r="T874" s="27"/>
      <c r="U874" s="27"/>
      <c r="V874" s="27"/>
      <c r="W874" s="27"/>
      <c r="X874" s="27"/>
      <c r="Y874" s="27"/>
      <c r="Z874" s="27"/>
      <c r="AA874" s="41"/>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row>
    <row r="875">
      <c r="A875" s="27"/>
      <c r="B875" s="42"/>
      <c r="C875" s="27"/>
      <c r="D875" s="27"/>
      <c r="E875" s="27"/>
      <c r="F875" s="27"/>
      <c r="G875" s="43"/>
      <c r="H875" s="27"/>
      <c r="I875" s="27"/>
      <c r="J875" s="27"/>
      <c r="K875" s="27"/>
      <c r="L875" s="27"/>
      <c r="M875" s="27"/>
      <c r="N875" s="27"/>
      <c r="O875" s="27"/>
      <c r="P875" s="43"/>
      <c r="Q875" s="27"/>
      <c r="R875" s="27"/>
      <c r="S875" s="43"/>
      <c r="T875" s="27"/>
      <c r="U875" s="27"/>
      <c r="V875" s="27"/>
      <c r="W875" s="27"/>
      <c r="X875" s="27"/>
      <c r="Y875" s="27"/>
      <c r="Z875" s="27"/>
      <c r="AA875" s="41"/>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row>
    <row r="876">
      <c r="A876" s="27"/>
      <c r="B876" s="42"/>
      <c r="C876" s="27"/>
      <c r="D876" s="27"/>
      <c r="E876" s="27"/>
      <c r="F876" s="27"/>
      <c r="G876" s="43"/>
      <c r="H876" s="27"/>
      <c r="I876" s="27"/>
      <c r="J876" s="27"/>
      <c r="K876" s="27"/>
      <c r="L876" s="27"/>
      <c r="M876" s="27"/>
      <c r="N876" s="27"/>
      <c r="O876" s="27"/>
      <c r="P876" s="43"/>
      <c r="Q876" s="27"/>
      <c r="R876" s="27"/>
      <c r="S876" s="43"/>
      <c r="T876" s="27"/>
      <c r="U876" s="27"/>
      <c r="V876" s="27"/>
      <c r="W876" s="27"/>
      <c r="X876" s="27"/>
      <c r="Y876" s="27"/>
      <c r="Z876" s="27"/>
      <c r="AA876" s="41"/>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row>
    <row r="877">
      <c r="A877" s="27"/>
      <c r="B877" s="42"/>
      <c r="C877" s="27"/>
      <c r="D877" s="27"/>
      <c r="E877" s="27"/>
      <c r="F877" s="27"/>
      <c r="G877" s="43"/>
      <c r="H877" s="27"/>
      <c r="I877" s="27"/>
      <c r="J877" s="27"/>
      <c r="K877" s="27"/>
      <c r="L877" s="27"/>
      <c r="M877" s="27"/>
      <c r="N877" s="27"/>
      <c r="O877" s="27"/>
      <c r="P877" s="43"/>
      <c r="Q877" s="27"/>
      <c r="R877" s="27"/>
      <c r="S877" s="43"/>
      <c r="T877" s="27"/>
      <c r="U877" s="27"/>
      <c r="V877" s="27"/>
      <c r="W877" s="27"/>
      <c r="X877" s="27"/>
      <c r="Y877" s="27"/>
      <c r="Z877" s="27"/>
      <c r="AA877" s="41"/>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row>
    <row r="878">
      <c r="A878" s="27"/>
      <c r="B878" s="42"/>
      <c r="C878" s="27"/>
      <c r="D878" s="27"/>
      <c r="E878" s="27"/>
      <c r="F878" s="27"/>
      <c r="G878" s="43"/>
      <c r="H878" s="27"/>
      <c r="I878" s="27"/>
      <c r="J878" s="27"/>
      <c r="K878" s="27"/>
      <c r="L878" s="27"/>
      <c r="M878" s="27"/>
      <c r="N878" s="27"/>
      <c r="O878" s="27"/>
      <c r="P878" s="43"/>
      <c r="Q878" s="27"/>
      <c r="R878" s="27"/>
      <c r="S878" s="43"/>
      <c r="T878" s="27"/>
      <c r="U878" s="27"/>
      <c r="V878" s="27"/>
      <c r="W878" s="27"/>
      <c r="X878" s="27"/>
      <c r="Y878" s="27"/>
      <c r="Z878" s="27"/>
      <c r="AA878" s="41"/>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row>
    <row r="879">
      <c r="A879" s="27"/>
      <c r="B879" s="42"/>
      <c r="C879" s="27"/>
      <c r="D879" s="27"/>
      <c r="E879" s="27"/>
      <c r="F879" s="27"/>
      <c r="G879" s="43"/>
      <c r="H879" s="27"/>
      <c r="I879" s="27"/>
      <c r="J879" s="27"/>
      <c r="K879" s="27"/>
      <c r="L879" s="27"/>
      <c r="M879" s="27"/>
      <c r="N879" s="27"/>
      <c r="O879" s="27"/>
      <c r="P879" s="43"/>
      <c r="Q879" s="27"/>
      <c r="R879" s="27"/>
      <c r="S879" s="43"/>
      <c r="T879" s="27"/>
      <c r="U879" s="27"/>
      <c r="V879" s="27"/>
      <c r="W879" s="27"/>
      <c r="X879" s="27"/>
      <c r="Y879" s="27"/>
      <c r="Z879" s="27"/>
      <c r="AA879" s="41"/>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row>
    <row r="880">
      <c r="A880" s="27"/>
      <c r="B880" s="42"/>
      <c r="C880" s="27"/>
      <c r="D880" s="27"/>
      <c r="E880" s="27"/>
      <c r="F880" s="27"/>
      <c r="G880" s="43"/>
      <c r="H880" s="27"/>
      <c r="I880" s="27"/>
      <c r="J880" s="27"/>
      <c r="K880" s="27"/>
      <c r="L880" s="27"/>
      <c r="M880" s="27"/>
      <c r="N880" s="27"/>
      <c r="O880" s="27"/>
      <c r="P880" s="43"/>
      <c r="Q880" s="27"/>
      <c r="R880" s="27"/>
      <c r="S880" s="43"/>
      <c r="T880" s="27"/>
      <c r="U880" s="27"/>
      <c r="V880" s="27"/>
      <c r="W880" s="27"/>
      <c r="X880" s="27"/>
      <c r="Y880" s="27"/>
      <c r="Z880" s="27"/>
      <c r="AA880" s="41"/>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row>
    <row r="881">
      <c r="A881" s="27"/>
      <c r="B881" s="42"/>
      <c r="C881" s="27"/>
      <c r="D881" s="27"/>
      <c r="E881" s="27"/>
      <c r="F881" s="27"/>
      <c r="G881" s="43"/>
      <c r="H881" s="27"/>
      <c r="I881" s="27"/>
      <c r="J881" s="27"/>
      <c r="K881" s="27"/>
      <c r="L881" s="27"/>
      <c r="M881" s="27"/>
      <c r="N881" s="27"/>
      <c r="O881" s="27"/>
      <c r="P881" s="43"/>
      <c r="Q881" s="27"/>
      <c r="R881" s="27"/>
      <c r="S881" s="43"/>
      <c r="T881" s="27"/>
      <c r="U881" s="27"/>
      <c r="V881" s="27"/>
      <c r="W881" s="27"/>
      <c r="X881" s="27"/>
      <c r="Y881" s="27"/>
      <c r="Z881" s="27"/>
      <c r="AA881" s="41"/>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row>
    <row r="882">
      <c r="A882" s="27"/>
      <c r="B882" s="42"/>
      <c r="C882" s="27"/>
      <c r="D882" s="27"/>
      <c r="E882" s="27"/>
      <c r="F882" s="27"/>
      <c r="G882" s="43"/>
      <c r="H882" s="27"/>
      <c r="I882" s="27"/>
      <c r="J882" s="27"/>
      <c r="K882" s="27"/>
      <c r="L882" s="27"/>
      <c r="M882" s="27"/>
      <c r="N882" s="27"/>
      <c r="O882" s="27"/>
      <c r="P882" s="43"/>
      <c r="Q882" s="27"/>
      <c r="R882" s="27"/>
      <c r="S882" s="43"/>
      <c r="T882" s="27"/>
      <c r="U882" s="27"/>
      <c r="V882" s="27"/>
      <c r="W882" s="27"/>
      <c r="X882" s="27"/>
      <c r="Y882" s="27"/>
      <c r="Z882" s="27"/>
      <c r="AA882" s="41"/>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row>
    <row r="883">
      <c r="A883" s="27"/>
      <c r="B883" s="42"/>
      <c r="C883" s="27"/>
      <c r="D883" s="27"/>
      <c r="E883" s="27"/>
      <c r="F883" s="27"/>
      <c r="G883" s="43"/>
      <c r="H883" s="27"/>
      <c r="I883" s="27"/>
      <c r="J883" s="27"/>
      <c r="K883" s="27"/>
      <c r="L883" s="27"/>
      <c r="M883" s="27"/>
      <c r="N883" s="27"/>
      <c r="O883" s="27"/>
      <c r="P883" s="43"/>
      <c r="Q883" s="27"/>
      <c r="R883" s="27"/>
      <c r="S883" s="43"/>
      <c r="T883" s="27"/>
      <c r="U883" s="27"/>
      <c r="V883" s="27"/>
      <c r="W883" s="27"/>
      <c r="X883" s="27"/>
      <c r="Y883" s="27"/>
      <c r="Z883" s="27"/>
      <c r="AA883" s="41"/>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row>
    <row r="884">
      <c r="A884" s="27"/>
      <c r="B884" s="42"/>
      <c r="C884" s="27"/>
      <c r="D884" s="27"/>
      <c r="E884" s="27"/>
      <c r="F884" s="27"/>
      <c r="G884" s="43"/>
      <c r="H884" s="27"/>
      <c r="I884" s="27"/>
      <c r="J884" s="27"/>
      <c r="K884" s="27"/>
      <c r="L884" s="27"/>
      <c r="M884" s="27"/>
      <c r="N884" s="27"/>
      <c r="O884" s="27"/>
      <c r="P884" s="43"/>
      <c r="Q884" s="27"/>
      <c r="R884" s="27"/>
      <c r="S884" s="43"/>
      <c r="T884" s="27"/>
      <c r="U884" s="27"/>
      <c r="V884" s="27"/>
      <c r="W884" s="27"/>
      <c r="X884" s="27"/>
      <c r="Y884" s="27"/>
      <c r="Z884" s="27"/>
      <c r="AA884" s="41"/>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row>
    <row r="885">
      <c r="A885" s="27"/>
      <c r="B885" s="42"/>
      <c r="C885" s="27"/>
      <c r="D885" s="27"/>
      <c r="E885" s="27"/>
      <c r="F885" s="27"/>
      <c r="G885" s="43"/>
      <c r="H885" s="27"/>
      <c r="I885" s="27"/>
      <c r="J885" s="27"/>
      <c r="K885" s="27"/>
      <c r="L885" s="27"/>
      <c r="M885" s="27"/>
      <c r="N885" s="27"/>
      <c r="O885" s="27"/>
      <c r="P885" s="43"/>
      <c r="Q885" s="27"/>
      <c r="R885" s="27"/>
      <c r="S885" s="43"/>
      <c r="T885" s="27"/>
      <c r="U885" s="27"/>
      <c r="V885" s="27"/>
      <c r="W885" s="27"/>
      <c r="X885" s="27"/>
      <c r="Y885" s="27"/>
      <c r="Z885" s="27"/>
      <c r="AA885" s="41"/>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row>
    <row r="886">
      <c r="A886" s="27"/>
      <c r="B886" s="42"/>
      <c r="C886" s="27"/>
      <c r="D886" s="27"/>
      <c r="E886" s="27"/>
      <c r="F886" s="27"/>
      <c r="G886" s="43"/>
      <c r="H886" s="27"/>
      <c r="I886" s="27"/>
      <c r="J886" s="27"/>
      <c r="K886" s="27"/>
      <c r="L886" s="27"/>
      <c r="M886" s="27"/>
      <c r="N886" s="27"/>
      <c r="O886" s="27"/>
      <c r="P886" s="43"/>
      <c r="Q886" s="27"/>
      <c r="R886" s="27"/>
      <c r="S886" s="43"/>
      <c r="T886" s="27"/>
      <c r="U886" s="27"/>
      <c r="V886" s="27"/>
      <c r="W886" s="27"/>
      <c r="X886" s="27"/>
      <c r="Y886" s="27"/>
      <c r="Z886" s="27"/>
      <c r="AA886" s="41"/>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row>
    <row r="887">
      <c r="A887" s="27"/>
      <c r="B887" s="42"/>
      <c r="C887" s="27"/>
      <c r="D887" s="27"/>
      <c r="E887" s="27"/>
      <c r="F887" s="27"/>
      <c r="G887" s="43"/>
      <c r="H887" s="27"/>
      <c r="I887" s="27"/>
      <c r="J887" s="27"/>
      <c r="K887" s="27"/>
      <c r="L887" s="27"/>
      <c r="M887" s="27"/>
      <c r="N887" s="27"/>
      <c r="O887" s="27"/>
      <c r="P887" s="43"/>
      <c r="Q887" s="27"/>
      <c r="R887" s="27"/>
      <c r="S887" s="43"/>
      <c r="T887" s="27"/>
      <c r="U887" s="27"/>
      <c r="V887" s="27"/>
      <c r="W887" s="27"/>
      <c r="X887" s="27"/>
      <c r="Y887" s="27"/>
      <c r="Z887" s="27"/>
      <c r="AA887" s="41"/>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row>
    <row r="888">
      <c r="A888" s="27"/>
      <c r="B888" s="42"/>
      <c r="C888" s="27"/>
      <c r="D888" s="27"/>
      <c r="E888" s="27"/>
      <c r="F888" s="27"/>
      <c r="G888" s="43"/>
      <c r="H888" s="27"/>
      <c r="I888" s="27"/>
      <c r="J888" s="27"/>
      <c r="K888" s="27"/>
      <c r="L888" s="27"/>
      <c r="M888" s="27"/>
      <c r="N888" s="27"/>
      <c r="O888" s="27"/>
      <c r="P888" s="43"/>
      <c r="Q888" s="27"/>
      <c r="R888" s="27"/>
      <c r="S888" s="43"/>
      <c r="T888" s="27"/>
      <c r="U888" s="27"/>
      <c r="V888" s="27"/>
      <c r="W888" s="27"/>
      <c r="X888" s="27"/>
      <c r="Y888" s="27"/>
      <c r="Z888" s="27"/>
      <c r="AA888" s="41"/>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row>
    <row r="889">
      <c r="A889" s="27"/>
      <c r="B889" s="42"/>
      <c r="C889" s="27"/>
      <c r="D889" s="27"/>
      <c r="E889" s="27"/>
      <c r="F889" s="27"/>
      <c r="G889" s="43"/>
      <c r="H889" s="27"/>
      <c r="I889" s="27"/>
      <c r="J889" s="27"/>
      <c r="K889" s="27"/>
      <c r="L889" s="27"/>
      <c r="M889" s="27"/>
      <c r="N889" s="27"/>
      <c r="O889" s="27"/>
      <c r="P889" s="43"/>
      <c r="Q889" s="27"/>
      <c r="R889" s="27"/>
      <c r="S889" s="43"/>
      <c r="T889" s="27"/>
      <c r="U889" s="27"/>
      <c r="V889" s="27"/>
      <c r="W889" s="27"/>
      <c r="X889" s="27"/>
      <c r="Y889" s="27"/>
      <c r="Z889" s="27"/>
      <c r="AA889" s="41"/>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row>
    <row r="890">
      <c r="A890" s="27"/>
      <c r="B890" s="42"/>
      <c r="C890" s="27"/>
      <c r="D890" s="27"/>
      <c r="E890" s="27"/>
      <c r="F890" s="27"/>
      <c r="G890" s="43"/>
      <c r="H890" s="27"/>
      <c r="I890" s="27"/>
      <c r="J890" s="27"/>
      <c r="K890" s="27"/>
      <c r="L890" s="27"/>
      <c r="M890" s="27"/>
      <c r="N890" s="27"/>
      <c r="O890" s="27"/>
      <c r="P890" s="43"/>
      <c r="Q890" s="27"/>
      <c r="R890" s="27"/>
      <c r="S890" s="43"/>
      <c r="T890" s="27"/>
      <c r="U890" s="27"/>
      <c r="V890" s="27"/>
      <c r="W890" s="27"/>
      <c r="X890" s="27"/>
      <c r="Y890" s="27"/>
      <c r="Z890" s="27"/>
      <c r="AA890" s="41"/>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row>
    <row r="891">
      <c r="A891" s="27"/>
      <c r="B891" s="42"/>
      <c r="C891" s="27"/>
      <c r="D891" s="27"/>
      <c r="E891" s="27"/>
      <c r="F891" s="27"/>
      <c r="G891" s="43"/>
      <c r="H891" s="27"/>
      <c r="I891" s="27"/>
      <c r="J891" s="27"/>
      <c r="K891" s="27"/>
      <c r="L891" s="27"/>
      <c r="M891" s="27"/>
      <c r="N891" s="27"/>
      <c r="O891" s="27"/>
      <c r="P891" s="43"/>
      <c r="Q891" s="27"/>
      <c r="R891" s="27"/>
      <c r="S891" s="43"/>
      <c r="T891" s="27"/>
      <c r="U891" s="27"/>
      <c r="V891" s="27"/>
      <c r="W891" s="27"/>
      <c r="X891" s="27"/>
      <c r="Y891" s="27"/>
      <c r="Z891" s="27"/>
      <c r="AA891" s="41"/>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row>
    <row r="892">
      <c r="A892" s="27"/>
      <c r="B892" s="42"/>
      <c r="C892" s="27"/>
      <c r="D892" s="27"/>
      <c r="E892" s="27"/>
      <c r="F892" s="27"/>
      <c r="G892" s="43"/>
      <c r="H892" s="27"/>
      <c r="I892" s="27"/>
      <c r="J892" s="27"/>
      <c r="K892" s="27"/>
      <c r="L892" s="27"/>
      <c r="M892" s="27"/>
      <c r="N892" s="27"/>
      <c r="O892" s="27"/>
      <c r="P892" s="43"/>
      <c r="Q892" s="27"/>
      <c r="R892" s="27"/>
      <c r="S892" s="43"/>
      <c r="T892" s="27"/>
      <c r="U892" s="27"/>
      <c r="V892" s="27"/>
      <c r="W892" s="27"/>
      <c r="X892" s="27"/>
      <c r="Y892" s="27"/>
      <c r="Z892" s="27"/>
      <c r="AA892" s="41"/>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row>
    <row r="893">
      <c r="A893" s="27"/>
      <c r="B893" s="42"/>
      <c r="C893" s="27"/>
      <c r="D893" s="27"/>
      <c r="E893" s="27"/>
      <c r="F893" s="27"/>
      <c r="G893" s="43"/>
      <c r="H893" s="27"/>
      <c r="I893" s="27"/>
      <c r="J893" s="27"/>
      <c r="K893" s="27"/>
      <c r="L893" s="27"/>
      <c r="M893" s="27"/>
      <c r="N893" s="27"/>
      <c r="O893" s="27"/>
      <c r="P893" s="43"/>
      <c r="Q893" s="27"/>
      <c r="R893" s="27"/>
      <c r="S893" s="43"/>
      <c r="T893" s="27"/>
      <c r="U893" s="27"/>
      <c r="V893" s="27"/>
      <c r="W893" s="27"/>
      <c r="X893" s="27"/>
      <c r="Y893" s="27"/>
      <c r="Z893" s="27"/>
      <c r="AA893" s="41"/>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row>
    <row r="894">
      <c r="A894" s="27"/>
      <c r="B894" s="42"/>
      <c r="C894" s="27"/>
      <c r="D894" s="27"/>
      <c r="E894" s="27"/>
      <c r="F894" s="27"/>
      <c r="G894" s="43"/>
      <c r="H894" s="27"/>
      <c r="I894" s="27"/>
      <c r="J894" s="27"/>
      <c r="K894" s="27"/>
      <c r="L894" s="27"/>
      <c r="M894" s="27"/>
      <c r="N894" s="27"/>
      <c r="O894" s="27"/>
      <c r="P894" s="43"/>
      <c r="Q894" s="27"/>
      <c r="R894" s="27"/>
      <c r="S894" s="43"/>
      <c r="T894" s="27"/>
      <c r="U894" s="27"/>
      <c r="V894" s="27"/>
      <c r="W894" s="27"/>
      <c r="X894" s="27"/>
      <c r="Y894" s="27"/>
      <c r="Z894" s="27"/>
      <c r="AA894" s="41"/>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row>
    <row r="895">
      <c r="A895" s="27"/>
      <c r="B895" s="42"/>
      <c r="C895" s="27"/>
      <c r="D895" s="27"/>
      <c r="E895" s="27"/>
      <c r="F895" s="27"/>
      <c r="G895" s="43"/>
      <c r="H895" s="27"/>
      <c r="I895" s="27"/>
      <c r="J895" s="27"/>
      <c r="K895" s="27"/>
      <c r="L895" s="27"/>
      <c r="M895" s="27"/>
      <c r="N895" s="27"/>
      <c r="O895" s="27"/>
      <c r="P895" s="43"/>
      <c r="Q895" s="27"/>
      <c r="R895" s="27"/>
      <c r="S895" s="43"/>
      <c r="T895" s="27"/>
      <c r="U895" s="27"/>
      <c r="V895" s="27"/>
      <c r="W895" s="27"/>
      <c r="X895" s="27"/>
      <c r="Y895" s="27"/>
      <c r="Z895" s="27"/>
      <c r="AA895" s="41"/>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row>
    <row r="896">
      <c r="A896" s="27"/>
      <c r="B896" s="42"/>
      <c r="C896" s="27"/>
      <c r="D896" s="27"/>
      <c r="E896" s="27"/>
      <c r="F896" s="27"/>
      <c r="G896" s="43"/>
      <c r="H896" s="27"/>
      <c r="I896" s="27"/>
      <c r="J896" s="27"/>
      <c r="K896" s="27"/>
      <c r="L896" s="27"/>
      <c r="M896" s="27"/>
      <c r="N896" s="27"/>
      <c r="O896" s="27"/>
      <c r="P896" s="43"/>
      <c r="Q896" s="27"/>
      <c r="R896" s="27"/>
      <c r="S896" s="43"/>
      <c r="T896" s="27"/>
      <c r="U896" s="27"/>
      <c r="V896" s="27"/>
      <c r="W896" s="27"/>
      <c r="X896" s="27"/>
      <c r="Y896" s="27"/>
      <c r="Z896" s="27"/>
      <c r="AA896" s="41"/>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row>
    <row r="897">
      <c r="A897" s="27"/>
      <c r="B897" s="42"/>
      <c r="C897" s="27"/>
      <c r="D897" s="27"/>
      <c r="E897" s="27"/>
      <c r="F897" s="27"/>
      <c r="G897" s="43"/>
      <c r="H897" s="27"/>
      <c r="I897" s="27"/>
      <c r="J897" s="27"/>
      <c r="K897" s="27"/>
      <c r="L897" s="27"/>
      <c r="M897" s="27"/>
      <c r="N897" s="27"/>
      <c r="O897" s="27"/>
      <c r="P897" s="43"/>
      <c r="Q897" s="27"/>
      <c r="R897" s="27"/>
      <c r="S897" s="43"/>
      <c r="T897" s="27"/>
      <c r="U897" s="27"/>
      <c r="V897" s="27"/>
      <c r="W897" s="27"/>
      <c r="X897" s="27"/>
      <c r="Y897" s="27"/>
      <c r="Z897" s="27"/>
      <c r="AA897" s="41"/>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row>
    <row r="898">
      <c r="A898" s="27"/>
      <c r="B898" s="42"/>
      <c r="C898" s="27"/>
      <c r="D898" s="27"/>
      <c r="E898" s="27"/>
      <c r="F898" s="27"/>
      <c r="G898" s="43"/>
      <c r="H898" s="27"/>
      <c r="I898" s="27"/>
      <c r="J898" s="27"/>
      <c r="K898" s="27"/>
      <c r="L898" s="27"/>
      <c r="M898" s="27"/>
      <c r="N898" s="27"/>
      <c r="O898" s="27"/>
      <c r="P898" s="43"/>
      <c r="Q898" s="27"/>
      <c r="R898" s="27"/>
      <c r="S898" s="43"/>
      <c r="T898" s="27"/>
      <c r="U898" s="27"/>
      <c r="V898" s="27"/>
      <c r="W898" s="27"/>
      <c r="X898" s="27"/>
      <c r="Y898" s="27"/>
      <c r="Z898" s="27"/>
      <c r="AA898" s="41"/>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row>
    <row r="899">
      <c r="A899" s="27"/>
      <c r="B899" s="42"/>
      <c r="C899" s="27"/>
      <c r="D899" s="27"/>
      <c r="E899" s="27"/>
      <c r="F899" s="27"/>
      <c r="G899" s="43"/>
      <c r="H899" s="27"/>
      <c r="I899" s="27"/>
      <c r="J899" s="27"/>
      <c r="K899" s="27"/>
      <c r="L899" s="27"/>
      <c r="M899" s="27"/>
      <c r="N899" s="27"/>
      <c r="O899" s="27"/>
      <c r="P899" s="43"/>
      <c r="Q899" s="27"/>
      <c r="R899" s="27"/>
      <c r="S899" s="43"/>
      <c r="T899" s="27"/>
      <c r="U899" s="27"/>
      <c r="V899" s="27"/>
      <c r="W899" s="27"/>
      <c r="X899" s="27"/>
      <c r="Y899" s="27"/>
      <c r="Z899" s="27"/>
      <c r="AA899" s="41"/>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row>
    <row r="900">
      <c r="A900" s="27"/>
      <c r="B900" s="42"/>
      <c r="C900" s="27"/>
      <c r="D900" s="27"/>
      <c r="E900" s="27"/>
      <c r="F900" s="27"/>
      <c r="G900" s="43"/>
      <c r="H900" s="27"/>
      <c r="I900" s="27"/>
      <c r="J900" s="27"/>
      <c r="K900" s="27"/>
      <c r="L900" s="27"/>
      <c r="M900" s="27"/>
      <c r="N900" s="27"/>
      <c r="O900" s="27"/>
      <c r="P900" s="43"/>
      <c r="Q900" s="27"/>
      <c r="R900" s="27"/>
      <c r="S900" s="43"/>
      <c r="T900" s="27"/>
      <c r="U900" s="27"/>
      <c r="V900" s="27"/>
      <c r="W900" s="27"/>
      <c r="X900" s="27"/>
      <c r="Y900" s="27"/>
      <c r="Z900" s="27"/>
      <c r="AA900" s="41"/>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row>
    <row r="901">
      <c r="A901" s="27"/>
      <c r="B901" s="42"/>
      <c r="C901" s="27"/>
      <c r="D901" s="27"/>
      <c r="E901" s="27"/>
      <c r="F901" s="27"/>
      <c r="G901" s="43"/>
      <c r="H901" s="27"/>
      <c r="I901" s="27"/>
      <c r="J901" s="27"/>
      <c r="K901" s="27"/>
      <c r="L901" s="27"/>
      <c r="M901" s="27"/>
      <c r="N901" s="27"/>
      <c r="O901" s="27"/>
      <c r="P901" s="43"/>
      <c r="Q901" s="27"/>
      <c r="R901" s="27"/>
      <c r="S901" s="43"/>
      <c r="T901" s="27"/>
      <c r="U901" s="27"/>
      <c r="V901" s="27"/>
      <c r="W901" s="27"/>
      <c r="X901" s="27"/>
      <c r="Y901" s="27"/>
      <c r="Z901" s="27"/>
      <c r="AA901" s="41"/>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row>
    <row r="902">
      <c r="A902" s="27"/>
      <c r="B902" s="42"/>
      <c r="C902" s="27"/>
      <c r="D902" s="27"/>
      <c r="E902" s="27"/>
      <c r="F902" s="27"/>
      <c r="G902" s="43"/>
      <c r="H902" s="27"/>
      <c r="I902" s="27"/>
      <c r="J902" s="27"/>
      <c r="K902" s="27"/>
      <c r="L902" s="27"/>
      <c r="M902" s="27"/>
      <c r="N902" s="27"/>
      <c r="O902" s="27"/>
      <c r="P902" s="43"/>
      <c r="Q902" s="27"/>
      <c r="R902" s="27"/>
      <c r="S902" s="43"/>
      <c r="T902" s="27"/>
      <c r="U902" s="27"/>
      <c r="V902" s="27"/>
      <c r="W902" s="27"/>
      <c r="X902" s="27"/>
      <c r="Y902" s="27"/>
      <c r="Z902" s="27"/>
      <c r="AA902" s="41"/>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row>
    <row r="903">
      <c r="A903" s="27"/>
      <c r="B903" s="42"/>
      <c r="C903" s="27"/>
      <c r="D903" s="27"/>
      <c r="E903" s="27"/>
      <c r="F903" s="27"/>
      <c r="G903" s="43"/>
      <c r="H903" s="27"/>
      <c r="I903" s="27"/>
      <c r="J903" s="27"/>
      <c r="K903" s="27"/>
      <c r="L903" s="27"/>
      <c r="M903" s="27"/>
      <c r="N903" s="27"/>
      <c r="O903" s="27"/>
      <c r="P903" s="43"/>
      <c r="Q903" s="27"/>
      <c r="R903" s="27"/>
      <c r="S903" s="43"/>
      <c r="T903" s="27"/>
      <c r="U903" s="27"/>
      <c r="V903" s="27"/>
      <c r="W903" s="27"/>
      <c r="X903" s="27"/>
      <c r="Y903" s="27"/>
      <c r="Z903" s="27"/>
      <c r="AA903" s="41"/>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row>
    <row r="904">
      <c r="A904" s="27"/>
      <c r="B904" s="42"/>
      <c r="C904" s="27"/>
      <c r="D904" s="27"/>
      <c r="E904" s="27"/>
      <c r="F904" s="27"/>
      <c r="G904" s="43"/>
      <c r="H904" s="27"/>
      <c r="I904" s="27"/>
      <c r="J904" s="27"/>
      <c r="K904" s="27"/>
      <c r="L904" s="27"/>
      <c r="M904" s="27"/>
      <c r="N904" s="27"/>
      <c r="O904" s="27"/>
      <c r="P904" s="43"/>
      <c r="Q904" s="27"/>
      <c r="R904" s="27"/>
      <c r="S904" s="43"/>
      <c r="T904" s="27"/>
      <c r="U904" s="27"/>
      <c r="V904" s="27"/>
      <c r="W904" s="27"/>
      <c r="X904" s="27"/>
      <c r="Y904" s="27"/>
      <c r="Z904" s="27"/>
      <c r="AA904" s="41"/>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row>
    <row r="905">
      <c r="A905" s="27"/>
      <c r="B905" s="42"/>
      <c r="C905" s="27"/>
      <c r="D905" s="27"/>
      <c r="E905" s="27"/>
      <c r="F905" s="27"/>
      <c r="G905" s="43"/>
      <c r="H905" s="27"/>
      <c r="I905" s="27"/>
      <c r="J905" s="27"/>
      <c r="K905" s="27"/>
      <c r="L905" s="27"/>
      <c r="M905" s="27"/>
      <c r="N905" s="27"/>
      <c r="O905" s="27"/>
      <c r="P905" s="43"/>
      <c r="Q905" s="27"/>
      <c r="R905" s="27"/>
      <c r="S905" s="43"/>
      <c r="T905" s="27"/>
      <c r="U905" s="27"/>
      <c r="V905" s="27"/>
      <c r="W905" s="27"/>
      <c r="X905" s="27"/>
      <c r="Y905" s="27"/>
      <c r="Z905" s="27"/>
      <c r="AA905" s="41"/>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row>
    <row r="906">
      <c r="A906" s="27"/>
      <c r="B906" s="42"/>
      <c r="C906" s="27"/>
      <c r="D906" s="27"/>
      <c r="E906" s="27"/>
      <c r="F906" s="27"/>
      <c r="G906" s="43"/>
      <c r="H906" s="27"/>
      <c r="I906" s="27"/>
      <c r="J906" s="27"/>
      <c r="K906" s="27"/>
      <c r="L906" s="27"/>
      <c r="M906" s="27"/>
      <c r="N906" s="27"/>
      <c r="O906" s="27"/>
      <c r="P906" s="43"/>
      <c r="Q906" s="27"/>
      <c r="R906" s="27"/>
      <c r="S906" s="43"/>
      <c r="T906" s="27"/>
      <c r="U906" s="27"/>
      <c r="V906" s="27"/>
      <c r="W906" s="27"/>
      <c r="X906" s="27"/>
      <c r="Y906" s="27"/>
      <c r="Z906" s="27"/>
      <c r="AA906" s="41"/>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row>
    <row r="907">
      <c r="A907" s="27"/>
      <c r="B907" s="42"/>
      <c r="C907" s="27"/>
      <c r="D907" s="27"/>
      <c r="E907" s="27"/>
      <c r="F907" s="27"/>
      <c r="G907" s="43"/>
      <c r="H907" s="27"/>
      <c r="I907" s="27"/>
      <c r="J907" s="27"/>
      <c r="K907" s="27"/>
      <c r="L907" s="27"/>
      <c r="M907" s="27"/>
      <c r="N907" s="27"/>
      <c r="O907" s="27"/>
      <c r="P907" s="43"/>
      <c r="Q907" s="27"/>
      <c r="R907" s="27"/>
      <c r="S907" s="43"/>
      <c r="T907" s="27"/>
      <c r="U907" s="27"/>
      <c r="V907" s="27"/>
      <c r="W907" s="27"/>
      <c r="X907" s="27"/>
      <c r="Y907" s="27"/>
      <c r="Z907" s="27"/>
      <c r="AA907" s="41"/>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row>
    <row r="908">
      <c r="A908" s="27"/>
      <c r="B908" s="42"/>
      <c r="C908" s="27"/>
      <c r="D908" s="27"/>
      <c r="E908" s="27"/>
      <c r="F908" s="27"/>
      <c r="G908" s="43"/>
      <c r="H908" s="27"/>
      <c r="I908" s="27"/>
      <c r="J908" s="27"/>
      <c r="K908" s="27"/>
      <c r="L908" s="27"/>
      <c r="M908" s="27"/>
      <c r="N908" s="27"/>
      <c r="O908" s="27"/>
      <c r="P908" s="43"/>
      <c r="Q908" s="27"/>
      <c r="R908" s="27"/>
      <c r="S908" s="43"/>
      <c r="T908" s="27"/>
      <c r="U908" s="27"/>
      <c r="V908" s="27"/>
      <c r="W908" s="27"/>
      <c r="X908" s="27"/>
      <c r="Y908" s="27"/>
      <c r="Z908" s="27"/>
      <c r="AA908" s="41"/>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row>
    <row r="909">
      <c r="A909" s="27"/>
      <c r="B909" s="42"/>
      <c r="C909" s="27"/>
      <c r="D909" s="27"/>
      <c r="E909" s="27"/>
      <c r="F909" s="27"/>
      <c r="G909" s="43"/>
      <c r="H909" s="27"/>
      <c r="I909" s="27"/>
      <c r="J909" s="27"/>
      <c r="K909" s="27"/>
      <c r="L909" s="27"/>
      <c r="M909" s="27"/>
      <c r="N909" s="27"/>
      <c r="O909" s="27"/>
      <c r="P909" s="43"/>
      <c r="Q909" s="27"/>
      <c r="R909" s="27"/>
      <c r="S909" s="43"/>
      <c r="T909" s="27"/>
      <c r="U909" s="27"/>
      <c r="V909" s="27"/>
      <c r="W909" s="27"/>
      <c r="X909" s="27"/>
      <c r="Y909" s="27"/>
      <c r="Z909" s="27"/>
      <c r="AA909" s="41"/>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row>
    <row r="910">
      <c r="A910" s="27"/>
      <c r="B910" s="42"/>
      <c r="C910" s="27"/>
      <c r="D910" s="27"/>
      <c r="E910" s="27"/>
      <c r="F910" s="27"/>
      <c r="G910" s="43"/>
      <c r="H910" s="27"/>
      <c r="I910" s="27"/>
      <c r="J910" s="27"/>
      <c r="K910" s="27"/>
      <c r="L910" s="27"/>
      <c r="M910" s="27"/>
      <c r="N910" s="27"/>
      <c r="O910" s="27"/>
      <c r="P910" s="43"/>
      <c r="Q910" s="27"/>
      <c r="R910" s="27"/>
      <c r="S910" s="43"/>
      <c r="T910" s="27"/>
      <c r="U910" s="27"/>
      <c r="V910" s="27"/>
      <c r="W910" s="27"/>
      <c r="X910" s="27"/>
      <c r="Y910" s="27"/>
      <c r="Z910" s="27"/>
      <c r="AA910" s="41"/>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row>
    <row r="911">
      <c r="A911" s="27"/>
      <c r="B911" s="42"/>
      <c r="C911" s="27"/>
      <c r="D911" s="27"/>
      <c r="E911" s="27"/>
      <c r="F911" s="27"/>
      <c r="G911" s="43"/>
      <c r="H911" s="27"/>
      <c r="I911" s="27"/>
      <c r="J911" s="27"/>
      <c r="K911" s="27"/>
      <c r="L911" s="27"/>
      <c r="M911" s="27"/>
      <c r="N911" s="27"/>
      <c r="O911" s="27"/>
      <c r="P911" s="43"/>
      <c r="Q911" s="27"/>
      <c r="R911" s="27"/>
      <c r="S911" s="43"/>
      <c r="T911" s="27"/>
      <c r="U911" s="27"/>
      <c r="V911" s="27"/>
      <c r="W911" s="27"/>
      <c r="X911" s="27"/>
      <c r="Y911" s="27"/>
      <c r="Z911" s="27"/>
      <c r="AA911" s="41"/>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row>
    <row r="912">
      <c r="A912" s="27"/>
      <c r="B912" s="42"/>
      <c r="C912" s="27"/>
      <c r="D912" s="27"/>
      <c r="E912" s="27"/>
      <c r="F912" s="27"/>
      <c r="G912" s="43"/>
      <c r="H912" s="27"/>
      <c r="I912" s="27"/>
      <c r="J912" s="27"/>
      <c r="K912" s="27"/>
      <c r="L912" s="27"/>
      <c r="M912" s="27"/>
      <c r="N912" s="27"/>
      <c r="O912" s="27"/>
      <c r="P912" s="43"/>
      <c r="Q912" s="27"/>
      <c r="R912" s="27"/>
      <c r="S912" s="43"/>
      <c r="T912" s="27"/>
      <c r="U912" s="27"/>
      <c r="V912" s="27"/>
      <c r="W912" s="27"/>
      <c r="X912" s="27"/>
      <c r="Y912" s="27"/>
      <c r="Z912" s="27"/>
      <c r="AA912" s="41"/>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row>
    <row r="913">
      <c r="A913" s="27"/>
      <c r="B913" s="42"/>
      <c r="C913" s="27"/>
      <c r="D913" s="27"/>
      <c r="E913" s="27"/>
      <c r="F913" s="27"/>
      <c r="G913" s="43"/>
      <c r="H913" s="27"/>
      <c r="I913" s="27"/>
      <c r="J913" s="27"/>
      <c r="K913" s="27"/>
      <c r="L913" s="27"/>
      <c r="M913" s="27"/>
      <c r="N913" s="27"/>
      <c r="O913" s="27"/>
      <c r="P913" s="43"/>
      <c r="Q913" s="27"/>
      <c r="R913" s="27"/>
      <c r="S913" s="43"/>
      <c r="T913" s="27"/>
      <c r="U913" s="27"/>
      <c r="V913" s="27"/>
      <c r="W913" s="27"/>
      <c r="X913" s="27"/>
      <c r="Y913" s="27"/>
      <c r="Z913" s="27"/>
      <c r="AA913" s="41"/>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row>
    <row r="914">
      <c r="A914" s="27"/>
      <c r="B914" s="42"/>
      <c r="C914" s="27"/>
      <c r="D914" s="27"/>
      <c r="E914" s="27"/>
      <c r="F914" s="27"/>
      <c r="G914" s="43"/>
      <c r="H914" s="27"/>
      <c r="I914" s="27"/>
      <c r="J914" s="27"/>
      <c r="K914" s="27"/>
      <c r="L914" s="27"/>
      <c r="M914" s="27"/>
      <c r="N914" s="27"/>
      <c r="O914" s="27"/>
      <c r="P914" s="43"/>
      <c r="Q914" s="27"/>
      <c r="R914" s="27"/>
      <c r="S914" s="43"/>
      <c r="T914" s="27"/>
      <c r="U914" s="27"/>
      <c r="V914" s="27"/>
      <c r="W914" s="27"/>
      <c r="X914" s="27"/>
      <c r="Y914" s="27"/>
      <c r="Z914" s="27"/>
      <c r="AA914" s="41"/>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row>
    <row r="915">
      <c r="A915" s="27"/>
      <c r="B915" s="42"/>
      <c r="C915" s="27"/>
      <c r="D915" s="27"/>
      <c r="E915" s="27"/>
      <c r="F915" s="27"/>
      <c r="G915" s="43"/>
      <c r="H915" s="27"/>
      <c r="I915" s="27"/>
      <c r="J915" s="27"/>
      <c r="K915" s="27"/>
      <c r="L915" s="27"/>
      <c r="M915" s="27"/>
      <c r="N915" s="27"/>
      <c r="O915" s="27"/>
      <c r="P915" s="43"/>
      <c r="Q915" s="27"/>
      <c r="R915" s="27"/>
      <c r="S915" s="43"/>
      <c r="T915" s="27"/>
      <c r="U915" s="27"/>
      <c r="V915" s="27"/>
      <c r="W915" s="27"/>
      <c r="X915" s="27"/>
      <c r="Y915" s="27"/>
      <c r="Z915" s="27"/>
      <c r="AA915" s="41"/>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row>
    <row r="916">
      <c r="A916" s="27"/>
      <c r="B916" s="42"/>
      <c r="C916" s="27"/>
      <c r="D916" s="27"/>
      <c r="E916" s="27"/>
      <c r="F916" s="27"/>
      <c r="G916" s="43"/>
      <c r="H916" s="27"/>
      <c r="I916" s="27"/>
      <c r="J916" s="27"/>
      <c r="K916" s="27"/>
      <c r="L916" s="27"/>
      <c r="M916" s="27"/>
      <c r="N916" s="27"/>
      <c r="O916" s="27"/>
      <c r="P916" s="43"/>
      <c r="Q916" s="27"/>
      <c r="R916" s="27"/>
      <c r="S916" s="43"/>
      <c r="T916" s="27"/>
      <c r="U916" s="27"/>
      <c r="V916" s="27"/>
      <c r="W916" s="27"/>
      <c r="X916" s="27"/>
      <c r="Y916" s="27"/>
      <c r="Z916" s="27"/>
      <c r="AA916" s="41"/>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row>
    <row r="917">
      <c r="A917" s="27"/>
      <c r="B917" s="42"/>
      <c r="C917" s="27"/>
      <c r="D917" s="27"/>
      <c r="E917" s="27"/>
      <c r="F917" s="27"/>
      <c r="G917" s="43"/>
      <c r="H917" s="27"/>
      <c r="I917" s="27"/>
      <c r="J917" s="27"/>
      <c r="K917" s="27"/>
      <c r="L917" s="27"/>
      <c r="M917" s="27"/>
      <c r="N917" s="27"/>
      <c r="O917" s="27"/>
      <c r="P917" s="43"/>
      <c r="Q917" s="27"/>
      <c r="R917" s="27"/>
      <c r="S917" s="43"/>
      <c r="T917" s="27"/>
      <c r="U917" s="27"/>
      <c r="V917" s="27"/>
      <c r="W917" s="27"/>
      <c r="X917" s="27"/>
      <c r="Y917" s="27"/>
      <c r="Z917" s="27"/>
      <c r="AA917" s="41"/>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row>
    <row r="918">
      <c r="A918" s="27"/>
      <c r="B918" s="42"/>
      <c r="C918" s="27"/>
      <c r="D918" s="27"/>
      <c r="E918" s="27"/>
      <c r="F918" s="27"/>
      <c r="G918" s="43"/>
      <c r="H918" s="27"/>
      <c r="I918" s="27"/>
      <c r="J918" s="27"/>
      <c r="K918" s="27"/>
      <c r="L918" s="27"/>
      <c r="M918" s="27"/>
      <c r="N918" s="27"/>
      <c r="O918" s="27"/>
      <c r="P918" s="43"/>
      <c r="Q918" s="27"/>
      <c r="R918" s="27"/>
      <c r="S918" s="43"/>
      <c r="T918" s="27"/>
      <c r="U918" s="27"/>
      <c r="V918" s="27"/>
      <c r="W918" s="27"/>
      <c r="X918" s="27"/>
      <c r="Y918" s="27"/>
      <c r="Z918" s="27"/>
      <c r="AA918" s="41"/>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row>
    <row r="919">
      <c r="A919" s="27"/>
      <c r="B919" s="42"/>
      <c r="C919" s="27"/>
      <c r="D919" s="27"/>
      <c r="E919" s="27"/>
      <c r="F919" s="27"/>
      <c r="G919" s="43"/>
      <c r="H919" s="27"/>
      <c r="I919" s="27"/>
      <c r="J919" s="27"/>
      <c r="K919" s="27"/>
      <c r="L919" s="27"/>
      <c r="M919" s="27"/>
      <c r="N919" s="27"/>
      <c r="O919" s="27"/>
      <c r="P919" s="43"/>
      <c r="Q919" s="27"/>
      <c r="R919" s="27"/>
      <c r="S919" s="43"/>
      <c r="T919" s="27"/>
      <c r="U919" s="27"/>
      <c r="V919" s="27"/>
      <c r="W919" s="27"/>
      <c r="X919" s="27"/>
      <c r="Y919" s="27"/>
      <c r="Z919" s="27"/>
      <c r="AA919" s="41"/>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row>
    <row r="920">
      <c r="A920" s="27"/>
      <c r="B920" s="42"/>
      <c r="C920" s="27"/>
      <c r="D920" s="27"/>
      <c r="E920" s="27"/>
      <c r="F920" s="27"/>
      <c r="G920" s="43"/>
      <c r="H920" s="27"/>
      <c r="I920" s="27"/>
      <c r="J920" s="27"/>
      <c r="K920" s="27"/>
      <c r="L920" s="27"/>
      <c r="M920" s="27"/>
      <c r="N920" s="27"/>
      <c r="O920" s="27"/>
      <c r="P920" s="43"/>
      <c r="Q920" s="27"/>
      <c r="R920" s="27"/>
      <c r="S920" s="43"/>
      <c r="T920" s="27"/>
      <c r="U920" s="27"/>
      <c r="V920" s="27"/>
      <c r="W920" s="27"/>
      <c r="X920" s="27"/>
      <c r="Y920" s="27"/>
      <c r="Z920" s="27"/>
      <c r="AA920" s="41"/>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row>
    <row r="921">
      <c r="A921" s="27"/>
      <c r="B921" s="42"/>
      <c r="C921" s="27"/>
      <c r="D921" s="27"/>
      <c r="E921" s="27"/>
      <c r="F921" s="27"/>
      <c r="G921" s="43"/>
      <c r="H921" s="27"/>
      <c r="I921" s="27"/>
      <c r="J921" s="27"/>
      <c r="K921" s="27"/>
      <c r="L921" s="27"/>
      <c r="M921" s="27"/>
      <c r="N921" s="27"/>
      <c r="O921" s="27"/>
      <c r="P921" s="43"/>
      <c r="Q921" s="27"/>
      <c r="R921" s="27"/>
      <c r="S921" s="43"/>
      <c r="T921" s="27"/>
      <c r="U921" s="27"/>
      <c r="V921" s="27"/>
      <c r="W921" s="27"/>
      <c r="X921" s="27"/>
      <c r="Y921" s="27"/>
      <c r="Z921" s="27"/>
      <c r="AA921" s="41"/>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row>
    <row r="922">
      <c r="A922" s="27"/>
      <c r="B922" s="42"/>
      <c r="C922" s="27"/>
      <c r="D922" s="27"/>
      <c r="E922" s="27"/>
      <c r="F922" s="27"/>
      <c r="G922" s="43"/>
      <c r="H922" s="27"/>
      <c r="I922" s="27"/>
      <c r="J922" s="27"/>
      <c r="K922" s="27"/>
      <c r="L922" s="27"/>
      <c r="M922" s="27"/>
      <c r="N922" s="27"/>
      <c r="O922" s="27"/>
      <c r="P922" s="43"/>
      <c r="Q922" s="27"/>
      <c r="R922" s="27"/>
      <c r="S922" s="43"/>
      <c r="T922" s="27"/>
      <c r="U922" s="27"/>
      <c r="V922" s="27"/>
      <c r="W922" s="27"/>
      <c r="X922" s="27"/>
      <c r="Y922" s="27"/>
      <c r="Z922" s="27"/>
      <c r="AA922" s="41"/>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row>
    <row r="923">
      <c r="A923" s="27"/>
      <c r="B923" s="42"/>
      <c r="C923" s="27"/>
      <c r="D923" s="27"/>
      <c r="E923" s="27"/>
      <c r="F923" s="27"/>
      <c r="G923" s="43"/>
      <c r="H923" s="27"/>
      <c r="I923" s="27"/>
      <c r="J923" s="27"/>
      <c r="K923" s="27"/>
      <c r="L923" s="27"/>
      <c r="M923" s="27"/>
      <c r="N923" s="27"/>
      <c r="O923" s="27"/>
      <c r="P923" s="43"/>
      <c r="Q923" s="27"/>
      <c r="R923" s="27"/>
      <c r="S923" s="43"/>
      <c r="T923" s="27"/>
      <c r="U923" s="27"/>
      <c r="V923" s="27"/>
      <c r="W923" s="27"/>
      <c r="X923" s="27"/>
      <c r="Y923" s="27"/>
      <c r="Z923" s="27"/>
      <c r="AA923" s="41"/>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row>
    <row r="924">
      <c r="A924" s="27"/>
      <c r="B924" s="42"/>
      <c r="C924" s="27"/>
      <c r="D924" s="27"/>
      <c r="E924" s="27"/>
      <c r="F924" s="27"/>
      <c r="G924" s="43"/>
      <c r="H924" s="27"/>
      <c r="I924" s="27"/>
      <c r="J924" s="27"/>
      <c r="K924" s="27"/>
      <c r="L924" s="27"/>
      <c r="M924" s="27"/>
      <c r="N924" s="27"/>
      <c r="O924" s="27"/>
      <c r="P924" s="43"/>
      <c r="Q924" s="27"/>
      <c r="R924" s="27"/>
      <c r="S924" s="43"/>
      <c r="T924" s="27"/>
      <c r="U924" s="27"/>
      <c r="V924" s="27"/>
      <c r="W924" s="27"/>
      <c r="X924" s="27"/>
      <c r="Y924" s="27"/>
      <c r="Z924" s="27"/>
      <c r="AA924" s="41"/>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row>
    <row r="925">
      <c r="A925" s="27"/>
      <c r="B925" s="42"/>
      <c r="C925" s="27"/>
      <c r="D925" s="27"/>
      <c r="E925" s="27"/>
      <c r="F925" s="27"/>
      <c r="G925" s="43"/>
      <c r="H925" s="27"/>
      <c r="I925" s="27"/>
      <c r="J925" s="27"/>
      <c r="K925" s="27"/>
      <c r="L925" s="27"/>
      <c r="M925" s="27"/>
      <c r="N925" s="27"/>
      <c r="O925" s="27"/>
      <c r="P925" s="43"/>
      <c r="Q925" s="27"/>
      <c r="R925" s="27"/>
      <c r="S925" s="43"/>
      <c r="T925" s="27"/>
      <c r="U925" s="27"/>
      <c r="V925" s="27"/>
      <c r="W925" s="27"/>
      <c r="X925" s="27"/>
      <c r="Y925" s="27"/>
      <c r="Z925" s="27"/>
      <c r="AA925" s="41"/>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row>
    <row r="926">
      <c r="A926" s="27"/>
      <c r="B926" s="42"/>
      <c r="C926" s="27"/>
      <c r="D926" s="27"/>
      <c r="E926" s="27"/>
      <c r="F926" s="27"/>
      <c r="G926" s="43"/>
      <c r="H926" s="27"/>
      <c r="I926" s="27"/>
      <c r="J926" s="27"/>
      <c r="K926" s="27"/>
      <c r="L926" s="27"/>
      <c r="M926" s="27"/>
      <c r="N926" s="27"/>
      <c r="O926" s="27"/>
      <c r="P926" s="43"/>
      <c r="Q926" s="27"/>
      <c r="R926" s="27"/>
      <c r="S926" s="43"/>
      <c r="T926" s="27"/>
      <c r="U926" s="27"/>
      <c r="V926" s="27"/>
      <c r="W926" s="27"/>
      <c r="X926" s="27"/>
      <c r="Y926" s="27"/>
      <c r="Z926" s="27"/>
      <c r="AA926" s="41"/>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row>
    <row r="927">
      <c r="A927" s="27"/>
      <c r="B927" s="42"/>
      <c r="C927" s="27"/>
      <c r="D927" s="27"/>
      <c r="E927" s="27"/>
      <c r="F927" s="27"/>
      <c r="G927" s="43"/>
      <c r="H927" s="27"/>
      <c r="I927" s="27"/>
      <c r="J927" s="27"/>
      <c r="K927" s="27"/>
      <c r="L927" s="27"/>
      <c r="M927" s="27"/>
      <c r="N927" s="27"/>
      <c r="O927" s="27"/>
      <c r="P927" s="43"/>
      <c r="Q927" s="27"/>
      <c r="R927" s="27"/>
      <c r="S927" s="43"/>
      <c r="T927" s="27"/>
      <c r="U927" s="27"/>
      <c r="V927" s="27"/>
      <c r="W927" s="27"/>
      <c r="X927" s="27"/>
      <c r="Y927" s="27"/>
      <c r="Z927" s="27"/>
      <c r="AA927" s="41"/>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row>
    <row r="928">
      <c r="A928" s="27"/>
      <c r="B928" s="42"/>
      <c r="C928" s="27"/>
      <c r="D928" s="27"/>
      <c r="E928" s="27"/>
      <c r="F928" s="27"/>
      <c r="G928" s="43"/>
      <c r="H928" s="27"/>
      <c r="I928" s="27"/>
      <c r="J928" s="27"/>
      <c r="K928" s="27"/>
      <c r="L928" s="27"/>
      <c r="M928" s="27"/>
      <c r="N928" s="27"/>
      <c r="O928" s="27"/>
      <c r="P928" s="43"/>
      <c r="Q928" s="27"/>
      <c r="R928" s="27"/>
      <c r="S928" s="43"/>
      <c r="T928" s="27"/>
      <c r="U928" s="27"/>
      <c r="V928" s="27"/>
      <c r="W928" s="27"/>
      <c r="X928" s="27"/>
      <c r="Y928" s="27"/>
      <c r="Z928" s="27"/>
      <c r="AA928" s="41"/>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row>
    <row r="929">
      <c r="A929" s="27"/>
      <c r="B929" s="42"/>
      <c r="C929" s="27"/>
      <c r="D929" s="27"/>
      <c r="E929" s="27"/>
      <c r="F929" s="27"/>
      <c r="G929" s="43"/>
      <c r="H929" s="27"/>
      <c r="I929" s="27"/>
      <c r="J929" s="27"/>
      <c r="K929" s="27"/>
      <c r="L929" s="27"/>
      <c r="M929" s="27"/>
      <c r="N929" s="27"/>
      <c r="O929" s="27"/>
      <c r="P929" s="43"/>
      <c r="Q929" s="27"/>
      <c r="R929" s="27"/>
      <c r="S929" s="43"/>
      <c r="T929" s="27"/>
      <c r="U929" s="27"/>
      <c r="V929" s="27"/>
      <c r="W929" s="27"/>
      <c r="X929" s="27"/>
      <c r="Y929" s="27"/>
      <c r="Z929" s="27"/>
      <c r="AA929" s="41"/>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row>
    <row r="930">
      <c r="A930" s="27"/>
      <c r="B930" s="42"/>
      <c r="C930" s="27"/>
      <c r="D930" s="27"/>
      <c r="E930" s="27"/>
      <c r="F930" s="27"/>
      <c r="G930" s="43"/>
      <c r="H930" s="27"/>
      <c r="I930" s="27"/>
      <c r="J930" s="27"/>
      <c r="K930" s="27"/>
      <c r="L930" s="27"/>
      <c r="M930" s="27"/>
      <c r="N930" s="27"/>
      <c r="O930" s="27"/>
      <c r="P930" s="43"/>
      <c r="Q930" s="27"/>
      <c r="R930" s="27"/>
      <c r="S930" s="43"/>
      <c r="T930" s="27"/>
      <c r="U930" s="27"/>
      <c r="V930" s="27"/>
      <c r="W930" s="27"/>
      <c r="X930" s="27"/>
      <c r="Y930" s="27"/>
      <c r="Z930" s="27"/>
      <c r="AA930" s="41"/>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row>
    <row r="931">
      <c r="A931" s="27"/>
      <c r="B931" s="42"/>
      <c r="C931" s="27"/>
      <c r="D931" s="27"/>
      <c r="E931" s="27"/>
      <c r="F931" s="27"/>
      <c r="G931" s="43"/>
      <c r="H931" s="27"/>
      <c r="I931" s="27"/>
      <c r="J931" s="27"/>
      <c r="K931" s="27"/>
      <c r="L931" s="27"/>
      <c r="M931" s="27"/>
      <c r="N931" s="27"/>
      <c r="O931" s="27"/>
      <c r="P931" s="43"/>
      <c r="Q931" s="27"/>
      <c r="R931" s="27"/>
      <c r="S931" s="43"/>
      <c r="T931" s="27"/>
      <c r="U931" s="27"/>
      <c r="V931" s="27"/>
      <c r="W931" s="27"/>
      <c r="X931" s="27"/>
      <c r="Y931" s="27"/>
      <c r="Z931" s="27"/>
      <c r="AA931" s="41"/>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row>
    <row r="932">
      <c r="A932" s="27"/>
      <c r="B932" s="42"/>
      <c r="C932" s="27"/>
      <c r="D932" s="27"/>
      <c r="E932" s="27"/>
      <c r="F932" s="27"/>
      <c r="G932" s="43"/>
      <c r="H932" s="27"/>
      <c r="I932" s="27"/>
      <c r="J932" s="27"/>
      <c r="K932" s="27"/>
      <c r="L932" s="27"/>
      <c r="M932" s="27"/>
      <c r="N932" s="27"/>
      <c r="O932" s="27"/>
      <c r="P932" s="43"/>
      <c r="Q932" s="27"/>
      <c r="R932" s="27"/>
      <c r="S932" s="43"/>
      <c r="T932" s="27"/>
      <c r="U932" s="27"/>
      <c r="V932" s="27"/>
      <c r="W932" s="27"/>
      <c r="X932" s="27"/>
      <c r="Y932" s="27"/>
      <c r="Z932" s="27"/>
      <c r="AA932" s="41"/>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row>
    <row r="933">
      <c r="A933" s="27"/>
      <c r="B933" s="42"/>
      <c r="C933" s="27"/>
      <c r="D933" s="27"/>
      <c r="E933" s="27"/>
      <c r="F933" s="27"/>
      <c r="G933" s="43"/>
      <c r="H933" s="27"/>
      <c r="I933" s="27"/>
      <c r="J933" s="27"/>
      <c r="K933" s="27"/>
      <c r="L933" s="27"/>
      <c r="M933" s="27"/>
      <c r="N933" s="27"/>
      <c r="O933" s="27"/>
      <c r="P933" s="43"/>
      <c r="Q933" s="27"/>
      <c r="R933" s="27"/>
      <c r="S933" s="43"/>
      <c r="T933" s="27"/>
      <c r="U933" s="27"/>
      <c r="V933" s="27"/>
      <c r="W933" s="27"/>
      <c r="X933" s="27"/>
      <c r="Y933" s="27"/>
      <c r="Z933" s="27"/>
      <c r="AA933" s="41"/>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row>
    <row r="934">
      <c r="A934" s="27"/>
      <c r="B934" s="42"/>
      <c r="C934" s="27"/>
      <c r="D934" s="27"/>
      <c r="E934" s="27"/>
      <c r="F934" s="27"/>
      <c r="G934" s="43"/>
      <c r="H934" s="27"/>
      <c r="I934" s="27"/>
      <c r="J934" s="27"/>
      <c r="K934" s="27"/>
      <c r="L934" s="27"/>
      <c r="M934" s="27"/>
      <c r="N934" s="27"/>
      <c r="O934" s="27"/>
      <c r="P934" s="43"/>
      <c r="Q934" s="27"/>
      <c r="R934" s="27"/>
      <c r="S934" s="43"/>
      <c r="T934" s="27"/>
      <c r="U934" s="27"/>
      <c r="V934" s="27"/>
      <c r="W934" s="27"/>
      <c r="X934" s="27"/>
      <c r="Y934" s="27"/>
      <c r="Z934" s="27"/>
      <c r="AA934" s="41"/>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row>
    <row r="935">
      <c r="A935" s="27"/>
      <c r="B935" s="42"/>
      <c r="C935" s="27"/>
      <c r="D935" s="27"/>
      <c r="E935" s="27"/>
      <c r="F935" s="27"/>
      <c r="G935" s="43"/>
      <c r="H935" s="27"/>
      <c r="I935" s="27"/>
      <c r="J935" s="27"/>
      <c r="K935" s="27"/>
      <c r="L935" s="27"/>
      <c r="M935" s="27"/>
      <c r="N935" s="27"/>
      <c r="O935" s="27"/>
      <c r="P935" s="43"/>
      <c r="Q935" s="27"/>
      <c r="R935" s="27"/>
      <c r="S935" s="43"/>
      <c r="T935" s="27"/>
      <c r="U935" s="27"/>
      <c r="V935" s="27"/>
      <c r="W935" s="27"/>
      <c r="X935" s="27"/>
      <c r="Y935" s="27"/>
      <c r="Z935" s="27"/>
      <c r="AA935" s="41"/>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row>
    <row r="936">
      <c r="A936" s="27"/>
      <c r="B936" s="42"/>
      <c r="C936" s="27"/>
      <c r="D936" s="27"/>
      <c r="E936" s="27"/>
      <c r="F936" s="27"/>
      <c r="G936" s="43"/>
      <c r="H936" s="27"/>
      <c r="I936" s="27"/>
      <c r="J936" s="27"/>
      <c r="K936" s="27"/>
      <c r="L936" s="27"/>
      <c r="M936" s="27"/>
      <c r="N936" s="27"/>
      <c r="O936" s="27"/>
      <c r="P936" s="43"/>
      <c r="Q936" s="27"/>
      <c r="R936" s="27"/>
      <c r="S936" s="43"/>
      <c r="T936" s="27"/>
      <c r="U936" s="27"/>
      <c r="V936" s="27"/>
      <c r="W936" s="27"/>
      <c r="X936" s="27"/>
      <c r="Y936" s="27"/>
      <c r="Z936" s="27"/>
      <c r="AA936" s="41"/>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row>
    <row r="937">
      <c r="A937" s="27"/>
      <c r="B937" s="42"/>
      <c r="C937" s="27"/>
      <c r="D937" s="27"/>
      <c r="E937" s="27"/>
      <c r="F937" s="27"/>
      <c r="G937" s="43"/>
      <c r="H937" s="27"/>
      <c r="I937" s="27"/>
      <c r="J937" s="27"/>
      <c r="K937" s="27"/>
      <c r="L937" s="27"/>
      <c r="M937" s="27"/>
      <c r="N937" s="27"/>
      <c r="O937" s="27"/>
      <c r="P937" s="43"/>
      <c r="Q937" s="27"/>
      <c r="R937" s="27"/>
      <c r="S937" s="43"/>
      <c r="T937" s="27"/>
      <c r="U937" s="27"/>
      <c r="V937" s="27"/>
      <c r="W937" s="27"/>
      <c r="X937" s="27"/>
      <c r="Y937" s="27"/>
      <c r="Z937" s="27"/>
      <c r="AA937" s="41"/>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row>
    <row r="938">
      <c r="A938" s="27"/>
      <c r="B938" s="42"/>
      <c r="C938" s="27"/>
      <c r="D938" s="27"/>
      <c r="E938" s="27"/>
      <c r="F938" s="27"/>
      <c r="G938" s="43"/>
      <c r="H938" s="27"/>
      <c r="I938" s="27"/>
      <c r="J938" s="27"/>
      <c r="K938" s="27"/>
      <c r="L938" s="27"/>
      <c r="M938" s="27"/>
      <c r="N938" s="27"/>
      <c r="O938" s="27"/>
      <c r="P938" s="43"/>
      <c r="Q938" s="27"/>
      <c r="R938" s="27"/>
      <c r="S938" s="43"/>
      <c r="T938" s="27"/>
      <c r="U938" s="27"/>
      <c r="V938" s="27"/>
      <c r="W938" s="27"/>
      <c r="X938" s="27"/>
      <c r="Y938" s="27"/>
      <c r="Z938" s="27"/>
      <c r="AA938" s="41"/>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row>
    <row r="939">
      <c r="A939" s="27"/>
      <c r="B939" s="42"/>
      <c r="C939" s="27"/>
      <c r="D939" s="27"/>
      <c r="E939" s="27"/>
      <c r="F939" s="27"/>
      <c r="G939" s="43"/>
      <c r="H939" s="27"/>
      <c r="I939" s="27"/>
      <c r="J939" s="27"/>
      <c r="K939" s="27"/>
      <c r="L939" s="27"/>
      <c r="M939" s="27"/>
      <c r="N939" s="27"/>
      <c r="O939" s="27"/>
      <c r="P939" s="43"/>
      <c r="Q939" s="27"/>
      <c r="R939" s="27"/>
      <c r="S939" s="43"/>
      <c r="T939" s="27"/>
      <c r="U939" s="27"/>
      <c r="V939" s="27"/>
      <c r="W939" s="27"/>
      <c r="X939" s="27"/>
      <c r="Y939" s="27"/>
      <c r="Z939" s="27"/>
      <c r="AA939" s="41"/>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row>
    <row r="940">
      <c r="A940" s="27"/>
      <c r="B940" s="42"/>
      <c r="C940" s="27"/>
      <c r="D940" s="27"/>
      <c r="E940" s="27"/>
      <c r="F940" s="27"/>
      <c r="G940" s="43"/>
      <c r="H940" s="27"/>
      <c r="I940" s="27"/>
      <c r="J940" s="27"/>
      <c r="K940" s="27"/>
      <c r="L940" s="27"/>
      <c r="M940" s="27"/>
      <c r="N940" s="27"/>
      <c r="O940" s="27"/>
      <c r="P940" s="43"/>
      <c r="Q940" s="27"/>
      <c r="R940" s="27"/>
      <c r="S940" s="43"/>
      <c r="T940" s="27"/>
      <c r="U940" s="27"/>
      <c r="V940" s="27"/>
      <c r="W940" s="27"/>
      <c r="X940" s="27"/>
      <c r="Y940" s="27"/>
      <c r="Z940" s="27"/>
      <c r="AA940" s="41"/>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row>
    <row r="941">
      <c r="A941" s="27"/>
      <c r="B941" s="42"/>
      <c r="C941" s="27"/>
      <c r="D941" s="27"/>
      <c r="E941" s="27"/>
      <c r="F941" s="27"/>
      <c r="G941" s="43"/>
      <c r="H941" s="27"/>
      <c r="I941" s="27"/>
      <c r="J941" s="27"/>
      <c r="K941" s="27"/>
      <c r="L941" s="27"/>
      <c r="M941" s="27"/>
      <c r="N941" s="27"/>
      <c r="O941" s="27"/>
      <c r="P941" s="43"/>
      <c r="Q941" s="27"/>
      <c r="R941" s="27"/>
      <c r="S941" s="43"/>
      <c r="T941" s="27"/>
      <c r="U941" s="27"/>
      <c r="V941" s="27"/>
      <c r="W941" s="27"/>
      <c r="X941" s="27"/>
      <c r="Y941" s="27"/>
      <c r="Z941" s="27"/>
      <c r="AA941" s="41"/>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row>
    <row r="942">
      <c r="A942" s="27"/>
      <c r="B942" s="42"/>
      <c r="C942" s="27"/>
      <c r="D942" s="27"/>
      <c r="E942" s="27"/>
      <c r="F942" s="27"/>
      <c r="G942" s="43"/>
      <c r="H942" s="27"/>
      <c r="I942" s="27"/>
      <c r="J942" s="27"/>
      <c r="K942" s="27"/>
      <c r="L942" s="27"/>
      <c r="M942" s="27"/>
      <c r="N942" s="27"/>
      <c r="O942" s="27"/>
      <c r="P942" s="43"/>
      <c r="Q942" s="27"/>
      <c r="R942" s="27"/>
      <c r="S942" s="43"/>
      <c r="T942" s="27"/>
      <c r="U942" s="27"/>
      <c r="V942" s="27"/>
      <c r="W942" s="27"/>
      <c r="X942" s="27"/>
      <c r="Y942" s="27"/>
      <c r="Z942" s="27"/>
      <c r="AA942" s="41"/>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row>
    <row r="943">
      <c r="A943" s="27"/>
      <c r="B943" s="42"/>
      <c r="C943" s="27"/>
      <c r="D943" s="27"/>
      <c r="E943" s="27"/>
      <c r="F943" s="27"/>
      <c r="G943" s="43"/>
      <c r="H943" s="27"/>
      <c r="I943" s="27"/>
      <c r="J943" s="27"/>
      <c r="K943" s="27"/>
      <c r="L943" s="27"/>
      <c r="M943" s="27"/>
      <c r="N943" s="27"/>
      <c r="O943" s="27"/>
      <c r="P943" s="43"/>
      <c r="Q943" s="27"/>
      <c r="R943" s="27"/>
      <c r="S943" s="43"/>
      <c r="T943" s="27"/>
      <c r="U943" s="27"/>
      <c r="V943" s="27"/>
      <c r="W943" s="27"/>
      <c r="X943" s="27"/>
      <c r="Y943" s="27"/>
      <c r="Z943" s="27"/>
      <c r="AA943" s="41"/>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row>
    <row r="944">
      <c r="A944" s="27"/>
      <c r="B944" s="42"/>
      <c r="C944" s="27"/>
      <c r="D944" s="27"/>
      <c r="E944" s="27"/>
      <c r="F944" s="27"/>
      <c r="G944" s="43"/>
      <c r="H944" s="27"/>
      <c r="I944" s="27"/>
      <c r="J944" s="27"/>
      <c r="K944" s="27"/>
      <c r="L944" s="27"/>
      <c r="M944" s="27"/>
      <c r="N944" s="27"/>
      <c r="O944" s="27"/>
      <c r="P944" s="43"/>
      <c r="Q944" s="27"/>
      <c r="R944" s="27"/>
      <c r="S944" s="43"/>
      <c r="T944" s="27"/>
      <c r="U944" s="27"/>
      <c r="V944" s="27"/>
      <c r="W944" s="27"/>
      <c r="X944" s="27"/>
      <c r="Y944" s="27"/>
      <c r="Z944" s="27"/>
      <c r="AA944" s="41"/>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row>
    <row r="945">
      <c r="A945" s="27"/>
      <c r="B945" s="42"/>
      <c r="C945" s="27"/>
      <c r="D945" s="27"/>
      <c r="E945" s="27"/>
      <c r="F945" s="27"/>
      <c r="G945" s="43"/>
      <c r="H945" s="27"/>
      <c r="I945" s="27"/>
      <c r="J945" s="27"/>
      <c r="K945" s="27"/>
      <c r="L945" s="27"/>
      <c r="M945" s="27"/>
      <c r="N945" s="27"/>
      <c r="O945" s="27"/>
      <c r="P945" s="43"/>
      <c r="Q945" s="27"/>
      <c r="R945" s="27"/>
      <c r="S945" s="43"/>
      <c r="T945" s="27"/>
      <c r="U945" s="27"/>
      <c r="V945" s="27"/>
      <c r="W945" s="27"/>
      <c r="X945" s="27"/>
      <c r="Y945" s="27"/>
      <c r="Z945" s="27"/>
      <c r="AA945" s="41"/>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row>
    <row r="946">
      <c r="A946" s="27"/>
      <c r="B946" s="42"/>
      <c r="C946" s="27"/>
      <c r="D946" s="27"/>
      <c r="E946" s="27"/>
      <c r="F946" s="27"/>
      <c r="G946" s="43"/>
      <c r="H946" s="27"/>
      <c r="I946" s="27"/>
      <c r="J946" s="27"/>
      <c r="K946" s="27"/>
      <c r="L946" s="27"/>
      <c r="M946" s="27"/>
      <c r="N946" s="27"/>
      <c r="O946" s="27"/>
      <c r="P946" s="43"/>
      <c r="Q946" s="27"/>
      <c r="R946" s="27"/>
      <c r="S946" s="43"/>
      <c r="T946" s="27"/>
      <c r="U946" s="27"/>
      <c r="V946" s="27"/>
      <c r="W946" s="27"/>
      <c r="X946" s="27"/>
      <c r="Y946" s="27"/>
      <c r="Z946" s="27"/>
      <c r="AA946" s="41"/>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row>
    <row r="947">
      <c r="A947" s="27"/>
      <c r="B947" s="42"/>
      <c r="C947" s="27"/>
      <c r="D947" s="27"/>
      <c r="E947" s="27"/>
      <c r="F947" s="27"/>
      <c r="G947" s="43"/>
      <c r="H947" s="27"/>
      <c r="I947" s="27"/>
      <c r="J947" s="27"/>
      <c r="K947" s="27"/>
      <c r="L947" s="27"/>
      <c r="M947" s="27"/>
      <c r="N947" s="27"/>
      <c r="O947" s="27"/>
      <c r="P947" s="43"/>
      <c r="Q947" s="27"/>
      <c r="R947" s="27"/>
      <c r="S947" s="43"/>
      <c r="T947" s="27"/>
      <c r="U947" s="27"/>
      <c r="V947" s="27"/>
      <c r="W947" s="27"/>
      <c r="X947" s="27"/>
      <c r="Y947" s="27"/>
      <c r="Z947" s="27"/>
      <c r="AA947" s="41"/>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row>
    <row r="948">
      <c r="A948" s="27"/>
      <c r="B948" s="42"/>
      <c r="C948" s="27"/>
      <c r="D948" s="27"/>
      <c r="E948" s="27"/>
      <c r="F948" s="27"/>
      <c r="G948" s="43"/>
      <c r="H948" s="27"/>
      <c r="I948" s="27"/>
      <c r="J948" s="27"/>
      <c r="K948" s="27"/>
      <c r="L948" s="27"/>
      <c r="M948" s="27"/>
      <c r="N948" s="27"/>
      <c r="O948" s="27"/>
      <c r="P948" s="43"/>
      <c r="Q948" s="27"/>
      <c r="R948" s="27"/>
      <c r="S948" s="43"/>
      <c r="T948" s="27"/>
      <c r="U948" s="27"/>
      <c r="V948" s="27"/>
      <c r="W948" s="27"/>
      <c r="X948" s="27"/>
      <c r="Y948" s="27"/>
      <c r="Z948" s="27"/>
      <c r="AA948" s="41"/>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row>
    <row r="949">
      <c r="A949" s="27"/>
      <c r="B949" s="42"/>
      <c r="C949" s="27"/>
      <c r="D949" s="27"/>
      <c r="E949" s="27"/>
      <c r="F949" s="27"/>
      <c r="G949" s="43"/>
      <c r="H949" s="27"/>
      <c r="I949" s="27"/>
      <c r="J949" s="27"/>
      <c r="K949" s="27"/>
      <c r="L949" s="27"/>
      <c r="M949" s="27"/>
      <c r="N949" s="27"/>
      <c r="O949" s="27"/>
      <c r="P949" s="43"/>
      <c r="Q949" s="27"/>
      <c r="R949" s="27"/>
      <c r="S949" s="43"/>
      <c r="T949" s="27"/>
      <c r="U949" s="27"/>
      <c r="V949" s="27"/>
      <c r="W949" s="27"/>
      <c r="X949" s="27"/>
      <c r="Y949" s="27"/>
      <c r="Z949" s="27"/>
      <c r="AA949" s="41"/>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row>
    <row r="950">
      <c r="A950" s="27"/>
      <c r="B950" s="42"/>
      <c r="C950" s="27"/>
      <c r="D950" s="27"/>
      <c r="E950" s="27"/>
      <c r="F950" s="27"/>
      <c r="G950" s="43"/>
      <c r="H950" s="27"/>
      <c r="I950" s="27"/>
      <c r="J950" s="27"/>
      <c r="K950" s="27"/>
      <c r="L950" s="27"/>
      <c r="M950" s="27"/>
      <c r="N950" s="27"/>
      <c r="O950" s="27"/>
      <c r="P950" s="43"/>
      <c r="Q950" s="27"/>
      <c r="R950" s="27"/>
      <c r="S950" s="43"/>
      <c r="T950" s="27"/>
      <c r="U950" s="27"/>
      <c r="V950" s="27"/>
      <c r="W950" s="27"/>
      <c r="X950" s="27"/>
      <c r="Y950" s="27"/>
      <c r="Z950" s="27"/>
      <c r="AA950" s="41"/>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row>
    <row r="951">
      <c r="A951" s="27"/>
      <c r="B951" s="42"/>
      <c r="C951" s="27"/>
      <c r="D951" s="27"/>
      <c r="E951" s="27"/>
      <c r="F951" s="27"/>
      <c r="G951" s="43"/>
      <c r="H951" s="27"/>
      <c r="I951" s="27"/>
      <c r="J951" s="27"/>
      <c r="K951" s="27"/>
      <c r="L951" s="27"/>
      <c r="M951" s="27"/>
      <c r="N951" s="27"/>
      <c r="O951" s="27"/>
      <c r="P951" s="43"/>
      <c r="Q951" s="27"/>
      <c r="R951" s="27"/>
      <c r="S951" s="43"/>
      <c r="T951" s="27"/>
      <c r="U951" s="27"/>
      <c r="V951" s="27"/>
      <c r="W951" s="27"/>
      <c r="X951" s="27"/>
      <c r="Y951" s="27"/>
      <c r="Z951" s="27"/>
      <c r="AA951" s="41"/>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row>
    <row r="952">
      <c r="A952" s="27"/>
      <c r="B952" s="42"/>
      <c r="C952" s="27"/>
      <c r="D952" s="27"/>
      <c r="E952" s="27"/>
      <c r="F952" s="27"/>
      <c r="G952" s="43"/>
      <c r="H952" s="27"/>
      <c r="I952" s="27"/>
      <c r="J952" s="27"/>
      <c r="K952" s="27"/>
      <c r="L952" s="27"/>
      <c r="M952" s="27"/>
      <c r="N952" s="27"/>
      <c r="O952" s="27"/>
      <c r="P952" s="43"/>
      <c r="Q952" s="27"/>
      <c r="R952" s="27"/>
      <c r="S952" s="43"/>
      <c r="T952" s="27"/>
      <c r="U952" s="27"/>
      <c r="V952" s="27"/>
      <c r="W952" s="27"/>
      <c r="X952" s="27"/>
      <c r="Y952" s="27"/>
      <c r="Z952" s="27"/>
      <c r="AA952" s="41"/>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row>
    <row r="953">
      <c r="A953" s="27"/>
      <c r="B953" s="42"/>
      <c r="C953" s="27"/>
      <c r="D953" s="27"/>
      <c r="E953" s="27"/>
      <c r="F953" s="27"/>
      <c r="G953" s="43"/>
      <c r="H953" s="27"/>
      <c r="I953" s="27"/>
      <c r="J953" s="27"/>
      <c r="K953" s="27"/>
      <c r="L953" s="27"/>
      <c r="M953" s="27"/>
      <c r="N953" s="27"/>
      <c r="O953" s="27"/>
      <c r="P953" s="43"/>
      <c r="Q953" s="27"/>
      <c r="R953" s="27"/>
      <c r="S953" s="43"/>
      <c r="T953" s="27"/>
      <c r="U953" s="27"/>
      <c r="V953" s="27"/>
      <c r="W953" s="27"/>
      <c r="X953" s="27"/>
      <c r="Y953" s="27"/>
      <c r="Z953" s="27"/>
      <c r="AA953" s="41"/>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row>
    <row r="954">
      <c r="A954" s="27"/>
      <c r="B954" s="42"/>
      <c r="C954" s="27"/>
      <c r="D954" s="27"/>
      <c r="E954" s="27"/>
      <c r="F954" s="27"/>
      <c r="G954" s="43"/>
      <c r="H954" s="27"/>
      <c r="I954" s="27"/>
      <c r="J954" s="27"/>
      <c r="K954" s="27"/>
      <c r="L954" s="27"/>
      <c r="M954" s="27"/>
      <c r="N954" s="27"/>
      <c r="O954" s="27"/>
      <c r="P954" s="43"/>
      <c r="Q954" s="27"/>
      <c r="R954" s="27"/>
      <c r="S954" s="43"/>
      <c r="T954" s="27"/>
      <c r="U954" s="27"/>
      <c r="V954" s="27"/>
      <c r="W954" s="27"/>
      <c r="X954" s="27"/>
      <c r="Y954" s="27"/>
      <c r="Z954" s="27"/>
      <c r="AA954" s="41"/>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row>
    <row r="955">
      <c r="A955" s="27"/>
      <c r="B955" s="42"/>
      <c r="C955" s="27"/>
      <c r="D955" s="27"/>
      <c r="E955" s="27"/>
      <c r="F955" s="27"/>
      <c r="G955" s="43"/>
      <c r="H955" s="27"/>
      <c r="I955" s="27"/>
      <c r="J955" s="27"/>
      <c r="K955" s="27"/>
      <c r="L955" s="27"/>
      <c r="M955" s="27"/>
      <c r="N955" s="27"/>
      <c r="O955" s="27"/>
      <c r="P955" s="43"/>
      <c r="Q955" s="27"/>
      <c r="R955" s="27"/>
      <c r="S955" s="43"/>
      <c r="T955" s="27"/>
      <c r="U955" s="27"/>
      <c r="V955" s="27"/>
      <c r="W955" s="27"/>
      <c r="X955" s="27"/>
      <c r="Y955" s="27"/>
      <c r="Z955" s="27"/>
      <c r="AA955" s="41"/>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row>
    <row r="956">
      <c r="A956" s="27"/>
      <c r="B956" s="42"/>
      <c r="C956" s="27"/>
      <c r="D956" s="27"/>
      <c r="E956" s="27"/>
      <c r="F956" s="27"/>
      <c r="G956" s="43"/>
      <c r="H956" s="27"/>
      <c r="I956" s="27"/>
      <c r="J956" s="27"/>
      <c r="K956" s="27"/>
      <c r="L956" s="27"/>
      <c r="M956" s="27"/>
      <c r="N956" s="27"/>
      <c r="O956" s="27"/>
      <c r="P956" s="43"/>
      <c r="Q956" s="27"/>
      <c r="R956" s="27"/>
      <c r="S956" s="43"/>
      <c r="T956" s="27"/>
      <c r="U956" s="27"/>
      <c r="V956" s="27"/>
      <c r="W956" s="27"/>
      <c r="X956" s="27"/>
      <c r="Y956" s="27"/>
      <c r="Z956" s="27"/>
      <c r="AA956" s="41"/>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row>
    <row r="957">
      <c r="A957" s="27"/>
      <c r="B957" s="42"/>
      <c r="C957" s="27"/>
      <c r="D957" s="27"/>
      <c r="E957" s="27"/>
      <c r="F957" s="27"/>
      <c r="G957" s="43"/>
      <c r="H957" s="27"/>
      <c r="I957" s="27"/>
      <c r="J957" s="27"/>
      <c r="K957" s="27"/>
      <c r="L957" s="27"/>
      <c r="M957" s="27"/>
      <c r="N957" s="27"/>
      <c r="O957" s="27"/>
      <c r="P957" s="43"/>
      <c r="Q957" s="27"/>
      <c r="R957" s="27"/>
      <c r="S957" s="43"/>
      <c r="T957" s="27"/>
      <c r="U957" s="27"/>
      <c r="V957" s="27"/>
      <c r="W957" s="27"/>
      <c r="X957" s="27"/>
      <c r="Y957" s="27"/>
      <c r="Z957" s="27"/>
      <c r="AA957" s="41"/>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row>
    <row r="958">
      <c r="A958" s="27"/>
      <c r="B958" s="42"/>
      <c r="C958" s="27"/>
      <c r="D958" s="27"/>
      <c r="E958" s="27"/>
      <c r="F958" s="27"/>
      <c r="G958" s="43"/>
      <c r="H958" s="27"/>
      <c r="I958" s="27"/>
      <c r="J958" s="27"/>
      <c r="K958" s="27"/>
      <c r="L958" s="27"/>
      <c r="M958" s="27"/>
      <c r="N958" s="27"/>
      <c r="O958" s="27"/>
      <c r="P958" s="43"/>
      <c r="Q958" s="27"/>
      <c r="R958" s="27"/>
      <c r="S958" s="43"/>
      <c r="T958" s="27"/>
      <c r="U958" s="27"/>
      <c r="V958" s="27"/>
      <c r="W958" s="27"/>
      <c r="X958" s="27"/>
      <c r="Y958" s="27"/>
      <c r="Z958" s="27"/>
      <c r="AA958" s="41"/>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row>
    <row r="959">
      <c r="A959" s="27"/>
      <c r="B959" s="42"/>
      <c r="C959" s="27"/>
      <c r="D959" s="27"/>
      <c r="E959" s="27"/>
      <c r="F959" s="27"/>
      <c r="G959" s="43"/>
      <c r="H959" s="27"/>
      <c r="I959" s="27"/>
      <c r="J959" s="27"/>
      <c r="K959" s="27"/>
      <c r="L959" s="27"/>
      <c r="M959" s="27"/>
      <c r="N959" s="27"/>
      <c r="O959" s="27"/>
      <c r="P959" s="43"/>
      <c r="Q959" s="27"/>
      <c r="R959" s="27"/>
      <c r="S959" s="43"/>
      <c r="T959" s="27"/>
      <c r="U959" s="27"/>
      <c r="V959" s="27"/>
      <c r="W959" s="27"/>
      <c r="X959" s="27"/>
      <c r="Y959" s="27"/>
      <c r="Z959" s="27"/>
      <c r="AA959" s="41"/>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row>
    <row r="960">
      <c r="A960" s="27"/>
      <c r="B960" s="42"/>
      <c r="C960" s="27"/>
      <c r="D960" s="27"/>
      <c r="E960" s="27"/>
      <c r="F960" s="27"/>
      <c r="G960" s="43"/>
      <c r="H960" s="27"/>
      <c r="I960" s="27"/>
      <c r="J960" s="27"/>
      <c r="K960" s="27"/>
      <c r="L960" s="27"/>
      <c r="M960" s="27"/>
      <c r="N960" s="27"/>
      <c r="O960" s="27"/>
      <c r="P960" s="43"/>
      <c r="Q960" s="27"/>
      <c r="R960" s="27"/>
      <c r="S960" s="43"/>
      <c r="T960" s="27"/>
      <c r="U960" s="27"/>
      <c r="V960" s="27"/>
      <c r="W960" s="27"/>
      <c r="X960" s="27"/>
      <c r="Y960" s="27"/>
      <c r="Z960" s="27"/>
      <c r="AA960" s="41"/>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row>
    <row r="961">
      <c r="A961" s="27"/>
      <c r="B961" s="42"/>
      <c r="C961" s="27"/>
      <c r="D961" s="27"/>
      <c r="E961" s="27"/>
      <c r="F961" s="27"/>
      <c r="G961" s="43"/>
      <c r="H961" s="27"/>
      <c r="I961" s="27"/>
      <c r="J961" s="27"/>
      <c r="K961" s="27"/>
      <c r="L961" s="27"/>
      <c r="M961" s="27"/>
      <c r="N961" s="27"/>
      <c r="O961" s="27"/>
      <c r="P961" s="43"/>
      <c r="Q961" s="27"/>
      <c r="R961" s="27"/>
      <c r="S961" s="43"/>
      <c r="T961" s="27"/>
      <c r="U961" s="27"/>
      <c r="V961" s="27"/>
      <c r="W961" s="27"/>
      <c r="X961" s="27"/>
      <c r="Y961" s="27"/>
      <c r="Z961" s="27"/>
      <c r="AA961" s="41"/>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row>
    <row r="962">
      <c r="A962" s="27"/>
      <c r="B962" s="42"/>
      <c r="C962" s="27"/>
      <c r="D962" s="27"/>
      <c r="E962" s="27"/>
      <c r="F962" s="27"/>
      <c r="G962" s="43"/>
      <c r="H962" s="27"/>
      <c r="I962" s="27"/>
      <c r="J962" s="27"/>
      <c r="K962" s="27"/>
      <c r="L962" s="27"/>
      <c r="M962" s="27"/>
      <c r="N962" s="27"/>
      <c r="O962" s="27"/>
      <c r="P962" s="43"/>
      <c r="Q962" s="27"/>
      <c r="R962" s="27"/>
      <c r="S962" s="43"/>
      <c r="T962" s="27"/>
      <c r="U962" s="27"/>
      <c r="V962" s="27"/>
      <c r="W962" s="27"/>
      <c r="X962" s="27"/>
      <c r="Y962" s="27"/>
      <c r="Z962" s="27"/>
      <c r="AA962" s="41"/>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row>
    <row r="963">
      <c r="A963" s="27"/>
      <c r="B963" s="42"/>
      <c r="C963" s="27"/>
      <c r="D963" s="27"/>
      <c r="E963" s="27"/>
      <c r="F963" s="27"/>
      <c r="G963" s="43"/>
      <c r="H963" s="27"/>
      <c r="I963" s="27"/>
      <c r="J963" s="27"/>
      <c r="K963" s="27"/>
      <c r="L963" s="27"/>
      <c r="M963" s="27"/>
      <c r="N963" s="27"/>
      <c r="O963" s="27"/>
      <c r="P963" s="43"/>
      <c r="Q963" s="27"/>
      <c r="R963" s="27"/>
      <c r="S963" s="43"/>
      <c r="T963" s="27"/>
      <c r="U963" s="27"/>
      <c r="V963" s="27"/>
      <c r="W963" s="27"/>
      <c r="X963" s="27"/>
      <c r="Y963" s="27"/>
      <c r="Z963" s="27"/>
      <c r="AA963" s="41"/>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row>
    <row r="964">
      <c r="A964" s="27"/>
      <c r="B964" s="42"/>
      <c r="C964" s="27"/>
      <c r="D964" s="27"/>
      <c r="E964" s="27"/>
      <c r="F964" s="27"/>
      <c r="G964" s="43"/>
      <c r="H964" s="27"/>
      <c r="I964" s="27"/>
      <c r="J964" s="27"/>
      <c r="K964" s="27"/>
      <c r="L964" s="27"/>
      <c r="M964" s="27"/>
      <c r="N964" s="27"/>
      <c r="O964" s="27"/>
      <c r="P964" s="43"/>
      <c r="Q964" s="27"/>
      <c r="R964" s="27"/>
      <c r="S964" s="43"/>
      <c r="T964" s="27"/>
      <c r="U964" s="27"/>
      <c r="V964" s="27"/>
      <c r="W964" s="27"/>
      <c r="X964" s="27"/>
      <c r="Y964" s="27"/>
      <c r="Z964" s="27"/>
      <c r="AA964" s="41"/>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row>
    <row r="965">
      <c r="A965" s="27"/>
      <c r="B965" s="42"/>
      <c r="C965" s="27"/>
      <c r="D965" s="27"/>
      <c r="E965" s="27"/>
      <c r="F965" s="27"/>
      <c r="G965" s="43"/>
      <c r="H965" s="27"/>
      <c r="I965" s="27"/>
      <c r="J965" s="27"/>
      <c r="K965" s="27"/>
      <c r="L965" s="27"/>
      <c r="M965" s="27"/>
      <c r="N965" s="27"/>
      <c r="O965" s="27"/>
      <c r="P965" s="43"/>
      <c r="Q965" s="27"/>
      <c r="R965" s="27"/>
      <c r="S965" s="43"/>
      <c r="T965" s="27"/>
      <c r="U965" s="27"/>
      <c r="V965" s="27"/>
      <c r="W965" s="27"/>
      <c r="X965" s="27"/>
      <c r="Y965" s="27"/>
      <c r="Z965" s="27"/>
      <c r="AA965" s="41"/>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row>
    <row r="966">
      <c r="A966" s="27"/>
      <c r="B966" s="42"/>
      <c r="C966" s="27"/>
      <c r="D966" s="27"/>
      <c r="E966" s="27"/>
      <c r="F966" s="27"/>
      <c r="G966" s="43"/>
      <c r="H966" s="27"/>
      <c r="I966" s="27"/>
      <c r="J966" s="27"/>
      <c r="K966" s="27"/>
      <c r="L966" s="27"/>
      <c r="M966" s="27"/>
      <c r="N966" s="27"/>
      <c r="O966" s="27"/>
      <c r="P966" s="43"/>
      <c r="Q966" s="27"/>
      <c r="R966" s="27"/>
      <c r="S966" s="43"/>
      <c r="T966" s="27"/>
      <c r="U966" s="27"/>
      <c r="V966" s="27"/>
      <c r="W966" s="27"/>
      <c r="X966" s="27"/>
      <c r="Y966" s="27"/>
      <c r="Z966" s="27"/>
      <c r="AA966" s="41"/>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row>
    <row r="967">
      <c r="A967" s="27"/>
      <c r="B967" s="42"/>
      <c r="C967" s="27"/>
      <c r="D967" s="27"/>
      <c r="E967" s="27"/>
      <c r="F967" s="27"/>
      <c r="G967" s="43"/>
      <c r="H967" s="27"/>
      <c r="I967" s="27"/>
      <c r="J967" s="27"/>
      <c r="K967" s="27"/>
      <c r="L967" s="27"/>
      <c r="M967" s="27"/>
      <c r="N967" s="27"/>
      <c r="O967" s="27"/>
      <c r="P967" s="43"/>
      <c r="Q967" s="27"/>
      <c r="R967" s="27"/>
      <c r="S967" s="43"/>
      <c r="T967" s="27"/>
      <c r="U967" s="27"/>
      <c r="V967" s="27"/>
      <c r="W967" s="27"/>
      <c r="X967" s="27"/>
      <c r="Y967" s="27"/>
      <c r="Z967" s="27"/>
      <c r="AA967" s="41"/>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row>
    <row r="968">
      <c r="A968" s="27"/>
      <c r="B968" s="42"/>
      <c r="C968" s="27"/>
      <c r="D968" s="27"/>
      <c r="E968" s="27"/>
      <c r="F968" s="27"/>
      <c r="G968" s="43"/>
      <c r="H968" s="27"/>
      <c r="I968" s="27"/>
      <c r="J968" s="27"/>
      <c r="K968" s="27"/>
      <c r="L968" s="27"/>
      <c r="M968" s="27"/>
      <c r="N968" s="27"/>
      <c r="O968" s="27"/>
      <c r="P968" s="43"/>
      <c r="Q968" s="27"/>
      <c r="R968" s="27"/>
      <c r="S968" s="43"/>
      <c r="T968" s="27"/>
      <c r="U968" s="27"/>
      <c r="V968" s="27"/>
      <c r="W968" s="27"/>
      <c r="X968" s="27"/>
      <c r="Y968" s="27"/>
      <c r="Z968" s="27"/>
      <c r="AA968" s="41"/>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row>
    <row r="969">
      <c r="A969" s="27"/>
      <c r="B969" s="42"/>
      <c r="C969" s="27"/>
      <c r="D969" s="27"/>
      <c r="E969" s="27"/>
      <c r="F969" s="27"/>
      <c r="G969" s="43"/>
      <c r="H969" s="27"/>
      <c r="I969" s="27"/>
      <c r="J969" s="27"/>
      <c r="K969" s="27"/>
      <c r="L969" s="27"/>
      <c r="M969" s="27"/>
      <c r="N969" s="27"/>
      <c r="O969" s="27"/>
      <c r="P969" s="43"/>
      <c r="Q969" s="27"/>
      <c r="R969" s="27"/>
      <c r="S969" s="43"/>
      <c r="T969" s="27"/>
      <c r="U969" s="27"/>
      <c r="V969" s="27"/>
      <c r="W969" s="27"/>
      <c r="X969" s="27"/>
      <c r="Y969" s="27"/>
      <c r="Z969" s="27"/>
      <c r="AA969" s="41"/>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row>
    <row r="970">
      <c r="A970" s="27"/>
      <c r="B970" s="42"/>
      <c r="C970" s="27"/>
      <c r="D970" s="27"/>
      <c r="E970" s="27"/>
      <c r="F970" s="27"/>
      <c r="G970" s="43"/>
      <c r="H970" s="27"/>
      <c r="I970" s="27"/>
      <c r="J970" s="27"/>
      <c r="K970" s="27"/>
      <c r="L970" s="27"/>
      <c r="M970" s="27"/>
      <c r="N970" s="27"/>
      <c r="O970" s="27"/>
      <c r="P970" s="43"/>
      <c r="Q970" s="27"/>
      <c r="R970" s="27"/>
      <c r="S970" s="43"/>
      <c r="T970" s="27"/>
      <c r="U970" s="27"/>
      <c r="V970" s="27"/>
      <c r="W970" s="27"/>
      <c r="X970" s="27"/>
      <c r="Y970" s="27"/>
      <c r="Z970" s="27"/>
      <c r="AA970" s="41"/>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row>
    <row r="971">
      <c r="A971" s="27"/>
      <c r="B971" s="42"/>
      <c r="C971" s="27"/>
      <c r="D971" s="27"/>
      <c r="E971" s="27"/>
      <c r="F971" s="27"/>
      <c r="G971" s="43"/>
      <c r="H971" s="27"/>
      <c r="I971" s="27"/>
      <c r="J971" s="27"/>
      <c r="K971" s="27"/>
      <c r="L971" s="27"/>
      <c r="M971" s="27"/>
      <c r="N971" s="27"/>
      <c r="O971" s="27"/>
      <c r="P971" s="43"/>
      <c r="Q971" s="27"/>
      <c r="R971" s="27"/>
      <c r="S971" s="43"/>
      <c r="T971" s="27"/>
      <c r="U971" s="27"/>
      <c r="V971" s="27"/>
      <c r="W971" s="27"/>
      <c r="X971" s="27"/>
      <c r="Y971" s="27"/>
      <c r="Z971" s="27"/>
      <c r="AA971" s="41"/>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row>
    <row r="972">
      <c r="A972" s="27"/>
      <c r="B972" s="42"/>
      <c r="C972" s="27"/>
      <c r="D972" s="27"/>
      <c r="E972" s="27"/>
      <c r="F972" s="27"/>
      <c r="G972" s="43"/>
      <c r="H972" s="27"/>
      <c r="I972" s="27"/>
      <c r="J972" s="27"/>
      <c r="K972" s="27"/>
      <c r="L972" s="27"/>
      <c r="M972" s="27"/>
      <c r="N972" s="27"/>
      <c r="O972" s="27"/>
      <c r="P972" s="43"/>
      <c r="Q972" s="27"/>
      <c r="R972" s="27"/>
      <c r="S972" s="43"/>
      <c r="T972" s="27"/>
      <c r="U972" s="27"/>
      <c r="V972" s="27"/>
      <c r="W972" s="27"/>
      <c r="X972" s="27"/>
      <c r="Y972" s="27"/>
      <c r="Z972" s="27"/>
      <c r="AA972" s="41"/>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row>
  </sheetData>
  <dataValidations>
    <dataValidation type="custom" allowBlank="1" showDropDown="1" sqref="B2:B645">
      <formula1>OR(NOT(ISERROR(DATEVALUE(B2))), AND(ISNUMBER(B2), LEFT(CELL("format", B2))="D"))</formula1>
    </dataValidation>
    <dataValidation type="custom" allowBlank="1" showDropDown="1" sqref="N2:N645">
      <formula1>OR(NOT(ISERROR(DATEVALUE(N2))), AND(ISNUMBER(N2), LEFT(CELL("format", N2))="D"))</formula1>
    </dataValidation>
    <dataValidation type="custom" allowBlank="1" showDropDown="1" sqref="Y2:Y645">
      <formula1>OR(NOT(ISERROR(DATEVALUE(Y2))), AND(ISNUMBER(Y2), LEFT(CELL("format", Y2))="D"))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8" max="8" width="48.75"/>
  </cols>
  <sheetData>
    <row r="1">
      <c r="A1" s="36" t="s">
        <v>36</v>
      </c>
      <c r="B1" s="36" t="s">
        <v>6337</v>
      </c>
    </row>
    <row r="2">
      <c r="A2" s="36" t="s">
        <v>62</v>
      </c>
      <c r="B2" s="36">
        <v>164.0</v>
      </c>
      <c r="C2" s="44">
        <v>46.0</v>
      </c>
      <c r="D2" s="36">
        <f t="shared" ref="D2:D8" si="1">B2+C2</f>
        <v>210</v>
      </c>
    </row>
    <row r="3">
      <c r="A3" s="36" t="s">
        <v>82</v>
      </c>
      <c r="B3" s="36">
        <v>139.0</v>
      </c>
      <c r="D3" s="36">
        <f t="shared" si="1"/>
        <v>139</v>
      </c>
    </row>
    <row r="4">
      <c r="A4" s="36" t="s">
        <v>99</v>
      </c>
      <c r="B4" s="36">
        <v>87.0</v>
      </c>
      <c r="C4" s="44">
        <v>11.0</v>
      </c>
      <c r="D4" s="36">
        <f t="shared" si="1"/>
        <v>98</v>
      </c>
    </row>
    <row r="5">
      <c r="A5" s="36" t="s">
        <v>127</v>
      </c>
      <c r="B5" s="36">
        <v>54.0</v>
      </c>
      <c r="C5" s="44">
        <v>10.0</v>
      </c>
      <c r="D5" s="36">
        <f t="shared" si="1"/>
        <v>64</v>
      </c>
    </row>
    <row r="6">
      <c r="A6" s="36" t="s">
        <v>774</v>
      </c>
      <c r="B6" s="36">
        <v>43.0</v>
      </c>
      <c r="C6" s="44">
        <v>22.0</v>
      </c>
      <c r="D6" s="36">
        <f t="shared" si="1"/>
        <v>65</v>
      </c>
    </row>
    <row r="7">
      <c r="A7" s="36" t="s">
        <v>633</v>
      </c>
      <c r="B7" s="36">
        <v>26.0</v>
      </c>
      <c r="D7" s="36">
        <f t="shared" si="1"/>
        <v>26</v>
      </c>
    </row>
    <row r="8">
      <c r="A8" s="36" t="s">
        <v>61</v>
      </c>
      <c r="B8" s="36">
        <v>120.0</v>
      </c>
      <c r="C8" s="44">
        <v>35.0</v>
      </c>
      <c r="D8" s="36">
        <f t="shared" si="1"/>
        <v>155</v>
      </c>
    </row>
    <row r="9">
      <c r="A9" s="36" t="s">
        <v>6338</v>
      </c>
      <c r="B9" s="36">
        <v>630.0</v>
      </c>
      <c r="D9" s="36">
        <f>SUM(D2:D8)</f>
        <v>757</v>
      </c>
    </row>
    <row r="10">
      <c r="C10" s="45">
        <v>127.0</v>
      </c>
      <c r="D10" s="46">
        <f>B9+C10</f>
        <v>757</v>
      </c>
    </row>
    <row r="11">
      <c r="A11" s="36" t="s">
        <v>41</v>
      </c>
      <c r="B11" s="36" t="s">
        <v>6337</v>
      </c>
    </row>
    <row r="12">
      <c r="A12" s="36" t="s">
        <v>5837</v>
      </c>
      <c r="B12" s="36">
        <v>1.0</v>
      </c>
    </row>
    <row r="13">
      <c r="A13" s="36" t="s">
        <v>4621</v>
      </c>
      <c r="B13" s="36">
        <v>1.0</v>
      </c>
    </row>
    <row r="14">
      <c r="A14" s="36" t="s">
        <v>5778</v>
      </c>
      <c r="B14" s="36">
        <v>1.0</v>
      </c>
    </row>
    <row r="15">
      <c r="A15" s="36" t="s">
        <v>144</v>
      </c>
      <c r="B15" s="36">
        <v>25.0</v>
      </c>
    </row>
    <row r="16">
      <c r="A16" s="36" t="s">
        <v>1311</v>
      </c>
      <c r="B16" s="36">
        <v>15.0</v>
      </c>
    </row>
    <row r="17">
      <c r="A17" s="36" t="s">
        <v>445</v>
      </c>
      <c r="B17" s="36">
        <v>2.0</v>
      </c>
    </row>
    <row r="18">
      <c r="A18" s="36" t="s">
        <v>1435</v>
      </c>
      <c r="B18" s="36">
        <v>2.0</v>
      </c>
    </row>
    <row r="19">
      <c r="A19" s="36" t="s">
        <v>4285</v>
      </c>
      <c r="B19" s="36">
        <v>1.0</v>
      </c>
    </row>
    <row r="20">
      <c r="A20" s="36" t="s">
        <v>326</v>
      </c>
      <c r="B20" s="36">
        <v>103.0</v>
      </c>
    </row>
    <row r="21">
      <c r="A21" s="36" t="s">
        <v>636</v>
      </c>
      <c r="B21" s="36">
        <v>5.0</v>
      </c>
    </row>
    <row r="22">
      <c r="A22" s="36" t="s">
        <v>715</v>
      </c>
      <c r="B22" s="36">
        <v>67.0</v>
      </c>
    </row>
    <row r="23">
      <c r="A23" s="36" t="s">
        <v>468</v>
      </c>
      <c r="B23" s="36">
        <v>8.0</v>
      </c>
    </row>
    <row r="24">
      <c r="A24" s="36" t="s">
        <v>372</v>
      </c>
      <c r="B24" s="36">
        <v>11.0</v>
      </c>
    </row>
    <row r="25">
      <c r="A25" s="36" t="s">
        <v>5187</v>
      </c>
      <c r="B25" s="36">
        <v>1.0</v>
      </c>
      <c r="F25" s="45" t="s">
        <v>26</v>
      </c>
      <c r="G25" s="45" t="s">
        <v>6339</v>
      </c>
    </row>
    <row r="26">
      <c r="A26" s="36" t="s">
        <v>3116</v>
      </c>
      <c r="B26" s="36">
        <v>1.0</v>
      </c>
      <c r="F26" s="44" t="s">
        <v>4741</v>
      </c>
      <c r="G26" s="36">
        <v>210.0</v>
      </c>
    </row>
    <row r="27">
      <c r="A27" s="36" t="s">
        <v>1772</v>
      </c>
      <c r="B27" s="36">
        <v>1.0</v>
      </c>
      <c r="F27" s="44" t="s">
        <v>30</v>
      </c>
      <c r="G27" s="36">
        <v>155.0</v>
      </c>
    </row>
    <row r="28">
      <c r="A28" s="36" t="s">
        <v>2281</v>
      </c>
      <c r="B28" s="36">
        <v>9.0</v>
      </c>
      <c r="F28" s="44" t="s">
        <v>31</v>
      </c>
      <c r="G28" s="36">
        <v>139.0</v>
      </c>
    </row>
    <row r="29">
      <c r="A29" s="36" t="s">
        <v>1023</v>
      </c>
      <c r="B29" s="36">
        <v>8.0</v>
      </c>
      <c r="F29" s="44" t="s">
        <v>1163</v>
      </c>
      <c r="G29" s="36">
        <v>98.0</v>
      </c>
    </row>
    <row r="30">
      <c r="A30" s="36" t="s">
        <v>116</v>
      </c>
      <c r="B30" s="36">
        <v>15.0</v>
      </c>
      <c r="F30" s="44" t="s">
        <v>6340</v>
      </c>
      <c r="G30" s="36">
        <v>65.0</v>
      </c>
    </row>
    <row r="31">
      <c r="A31" s="36" t="s">
        <v>644</v>
      </c>
      <c r="B31" s="36">
        <v>14.0</v>
      </c>
      <c r="F31" s="44" t="s">
        <v>28</v>
      </c>
      <c r="G31" s="36">
        <v>64.0</v>
      </c>
    </row>
    <row r="32">
      <c r="A32" s="36" t="s">
        <v>277</v>
      </c>
      <c r="B32" s="36">
        <v>16.0</v>
      </c>
      <c r="F32" s="44" t="s">
        <v>23</v>
      </c>
      <c r="G32" s="36">
        <v>26.0</v>
      </c>
    </row>
    <row r="33">
      <c r="A33" s="36" t="s">
        <v>5788</v>
      </c>
      <c r="B33" s="36">
        <v>1.0</v>
      </c>
      <c r="F33" s="44" t="s">
        <v>6341</v>
      </c>
      <c r="G33" s="36">
        <v>757.0</v>
      </c>
    </row>
    <row r="34">
      <c r="A34" s="36" t="s">
        <v>2180</v>
      </c>
      <c r="B34" s="36">
        <v>3.0</v>
      </c>
    </row>
    <row r="35">
      <c r="A35" s="36" t="s">
        <v>65</v>
      </c>
      <c r="B35" s="36">
        <v>87.0</v>
      </c>
    </row>
    <row r="36">
      <c r="A36" s="36" t="s">
        <v>1610</v>
      </c>
      <c r="B36" s="36">
        <v>10.0</v>
      </c>
      <c r="E36" s="36" t="s">
        <v>41</v>
      </c>
      <c r="F36" s="36" t="s">
        <v>6337</v>
      </c>
    </row>
    <row r="37">
      <c r="A37" s="36" t="s">
        <v>1069</v>
      </c>
      <c r="B37" s="36">
        <v>14.0</v>
      </c>
      <c r="E37" s="36" t="s">
        <v>326</v>
      </c>
      <c r="F37" s="36">
        <v>103.0</v>
      </c>
      <c r="H37" s="44" t="s">
        <v>6342</v>
      </c>
      <c r="I37" s="36">
        <v>103.0</v>
      </c>
    </row>
    <row r="38">
      <c r="A38" s="36" t="s">
        <v>777</v>
      </c>
      <c r="B38" s="36">
        <v>8.0</v>
      </c>
      <c r="E38" s="36" t="s">
        <v>85</v>
      </c>
      <c r="F38" s="36">
        <v>92.0</v>
      </c>
      <c r="H38" s="44" t="s">
        <v>6343</v>
      </c>
      <c r="I38" s="36">
        <v>92.0</v>
      </c>
    </row>
    <row r="39">
      <c r="A39" s="36" t="s">
        <v>130</v>
      </c>
      <c r="B39" s="36">
        <v>9.0</v>
      </c>
      <c r="E39" s="36" t="s">
        <v>65</v>
      </c>
      <c r="F39" s="36">
        <v>87.0</v>
      </c>
      <c r="H39" s="44" t="s">
        <v>6344</v>
      </c>
      <c r="I39" s="36">
        <v>67.0</v>
      </c>
    </row>
    <row r="40">
      <c r="A40" s="36" t="s">
        <v>4740</v>
      </c>
      <c r="B40" s="36">
        <v>1.0</v>
      </c>
      <c r="E40" s="36" t="s">
        <v>715</v>
      </c>
      <c r="F40" s="36">
        <v>67.0</v>
      </c>
      <c r="H40" s="36" t="s">
        <v>842</v>
      </c>
      <c r="I40" s="36">
        <v>36.0</v>
      </c>
    </row>
    <row r="41">
      <c r="A41" s="36" t="s">
        <v>244</v>
      </c>
      <c r="B41" s="36">
        <v>13.0</v>
      </c>
      <c r="E41" s="36" t="s">
        <v>842</v>
      </c>
      <c r="F41" s="36">
        <v>36.0</v>
      </c>
      <c r="H41" s="36" t="s">
        <v>144</v>
      </c>
      <c r="I41" s="36">
        <v>25.0</v>
      </c>
    </row>
    <row r="42">
      <c r="A42" s="36" t="s">
        <v>3605</v>
      </c>
      <c r="B42" s="36">
        <v>3.0</v>
      </c>
      <c r="E42" s="36" t="s">
        <v>144</v>
      </c>
      <c r="F42" s="36">
        <v>25.0</v>
      </c>
      <c r="H42" s="36" t="s">
        <v>338</v>
      </c>
      <c r="I42" s="36">
        <v>23.0</v>
      </c>
    </row>
    <row r="43">
      <c r="A43" s="36" t="s">
        <v>842</v>
      </c>
      <c r="B43" s="36">
        <v>36.0</v>
      </c>
      <c r="E43" s="36" t="s">
        <v>338</v>
      </c>
      <c r="F43" s="36">
        <v>23.0</v>
      </c>
      <c r="H43" s="36" t="s">
        <v>277</v>
      </c>
      <c r="I43" s="36">
        <v>16.0</v>
      </c>
    </row>
    <row r="44">
      <c r="A44" s="36" t="s">
        <v>2581</v>
      </c>
      <c r="B44" s="36">
        <v>9.0</v>
      </c>
      <c r="E44" s="36" t="s">
        <v>277</v>
      </c>
      <c r="F44" s="36">
        <v>16.0</v>
      </c>
      <c r="H44" s="36" t="s">
        <v>1311</v>
      </c>
      <c r="I44" s="36">
        <v>15.0</v>
      </c>
    </row>
    <row r="45">
      <c r="A45" s="36" t="s">
        <v>2293</v>
      </c>
      <c r="B45" s="36">
        <v>13.0</v>
      </c>
      <c r="E45" s="36" t="s">
        <v>1311</v>
      </c>
      <c r="F45" s="36">
        <v>15.0</v>
      </c>
      <c r="H45" s="36" t="s">
        <v>116</v>
      </c>
      <c r="I45" s="36">
        <v>15.0</v>
      </c>
    </row>
    <row r="46">
      <c r="A46" s="36" t="s">
        <v>85</v>
      </c>
      <c r="B46" s="36">
        <v>92.0</v>
      </c>
      <c r="E46" s="36" t="s">
        <v>116</v>
      </c>
      <c r="F46" s="36">
        <v>15.0</v>
      </c>
      <c r="H46" s="44" t="s">
        <v>6345</v>
      </c>
      <c r="I46" s="36">
        <v>14.0</v>
      </c>
    </row>
    <row r="47">
      <c r="A47" s="36" t="s">
        <v>5284</v>
      </c>
      <c r="B47" s="36">
        <v>1.0</v>
      </c>
      <c r="E47" s="36" t="s">
        <v>644</v>
      </c>
      <c r="F47" s="36">
        <v>14.0</v>
      </c>
      <c r="H47" s="36" t="s">
        <v>1069</v>
      </c>
      <c r="I47" s="36">
        <v>14.0</v>
      </c>
    </row>
    <row r="48">
      <c r="A48" s="36" t="s">
        <v>338</v>
      </c>
      <c r="B48" s="36">
        <v>23.0</v>
      </c>
      <c r="E48" s="36" t="s">
        <v>1069</v>
      </c>
      <c r="F48" s="36">
        <v>14.0</v>
      </c>
      <c r="H48" s="44" t="s">
        <v>6346</v>
      </c>
      <c r="I48" s="36">
        <f>F39+SUM(F49:F73)</f>
        <v>210</v>
      </c>
    </row>
    <row r="49">
      <c r="A49" s="36" t="s">
        <v>6338</v>
      </c>
      <c r="B49" s="36">
        <v>630.0</v>
      </c>
      <c r="E49" s="36" t="s">
        <v>244</v>
      </c>
      <c r="F49" s="36">
        <v>13.0</v>
      </c>
      <c r="I49" s="36">
        <f>SUM(I1:I48)</f>
        <v>630</v>
      </c>
    </row>
    <row r="50">
      <c r="E50" s="36" t="s">
        <v>2293</v>
      </c>
      <c r="F50" s="36">
        <v>13.0</v>
      </c>
    </row>
    <row r="51">
      <c r="E51" s="36" t="s">
        <v>372</v>
      </c>
      <c r="F51" s="36">
        <v>11.0</v>
      </c>
    </row>
    <row r="52">
      <c r="E52" s="36" t="s">
        <v>1610</v>
      </c>
      <c r="F52" s="36">
        <v>10.0</v>
      </c>
    </row>
    <row r="53">
      <c r="E53" s="36" t="s">
        <v>2281</v>
      </c>
      <c r="F53" s="36">
        <v>9.0</v>
      </c>
    </row>
    <row r="54">
      <c r="E54" s="36" t="s">
        <v>130</v>
      </c>
      <c r="F54" s="36">
        <v>9.0</v>
      </c>
    </row>
    <row r="55">
      <c r="E55" s="36" t="s">
        <v>2581</v>
      </c>
      <c r="F55" s="36">
        <v>9.0</v>
      </c>
    </row>
    <row r="56">
      <c r="E56" s="36" t="s">
        <v>468</v>
      </c>
      <c r="F56" s="36">
        <v>8.0</v>
      </c>
    </row>
    <row r="57">
      <c r="E57" s="36" t="s">
        <v>1023</v>
      </c>
      <c r="F57" s="36">
        <v>8.0</v>
      </c>
    </row>
    <row r="58">
      <c r="E58" s="36" t="s">
        <v>777</v>
      </c>
      <c r="F58" s="36">
        <v>8.0</v>
      </c>
    </row>
    <row r="59">
      <c r="E59" s="36" t="s">
        <v>636</v>
      </c>
      <c r="F59" s="36">
        <v>5.0</v>
      </c>
    </row>
    <row r="60">
      <c r="E60" s="36" t="s">
        <v>2180</v>
      </c>
      <c r="F60" s="36">
        <v>3.0</v>
      </c>
    </row>
    <row r="61">
      <c r="E61" s="36" t="s">
        <v>3605</v>
      </c>
      <c r="F61" s="36">
        <v>3.0</v>
      </c>
    </row>
    <row r="62">
      <c r="E62" s="36" t="s">
        <v>445</v>
      </c>
      <c r="F62" s="36">
        <v>2.0</v>
      </c>
    </row>
    <row r="63">
      <c r="E63" s="36" t="s">
        <v>1435</v>
      </c>
      <c r="F63" s="36">
        <v>2.0</v>
      </c>
    </row>
    <row r="64">
      <c r="E64" s="36" t="s">
        <v>5837</v>
      </c>
      <c r="F64" s="36">
        <v>1.0</v>
      </c>
    </row>
    <row r="65">
      <c r="E65" s="36" t="s">
        <v>4621</v>
      </c>
      <c r="F65" s="36">
        <v>1.0</v>
      </c>
    </row>
    <row r="66">
      <c r="E66" s="36" t="s">
        <v>5778</v>
      </c>
      <c r="F66" s="36">
        <v>1.0</v>
      </c>
    </row>
    <row r="67">
      <c r="E67" s="36" t="s">
        <v>4285</v>
      </c>
      <c r="F67" s="36">
        <v>1.0</v>
      </c>
    </row>
    <row r="68">
      <c r="E68" s="36" t="s">
        <v>5187</v>
      </c>
      <c r="F68" s="36">
        <v>1.0</v>
      </c>
    </row>
    <row r="69">
      <c r="E69" s="36" t="s">
        <v>3116</v>
      </c>
      <c r="F69" s="36">
        <v>1.0</v>
      </c>
    </row>
    <row r="70">
      <c r="E70" s="36" t="s">
        <v>1772</v>
      </c>
      <c r="F70" s="36">
        <v>1.0</v>
      </c>
    </row>
    <row r="71">
      <c r="E71" s="36" t="s">
        <v>5788</v>
      </c>
      <c r="F71" s="36">
        <v>1.0</v>
      </c>
    </row>
    <row r="72">
      <c r="E72" s="36" t="s">
        <v>4740</v>
      </c>
      <c r="F72" s="36">
        <v>1.0</v>
      </c>
    </row>
    <row r="73">
      <c r="E73" s="36" t="s">
        <v>5284</v>
      </c>
      <c r="F73" s="36">
        <v>1.0</v>
      </c>
    </row>
  </sheetData>
  <autoFilter ref="$E$36:$F$73">
    <sortState ref="E36:F73">
      <sortCondition descending="1" ref="F36:F73"/>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1.5"/>
    <col customWidth="1" min="2" max="2" width="16.13"/>
    <col customWidth="1" min="3" max="3" width="29.0"/>
    <col customWidth="1" min="4" max="4" width="13.5"/>
    <col customWidth="1" min="5" max="5" width="19.75"/>
    <col customWidth="1" min="6" max="6" width="26.38"/>
    <col customWidth="1" min="7" max="9" width="37.63"/>
    <col customWidth="1" min="10" max="10" width="17.88"/>
    <col customWidth="1" min="11" max="11" width="28.75"/>
    <col customWidth="1" min="12" max="12" width="26.63"/>
    <col customWidth="1" min="13" max="13" width="19.25"/>
    <col customWidth="1" min="15" max="21" width="37.63"/>
    <col customWidth="1" min="22" max="22" width="29.88"/>
    <col customWidth="1" min="23" max="24" width="37.63"/>
    <col hidden="1" min="25" max="27" width="12.63"/>
    <col customWidth="1" min="28" max="28" width="22.75"/>
    <col customWidth="1" min="29" max="29" width="25.25"/>
    <col customWidth="1" min="30" max="30" width="27.25"/>
    <col customWidth="1" min="31" max="31" width="26.0"/>
    <col customWidth="1" min="32" max="32" width="24.75"/>
    <col customWidth="1" min="33" max="33" width="26.88"/>
    <col customWidth="1" min="34" max="34" width="24.63"/>
    <col customWidth="1" min="35" max="35" width="23.38"/>
    <col customWidth="1" min="36" max="36" width="24.13"/>
    <col customWidth="1" min="37" max="37" width="46.88"/>
  </cols>
  <sheetData>
    <row r="1" ht="40.5" customHeight="1">
      <c r="A1" s="18" t="s">
        <v>6347</v>
      </c>
      <c r="B1" s="18" t="s">
        <v>6348</v>
      </c>
      <c r="C1" s="47" t="s">
        <v>6349</v>
      </c>
      <c r="D1" s="18" t="s">
        <v>6350</v>
      </c>
      <c r="E1" s="18" t="s">
        <v>6351</v>
      </c>
      <c r="F1" s="18" t="s">
        <v>6352</v>
      </c>
      <c r="G1" s="18" t="s">
        <v>6353</v>
      </c>
      <c r="H1" s="18" t="s">
        <v>6354</v>
      </c>
      <c r="I1" s="47" t="s">
        <v>6355</v>
      </c>
      <c r="J1" s="18" t="s">
        <v>6356</v>
      </c>
      <c r="K1" s="18" t="s">
        <v>6357</v>
      </c>
      <c r="L1" s="18" t="s">
        <v>6358</v>
      </c>
      <c r="M1" s="47" t="s">
        <v>6359</v>
      </c>
      <c r="N1" s="18" t="s">
        <v>6360</v>
      </c>
      <c r="O1" s="18" t="s">
        <v>6361</v>
      </c>
      <c r="P1" s="18" t="s">
        <v>6362</v>
      </c>
      <c r="Q1" s="47" t="s">
        <v>6363</v>
      </c>
      <c r="R1" s="18" t="s">
        <v>6364</v>
      </c>
      <c r="S1" s="18" t="s">
        <v>6365</v>
      </c>
      <c r="T1" s="18" t="s">
        <v>6366</v>
      </c>
      <c r="U1" s="16" t="s">
        <v>53</v>
      </c>
      <c r="V1" s="16" t="s">
        <v>54</v>
      </c>
      <c r="W1" s="16" t="s">
        <v>55</v>
      </c>
      <c r="X1" s="18" t="s">
        <v>6367</v>
      </c>
      <c r="Y1" s="16" t="s">
        <v>56</v>
      </c>
      <c r="Z1" s="16" t="s">
        <v>57</v>
      </c>
      <c r="AA1" s="18" t="s">
        <v>2</v>
      </c>
      <c r="AB1" s="18" t="s">
        <v>4</v>
      </c>
      <c r="AC1" s="48" t="s">
        <v>6368</v>
      </c>
      <c r="AD1" s="18" t="s">
        <v>6369</v>
      </c>
      <c r="AE1" s="48" t="s">
        <v>6370</v>
      </c>
      <c r="AF1" s="49" t="s">
        <v>6371</v>
      </c>
      <c r="AG1" s="50" t="s">
        <v>6372</v>
      </c>
      <c r="AH1" s="51" t="s">
        <v>6373</v>
      </c>
      <c r="AI1" s="51" t="s">
        <v>6374</v>
      </c>
      <c r="AJ1" s="52" t="s">
        <v>6375</v>
      </c>
      <c r="AK1" s="27"/>
      <c r="AL1" s="27"/>
      <c r="AM1" s="27"/>
      <c r="AN1" s="27"/>
      <c r="AO1" s="27"/>
      <c r="AP1" s="27"/>
      <c r="AQ1" s="27"/>
      <c r="AR1" s="27"/>
      <c r="AS1" s="27"/>
      <c r="AT1" s="27"/>
      <c r="AU1" s="27"/>
      <c r="AV1" s="27"/>
      <c r="AW1" s="27"/>
      <c r="AX1" s="27"/>
      <c r="AY1" s="27"/>
      <c r="AZ1" s="27"/>
      <c r="BA1" s="27"/>
      <c r="BB1" s="27"/>
    </row>
    <row r="2" ht="22.5" hidden="1" customHeight="1">
      <c r="A2" s="20" t="s">
        <v>58</v>
      </c>
      <c r="B2" s="21">
        <v>38387.0</v>
      </c>
      <c r="C2" s="7" t="s">
        <v>59</v>
      </c>
      <c r="D2" s="22" t="s">
        <v>60</v>
      </c>
      <c r="E2" s="20" t="s">
        <v>61</v>
      </c>
      <c r="F2" s="20" t="s">
        <v>62</v>
      </c>
      <c r="G2" s="20" t="s">
        <v>63</v>
      </c>
      <c r="H2" s="20" t="s">
        <v>64</v>
      </c>
      <c r="I2" s="20" t="s">
        <v>65</v>
      </c>
      <c r="J2" s="20" t="s">
        <v>66</v>
      </c>
      <c r="K2" s="20" t="s">
        <v>67</v>
      </c>
      <c r="L2" s="20" t="s">
        <v>68</v>
      </c>
      <c r="M2" s="24">
        <v>46315.0</v>
      </c>
      <c r="N2" s="22" t="s">
        <v>69</v>
      </c>
      <c r="O2" s="23" t="str">
        <f>HYPERLINK("https://api.typeform.com/responses/files/d8b6e14ed9afca1385c327a1a80f2d74bdf23991bfb54bc603275ef462fbb0f3/z7628526052579_ff37ca4b9293ddf8043ac661565babc2.jpg")</f>
        <v>https://api.typeform.com/responses/files/d8b6e14ed9afca1385c327a1a80f2d74bdf23991bfb54bc603275ef462fbb0f3/z7628526052579_ff37ca4b9293ddf8043ac661565babc2.jpg</v>
      </c>
      <c r="P2" s="20" t="b">
        <v>0</v>
      </c>
      <c r="Q2" s="20" t="s">
        <v>70</v>
      </c>
      <c r="R2" s="25" t="s">
        <v>71</v>
      </c>
      <c r="S2" s="20" t="s">
        <v>72</v>
      </c>
      <c r="T2" s="20" t="s">
        <v>72</v>
      </c>
      <c r="U2" s="20" t="s">
        <v>73</v>
      </c>
      <c r="V2" s="20"/>
      <c r="W2" s="20" t="s">
        <v>74</v>
      </c>
      <c r="X2" s="23" t="str">
        <f>HYPERLINK("https://api.typeform.com/responses/files/af59c765842d256a6b19dda5f36acaede0803e973d05a7cc2225ee13e186418a/cv_intern.pdf")</f>
        <v>https://api.typeform.com/responses/files/af59c765842d256a6b19dda5f36acaede0803e973d05a7cc2225ee13e186418a/cv_intern.pdf</v>
      </c>
      <c r="Y2" s="26">
        <v>46134.355474537035</v>
      </c>
      <c r="Z2" s="20" t="s">
        <v>75</v>
      </c>
      <c r="AA2" s="6">
        <v>1.0</v>
      </c>
      <c r="AB2" s="7" t="s">
        <v>93</v>
      </c>
      <c r="AC2" s="28" t="s">
        <v>6376</v>
      </c>
      <c r="AD2" s="20"/>
      <c r="AE2" s="53"/>
      <c r="AF2" s="54"/>
      <c r="AG2" s="20"/>
      <c r="AH2" s="20" t="s">
        <v>76</v>
      </c>
      <c r="AI2" s="20" t="s">
        <v>77</v>
      </c>
      <c r="AJ2" s="55"/>
      <c r="AL2" s="27"/>
      <c r="AM2" s="27"/>
      <c r="AN2" s="27"/>
      <c r="AO2" s="27"/>
      <c r="AP2" s="27"/>
      <c r="AQ2" s="27"/>
      <c r="AR2" s="27"/>
      <c r="AS2" s="27"/>
      <c r="AT2" s="27"/>
      <c r="AU2" s="27"/>
      <c r="AV2" s="27"/>
      <c r="AW2" s="27"/>
      <c r="AX2" s="27"/>
      <c r="AY2" s="27"/>
      <c r="AZ2" s="27"/>
      <c r="BA2" s="27"/>
      <c r="BB2" s="27"/>
    </row>
    <row r="3" ht="22.5" hidden="1" customHeight="1">
      <c r="A3" s="20" t="s">
        <v>79</v>
      </c>
      <c r="B3" s="21">
        <v>38058.0</v>
      </c>
      <c r="C3" s="7" t="s">
        <v>80</v>
      </c>
      <c r="D3" s="22" t="s">
        <v>81</v>
      </c>
      <c r="E3" s="20" t="s">
        <v>82</v>
      </c>
      <c r="F3" s="20" t="s">
        <v>62</v>
      </c>
      <c r="G3" s="20" t="s">
        <v>83</v>
      </c>
      <c r="H3" s="20" t="s">
        <v>84</v>
      </c>
      <c r="I3" s="20" t="s">
        <v>85</v>
      </c>
      <c r="J3" s="20"/>
      <c r="K3" s="20" t="s">
        <v>67</v>
      </c>
      <c r="L3" s="20" t="s">
        <v>86</v>
      </c>
      <c r="M3" s="24">
        <v>46204.0</v>
      </c>
      <c r="N3" s="22" t="s">
        <v>87</v>
      </c>
      <c r="O3" s="23" t="str">
        <f>HYPERLINK("https://api.typeform.com/responses/files/d55b4c41d3e6682cfab98e065a4ba2da037f4ddbfc2875cf21f0ccb61883aabd/Transcript___Data_Analysis_Intern___Phạm_Ngọc_Trí.pdf")</f>
        <v>https://api.typeform.com/responses/files/d55b4c41d3e6682cfab98e065a4ba2da037f4ddbfc2875cf21f0ccb61883aabd/Transcript___Data_Analysis_Intern___Phạm_Ngọc_Trí.pdf</v>
      </c>
      <c r="P3" s="20" t="b">
        <v>1</v>
      </c>
      <c r="Q3" s="20" t="s">
        <v>88</v>
      </c>
      <c r="R3" s="25" t="s">
        <v>89</v>
      </c>
      <c r="S3" s="20" t="s">
        <v>72</v>
      </c>
      <c r="T3" s="20" t="s">
        <v>72</v>
      </c>
      <c r="U3" s="20" t="s">
        <v>90</v>
      </c>
      <c r="V3" s="20"/>
      <c r="W3" s="20" t="s">
        <v>91</v>
      </c>
      <c r="X3" s="23" t="str">
        <f>HYPERLINK("https://api.typeform.com/responses/files/04f57b802dfab7bc41f81802d0af17d1f919e526e6ab815fe4a53518b4ad2d10/CV___Data_Analysis_Intern___Phạm_Ngọc_Trí.pdf")</f>
        <v>https://api.typeform.com/responses/files/04f57b802dfab7bc41f81802d0af17d1f919e526e6ab815fe4a53518b4ad2d10/CV___Data_Analysis_Intern___Phạm_Ngọc_Trí.pdf</v>
      </c>
      <c r="Y3" s="26">
        <v>46134.41590277778</v>
      </c>
      <c r="Z3" s="20" t="s">
        <v>92</v>
      </c>
      <c r="AA3" s="6">
        <v>1.0</v>
      </c>
      <c r="AB3" s="7" t="s">
        <v>93</v>
      </c>
      <c r="AC3" s="28" t="s">
        <v>6377</v>
      </c>
      <c r="AD3" s="7" t="s">
        <v>6378</v>
      </c>
      <c r="AE3" s="28" t="s">
        <v>6379</v>
      </c>
      <c r="AF3" s="54" t="str">
        <f t="shared" ref="AF3:AF6" si="1">IFERROR(
  IFS(
    AND(OR(AE3="Test",AE3="Chờ test",AE3="Test Review",AE3="Passed",AE3="Failed"), OR(E3="Game User Acquisition Intern",E3="Game Design Intern")), "Nhiên",
    AND(OR(AE3="Test",AE3="Chờ test",AE3="Test Review",AE3="Passed",AE3="Failed"), E3&lt;&gt;"Human Resources Intern", NOT(OR(E3="Game User Acquisition Intern",E3="Game Design Intern"))), "Quỳnh",
    AND(OR(AE3="Test",AE3="Chờ test",AE3="Test Review",AE3="Passed",AE3="Failed"), E3="Human Resources Intern"), "AUTO"
  ),
"")</f>
        <v>Quỳnh</v>
      </c>
      <c r="AG3" s="20"/>
      <c r="AH3" s="20" t="e">
        <v>#N/A</v>
      </c>
      <c r="AI3" s="56"/>
      <c r="AJ3" s="57"/>
      <c r="AL3" s="27"/>
      <c r="AM3" s="27"/>
      <c r="AN3" s="27"/>
      <c r="AO3" s="27"/>
      <c r="AP3" s="27"/>
      <c r="AQ3" s="27"/>
      <c r="AR3" s="27"/>
      <c r="AS3" s="27"/>
      <c r="AT3" s="27"/>
      <c r="AU3" s="27"/>
      <c r="AV3" s="27"/>
      <c r="AW3" s="27"/>
      <c r="AX3" s="27"/>
      <c r="AY3" s="27"/>
      <c r="AZ3" s="27"/>
      <c r="BA3" s="27"/>
      <c r="BB3" s="27"/>
    </row>
    <row r="4" ht="22.5" hidden="1" customHeight="1">
      <c r="A4" s="20" t="s">
        <v>96</v>
      </c>
      <c r="B4" s="21">
        <v>37686.0</v>
      </c>
      <c r="C4" s="7" t="s">
        <v>97</v>
      </c>
      <c r="D4" s="22" t="s">
        <v>98</v>
      </c>
      <c r="E4" s="20" t="s">
        <v>61</v>
      </c>
      <c r="F4" s="20" t="s">
        <v>99</v>
      </c>
      <c r="G4" s="20" t="s">
        <v>100</v>
      </c>
      <c r="H4" s="20" t="s">
        <v>101</v>
      </c>
      <c r="I4" s="20" t="s">
        <v>65</v>
      </c>
      <c r="J4" s="20" t="s">
        <v>102</v>
      </c>
      <c r="K4" s="20" t="s">
        <v>103</v>
      </c>
      <c r="L4" s="20" t="s">
        <v>104</v>
      </c>
      <c r="M4" s="24">
        <v>45982.0</v>
      </c>
      <c r="N4" s="22" t="s">
        <v>105</v>
      </c>
      <c r="O4" s="23" t="str">
        <f>HYPERLINK("https://api.typeform.com/responses/files/dd07064b4a28c99f27f523cd6e4bd40343e10d8e2a4a68ffe89b96e10ee09f98/Transcript___Unity_Developer_Intern___Nguyễn_Trọng_Nghĩa.pdf")</f>
        <v>https://api.typeform.com/responses/files/dd07064b4a28c99f27f523cd6e4bd40343e10d8e2a4a68ffe89b96e10ee09f98/Transcript___Unity_Developer_Intern___Nguyễn_Trọng_Nghĩa.pdf</v>
      </c>
      <c r="P4" s="20" t="b">
        <v>1</v>
      </c>
      <c r="Q4" s="20" t="s">
        <v>106</v>
      </c>
      <c r="R4" s="25" t="s">
        <v>107</v>
      </c>
      <c r="S4" s="20" t="s">
        <v>72</v>
      </c>
      <c r="T4" s="20" t="s">
        <v>72</v>
      </c>
      <c r="U4" s="20" t="s">
        <v>73</v>
      </c>
      <c r="V4" s="20"/>
      <c r="W4" s="20"/>
      <c r="X4" s="23" t="str">
        <f>HYPERLINK("https://api.typeform.com/responses/files/f8137e009d217a437ef2a22054dc0e91e60489c8858d10d0e02dad6f76d32896/CV_NguyenTrongNghia_UnityDeveloper.pdf")</f>
        <v>https://api.typeform.com/responses/files/f8137e009d217a437ef2a22054dc0e91e60489c8858d10d0e02dad6f76d32896/CV_NguyenTrongNghia_UnityDeveloper.pdf</v>
      </c>
      <c r="Y4" s="26">
        <v>46134.4500462963</v>
      </c>
      <c r="Z4" s="20" t="s">
        <v>108</v>
      </c>
      <c r="AA4" s="6">
        <v>1.0</v>
      </c>
      <c r="AB4" s="7" t="s">
        <v>93</v>
      </c>
      <c r="AC4" s="28" t="s">
        <v>6377</v>
      </c>
      <c r="AD4" s="7" t="s">
        <v>6380</v>
      </c>
      <c r="AE4" s="28" t="s">
        <v>6379</v>
      </c>
      <c r="AF4" s="54" t="str">
        <f t="shared" si="1"/>
        <v>Quỳnh</v>
      </c>
      <c r="AG4" s="20"/>
      <c r="AH4" s="20" t="e">
        <v>#N/A</v>
      </c>
      <c r="AI4" s="20"/>
      <c r="AJ4" s="55"/>
      <c r="AL4" s="27"/>
      <c r="AM4" s="27"/>
      <c r="AN4" s="27"/>
      <c r="AO4" s="27"/>
      <c r="AP4" s="27"/>
      <c r="AQ4" s="27"/>
      <c r="AR4" s="27"/>
      <c r="AS4" s="27"/>
      <c r="AT4" s="27"/>
      <c r="AU4" s="27"/>
      <c r="AV4" s="27"/>
      <c r="AW4" s="27"/>
      <c r="AX4" s="27"/>
      <c r="AY4" s="27"/>
      <c r="AZ4" s="27"/>
      <c r="BA4" s="27"/>
      <c r="BB4" s="27"/>
    </row>
    <row r="5" ht="22.5" hidden="1" customHeight="1">
      <c r="A5" s="20" t="s">
        <v>111</v>
      </c>
      <c r="B5" s="21">
        <v>38198.0</v>
      </c>
      <c r="C5" s="7" t="s">
        <v>112</v>
      </c>
      <c r="D5" s="22" t="s">
        <v>113</v>
      </c>
      <c r="E5" s="20" t="s">
        <v>99</v>
      </c>
      <c r="F5" s="20" t="s">
        <v>61</v>
      </c>
      <c r="G5" s="20" t="s">
        <v>114</v>
      </c>
      <c r="H5" s="20" t="s">
        <v>115</v>
      </c>
      <c r="I5" s="20" t="s">
        <v>116</v>
      </c>
      <c r="J5" s="20"/>
      <c r="K5" s="20" t="s">
        <v>67</v>
      </c>
      <c r="L5" s="20" t="s">
        <v>117</v>
      </c>
      <c r="M5" s="24">
        <v>46295.0</v>
      </c>
      <c r="N5" s="22" t="s">
        <v>118</v>
      </c>
      <c r="O5" s="23" t="str">
        <f>HYPERLINK("https://api.typeform.com/responses/files/6f878a25a48a09d8d66d65c5bbf323c36d844c42d556da210778186126a86619/Transcript___Game_Design_Intern___Đặng_Thế_An.png")</f>
        <v>https://api.typeform.com/responses/files/6f878a25a48a09d8d66d65c5bbf323c36d844c42d556da210778186126a86619/Transcript___Game_Design_Intern___Đặng_Thế_An.png</v>
      </c>
      <c r="P5" s="20" t="b">
        <v>1</v>
      </c>
      <c r="Q5" s="20" t="s">
        <v>119</v>
      </c>
      <c r="R5" s="25" t="s">
        <v>120</v>
      </c>
      <c r="S5" s="20" t="s">
        <v>72</v>
      </c>
      <c r="T5" s="20" t="s">
        <v>72</v>
      </c>
      <c r="U5" s="20" t="s">
        <v>73</v>
      </c>
      <c r="V5" s="20"/>
      <c r="W5" s="20" t="s">
        <v>121</v>
      </c>
      <c r="X5" s="23" t="str">
        <f>HYPERLINK("https://api.typeform.com/responses/files/e3d7fa588d5228d6f0f01b823d437afdccf75b2682b96418f290011392e551b5/CV_Game_Design_Intern_Đặng_Thế_An.pdf")</f>
        <v>https://api.typeform.com/responses/files/e3d7fa588d5228d6f0f01b823d437afdccf75b2682b96418f290011392e551b5/CV_Game_Design_Intern_Đặng_Thế_An.pdf</v>
      </c>
      <c r="Y5" s="26">
        <v>46134.466516203705</v>
      </c>
      <c r="Z5" s="20" t="s">
        <v>122</v>
      </c>
      <c r="AA5" s="6">
        <v>1.0</v>
      </c>
      <c r="AB5" s="58" t="s">
        <v>6381</v>
      </c>
      <c r="AC5" s="28" t="s">
        <v>6377</v>
      </c>
      <c r="AD5" s="20"/>
      <c r="AE5" s="28" t="s">
        <v>6379</v>
      </c>
      <c r="AF5" s="54" t="str">
        <f t="shared" si="1"/>
        <v>Nhiên</v>
      </c>
      <c r="AG5" s="20"/>
      <c r="AH5" s="59" t="s">
        <v>6382</v>
      </c>
      <c r="AI5" s="20"/>
      <c r="AJ5" s="55"/>
      <c r="AL5" s="27"/>
      <c r="AM5" s="27"/>
      <c r="AN5" s="27"/>
      <c r="AO5" s="27"/>
      <c r="AP5" s="27"/>
      <c r="AQ5" s="27"/>
      <c r="AR5" s="27"/>
      <c r="AS5" s="27"/>
      <c r="AT5" s="27"/>
      <c r="AU5" s="27"/>
      <c r="AV5" s="27"/>
      <c r="AW5" s="27"/>
      <c r="AX5" s="27"/>
      <c r="AY5" s="27"/>
      <c r="AZ5" s="27"/>
      <c r="BA5" s="27"/>
      <c r="BB5" s="27"/>
    </row>
    <row r="6" ht="22.5" hidden="1" customHeight="1">
      <c r="A6" s="20" t="s">
        <v>124</v>
      </c>
      <c r="B6" s="21">
        <v>38184.0</v>
      </c>
      <c r="C6" s="7" t="s">
        <v>125</v>
      </c>
      <c r="D6" s="22" t="s">
        <v>126</v>
      </c>
      <c r="E6" s="20" t="s">
        <v>61</v>
      </c>
      <c r="F6" s="20" t="s">
        <v>127</v>
      </c>
      <c r="G6" s="20" t="s">
        <v>128</v>
      </c>
      <c r="H6" s="20" t="s">
        <v>129</v>
      </c>
      <c r="I6" s="20" t="s">
        <v>130</v>
      </c>
      <c r="J6" s="20" t="s">
        <v>131</v>
      </c>
      <c r="K6" s="20" t="s">
        <v>67</v>
      </c>
      <c r="L6" s="20" t="s">
        <v>132</v>
      </c>
      <c r="M6" s="24">
        <v>46295.0</v>
      </c>
      <c r="N6" s="22" t="s">
        <v>133</v>
      </c>
      <c r="O6" s="23" t="str">
        <f>HYPERLINK("https://api.typeform.com/responses/files/97994d1e71c27b89f6927f71a8c3fa5b5b17be2834b645c137c748710af45177/Transcript___Unity_Development_Intern___Nguyễn_Công_Trung.pdf")</f>
        <v>https://api.typeform.com/responses/files/97994d1e71c27b89f6927f71a8c3fa5b5b17be2834b645c137c748710af45177/Transcript___Unity_Development_Intern___Nguyễn_Công_Trung.pdf</v>
      </c>
      <c r="P6" s="20" t="b">
        <v>1</v>
      </c>
      <c r="Q6" s="20" t="s">
        <v>134</v>
      </c>
      <c r="R6" s="25" t="s">
        <v>135</v>
      </c>
      <c r="S6" s="20" t="s">
        <v>72</v>
      </c>
      <c r="T6" s="20" t="s">
        <v>72</v>
      </c>
      <c r="U6" s="20" t="s">
        <v>73</v>
      </c>
      <c r="V6" s="20"/>
      <c r="W6" s="20" t="s">
        <v>136</v>
      </c>
      <c r="X6" s="23" t="str">
        <f>HYPERLINK("https://api.typeform.com/responses/files/2625f62526c8aabc839b37a2620f1a9db363d6f1b09e54e94e7efd0890126ea6/CV___Unity_Development_Intern___Nguyễn_Công_Trung.pdf")</f>
        <v>https://api.typeform.com/responses/files/2625f62526c8aabc839b37a2620f1a9db363d6f1b09e54e94e7efd0890126ea6/CV___Unity_Development_Intern___Nguyễn_Công_Trung.pdf</v>
      </c>
      <c r="Y6" s="26">
        <v>46134.482407407406</v>
      </c>
      <c r="Z6" s="20" t="s">
        <v>137</v>
      </c>
      <c r="AA6" s="6">
        <v>1.0</v>
      </c>
      <c r="AB6" s="7" t="s">
        <v>93</v>
      </c>
      <c r="AC6" s="28" t="s">
        <v>6376</v>
      </c>
      <c r="AD6" s="7" t="s">
        <v>6383</v>
      </c>
      <c r="AE6" s="28" t="s">
        <v>6376</v>
      </c>
      <c r="AF6" s="54" t="str">
        <f t="shared" si="1"/>
        <v>Quỳnh</v>
      </c>
      <c r="AG6" s="20"/>
      <c r="AH6" s="20"/>
      <c r="AI6" s="20"/>
      <c r="AJ6" s="55"/>
      <c r="AL6" s="27"/>
      <c r="AM6" s="27"/>
      <c r="AN6" s="27"/>
      <c r="AO6" s="27"/>
      <c r="AP6" s="27"/>
      <c r="AQ6" s="27"/>
      <c r="AR6" s="27"/>
      <c r="AS6" s="27"/>
      <c r="AT6" s="27"/>
      <c r="AU6" s="27"/>
      <c r="AV6" s="27"/>
      <c r="AW6" s="27"/>
      <c r="AX6" s="27"/>
      <c r="AY6" s="27"/>
      <c r="AZ6" s="27"/>
      <c r="BA6" s="27"/>
      <c r="BB6" s="27"/>
    </row>
    <row r="7" ht="22.5" hidden="1" customHeight="1">
      <c r="A7" s="20" t="s">
        <v>139</v>
      </c>
      <c r="B7" s="21">
        <v>38931.0</v>
      </c>
      <c r="C7" s="7" t="s">
        <v>140</v>
      </c>
      <c r="D7" s="22" t="s">
        <v>141</v>
      </c>
      <c r="E7" s="20" t="s">
        <v>61</v>
      </c>
      <c r="F7" s="20" t="s">
        <v>99</v>
      </c>
      <c r="G7" s="20" t="s">
        <v>142</v>
      </c>
      <c r="H7" s="20" t="s">
        <v>143</v>
      </c>
      <c r="I7" s="20" t="s">
        <v>144</v>
      </c>
      <c r="J7" s="20"/>
      <c r="K7" s="20" t="s">
        <v>145</v>
      </c>
      <c r="L7" s="20" t="s">
        <v>146</v>
      </c>
      <c r="M7" s="24">
        <v>46235.0</v>
      </c>
      <c r="N7" s="22" t="s">
        <v>147</v>
      </c>
      <c r="O7" s="23" t="str">
        <f>HYPERLINK("https://api.typeform.com/responses/files/93d0e912f21fb5f4eff357f599b83cffd626eb68d0d59edaa43030c923c03b40/Transcript_intern_TranDoHoangTan.png")</f>
        <v>https://api.typeform.com/responses/files/93d0e912f21fb5f4eff357f599b83cffd626eb68d0d59edaa43030c923c03b40/Transcript_intern_TranDoHoangTan.png</v>
      </c>
      <c r="P7" s="20" t="b">
        <v>1</v>
      </c>
      <c r="Q7" s="20" t="s">
        <v>148</v>
      </c>
      <c r="R7" s="25" t="s">
        <v>149</v>
      </c>
      <c r="S7" s="20" t="s">
        <v>72</v>
      </c>
      <c r="T7" s="20" t="s">
        <v>72</v>
      </c>
      <c r="U7" s="20" t="s">
        <v>150</v>
      </c>
      <c r="V7" s="20"/>
      <c r="W7" s="20" t="s">
        <v>151</v>
      </c>
      <c r="X7" s="23" t="str">
        <f>HYPERLINK("https://api.typeform.com/responses/files/a7521ca33a5886955e0aa8cff0afd19aa2203e2a911d21f5940a315b68e2b12b/CV_UnityDevelopment_TranDoHoangTan.pdf")</f>
        <v>https://api.typeform.com/responses/files/a7521ca33a5886955e0aa8cff0afd19aa2203e2a911d21f5940a315b68e2b12b/CV_UnityDevelopment_TranDoHoangTan.pdf</v>
      </c>
      <c r="Y7" s="26">
        <v>46134.50517361111</v>
      </c>
      <c r="Z7" s="20" t="s">
        <v>152</v>
      </c>
      <c r="AA7" s="6">
        <v>1.0</v>
      </c>
      <c r="AB7" s="7" t="s">
        <v>93</v>
      </c>
      <c r="AC7" s="28" t="s">
        <v>6376</v>
      </c>
      <c r="AD7" s="7" t="s">
        <v>6384</v>
      </c>
      <c r="AE7" s="53"/>
      <c r="AF7" s="53"/>
      <c r="AG7" s="20"/>
      <c r="AH7" s="20"/>
      <c r="AI7" s="20"/>
      <c r="AJ7" s="55"/>
      <c r="AK7" s="27"/>
      <c r="AL7" s="27"/>
      <c r="AM7" s="27"/>
      <c r="AN7" s="27"/>
      <c r="AO7" s="27"/>
      <c r="AP7" s="27"/>
      <c r="AQ7" s="27"/>
      <c r="AR7" s="27"/>
      <c r="AS7" s="27"/>
      <c r="AT7" s="27"/>
      <c r="AU7" s="27"/>
      <c r="AV7" s="27"/>
      <c r="AW7" s="27"/>
      <c r="AX7" s="27"/>
      <c r="AY7" s="27"/>
      <c r="AZ7" s="27"/>
      <c r="BA7" s="27"/>
      <c r="BB7" s="27"/>
    </row>
    <row r="8" ht="22.5" hidden="1" customHeight="1">
      <c r="A8" s="60" t="s">
        <v>153</v>
      </c>
      <c r="B8" s="61">
        <v>37826.0</v>
      </c>
      <c r="C8" s="62" t="s">
        <v>154</v>
      </c>
      <c r="D8" s="63" t="s">
        <v>155</v>
      </c>
      <c r="E8" s="60" t="s">
        <v>99</v>
      </c>
      <c r="F8" s="60" t="s">
        <v>61</v>
      </c>
      <c r="G8" s="60" t="s">
        <v>156</v>
      </c>
      <c r="H8" s="60" t="s">
        <v>157</v>
      </c>
      <c r="I8" s="60" t="s">
        <v>65</v>
      </c>
      <c r="J8" s="60" t="s">
        <v>158</v>
      </c>
      <c r="K8" s="60" t="s">
        <v>103</v>
      </c>
      <c r="L8" s="60" t="s">
        <v>104</v>
      </c>
      <c r="M8" s="64">
        <v>46227.0</v>
      </c>
      <c r="N8" s="63" t="s">
        <v>159</v>
      </c>
      <c r="O8" s="65" t="str">
        <f>HYPERLINK("https://api.typeform.com/responses/files/53679cae613e1380865f5b1c629b2b8f1558d4f3c99e17fa4fdbda1662435a60/Transcript___Game_Designer___Nguyễn_Minh_Khôi.pdf")</f>
        <v>https://api.typeform.com/responses/files/53679cae613e1380865f5b1c629b2b8f1558d4f3c99e17fa4fdbda1662435a60/Transcript___Game_Designer___Nguyễn_Minh_Khôi.pdf</v>
      </c>
      <c r="P8" s="60" t="b">
        <v>1</v>
      </c>
      <c r="Q8" s="60" t="s">
        <v>160</v>
      </c>
      <c r="R8" s="66" t="s">
        <v>161</v>
      </c>
      <c r="S8" s="60" t="s">
        <v>72</v>
      </c>
      <c r="T8" s="60" t="s">
        <v>72</v>
      </c>
      <c r="U8" s="60" t="s">
        <v>73</v>
      </c>
      <c r="V8" s="60"/>
      <c r="W8" s="60" t="s">
        <v>162</v>
      </c>
      <c r="X8" s="65" t="str">
        <f>HYPERLINK("https://api.typeform.com/responses/files/4daf05074df1b4a5024a18ade40bd22c037f262114c891e5abdb3a44b916211e/CV_Game_Designer_Intern_Nguyễn_Minh_Khôi.pdf")</f>
        <v>https://api.typeform.com/responses/files/4daf05074df1b4a5024a18ade40bd22c037f262114c891e5abdb3a44b916211e/CV_Game_Designer_Intern_Nguyễn_Minh_Khôi.pdf</v>
      </c>
      <c r="Y8" s="67">
        <v>46134.50609953704</v>
      </c>
      <c r="Z8" s="60" t="s">
        <v>163</v>
      </c>
      <c r="AA8" s="68">
        <v>1.0</v>
      </c>
      <c r="AB8" s="69" t="s">
        <v>6381</v>
      </c>
      <c r="AC8" s="70" t="s">
        <v>6376</v>
      </c>
      <c r="AD8" s="60"/>
      <c r="AE8" s="71"/>
      <c r="AF8" s="53"/>
      <c r="AG8" s="20"/>
      <c r="AH8" s="20"/>
      <c r="AI8" s="20"/>
      <c r="AJ8" s="55"/>
      <c r="AK8" s="27"/>
      <c r="AL8" s="27"/>
      <c r="AM8" s="27"/>
      <c r="AN8" s="27"/>
      <c r="AO8" s="27"/>
      <c r="AP8" s="27"/>
      <c r="AQ8" s="27"/>
      <c r="AR8" s="27"/>
      <c r="AS8" s="27"/>
      <c r="AT8" s="27"/>
      <c r="AU8" s="27"/>
      <c r="AV8" s="27"/>
      <c r="AW8" s="27"/>
      <c r="AX8" s="27"/>
      <c r="AY8" s="27"/>
      <c r="AZ8" s="27"/>
      <c r="BA8" s="27"/>
      <c r="BB8" s="27"/>
    </row>
    <row r="9" ht="22.5" hidden="1" customHeight="1">
      <c r="A9" s="20" t="s">
        <v>164</v>
      </c>
      <c r="B9" s="21">
        <v>38799.0</v>
      </c>
      <c r="C9" s="7" t="s">
        <v>165</v>
      </c>
      <c r="D9" s="22" t="s">
        <v>166</v>
      </c>
      <c r="E9" s="20" t="s">
        <v>61</v>
      </c>
      <c r="F9" s="20" t="s">
        <v>99</v>
      </c>
      <c r="G9" s="20" t="s">
        <v>167</v>
      </c>
      <c r="H9" s="20" t="s">
        <v>168</v>
      </c>
      <c r="I9" s="20" t="s">
        <v>144</v>
      </c>
      <c r="J9" s="20"/>
      <c r="K9" s="20" t="s">
        <v>169</v>
      </c>
      <c r="L9" s="20" t="s">
        <v>170</v>
      </c>
      <c r="M9" s="24">
        <v>46264.0</v>
      </c>
      <c r="N9" s="22" t="s">
        <v>171</v>
      </c>
      <c r="O9" s="23" t="str">
        <f>HYPERLINK("https://api.typeform.com/responses/files/72eaf3206f3e349b5ff6bbe1955faf3282b4e361c4fdd146ce90d6fd4d7ac675/Bảng_điểm__FPT_Polytechnic.pdf")</f>
        <v>https://api.typeform.com/responses/files/72eaf3206f3e349b5ff6bbe1955faf3282b4e361c4fdd146ce90d6fd4d7ac675/Bảng_điểm__FPT_Polytechnic.pdf</v>
      </c>
      <c r="P9" s="20" t="b">
        <v>1</v>
      </c>
      <c r="Q9" s="20" t="s">
        <v>172</v>
      </c>
      <c r="R9" s="25" t="s">
        <v>173</v>
      </c>
      <c r="S9" s="20" t="s">
        <v>72</v>
      </c>
      <c r="T9" s="20" t="s">
        <v>72</v>
      </c>
      <c r="U9" s="20" t="s">
        <v>174</v>
      </c>
      <c r="V9" s="20"/>
      <c r="W9" s="20" t="s">
        <v>175</v>
      </c>
      <c r="X9" s="23" t="str">
        <f>HYPERLINK("https://api.typeform.com/responses/files/577976c1e3cc6d1fdc2886d246aa5060c9d02d3ceec1c8020127397cf8a58028/CV.pdf")</f>
        <v>https://api.typeform.com/responses/files/577976c1e3cc6d1fdc2886d246aa5060c9d02d3ceec1c8020127397cf8a58028/CV.pdf</v>
      </c>
      <c r="Y9" s="26">
        <v>46134.51033564815</v>
      </c>
      <c r="Z9" s="20" t="s">
        <v>176</v>
      </c>
      <c r="AA9" s="6">
        <v>1.0</v>
      </c>
      <c r="AB9" s="7" t="s">
        <v>93</v>
      </c>
      <c r="AC9" s="28" t="s">
        <v>6377</v>
      </c>
      <c r="AD9" s="7" t="s">
        <v>6385</v>
      </c>
      <c r="AE9" s="28" t="s">
        <v>6379</v>
      </c>
      <c r="AF9" s="54" t="str">
        <f>IFERROR(
  IFS(
    AND(OR(AE9="Test",AE9="Chờ test",AE9="Test Review",AE9="Passed",AE9="Failed"), OR(E9="Game User Acquisition Intern",E9="Game Design Intern")), "Nhiên",
    AND(OR(AE9="Test",AE9="Chờ test",AE9="Test Review",AE9="Passed",AE9="Failed"), E9&lt;&gt;"Human Resources Intern", NOT(OR(E9="Game User Acquisition Intern",E9="Game Design Intern"))), "Quỳnh",
    AND(OR(AE9="Test",AE9="Chờ test",AE9="Test Review",AE9="Passed",AE9="Failed"), E9="Human Resources Intern"), "AUTO"
  ),
"")</f>
        <v>Quỳnh</v>
      </c>
      <c r="AG9" s="20"/>
      <c r="AH9" s="20" t="e">
        <v>#N/A</v>
      </c>
      <c r="AI9" s="20"/>
      <c r="AJ9" s="55"/>
      <c r="AK9" s="27"/>
      <c r="AL9" s="27"/>
      <c r="AM9" s="27"/>
      <c r="AN9" s="27"/>
      <c r="AO9" s="27"/>
      <c r="AP9" s="27"/>
      <c r="AQ9" s="27"/>
      <c r="AR9" s="27"/>
      <c r="AS9" s="27"/>
      <c r="AT9" s="27"/>
      <c r="AU9" s="27"/>
      <c r="AV9" s="27"/>
      <c r="AW9" s="27"/>
      <c r="AX9" s="27"/>
      <c r="AY9" s="27"/>
      <c r="AZ9" s="27"/>
      <c r="BA9" s="27"/>
      <c r="BB9" s="27"/>
    </row>
    <row r="10" ht="22.5" hidden="1" customHeight="1">
      <c r="A10" s="60" t="s">
        <v>177</v>
      </c>
      <c r="B10" s="61">
        <v>36733.0</v>
      </c>
      <c r="C10" s="62" t="s">
        <v>178</v>
      </c>
      <c r="D10" s="63" t="s">
        <v>179</v>
      </c>
      <c r="E10" s="60" t="s">
        <v>99</v>
      </c>
      <c r="F10" s="60" t="s">
        <v>62</v>
      </c>
      <c r="G10" s="60" t="s">
        <v>180</v>
      </c>
      <c r="H10" s="60" t="s">
        <v>181</v>
      </c>
      <c r="I10" s="60" t="s">
        <v>65</v>
      </c>
      <c r="J10" s="60" t="s">
        <v>182</v>
      </c>
      <c r="K10" s="60" t="s">
        <v>183</v>
      </c>
      <c r="L10" s="60" t="s">
        <v>184</v>
      </c>
      <c r="M10" s="64">
        <v>44701.0</v>
      </c>
      <c r="N10" s="63" t="s">
        <v>185</v>
      </c>
      <c r="O10" s="65" t="str">
        <f>HYPERLINK("https://api.typeform.com/responses/files/b97b8597bffdb1565f56df5e19a9f4ce350f9c9cf947007ea55276e0fadaf9d5/Transcript___Game_Designer_Intern___Nguyễn_Đức_Hoàng.pdf")</f>
        <v>https://api.typeform.com/responses/files/b97b8597bffdb1565f56df5e19a9f4ce350f9c9cf947007ea55276e0fadaf9d5/Transcript___Game_Designer_Intern___Nguyễn_Đức_Hoàng.pdf</v>
      </c>
      <c r="P10" s="60" t="b">
        <v>1</v>
      </c>
      <c r="Q10" s="60" t="s">
        <v>186</v>
      </c>
      <c r="R10" s="66" t="s">
        <v>187</v>
      </c>
      <c r="S10" s="60" t="s">
        <v>72</v>
      </c>
      <c r="T10" s="60" t="s">
        <v>72</v>
      </c>
      <c r="U10" s="60" t="s">
        <v>188</v>
      </c>
      <c r="V10" s="60"/>
      <c r="W10" s="60" t="s">
        <v>189</v>
      </c>
      <c r="X10" s="65" t="str">
        <f>HYPERLINK("https://api.typeform.com/responses/files/7e3eb98ce253cd0705271e5498eb8bab9be2346bd2cfe685da3d12c6e8d03d47/CV_Nguyen_Duc_Hoang_Unity_Developer__30_3_2026_.pdf")</f>
        <v>https://api.typeform.com/responses/files/7e3eb98ce253cd0705271e5498eb8bab9be2346bd2cfe685da3d12c6e8d03d47/CV_Nguyen_Duc_Hoang_Unity_Developer__30_3_2026_.pdf</v>
      </c>
      <c r="Y10" s="67">
        <v>46134.51278935185</v>
      </c>
      <c r="Z10" s="60" t="s">
        <v>190</v>
      </c>
      <c r="AA10" s="68">
        <v>1.0</v>
      </c>
      <c r="AB10" s="69" t="s">
        <v>6381</v>
      </c>
      <c r="AC10" s="70" t="s">
        <v>6376</v>
      </c>
      <c r="AD10" s="60"/>
      <c r="AE10" s="71"/>
      <c r="AF10" s="53"/>
      <c r="AG10" s="20"/>
      <c r="AH10" s="20"/>
      <c r="AI10" s="20"/>
      <c r="AJ10" s="55"/>
      <c r="AK10" s="27"/>
      <c r="AL10" s="27"/>
      <c r="AM10" s="27"/>
      <c r="AN10" s="27"/>
      <c r="AO10" s="27"/>
      <c r="AP10" s="27"/>
      <c r="AQ10" s="27"/>
      <c r="AR10" s="27"/>
      <c r="AS10" s="27"/>
      <c r="AT10" s="27"/>
      <c r="AU10" s="27"/>
      <c r="AV10" s="27"/>
      <c r="AW10" s="27"/>
      <c r="AX10" s="27"/>
      <c r="AY10" s="27"/>
      <c r="AZ10" s="27"/>
      <c r="BA10" s="27"/>
      <c r="BB10" s="27"/>
    </row>
    <row r="11" ht="22.5" hidden="1" customHeight="1">
      <c r="A11" s="20" t="s">
        <v>191</v>
      </c>
      <c r="B11" s="21">
        <v>36765.0</v>
      </c>
      <c r="C11" s="7" t="s">
        <v>192</v>
      </c>
      <c r="D11" s="22" t="s">
        <v>193</v>
      </c>
      <c r="E11" s="20" t="s">
        <v>127</v>
      </c>
      <c r="F11" s="20" t="s">
        <v>99</v>
      </c>
      <c r="G11" s="20" t="s">
        <v>194</v>
      </c>
      <c r="H11" s="20" t="s">
        <v>195</v>
      </c>
      <c r="I11" s="20" t="s">
        <v>65</v>
      </c>
      <c r="J11" s="20" t="s">
        <v>196</v>
      </c>
      <c r="K11" s="20" t="s">
        <v>197</v>
      </c>
      <c r="L11" s="20" t="s">
        <v>132</v>
      </c>
      <c r="M11" s="24">
        <v>46204.0</v>
      </c>
      <c r="N11" s="20" t="s">
        <v>198</v>
      </c>
      <c r="O11" s="23" t="str">
        <f>HYPERLINK("https://api.typeform.com/responses/files/5494a8a953acc15ac2ab77ee74255181f05412bb1fdaff82817b2eb80200d4ed/Dat_Tran_TopCV.vn_090426.223435__1___3_.pdf")</f>
        <v>https://api.typeform.com/responses/files/5494a8a953acc15ac2ab77ee74255181f05412bb1fdaff82817b2eb80200d4ed/Dat_Tran_TopCV.vn_090426.223435__1___3_.pdf</v>
      </c>
      <c r="P11" s="20" t="b">
        <v>1</v>
      </c>
      <c r="Q11" s="20" t="s">
        <v>199</v>
      </c>
      <c r="R11" s="25" t="s">
        <v>200</v>
      </c>
      <c r="S11" s="20" t="s">
        <v>72</v>
      </c>
      <c r="T11" s="20" t="s">
        <v>72</v>
      </c>
      <c r="U11" s="20" t="s">
        <v>73</v>
      </c>
      <c r="V11" s="20"/>
      <c r="W11" s="20" t="s">
        <v>201</v>
      </c>
      <c r="X11" s="23" t="str">
        <f>HYPERLINK("https://api.typeform.com/responses/files/8c921e90f409e99278ce56cdee988c0cffd9d215d52a29a9f835ccedc62ddb86/Dat_Tran_TopCV.vn_090426.223435__1___3_.pdf")</f>
        <v>https://api.typeform.com/responses/files/8c921e90f409e99278ce56cdee988c0cffd9d215d52a29a9f835ccedc62ddb86/Dat_Tran_TopCV.vn_090426.223435__1___3_.pdf</v>
      </c>
      <c r="Y11" s="26">
        <v>46134.51598379629</v>
      </c>
      <c r="Z11" s="20" t="s">
        <v>202</v>
      </c>
      <c r="AA11" s="6">
        <v>1.0</v>
      </c>
      <c r="AB11" s="7" t="s">
        <v>109</v>
      </c>
      <c r="AC11" s="28" t="s">
        <v>6376</v>
      </c>
      <c r="AD11" s="7" t="s">
        <v>6386</v>
      </c>
      <c r="AE11" s="53"/>
      <c r="AF11" s="53"/>
      <c r="AG11" s="20"/>
      <c r="AH11" s="20"/>
      <c r="AI11" s="20"/>
      <c r="AJ11" s="55"/>
      <c r="AK11" s="27"/>
      <c r="AL11" s="27"/>
      <c r="AM11" s="27"/>
      <c r="AN11" s="27"/>
      <c r="AO11" s="27"/>
      <c r="AP11" s="27"/>
      <c r="AQ11" s="27"/>
      <c r="AR11" s="27"/>
      <c r="AS11" s="27"/>
      <c r="AT11" s="27"/>
      <c r="AU11" s="27"/>
      <c r="AV11" s="27"/>
      <c r="AW11" s="27"/>
      <c r="AX11" s="27"/>
      <c r="AY11" s="27"/>
      <c r="AZ11" s="27"/>
      <c r="BA11" s="27"/>
      <c r="BB11" s="27"/>
    </row>
    <row r="12" ht="22.5" hidden="1" customHeight="1">
      <c r="A12" s="60" t="s">
        <v>203</v>
      </c>
      <c r="B12" s="61">
        <v>37915.0</v>
      </c>
      <c r="C12" s="62" t="s">
        <v>204</v>
      </c>
      <c r="D12" s="63" t="s">
        <v>205</v>
      </c>
      <c r="E12" s="60" t="s">
        <v>99</v>
      </c>
      <c r="F12" s="60" t="s">
        <v>61</v>
      </c>
      <c r="G12" s="60" t="s">
        <v>206</v>
      </c>
      <c r="H12" s="60" t="s">
        <v>207</v>
      </c>
      <c r="I12" s="60" t="s">
        <v>144</v>
      </c>
      <c r="J12" s="60"/>
      <c r="K12" s="60" t="s">
        <v>169</v>
      </c>
      <c r="L12" s="60" t="s">
        <v>208</v>
      </c>
      <c r="M12" s="64">
        <v>46204.0</v>
      </c>
      <c r="N12" s="60" t="s">
        <v>209</v>
      </c>
      <c r="O12" s="65" t="str">
        <f>HYPERLINK("https://api.typeform.com/responses/files/0731dc164a41b8ec3b2879feff29fef008760d47156b24640f31e0c692797a03/Transcript_Game_DesignerIntern_Trần_Quốc_An.pdf")</f>
        <v>https://api.typeform.com/responses/files/0731dc164a41b8ec3b2879feff29fef008760d47156b24640f31e0c692797a03/Transcript_Game_DesignerIntern_Trần_Quốc_An.pdf</v>
      </c>
      <c r="P12" s="60" t="b">
        <v>1</v>
      </c>
      <c r="Q12" s="60" t="s">
        <v>210</v>
      </c>
      <c r="R12" s="66" t="s">
        <v>211</v>
      </c>
      <c r="S12" s="60" t="s">
        <v>72</v>
      </c>
      <c r="T12" s="60" t="s">
        <v>72</v>
      </c>
      <c r="U12" s="60" t="s">
        <v>73</v>
      </c>
      <c r="V12" s="60"/>
      <c r="W12" s="60" t="s">
        <v>212</v>
      </c>
      <c r="X12" s="65" t="str">
        <f>HYPERLINK("https://api.typeform.com/responses/files/6e0e59b4dd4066f42f455ba97e234fdfbc43839efe05ad178dfce3296ca192b8/CV_GameDesignerIntern_Trần_Quốc_An.pdf")</f>
        <v>https://api.typeform.com/responses/files/6e0e59b4dd4066f42f455ba97e234fdfbc43839efe05ad178dfce3296ca192b8/CV_GameDesignerIntern_Trần_Quốc_An.pdf</v>
      </c>
      <c r="Y12" s="67">
        <v>46134.53643518518</v>
      </c>
      <c r="Z12" s="60" t="s">
        <v>213</v>
      </c>
      <c r="AA12" s="68">
        <v>1.0</v>
      </c>
      <c r="AB12" s="69" t="s">
        <v>6381</v>
      </c>
      <c r="AC12" s="70" t="s">
        <v>6376</v>
      </c>
      <c r="AD12" s="60"/>
      <c r="AE12" s="71"/>
      <c r="AF12" s="53"/>
      <c r="AG12" s="20"/>
      <c r="AH12" s="20"/>
      <c r="AI12" s="20"/>
      <c r="AJ12" s="55"/>
      <c r="AK12" s="27"/>
      <c r="AL12" s="27"/>
      <c r="AM12" s="27"/>
      <c r="AN12" s="27"/>
      <c r="AO12" s="27"/>
      <c r="AP12" s="27"/>
      <c r="AQ12" s="27"/>
      <c r="AR12" s="27"/>
      <c r="AS12" s="27"/>
      <c r="AT12" s="27"/>
      <c r="AU12" s="27"/>
      <c r="AV12" s="27"/>
      <c r="AW12" s="27"/>
      <c r="AX12" s="27"/>
      <c r="AY12" s="27"/>
      <c r="AZ12" s="27"/>
      <c r="BA12" s="27"/>
      <c r="BB12" s="27"/>
    </row>
    <row r="13" ht="22.5" customHeight="1">
      <c r="A13" s="20" t="s">
        <v>214</v>
      </c>
      <c r="B13" s="21">
        <v>38411.0</v>
      </c>
      <c r="C13" s="7" t="s">
        <v>215</v>
      </c>
      <c r="D13" s="22" t="s">
        <v>216</v>
      </c>
      <c r="E13" s="20" t="s">
        <v>82</v>
      </c>
      <c r="F13" s="20" t="s">
        <v>127</v>
      </c>
      <c r="G13" s="20" t="s">
        <v>217</v>
      </c>
      <c r="H13" s="20" t="s">
        <v>218</v>
      </c>
      <c r="I13" s="20" t="s">
        <v>85</v>
      </c>
      <c r="J13" s="20"/>
      <c r="K13" s="20" t="s">
        <v>219</v>
      </c>
      <c r="L13" s="20" t="s">
        <v>220</v>
      </c>
      <c r="M13" s="24">
        <v>46233.0</v>
      </c>
      <c r="N13" s="22" t="s">
        <v>221</v>
      </c>
      <c r="O13" s="23" t="str">
        <f>HYPERLINK("https://api.typeform.com/responses/files/9aca8be9e7fa75bd199efca892849ef5d72dc10194bd2180dd7ace19d5c84280/Transcript___Data_Analysis_Intern___Phạm_Minh_Ngân.pdf")</f>
        <v>https://api.typeform.com/responses/files/9aca8be9e7fa75bd199efca892849ef5d72dc10194bd2180dd7ace19d5c84280/Transcript___Data_Analysis_Intern___Phạm_Minh_Ngân.pdf</v>
      </c>
      <c r="P13" s="20" t="b">
        <v>0</v>
      </c>
      <c r="Q13" s="20" t="s">
        <v>222</v>
      </c>
      <c r="R13" s="25" t="s">
        <v>223</v>
      </c>
      <c r="S13" s="20" t="s">
        <v>72</v>
      </c>
      <c r="T13" s="20" t="s">
        <v>72</v>
      </c>
      <c r="U13" s="20" t="s">
        <v>224</v>
      </c>
      <c r="V13" s="20"/>
      <c r="W13" s="20"/>
      <c r="X13" s="23" t="str">
        <f>HYPERLINK("https://api.typeform.com/responses/files/9cd376e0d75c562169274163998ef74115cca7b0436aecb1c2fb0a2316338a9d/CV_Data_Analysis_Intern_PhamMinhNgan.pdf")</f>
        <v>https://api.typeform.com/responses/files/9cd376e0d75c562169274163998ef74115cca7b0436aecb1c2fb0a2316338a9d/CV_Data_Analysis_Intern_PhamMinhNgan.pdf</v>
      </c>
      <c r="Y13" s="26">
        <v>46134.53938657408</v>
      </c>
      <c r="Z13" s="20" t="s">
        <v>225</v>
      </c>
      <c r="AA13" s="6">
        <v>1.0</v>
      </c>
      <c r="AB13" s="7" t="s">
        <v>93</v>
      </c>
      <c r="AC13" s="28" t="s">
        <v>6376</v>
      </c>
      <c r="AD13" s="7" t="s">
        <v>6387</v>
      </c>
      <c r="AE13" s="53"/>
      <c r="AF13" s="54" t="str">
        <f>IFERROR(
  IFS(
    AND(OR(AE13="Test",AE13="Chờ test",AE13="Test Review",AE13="Passed",AE13="Failed"), OR(E13="Game User Acquisition Intern",E13="Game Design Intern")), "Nhiên",
    AND(OR(AE13="Test",AE13="Chờ test",AE13="Test Review",AE13="Passed",AE13="Failed"), E13&lt;&gt;"Human Resources Intern", NOT(OR(E13="Game User Acquisition Intern",E13="Game Design Intern"))), "Quỳnh",
    AND(OR(AE13="Test",AE13="Chờ test",AE13="Test Review",AE13="Passed",AE13="Failed"), E13="Human Resources Intern"), "AUTO"
  ),
"")</f>
        <v/>
      </c>
      <c r="AG13" s="20"/>
      <c r="AH13" s="20"/>
      <c r="AI13" s="20"/>
      <c r="AJ13" s="55"/>
      <c r="AK13" s="27"/>
      <c r="AL13" s="27"/>
      <c r="AM13" s="27"/>
      <c r="AN13" s="27"/>
      <c r="AO13" s="27"/>
      <c r="AP13" s="27"/>
      <c r="AQ13" s="27"/>
      <c r="AR13" s="27"/>
      <c r="AS13" s="27"/>
      <c r="AT13" s="27"/>
      <c r="AU13" s="27"/>
      <c r="AV13" s="27"/>
      <c r="AW13" s="27"/>
      <c r="AX13" s="27"/>
      <c r="AY13" s="27"/>
      <c r="AZ13" s="27"/>
      <c r="BA13" s="27"/>
      <c r="BB13" s="27"/>
    </row>
    <row r="14" ht="22.5" hidden="1" customHeight="1">
      <c r="A14" s="60" t="s">
        <v>226</v>
      </c>
      <c r="B14" s="61">
        <v>35165.0</v>
      </c>
      <c r="C14" s="62" t="s">
        <v>227</v>
      </c>
      <c r="D14" s="63" t="s">
        <v>228</v>
      </c>
      <c r="E14" s="60" t="s">
        <v>99</v>
      </c>
      <c r="F14" s="60" t="s">
        <v>61</v>
      </c>
      <c r="G14" s="60" t="s">
        <v>229</v>
      </c>
      <c r="H14" s="60" t="s">
        <v>230</v>
      </c>
      <c r="I14" s="60" t="s">
        <v>65</v>
      </c>
      <c r="J14" s="60" t="s">
        <v>231</v>
      </c>
      <c r="K14" s="60" t="s">
        <v>103</v>
      </c>
      <c r="L14" s="60" t="s">
        <v>232</v>
      </c>
      <c r="M14" s="64">
        <v>45979.0</v>
      </c>
      <c r="N14" s="63" t="s">
        <v>233</v>
      </c>
      <c r="O14" s="65" t="str">
        <f>HYPERLINK("https://api.typeform.com/responses/files/11c262b1979f89539b3b7dc2d373eb139a9852d1861c8d9b3cb4dcd378c73fb4/Transcript_GameDesignerIntern_VoNguyenHung.pdf")</f>
        <v>https://api.typeform.com/responses/files/11c262b1979f89539b3b7dc2d373eb139a9852d1861c8d9b3cb4dcd378c73fb4/Transcript_GameDesignerIntern_VoNguyenHung.pdf</v>
      </c>
      <c r="P14" s="60" t="b">
        <v>1</v>
      </c>
      <c r="Q14" s="60" t="s">
        <v>234</v>
      </c>
      <c r="R14" s="66" t="s">
        <v>235</v>
      </c>
      <c r="S14" s="60" t="s">
        <v>72</v>
      </c>
      <c r="T14" s="60" t="s">
        <v>72</v>
      </c>
      <c r="U14" s="60" t="s">
        <v>236</v>
      </c>
      <c r="V14" s="60"/>
      <c r="W14" s="60" t="s">
        <v>237</v>
      </c>
      <c r="X14" s="65" t="str">
        <f>HYPERLINK("https://api.typeform.com/responses/files/28b24fda5028b13ccff8413d5b49e1fdadfdc61a4424a7c0f17240565425da2f/CV_GameDesignerIntern_VoNguyenHung.pdf")</f>
        <v>https://api.typeform.com/responses/files/28b24fda5028b13ccff8413d5b49e1fdadfdc61a4424a7c0f17240565425da2f/CV_GameDesignerIntern_VoNguyenHung.pdf</v>
      </c>
      <c r="Y14" s="67">
        <v>46134.5446875</v>
      </c>
      <c r="Z14" s="60" t="s">
        <v>238</v>
      </c>
      <c r="AA14" s="68">
        <v>1.0</v>
      </c>
      <c r="AB14" s="69" t="s">
        <v>6381</v>
      </c>
      <c r="AC14" s="70" t="s">
        <v>6376</v>
      </c>
      <c r="AD14" s="60"/>
      <c r="AE14" s="71"/>
      <c r="AF14" s="53"/>
      <c r="AG14" s="20"/>
      <c r="AH14" s="20"/>
      <c r="AI14" s="20"/>
      <c r="AJ14" s="55"/>
      <c r="AK14" s="27"/>
      <c r="AL14" s="27"/>
      <c r="AM14" s="27"/>
      <c r="AN14" s="27"/>
      <c r="AO14" s="27"/>
      <c r="AP14" s="27"/>
      <c r="AQ14" s="27"/>
      <c r="AR14" s="27"/>
      <c r="AS14" s="27"/>
      <c r="AT14" s="27"/>
      <c r="AU14" s="27"/>
      <c r="AV14" s="27"/>
      <c r="AW14" s="27"/>
      <c r="AX14" s="27"/>
      <c r="AY14" s="27"/>
      <c r="AZ14" s="27"/>
      <c r="BA14" s="27"/>
      <c r="BB14" s="27"/>
    </row>
    <row r="15" ht="22.5" hidden="1" customHeight="1">
      <c r="A15" s="72" t="s">
        <v>239</v>
      </c>
      <c r="B15" s="73">
        <v>36815.0</v>
      </c>
      <c r="C15" s="74" t="s">
        <v>240</v>
      </c>
      <c r="D15" s="75" t="s">
        <v>241</v>
      </c>
      <c r="E15" s="72" t="s">
        <v>99</v>
      </c>
      <c r="F15" s="72" t="s">
        <v>99</v>
      </c>
      <c r="G15" s="72" t="s">
        <v>242</v>
      </c>
      <c r="H15" s="72" t="s">
        <v>243</v>
      </c>
      <c r="I15" s="72" t="s">
        <v>244</v>
      </c>
      <c r="J15" s="72"/>
      <c r="K15" s="72" t="s">
        <v>103</v>
      </c>
      <c r="L15" s="72" t="s">
        <v>104</v>
      </c>
      <c r="M15" s="76">
        <v>45919.0</v>
      </c>
      <c r="N15" s="75" t="s">
        <v>245</v>
      </c>
      <c r="O15" s="77" t="str">
        <f>HYPERLINK("https://api.typeform.com/responses/files/c05fb2b3f238138b3fd1a4632ce82a420acb9552bceed8718df3c4bbd0e48f27/Transcript___Game_Designer_Intern___Trần_Đông_Khang.rar")</f>
        <v>https://api.typeform.com/responses/files/c05fb2b3f238138b3fd1a4632ce82a420acb9552bceed8718df3c4bbd0e48f27/Transcript___Game_Designer_Intern___Trần_Đông_Khang.rar</v>
      </c>
      <c r="P15" s="72" t="b">
        <v>1</v>
      </c>
      <c r="Q15" s="72" t="s">
        <v>246</v>
      </c>
      <c r="R15" s="78" t="s">
        <v>247</v>
      </c>
      <c r="S15" s="72" t="s">
        <v>72</v>
      </c>
      <c r="T15" s="72" t="s">
        <v>72</v>
      </c>
      <c r="U15" s="72" t="s">
        <v>73</v>
      </c>
      <c r="V15" s="72"/>
      <c r="W15" s="72" t="s">
        <v>248</v>
      </c>
      <c r="X15" s="77" t="str">
        <f>HYPERLINK("https://api.typeform.com/responses/files/192ac2dc50e0468553f108dd56105e1e10a17de450dcd0a21fd9b39b520639e7/CV_GameDesignerIntern_TranDongKhang.pdf")</f>
        <v>https://api.typeform.com/responses/files/192ac2dc50e0468553f108dd56105e1e10a17de450dcd0a21fd9b39b520639e7/CV_GameDesignerIntern_TranDongKhang.pdf</v>
      </c>
      <c r="Y15" s="79">
        <v>46134.55907407407</v>
      </c>
      <c r="Z15" s="72" t="s">
        <v>249</v>
      </c>
      <c r="AA15" s="80">
        <v>1.0</v>
      </c>
      <c r="AB15" s="81" t="s">
        <v>6381</v>
      </c>
      <c r="AC15" s="82" t="s">
        <v>6388</v>
      </c>
      <c r="AD15" s="74" t="s">
        <v>6389</v>
      </c>
      <c r="AE15" s="71"/>
      <c r="AF15" s="54" t="str">
        <f t="shared" ref="AF15:AF16" si="2">IFERROR(
  IFS(
    AND(OR(AE15="Test",AE15="Chờ test",AE15="Test Review",AE15="Passed",AE15="Failed"), OR(E15="Game User Acquisition Intern",E15="Game Design Intern")), "Nhiên",
    AND(OR(AE15="Test",AE15="Chờ test",AE15="Test Review",AE15="Passed",AE15="Failed"), E15&lt;&gt;"Human Resources Intern", NOT(OR(E15="Game User Acquisition Intern",E15="Game Design Intern"))), "Quỳnh",
    AND(OR(AE15="Test",AE15="Chờ test",AE15="Test Review",AE15="Passed",AE15="Failed"), E15="Human Resources Intern"), "AUTO"
  ),
"")</f>
        <v/>
      </c>
      <c r="AG15" s="20"/>
      <c r="AH15" s="20"/>
      <c r="AI15" s="20"/>
      <c r="AJ15" s="55"/>
      <c r="AK15" s="27"/>
      <c r="AL15" s="27"/>
      <c r="AM15" s="27"/>
      <c r="AN15" s="27"/>
      <c r="AO15" s="27"/>
      <c r="AP15" s="27"/>
      <c r="AQ15" s="27"/>
      <c r="AR15" s="27"/>
      <c r="AS15" s="27"/>
      <c r="AT15" s="27"/>
      <c r="AU15" s="27"/>
      <c r="AV15" s="27"/>
      <c r="AW15" s="27"/>
      <c r="AX15" s="27"/>
      <c r="AY15" s="27"/>
      <c r="AZ15" s="27"/>
      <c r="BA15" s="27"/>
      <c r="BB15" s="27"/>
    </row>
    <row r="16" ht="22.5" hidden="1" customHeight="1">
      <c r="A16" s="20" t="s">
        <v>250</v>
      </c>
      <c r="B16" s="21">
        <v>38354.0</v>
      </c>
      <c r="C16" s="7" t="s">
        <v>251</v>
      </c>
      <c r="D16" s="22" t="s">
        <v>252</v>
      </c>
      <c r="E16" s="20" t="s">
        <v>61</v>
      </c>
      <c r="F16" s="20" t="s">
        <v>61</v>
      </c>
      <c r="G16" s="20" t="s">
        <v>253</v>
      </c>
      <c r="H16" s="20" t="s">
        <v>254</v>
      </c>
      <c r="I16" s="20" t="s">
        <v>144</v>
      </c>
      <c r="J16" s="20" t="s">
        <v>255</v>
      </c>
      <c r="K16" s="20" t="s">
        <v>169</v>
      </c>
      <c r="L16" s="20" t="s">
        <v>256</v>
      </c>
      <c r="M16" s="24">
        <v>46266.0</v>
      </c>
      <c r="N16" s="22" t="s">
        <v>171</v>
      </c>
      <c r="O16" s="23" t="str">
        <f>HYPERLINK("https://api.typeform.com/responses/files/335e05d6eda626954f9101a8aef110fcffb2885e37f918be56d762b78f2b9c51/BẢNG_ĐIỂM_HẢI_ĐĂNG.zip")</f>
        <v>https://api.typeform.com/responses/files/335e05d6eda626954f9101a8aef110fcffb2885e37f918be56d762b78f2b9c51/BẢNG_ĐIỂM_HẢI_ĐĂNG.zip</v>
      </c>
      <c r="P16" s="20" t="b">
        <v>1</v>
      </c>
      <c r="Q16" s="20" t="s">
        <v>257</v>
      </c>
      <c r="R16" s="25" t="s">
        <v>258</v>
      </c>
      <c r="S16" s="20" t="s">
        <v>72</v>
      </c>
      <c r="T16" s="20" t="s">
        <v>72</v>
      </c>
      <c r="U16" s="20" t="s">
        <v>259</v>
      </c>
      <c r="V16" s="20"/>
      <c r="W16" s="20" t="s">
        <v>260</v>
      </c>
      <c r="X16" s="23" t="str">
        <f>HYPERLINK("https://api.typeform.com/responses/files/64ce4da0b6fb67d925246efc5d6f1308072613bfabbaa4886021db7d16f540ad/Intern_Unity_Developer_Game.pdf")</f>
        <v>https://api.typeform.com/responses/files/64ce4da0b6fb67d925246efc5d6f1308072613bfabbaa4886021db7d16f540ad/Intern_Unity_Developer_Game.pdf</v>
      </c>
      <c r="Y16" s="26">
        <v>46134.559895833336</v>
      </c>
      <c r="Z16" s="20" t="s">
        <v>261</v>
      </c>
      <c r="AA16" s="6">
        <v>1.0</v>
      </c>
      <c r="AB16" s="7" t="s">
        <v>93</v>
      </c>
      <c r="AC16" s="28" t="s">
        <v>6377</v>
      </c>
      <c r="AD16" s="7" t="s">
        <v>6390</v>
      </c>
      <c r="AE16" s="28" t="s">
        <v>6379</v>
      </c>
      <c r="AF16" s="54" t="str">
        <f t="shared" si="2"/>
        <v>Quỳnh</v>
      </c>
      <c r="AG16" s="20"/>
      <c r="AH16" s="20" t="e">
        <v>#N/A</v>
      </c>
      <c r="AI16" s="20"/>
      <c r="AJ16" s="55"/>
      <c r="AK16" s="27"/>
      <c r="AL16" s="27"/>
      <c r="AM16" s="27"/>
      <c r="AN16" s="27"/>
      <c r="AO16" s="27"/>
      <c r="AP16" s="27"/>
      <c r="AQ16" s="27"/>
      <c r="AR16" s="27"/>
      <c r="AS16" s="27"/>
      <c r="AT16" s="27"/>
      <c r="AU16" s="27"/>
      <c r="AV16" s="27"/>
      <c r="AW16" s="27"/>
      <c r="AX16" s="27"/>
      <c r="AY16" s="27"/>
      <c r="AZ16" s="27"/>
      <c r="BA16" s="27"/>
      <c r="BB16" s="27"/>
    </row>
    <row r="17" ht="22.5" hidden="1" customHeight="1">
      <c r="A17" s="20" t="s">
        <v>262</v>
      </c>
      <c r="B17" s="21">
        <v>38397.0</v>
      </c>
      <c r="C17" s="7" t="s">
        <v>263</v>
      </c>
      <c r="D17" s="22" t="s">
        <v>264</v>
      </c>
      <c r="E17" s="20" t="s">
        <v>61</v>
      </c>
      <c r="F17" s="20" t="s">
        <v>99</v>
      </c>
      <c r="G17" s="20" t="s">
        <v>265</v>
      </c>
      <c r="H17" s="20" t="s">
        <v>266</v>
      </c>
      <c r="I17" s="20" t="s">
        <v>85</v>
      </c>
      <c r="J17" s="20"/>
      <c r="K17" s="20" t="s">
        <v>219</v>
      </c>
      <c r="L17" s="20" t="s">
        <v>104</v>
      </c>
      <c r="M17" s="24">
        <v>46563.0</v>
      </c>
      <c r="N17" s="22" t="s">
        <v>267</v>
      </c>
      <c r="O17" s="23" t="str">
        <f>HYPERLINK("https://api.typeform.com/responses/files/198cd9ca97b35e6dc28e70f0e3d253ddf064f8826dd590de1881e183a8f6b553/Transcript___Unity_Development_Intern___Nguyễn_Phương_Nam.pdf")</f>
        <v>https://api.typeform.com/responses/files/198cd9ca97b35e6dc28e70f0e3d253ddf064f8826dd590de1881e183a8f6b553/Transcript___Unity_Development_Intern___Nguyễn_Phương_Nam.pdf</v>
      </c>
      <c r="P17" s="20" t="b">
        <v>0</v>
      </c>
      <c r="Q17" s="20" t="s">
        <v>268</v>
      </c>
      <c r="R17" s="25" t="s">
        <v>268</v>
      </c>
      <c r="S17" s="20" t="s">
        <v>72</v>
      </c>
      <c r="T17" s="20" t="s">
        <v>72</v>
      </c>
      <c r="U17" s="20" t="s">
        <v>269</v>
      </c>
      <c r="V17" s="20"/>
      <c r="W17" s="20" t="s">
        <v>270</v>
      </c>
      <c r="X17" s="23" t="str">
        <f>HYPERLINK("https://api.typeform.com/responses/files/6535733ae0fdc68a2223741c52df68917bfbc7518ad1f173357ec356df59aacc/CV___Unity_Development_Intern___Nguyễn_Phương_Nam.pdf")</f>
        <v>https://api.typeform.com/responses/files/6535733ae0fdc68a2223741c52df68917bfbc7518ad1f173357ec356df59aacc/CV___Unity_Development_Intern___Nguyễn_Phương_Nam.pdf</v>
      </c>
      <c r="Y17" s="26">
        <v>46134.573287037034</v>
      </c>
      <c r="Z17" s="20" t="s">
        <v>271</v>
      </c>
      <c r="AA17" s="6">
        <v>1.0</v>
      </c>
      <c r="AB17" s="7" t="s">
        <v>93</v>
      </c>
      <c r="AC17" s="28" t="s">
        <v>6376</v>
      </c>
      <c r="AD17" s="7" t="s">
        <v>6391</v>
      </c>
      <c r="AE17" s="53"/>
      <c r="AF17" s="53"/>
      <c r="AG17" s="20"/>
      <c r="AH17" s="20"/>
      <c r="AI17" s="20"/>
      <c r="AJ17" s="55"/>
      <c r="AK17" s="27"/>
      <c r="AL17" s="27"/>
      <c r="AM17" s="27"/>
      <c r="AN17" s="27"/>
      <c r="AO17" s="27"/>
      <c r="AP17" s="27"/>
      <c r="AQ17" s="27"/>
      <c r="AR17" s="27"/>
      <c r="AS17" s="27"/>
      <c r="AT17" s="27"/>
      <c r="AU17" s="27"/>
      <c r="AV17" s="27"/>
      <c r="AW17" s="27"/>
      <c r="AX17" s="27"/>
      <c r="AY17" s="27"/>
      <c r="AZ17" s="27"/>
      <c r="BA17" s="27"/>
      <c r="BB17" s="27"/>
    </row>
    <row r="18" ht="22.5" hidden="1" customHeight="1">
      <c r="A18" s="83" t="s">
        <v>528</v>
      </c>
      <c r="B18" s="84">
        <v>38752.0</v>
      </c>
      <c r="C18" s="85" t="s">
        <v>529</v>
      </c>
      <c r="D18" s="86" t="s">
        <v>530</v>
      </c>
      <c r="E18" s="83" t="s">
        <v>62</v>
      </c>
      <c r="F18" s="83" t="s">
        <v>61</v>
      </c>
      <c r="G18" s="83" t="s">
        <v>531</v>
      </c>
      <c r="H18" s="83" t="s">
        <v>532</v>
      </c>
      <c r="I18" s="83" t="s">
        <v>326</v>
      </c>
      <c r="J18" s="83"/>
      <c r="K18" s="83" t="s">
        <v>169</v>
      </c>
      <c r="L18" s="83" t="s">
        <v>399</v>
      </c>
      <c r="M18" s="87">
        <v>46973.0</v>
      </c>
      <c r="N18" s="86" t="s">
        <v>533</v>
      </c>
      <c r="O18" s="88" t="str">
        <f>HYPERLINK("https://api.typeform.com/responses/files/eabe5a8c7d55ada8725f2ed3f1b85f51c540499ed7ee532bc1f641da2c62b8b9/KietTrinh_GPA.pdf")</f>
        <v>https://api.typeform.com/responses/files/eabe5a8c7d55ada8725f2ed3f1b85f51c540499ed7ee532bc1f641da2c62b8b9/KietTrinh_GPA.pdf</v>
      </c>
      <c r="P18" s="83" t="b">
        <v>1</v>
      </c>
      <c r="Q18" s="83" t="s">
        <v>534</v>
      </c>
      <c r="R18" s="83" t="s">
        <v>535</v>
      </c>
      <c r="S18" s="83" t="s">
        <v>72</v>
      </c>
      <c r="T18" s="83" t="s">
        <v>72</v>
      </c>
      <c r="U18" s="83" t="s">
        <v>73</v>
      </c>
      <c r="V18" s="83"/>
      <c r="W18" s="83"/>
      <c r="X18" s="88" t="str">
        <f>HYPERLINK("https://api.typeform.com/responses/files/325a572c62882f7c0c56fec8f7042ee4997f259f608a3992d151c24b0527ef6b/KietTrinh_CV.pdf")</f>
        <v>https://api.typeform.com/responses/files/325a572c62882f7c0c56fec8f7042ee4997f259f608a3992d151c24b0527ef6b/KietTrinh_CV.pdf</v>
      </c>
      <c r="Y18" s="89">
        <v>46135.091215277775</v>
      </c>
      <c r="Z18" s="83" t="s">
        <v>536</v>
      </c>
      <c r="AA18" s="90">
        <v>1.0</v>
      </c>
      <c r="AB18" s="91" t="s">
        <v>6381</v>
      </c>
      <c r="AC18" s="92" t="s">
        <v>6376</v>
      </c>
      <c r="AD18" s="85" t="s">
        <v>6392</v>
      </c>
      <c r="AE18" s="93"/>
      <c r="AF18" s="53"/>
      <c r="AG18" s="20"/>
      <c r="AH18" s="20"/>
      <c r="AI18" s="20"/>
      <c r="AJ18" s="55"/>
      <c r="AK18" s="27"/>
      <c r="AL18" s="27"/>
      <c r="AM18" s="27"/>
      <c r="AN18" s="27"/>
      <c r="AO18" s="27"/>
      <c r="AP18" s="27"/>
      <c r="AQ18" s="27"/>
      <c r="AR18" s="27"/>
      <c r="AS18" s="27"/>
      <c r="AT18" s="27"/>
      <c r="AU18" s="27"/>
      <c r="AV18" s="27"/>
      <c r="AW18" s="27"/>
      <c r="AX18" s="27"/>
      <c r="AY18" s="27"/>
      <c r="AZ18" s="27"/>
      <c r="BA18" s="27"/>
      <c r="BB18" s="27"/>
    </row>
    <row r="19" ht="22.5" hidden="1" customHeight="1">
      <c r="A19" s="20" t="s">
        <v>283</v>
      </c>
      <c r="B19" s="21">
        <v>37976.0</v>
      </c>
      <c r="C19" s="7" t="s">
        <v>284</v>
      </c>
      <c r="D19" s="22" t="s">
        <v>285</v>
      </c>
      <c r="E19" s="20" t="s">
        <v>99</v>
      </c>
      <c r="F19" s="20" t="s">
        <v>127</v>
      </c>
      <c r="G19" s="20" t="s">
        <v>286</v>
      </c>
      <c r="H19" s="20" t="s">
        <v>287</v>
      </c>
      <c r="I19" s="20" t="s">
        <v>85</v>
      </c>
      <c r="J19" s="20"/>
      <c r="K19" s="20" t="s">
        <v>103</v>
      </c>
      <c r="L19" s="20" t="s">
        <v>220</v>
      </c>
      <c r="M19" s="24">
        <v>46174.0</v>
      </c>
      <c r="N19" s="22" t="s">
        <v>288</v>
      </c>
      <c r="O19" s="23" t="str">
        <f>HYPERLINK("https://api.typeform.com/responses/files/4539e8b37eb7173f733e1e42c7b93f135367c35feeafed0bf1a147ccd6379f95/Transcript___Game_Desiner_Intern___Ngô_Trung_Thiện.pdf")</f>
        <v>https://api.typeform.com/responses/files/4539e8b37eb7173f733e1e42c7b93f135367c35feeafed0bf1a147ccd6379f95/Transcript___Game_Desiner_Intern___Ngô_Trung_Thiện.pdf</v>
      </c>
      <c r="P19" s="20" t="b">
        <v>1</v>
      </c>
      <c r="Q19" s="20" t="s">
        <v>289</v>
      </c>
      <c r="R19" s="25" t="s">
        <v>290</v>
      </c>
      <c r="S19" s="20" t="s">
        <v>72</v>
      </c>
      <c r="T19" s="20" t="s">
        <v>72</v>
      </c>
      <c r="U19" s="20" t="s">
        <v>269</v>
      </c>
      <c r="V19" s="20"/>
      <c r="W19" s="20" t="s">
        <v>291</v>
      </c>
      <c r="X19" s="23" t="str">
        <f>HYPERLINK("https://api.typeform.com/responses/files/9640816c8fdd41b05a71a130941a72079f2532834fcad2cdaa68cbde0712c77f/CV___Game_Designer_Intern___NgoTrungThien.pdf")</f>
        <v>https://api.typeform.com/responses/files/9640816c8fdd41b05a71a130941a72079f2532834fcad2cdaa68cbde0712c77f/CV___Game_Designer_Intern___NgoTrungThien.pdf</v>
      </c>
      <c r="Y19" s="26">
        <v>46134.57965277778</v>
      </c>
      <c r="Z19" s="20" t="s">
        <v>292</v>
      </c>
      <c r="AA19" s="6">
        <v>1.0</v>
      </c>
      <c r="AB19" s="58" t="s">
        <v>6381</v>
      </c>
      <c r="AC19" s="28" t="s">
        <v>6377</v>
      </c>
      <c r="AD19" s="20"/>
      <c r="AE19" s="28" t="s">
        <v>6379</v>
      </c>
      <c r="AF19" s="54" t="str">
        <f>IFERROR(
  IFS(
    AND(OR(AE19="Test",AE19="Chờ test",AE19="Test Review",AE19="Passed",AE19="Failed"), OR(E19="Game User Acquisition Intern",E19="Game Design Intern")), "Nhiên",
    AND(OR(AE19="Test",AE19="Chờ test",AE19="Test Review",AE19="Passed",AE19="Failed"), E19&lt;&gt;"Human Resources Intern", NOT(OR(E19="Game User Acquisition Intern",E19="Game Design Intern"))), "Quỳnh",
    AND(OR(AE19="Test",AE19="Chờ test",AE19="Test Review",AE19="Passed",AE19="Failed"), E19="Human Resources Intern"), "AUTO"
  ),
"")</f>
        <v>Nhiên</v>
      </c>
      <c r="AG19" s="20"/>
      <c r="AH19" s="59" t="s">
        <v>6393</v>
      </c>
      <c r="AI19" s="20"/>
      <c r="AJ19" s="55"/>
      <c r="AK19" s="27"/>
      <c r="AL19" s="27"/>
      <c r="AM19" s="27"/>
      <c r="AN19" s="27"/>
      <c r="AO19" s="27"/>
      <c r="AP19" s="27"/>
      <c r="AQ19" s="27"/>
      <c r="AR19" s="27"/>
      <c r="AS19" s="27"/>
      <c r="AT19" s="27"/>
      <c r="AU19" s="27"/>
      <c r="AV19" s="27"/>
      <c r="AW19" s="27"/>
      <c r="AX19" s="27"/>
      <c r="AY19" s="27"/>
      <c r="AZ19" s="27"/>
      <c r="BA19" s="27"/>
      <c r="BB19" s="27"/>
    </row>
    <row r="20" ht="22.5" hidden="1" customHeight="1">
      <c r="A20" s="20" t="s">
        <v>293</v>
      </c>
      <c r="B20" s="21">
        <v>38276.0</v>
      </c>
      <c r="C20" s="7" t="s">
        <v>294</v>
      </c>
      <c r="D20" s="22" t="s">
        <v>295</v>
      </c>
      <c r="E20" s="20" t="s">
        <v>82</v>
      </c>
      <c r="F20" s="20" t="s">
        <v>127</v>
      </c>
      <c r="G20" s="20" t="s">
        <v>296</v>
      </c>
      <c r="H20" s="20" t="s">
        <v>297</v>
      </c>
      <c r="I20" s="20" t="s">
        <v>85</v>
      </c>
      <c r="J20" s="20"/>
      <c r="K20" s="20" t="s">
        <v>67</v>
      </c>
      <c r="L20" s="20" t="s">
        <v>298</v>
      </c>
      <c r="M20" s="24">
        <v>46327.0</v>
      </c>
      <c r="N20" s="22" t="s">
        <v>299</v>
      </c>
      <c r="O20" s="23" t="str">
        <f>HYPERLINK("https://api.typeform.com/responses/files/53d8acbb8aa78802e0f7801cc48664ade14327d05af092b1e6c95c2043149481/bảng_điểm_Trần_Danh_Vinh.pdf")</f>
        <v>https://api.typeform.com/responses/files/53d8acbb8aa78802e0f7801cc48664ade14327d05af092b1e6c95c2043149481/bảng_điểm_Trần_Danh_Vinh.pdf</v>
      </c>
      <c r="P20" s="20" t="b">
        <v>0</v>
      </c>
      <c r="Q20" s="20" t="s">
        <v>300</v>
      </c>
      <c r="R20" s="25" t="s">
        <v>301</v>
      </c>
      <c r="S20" s="20" t="s">
        <v>72</v>
      </c>
      <c r="T20" s="20" t="s">
        <v>72</v>
      </c>
      <c r="U20" s="20" t="s">
        <v>269</v>
      </c>
      <c r="V20" s="20"/>
      <c r="W20" s="20"/>
      <c r="X20" s="23" t="str">
        <f>HYPERLINK("https://api.typeform.com/responses/files/49a9e551024e1fc3a04bac70d2dea38da51a0f60c8635a20913ffc3613a41f93/CV_Tran_Danh_Vinh.pdf")</f>
        <v>https://api.typeform.com/responses/files/49a9e551024e1fc3a04bac70d2dea38da51a0f60c8635a20913ffc3613a41f93/CV_Tran_Danh_Vinh.pdf</v>
      </c>
      <c r="Y20" s="26">
        <v>46134.58758101852</v>
      </c>
      <c r="Z20" s="20" t="s">
        <v>302</v>
      </c>
      <c r="AA20" s="6">
        <v>1.0</v>
      </c>
      <c r="AB20" s="7" t="s">
        <v>93</v>
      </c>
      <c r="AC20" s="28" t="s">
        <v>6376</v>
      </c>
      <c r="AD20" s="94" t="s">
        <v>6394</v>
      </c>
      <c r="AE20" s="28" t="s">
        <v>6376</v>
      </c>
      <c r="AF20" s="53"/>
      <c r="AG20" s="20"/>
      <c r="AH20" s="20"/>
      <c r="AI20" s="20"/>
      <c r="AJ20" s="55"/>
      <c r="AK20" s="27"/>
      <c r="AL20" s="27"/>
      <c r="AM20" s="27"/>
      <c r="AN20" s="27"/>
      <c r="AO20" s="27"/>
      <c r="AP20" s="27"/>
      <c r="AQ20" s="27"/>
      <c r="AR20" s="27"/>
      <c r="AS20" s="27"/>
      <c r="AT20" s="27"/>
      <c r="AU20" s="27"/>
      <c r="AV20" s="27"/>
      <c r="AW20" s="27"/>
      <c r="AX20" s="27"/>
      <c r="AY20" s="27"/>
      <c r="AZ20" s="27"/>
      <c r="BA20" s="27"/>
      <c r="BB20" s="27"/>
    </row>
    <row r="21" ht="22.5" hidden="1" customHeight="1">
      <c r="A21" s="29" t="s">
        <v>537</v>
      </c>
      <c r="B21" s="30">
        <v>38070.0</v>
      </c>
      <c r="C21" s="7" t="s">
        <v>6395</v>
      </c>
      <c r="D21" s="31" t="s">
        <v>539</v>
      </c>
      <c r="E21" s="29" t="s">
        <v>62</v>
      </c>
      <c r="F21" s="29" t="s">
        <v>62</v>
      </c>
      <c r="G21" s="29" t="s">
        <v>540</v>
      </c>
      <c r="H21" s="29" t="s">
        <v>541</v>
      </c>
      <c r="I21" s="29" t="s">
        <v>326</v>
      </c>
      <c r="J21" s="29"/>
      <c r="K21" s="29" t="s">
        <v>67</v>
      </c>
      <c r="L21" s="29" t="s">
        <v>399</v>
      </c>
      <c r="M21" s="33">
        <v>46357.0</v>
      </c>
      <c r="N21" s="31" t="s">
        <v>542</v>
      </c>
      <c r="O21" s="32" t="str">
        <f>HYPERLINK("https://api.typeform.com/responses/files/710d7818c82ed0f2570ceef6cb6558889d787aa384429200d329f818bcbe16b0/Transcript___AI_Engineer_Intern___Huỳnh_Cao_Tuấn_Kiệt.pdf")</f>
        <v>https://api.typeform.com/responses/files/710d7818c82ed0f2570ceef6cb6558889d787aa384429200d329f818bcbe16b0/Transcript___AI_Engineer_Intern___Huỳnh_Cao_Tuấn_Kiệt.pdf</v>
      </c>
      <c r="P21" s="29" t="b">
        <v>1</v>
      </c>
      <c r="Q21" s="29" t="s">
        <v>543</v>
      </c>
      <c r="R21" s="29" t="s">
        <v>401</v>
      </c>
      <c r="S21" s="29" t="s">
        <v>72</v>
      </c>
      <c r="T21" s="29" t="s">
        <v>72</v>
      </c>
      <c r="U21" s="29" t="s">
        <v>544</v>
      </c>
      <c r="V21" s="29"/>
      <c r="W21" s="29"/>
      <c r="X21" s="32" t="str">
        <f>HYPERLINK("https://api.typeform.com/responses/files/5f7eac26ce7d1cbe704b1fe99586b7985924abda4647d6ebea0735ad7ed22139/CV___AI_Engineer_Intern___Huỳnh_Cao_Tuấn_Kiệt.pdf")</f>
        <v>https://api.typeform.com/responses/files/5f7eac26ce7d1cbe704b1fe99586b7985924abda4647d6ebea0735ad7ed22139/CV___AI_Engineer_Intern___Huỳnh_Cao_Tuấn_Kiệt.pdf</v>
      </c>
      <c r="Y21" s="34">
        <v>46135.09428240741</v>
      </c>
      <c r="Z21" s="29" t="s">
        <v>545</v>
      </c>
      <c r="AA21" s="6">
        <v>1.0</v>
      </c>
      <c r="AB21" s="58" t="s">
        <v>6381</v>
      </c>
      <c r="AC21" s="28" t="s">
        <v>6377</v>
      </c>
      <c r="AD21" s="95" t="s">
        <v>6396</v>
      </c>
      <c r="AE21" s="28" t="s">
        <v>6397</v>
      </c>
      <c r="AF21" s="54" t="str">
        <f t="shared" ref="AF21:AF22" si="3">IFERROR(
  IFS(
    AND(OR(AE21="Test",AE21="Chờ test",AE21="Test Review",AE21="Passed",AE21="Failed"), OR(E21="Game User Acquisition Intern",E21="Game Design Intern")), "Nhiên",
    AND(OR(AE21="Test",AE21="Chờ test",AE21="Test Review",AE21="Passed",AE21="Failed"), E21&lt;&gt;"Human Resources Intern", NOT(OR(E21="Game User Acquisition Intern",E21="Game Design Intern"))), "Quỳnh",
    AND(OR(AE21="Test",AE21="Chờ test",AE21="Test Review",AE21="Passed",AE21="Failed"), E21="Human Resources Intern"), "AUTO"
  ),
"")</f>
        <v/>
      </c>
      <c r="AG21" s="20"/>
      <c r="AH21" s="20" t="e">
        <v>#N/A</v>
      </c>
      <c r="AI21" s="20"/>
      <c r="AJ21" s="55"/>
      <c r="AK21" s="27"/>
      <c r="AL21" s="27"/>
      <c r="AM21" s="27"/>
      <c r="AN21" s="27"/>
      <c r="AO21" s="27"/>
      <c r="AP21" s="27"/>
      <c r="AQ21" s="27"/>
      <c r="AR21" s="27"/>
      <c r="AS21" s="27"/>
      <c r="AT21" s="27"/>
      <c r="AU21" s="27"/>
      <c r="AV21" s="27"/>
      <c r="AW21" s="27"/>
      <c r="AX21" s="27"/>
      <c r="AY21" s="27"/>
      <c r="AZ21" s="27"/>
      <c r="BA21" s="27"/>
      <c r="BB21" s="27"/>
    </row>
    <row r="22" ht="22.5" hidden="1" customHeight="1">
      <c r="A22" s="20" t="s">
        <v>321</v>
      </c>
      <c r="B22" s="21">
        <v>37777.0</v>
      </c>
      <c r="C22" s="7" t="s">
        <v>322</v>
      </c>
      <c r="D22" s="22" t="s">
        <v>323</v>
      </c>
      <c r="E22" s="20" t="s">
        <v>127</v>
      </c>
      <c r="F22" s="20" t="s">
        <v>62</v>
      </c>
      <c r="G22" s="20" t="s">
        <v>324</v>
      </c>
      <c r="H22" s="20" t="s">
        <v>325</v>
      </c>
      <c r="I22" s="20" t="s">
        <v>326</v>
      </c>
      <c r="J22" s="20"/>
      <c r="K22" s="20" t="s">
        <v>67</v>
      </c>
      <c r="L22" s="20" t="s">
        <v>327</v>
      </c>
      <c r="M22" s="24">
        <v>46280.0</v>
      </c>
      <c r="N22" s="22" t="s">
        <v>328</v>
      </c>
      <c r="O22" s="23" t="str">
        <f>HYPERLINK("https://api.typeform.com/responses/files/923b787408de0fc1469f099a94dece171a05d9bb13a651a811e163021e36e281/transcript.pdf")</f>
        <v>https://api.typeform.com/responses/files/923b787408de0fc1469f099a94dece171a05d9bb13a651a811e163021e36e281/transcript.pdf</v>
      </c>
      <c r="P22" s="20" t="b">
        <v>1</v>
      </c>
      <c r="Q22" s="20" t="s">
        <v>329</v>
      </c>
      <c r="R22" s="25" t="s">
        <v>330</v>
      </c>
      <c r="S22" s="20" t="s">
        <v>72</v>
      </c>
      <c r="T22" s="20" t="s">
        <v>72</v>
      </c>
      <c r="U22" s="20" t="s">
        <v>331</v>
      </c>
      <c r="V22" s="20"/>
      <c r="W22" s="20"/>
      <c r="X22" s="23" t="str">
        <f>HYPERLINK("https://api.typeform.com/responses/files/5ee87f8f2d3247b5a468e15d31b1fca98926d1b9dd584158ab5d9a5dd93c13e7/Nguyễn_Quốc_Anh.pdf")</f>
        <v>https://api.typeform.com/responses/files/5ee87f8f2d3247b5a468e15d31b1fca98926d1b9dd584158ab5d9a5dd93c13e7/Nguyễn_Quốc_Anh.pdf</v>
      </c>
      <c r="Y22" s="26">
        <v>46134.6062962963</v>
      </c>
      <c r="Z22" s="20" t="s">
        <v>332</v>
      </c>
      <c r="AA22" s="6">
        <v>1.0</v>
      </c>
      <c r="AB22" s="7" t="s">
        <v>109</v>
      </c>
      <c r="AC22" s="28" t="s">
        <v>6377</v>
      </c>
      <c r="AD22" s="7" t="s">
        <v>6398</v>
      </c>
      <c r="AE22" s="28" t="s">
        <v>6397</v>
      </c>
      <c r="AF22" s="54" t="str">
        <f t="shared" si="3"/>
        <v/>
      </c>
      <c r="AG22" s="20"/>
      <c r="AH22" s="20" t="e">
        <v>#N/A</v>
      </c>
      <c r="AI22" s="20"/>
      <c r="AJ22" s="55"/>
      <c r="AK22" s="27"/>
      <c r="AL22" s="27"/>
      <c r="AM22" s="27"/>
      <c r="AN22" s="27"/>
      <c r="AO22" s="27"/>
      <c r="AP22" s="27"/>
      <c r="AQ22" s="27"/>
      <c r="AR22" s="27"/>
      <c r="AS22" s="27"/>
      <c r="AT22" s="27"/>
      <c r="AU22" s="27"/>
      <c r="AV22" s="27"/>
      <c r="AW22" s="27"/>
      <c r="AX22" s="27"/>
      <c r="AY22" s="27"/>
      <c r="AZ22" s="27"/>
      <c r="BA22" s="27"/>
      <c r="BB22" s="27"/>
    </row>
    <row r="23" ht="22.5" hidden="1" customHeight="1">
      <c r="A23" s="60" t="s">
        <v>333</v>
      </c>
      <c r="B23" s="61">
        <v>37913.0</v>
      </c>
      <c r="C23" s="62" t="s">
        <v>334</v>
      </c>
      <c r="D23" s="63" t="s">
        <v>335</v>
      </c>
      <c r="E23" s="60" t="s">
        <v>99</v>
      </c>
      <c r="F23" s="60" t="s">
        <v>127</v>
      </c>
      <c r="G23" s="60" t="s">
        <v>336</v>
      </c>
      <c r="H23" s="60" t="s">
        <v>337</v>
      </c>
      <c r="I23" s="60" t="s">
        <v>338</v>
      </c>
      <c r="J23" s="60"/>
      <c r="K23" s="60" t="s">
        <v>67</v>
      </c>
      <c r="L23" s="60" t="s">
        <v>339</v>
      </c>
      <c r="M23" s="64">
        <v>46228.0</v>
      </c>
      <c r="N23" s="63" t="s">
        <v>147</v>
      </c>
      <c r="O23" s="65" t="str">
        <f>HYPERLINK("https://api.typeform.com/responses/files/3ae1c6dd01b726e77a59ca331c14f03236f4aa9f5498f76d7fdc55beeddcca12/Transcript___Game_Design_Intern___Tran_Phuong_Anh.pdf")</f>
        <v>https://api.typeform.com/responses/files/3ae1c6dd01b726e77a59ca331c14f03236f4aa9f5498f76d7fdc55beeddcca12/Transcript___Game_Design_Intern___Tran_Phuong_Anh.pdf</v>
      </c>
      <c r="P23" s="60" t="b">
        <v>1</v>
      </c>
      <c r="Q23" s="60" t="s">
        <v>340</v>
      </c>
      <c r="R23" s="66" t="s">
        <v>341</v>
      </c>
      <c r="S23" s="60" t="s">
        <v>72</v>
      </c>
      <c r="T23" s="60" t="s">
        <v>72</v>
      </c>
      <c r="U23" s="60" t="s">
        <v>73</v>
      </c>
      <c r="V23" s="60"/>
      <c r="W23" s="60" t="s">
        <v>342</v>
      </c>
      <c r="X23" s="65" t="str">
        <f>HYPERLINK("https://api.typeform.com/responses/files/070b9a437fbc83ce78ea18fea8be84117aacdbf91e396aef2e76913d6d16d7be/CV_Game_Design_Intern_Tran_Phuong_Anh.pdf")</f>
        <v>https://api.typeform.com/responses/files/070b9a437fbc83ce78ea18fea8be84117aacdbf91e396aef2e76913d6d16d7be/CV_Game_Design_Intern_Tran_Phuong_Anh.pdf</v>
      </c>
      <c r="Y23" s="67">
        <v>46134.60833333333</v>
      </c>
      <c r="Z23" s="60" t="s">
        <v>343</v>
      </c>
      <c r="AA23" s="68">
        <v>1.0</v>
      </c>
      <c r="AB23" s="69" t="s">
        <v>6381</v>
      </c>
      <c r="AC23" s="70" t="s">
        <v>6376</v>
      </c>
      <c r="AD23" s="62" t="s">
        <v>6399</v>
      </c>
      <c r="AE23" s="96"/>
      <c r="AF23" s="53"/>
      <c r="AG23" s="20"/>
      <c r="AH23" s="20"/>
      <c r="AI23" s="20"/>
      <c r="AJ23" s="55"/>
      <c r="AK23" s="27"/>
      <c r="AL23" s="27"/>
      <c r="AM23" s="27"/>
      <c r="AN23" s="27"/>
      <c r="AO23" s="27"/>
      <c r="AP23" s="27"/>
      <c r="AQ23" s="27"/>
      <c r="AR23" s="27"/>
      <c r="AS23" s="27"/>
      <c r="AT23" s="27"/>
      <c r="AU23" s="27"/>
      <c r="AV23" s="27"/>
      <c r="AW23" s="27"/>
      <c r="AX23" s="27"/>
      <c r="AY23" s="27"/>
      <c r="AZ23" s="27"/>
      <c r="BA23" s="27"/>
      <c r="BB23" s="27"/>
    </row>
    <row r="24" ht="22.5" hidden="1" customHeight="1">
      <c r="A24" s="60" t="s">
        <v>344</v>
      </c>
      <c r="B24" s="61">
        <v>37627.0</v>
      </c>
      <c r="C24" s="62" t="s">
        <v>345</v>
      </c>
      <c r="D24" s="63" t="s">
        <v>346</v>
      </c>
      <c r="E24" s="60" t="s">
        <v>99</v>
      </c>
      <c r="F24" s="60" t="s">
        <v>127</v>
      </c>
      <c r="G24" s="60" t="s">
        <v>347</v>
      </c>
      <c r="H24" s="60" t="s">
        <v>348</v>
      </c>
      <c r="I24" s="60" t="s">
        <v>65</v>
      </c>
      <c r="J24" s="60" t="s">
        <v>349</v>
      </c>
      <c r="K24" s="60" t="s">
        <v>103</v>
      </c>
      <c r="L24" s="60" t="s">
        <v>350</v>
      </c>
      <c r="M24" s="64">
        <v>46011.0</v>
      </c>
      <c r="N24" s="63" t="s">
        <v>351</v>
      </c>
      <c r="O24" s="65" t="str">
        <f>HYPERLINK("https://api.typeform.com/responses/files/5b8d5c4f8a8b81fc3cfe661e02895245de0c5144bc9c842e377cf580e918bfa7/Transcript___Game_Designer_Intern___Trần_Lập_Nhân.pdf")</f>
        <v>https://api.typeform.com/responses/files/5b8d5c4f8a8b81fc3cfe661e02895245de0c5144bc9c842e377cf580e918bfa7/Transcript___Game_Designer_Intern___Trần_Lập_Nhân.pdf</v>
      </c>
      <c r="P24" s="60" t="b">
        <v>1</v>
      </c>
      <c r="Q24" s="60" t="s">
        <v>352</v>
      </c>
      <c r="R24" s="66" t="s">
        <v>353</v>
      </c>
      <c r="S24" s="60" t="s">
        <v>72</v>
      </c>
      <c r="T24" s="60" t="s">
        <v>72</v>
      </c>
      <c r="U24" s="60" t="s">
        <v>73</v>
      </c>
      <c r="V24" s="60"/>
      <c r="W24" s="60" t="s">
        <v>354</v>
      </c>
      <c r="X24" s="65" t="str">
        <f>HYPERLINK("https://api.typeform.com/responses/files/88a085aed49d56d77e5f3182079cbae43cf34584583722ea9d2a3523b2c872f0/TranLap_Nhan__Game_Designer.pdf")</f>
        <v>https://api.typeform.com/responses/files/88a085aed49d56d77e5f3182079cbae43cf34584583722ea9d2a3523b2c872f0/TranLap_Nhan__Game_Designer.pdf</v>
      </c>
      <c r="Y24" s="67">
        <v>46134.60927083333</v>
      </c>
      <c r="Z24" s="60" t="s">
        <v>355</v>
      </c>
      <c r="AA24" s="68">
        <v>1.0</v>
      </c>
      <c r="AB24" s="69" t="s">
        <v>6381</v>
      </c>
      <c r="AC24" s="70" t="s">
        <v>6376</v>
      </c>
      <c r="AD24" s="62" t="s">
        <v>6400</v>
      </c>
      <c r="AE24" s="71"/>
      <c r="AF24" s="53"/>
      <c r="AG24" s="20"/>
      <c r="AH24" s="20"/>
      <c r="AI24" s="20"/>
      <c r="AJ24" s="55"/>
      <c r="AK24" s="27"/>
      <c r="AL24" s="27"/>
      <c r="AM24" s="27"/>
      <c r="AN24" s="27"/>
      <c r="AO24" s="27"/>
      <c r="AP24" s="27"/>
      <c r="AQ24" s="27"/>
      <c r="AR24" s="27"/>
      <c r="AS24" s="27"/>
      <c r="AT24" s="27"/>
      <c r="AU24" s="27"/>
      <c r="AV24" s="27"/>
      <c r="AW24" s="27"/>
      <c r="AX24" s="27"/>
      <c r="AY24" s="27"/>
      <c r="AZ24" s="27"/>
      <c r="BA24" s="27"/>
      <c r="BB24" s="27"/>
    </row>
    <row r="25" ht="22.5" hidden="1" customHeight="1">
      <c r="A25" s="20" t="s">
        <v>367</v>
      </c>
      <c r="B25" s="21">
        <v>37260.0</v>
      </c>
      <c r="C25" s="7" t="s">
        <v>368</v>
      </c>
      <c r="D25" s="22" t="s">
        <v>369</v>
      </c>
      <c r="E25" s="20" t="s">
        <v>61</v>
      </c>
      <c r="F25" s="20" t="s">
        <v>99</v>
      </c>
      <c r="G25" s="20" t="s">
        <v>370</v>
      </c>
      <c r="H25" s="20" t="s">
        <v>371</v>
      </c>
      <c r="I25" s="20" t="s">
        <v>372</v>
      </c>
      <c r="J25" s="20"/>
      <c r="K25" s="20" t="s">
        <v>103</v>
      </c>
      <c r="L25" s="20" t="s">
        <v>373</v>
      </c>
      <c r="M25" s="24">
        <v>45648.0</v>
      </c>
      <c r="N25" s="22" t="s">
        <v>374</v>
      </c>
      <c r="O25" s="23" t="str">
        <f>HYPERLINK("https://api.typeform.com/responses/files/53ad8f672880a7ad0efc9c5717810edd9bf9e9bb9d55532b3c6a54361ab75fb9/Transcript___Unity_Development_Intern___Tạ_Ngọc_Minh.docx")</f>
        <v>https://api.typeform.com/responses/files/53ad8f672880a7ad0efc9c5717810edd9bf9e9bb9d55532b3c6a54361ab75fb9/Transcript___Unity_Development_Intern___Tạ_Ngọc_Minh.docx</v>
      </c>
      <c r="P25" s="20" t="b">
        <v>0</v>
      </c>
      <c r="Q25" s="20" t="s">
        <v>375</v>
      </c>
      <c r="R25" s="25" t="s">
        <v>376</v>
      </c>
      <c r="S25" s="20" t="s">
        <v>72</v>
      </c>
      <c r="T25" s="20" t="s">
        <v>72</v>
      </c>
      <c r="U25" s="20" t="s">
        <v>73</v>
      </c>
      <c r="V25" s="20"/>
      <c r="W25" s="20" t="s">
        <v>377</v>
      </c>
      <c r="X25" s="23" t="str">
        <f>HYPERLINK("https://api.typeform.com/responses/files/ed22fb6dc0590a518076fd642725fb4deb69e39610c1e81897dd15ceb6e8320c/CV___Unity_Development_Intern___Tạ_Ngọc_Minh.pdf")</f>
        <v>https://api.typeform.com/responses/files/ed22fb6dc0590a518076fd642725fb4deb69e39610c1e81897dd15ceb6e8320c/CV___Unity_Development_Intern___Tạ_Ngọc_Minh.pdf</v>
      </c>
      <c r="Y25" s="26">
        <v>46134.615266203706</v>
      </c>
      <c r="Z25" s="20" t="s">
        <v>378</v>
      </c>
      <c r="AA25" s="6">
        <v>1.0</v>
      </c>
      <c r="AB25" s="7" t="s">
        <v>93</v>
      </c>
      <c r="AC25" s="28" t="s">
        <v>6376</v>
      </c>
      <c r="AD25" s="7" t="s">
        <v>6391</v>
      </c>
      <c r="AE25" s="53"/>
      <c r="AF25" s="53"/>
      <c r="AG25" s="20"/>
      <c r="AH25" s="20"/>
      <c r="AI25" s="20"/>
      <c r="AJ25" s="55"/>
      <c r="AK25" s="27"/>
      <c r="AL25" s="27"/>
      <c r="AM25" s="27"/>
      <c r="AN25" s="27"/>
      <c r="AO25" s="27"/>
      <c r="AP25" s="27"/>
      <c r="AQ25" s="27"/>
      <c r="AR25" s="27"/>
      <c r="AS25" s="27"/>
      <c r="AT25" s="27"/>
      <c r="AU25" s="27"/>
      <c r="AV25" s="27"/>
      <c r="AW25" s="27"/>
      <c r="AX25" s="27"/>
      <c r="AY25" s="27"/>
      <c r="AZ25" s="27"/>
      <c r="BA25" s="27"/>
      <c r="BB25" s="27"/>
    </row>
    <row r="26" ht="22.5" hidden="1" customHeight="1">
      <c r="A26" s="60" t="s">
        <v>356</v>
      </c>
      <c r="B26" s="61">
        <v>37936.0</v>
      </c>
      <c r="C26" s="62" t="s">
        <v>357</v>
      </c>
      <c r="D26" s="63" t="s">
        <v>358</v>
      </c>
      <c r="E26" s="60" t="s">
        <v>99</v>
      </c>
      <c r="F26" s="60"/>
      <c r="G26" s="60" t="s">
        <v>359</v>
      </c>
      <c r="H26" s="60" t="s">
        <v>360</v>
      </c>
      <c r="I26" s="60" t="s">
        <v>338</v>
      </c>
      <c r="J26" s="60"/>
      <c r="K26" s="60" t="s">
        <v>103</v>
      </c>
      <c r="L26" s="60" t="s">
        <v>361</v>
      </c>
      <c r="M26" s="64">
        <v>45897.0</v>
      </c>
      <c r="N26" s="63" t="s">
        <v>362</v>
      </c>
      <c r="O26" s="65" t="str">
        <f>HYPERLINK("https://api.typeform.com/responses/files/35014d9f4fe7aad694519fb272f3f8342690521a01e44c6701d162e862e3a5c9/Transcript___Game_Designer_Intern___Dương_Thế_Khải__2_.jpg")</f>
        <v>https://api.typeform.com/responses/files/35014d9f4fe7aad694519fb272f3f8342690521a01e44c6701d162e862e3a5c9/Transcript___Game_Designer_Intern___Dương_Thế_Khải__2_.jpg</v>
      </c>
      <c r="P26" s="60" t="b">
        <v>1</v>
      </c>
      <c r="Q26" s="60" t="s">
        <v>363</v>
      </c>
      <c r="R26" s="66" t="s">
        <v>364</v>
      </c>
      <c r="S26" s="60" t="s">
        <v>72</v>
      </c>
      <c r="T26" s="60" t="s">
        <v>72</v>
      </c>
      <c r="U26" s="60" t="s">
        <v>73</v>
      </c>
      <c r="V26" s="60"/>
      <c r="W26" s="60" t="s">
        <v>365</v>
      </c>
      <c r="X26" s="65" t="str">
        <f>HYPERLINK("https://api.typeform.com/responses/files/17d2ad1e85b7684c949ba556f594153d5cbf4161272655214fd0929e43505402/CV_DuongTheKhai_GameDesignerIntern.pdf")</f>
        <v>https://api.typeform.com/responses/files/17d2ad1e85b7684c949ba556f594153d5cbf4161272655214fd0929e43505402/CV_DuongTheKhai_GameDesignerIntern.pdf</v>
      </c>
      <c r="Y26" s="67">
        <v>46134.61347222222</v>
      </c>
      <c r="Z26" s="60" t="s">
        <v>366</v>
      </c>
      <c r="AA26" s="68">
        <v>1.0</v>
      </c>
      <c r="AB26" s="69" t="s">
        <v>6381</v>
      </c>
      <c r="AC26" s="70" t="s">
        <v>6376</v>
      </c>
      <c r="AD26" s="60"/>
      <c r="AE26" s="71"/>
      <c r="AF26" s="53"/>
      <c r="AG26" s="20"/>
      <c r="AH26" s="20"/>
      <c r="AI26" s="20"/>
      <c r="AJ26" s="55"/>
      <c r="AK26" s="27"/>
      <c r="AL26" s="27"/>
      <c r="AM26" s="27"/>
      <c r="AN26" s="27"/>
      <c r="AO26" s="27"/>
      <c r="AP26" s="27"/>
      <c r="AQ26" s="27"/>
      <c r="AR26" s="27"/>
      <c r="AS26" s="27"/>
      <c r="AT26" s="27"/>
      <c r="AU26" s="27"/>
      <c r="AV26" s="27"/>
      <c r="AW26" s="27"/>
      <c r="AX26" s="27"/>
      <c r="AY26" s="27"/>
      <c r="AZ26" s="27"/>
      <c r="BA26" s="27"/>
      <c r="BB26" s="27"/>
    </row>
    <row r="27" ht="22.5" customHeight="1">
      <c r="A27" s="20" t="s">
        <v>379</v>
      </c>
      <c r="B27" s="21">
        <v>37815.0</v>
      </c>
      <c r="C27" s="7" t="s">
        <v>380</v>
      </c>
      <c r="D27" s="22" t="s">
        <v>381</v>
      </c>
      <c r="E27" s="20" t="s">
        <v>82</v>
      </c>
      <c r="F27" s="20" t="s">
        <v>62</v>
      </c>
      <c r="G27" s="20" t="s">
        <v>382</v>
      </c>
      <c r="H27" s="20" t="s">
        <v>383</v>
      </c>
      <c r="I27" s="20" t="s">
        <v>85</v>
      </c>
      <c r="J27" s="20"/>
      <c r="K27" s="20" t="s">
        <v>103</v>
      </c>
      <c r="L27" s="20" t="s">
        <v>384</v>
      </c>
      <c r="M27" s="24">
        <v>45988.0</v>
      </c>
      <c r="N27" s="22" t="s">
        <v>385</v>
      </c>
      <c r="O27" s="23" t="str">
        <f>HYPERLINK("https://api.typeform.com/responses/files/09099c73385b6c3c89c638604d92734b2563b8a068b3449cfd4fdc80cc3a774e/Transcript___Data_Analysis_Intern___Đỗ_Phú_Duy.pdf")</f>
        <v>https://api.typeform.com/responses/files/09099c73385b6c3c89c638604d92734b2563b8a068b3449cfd4fdc80cc3a774e/Transcript___Data_Analysis_Intern___Đỗ_Phú_Duy.pdf</v>
      </c>
      <c r="P27" s="20" t="b">
        <v>0</v>
      </c>
      <c r="Q27" s="20" t="s">
        <v>386</v>
      </c>
      <c r="R27" s="25" t="s">
        <v>387</v>
      </c>
      <c r="S27" s="20" t="s">
        <v>72</v>
      </c>
      <c r="T27" s="20" t="s">
        <v>72</v>
      </c>
      <c r="U27" s="20" t="s">
        <v>388</v>
      </c>
      <c r="V27" s="20"/>
      <c r="W27" s="20"/>
      <c r="X27" s="23" t="str">
        <f>HYPERLINK("https://api.typeform.com/responses/files/1b237672126ea08d8483a1c307f9d2ebd25c09af7bc4ebfb9028ed3e4f3aeb71/CV___Data_Analysis_Intern___Đỗ_Phú_Duy.pdf")</f>
        <v>https://api.typeform.com/responses/files/1b237672126ea08d8483a1c307f9d2ebd25c09af7bc4ebfb9028ed3e4f3aeb71/CV___Data_Analysis_Intern___Đỗ_Phú_Duy.pdf</v>
      </c>
      <c r="Y27" s="26">
        <v>46134.62739583333</v>
      </c>
      <c r="Z27" s="20" t="s">
        <v>389</v>
      </c>
      <c r="AA27" s="6">
        <v>1.0</v>
      </c>
      <c r="AB27" s="7" t="s">
        <v>93</v>
      </c>
      <c r="AC27" s="28" t="s">
        <v>6376</v>
      </c>
      <c r="AD27" s="94" t="s">
        <v>6401</v>
      </c>
      <c r="AE27" s="53"/>
      <c r="AF27" s="53"/>
      <c r="AG27" s="20"/>
      <c r="AH27" s="20"/>
      <c r="AI27" s="20"/>
      <c r="AJ27" s="55"/>
      <c r="AK27" s="27"/>
      <c r="AL27" s="27"/>
      <c r="AM27" s="27"/>
      <c r="AN27" s="27"/>
      <c r="AO27" s="27"/>
      <c r="AP27" s="27"/>
      <c r="AQ27" s="27"/>
      <c r="AR27" s="27"/>
      <c r="AS27" s="27"/>
      <c r="AT27" s="27"/>
      <c r="AU27" s="27"/>
      <c r="AV27" s="27"/>
      <c r="AW27" s="27"/>
      <c r="AX27" s="27"/>
      <c r="AY27" s="27"/>
      <c r="AZ27" s="27"/>
      <c r="BA27" s="27"/>
      <c r="BB27" s="27"/>
    </row>
    <row r="28" ht="22.5" hidden="1" customHeight="1">
      <c r="A28" s="20" t="s">
        <v>312</v>
      </c>
      <c r="B28" s="21">
        <v>37917.0</v>
      </c>
      <c r="C28" s="7" t="s">
        <v>313</v>
      </c>
      <c r="D28" s="22" t="s">
        <v>314</v>
      </c>
      <c r="E28" s="20" t="s">
        <v>82</v>
      </c>
      <c r="F28" s="20" t="s">
        <v>62</v>
      </c>
      <c r="G28" s="20" t="s">
        <v>390</v>
      </c>
      <c r="H28" s="20" t="s">
        <v>391</v>
      </c>
      <c r="I28" s="20" t="s">
        <v>85</v>
      </c>
      <c r="J28" s="20"/>
      <c r="K28" s="20" t="s">
        <v>103</v>
      </c>
      <c r="L28" s="20" t="s">
        <v>384</v>
      </c>
      <c r="M28" s="24">
        <v>45988.0</v>
      </c>
      <c r="N28" s="22" t="s">
        <v>317</v>
      </c>
      <c r="O28" s="23" t="str">
        <f>HYPERLINK("https://api.typeform.com/responses/files/ba824c2d35776c0cab1213132f9388c3a26e2f462fbf85ce93cfd426426b15f8/Transcript___Data_Analysis_Intern___Lê_Hữu_Tài.pdf")</f>
        <v>https://api.typeform.com/responses/files/ba824c2d35776c0cab1213132f9388c3a26e2f462fbf85ce93cfd426426b15f8/Transcript___Data_Analysis_Intern___Lê_Hữu_Tài.pdf</v>
      </c>
      <c r="P28" s="20" t="b">
        <v>0</v>
      </c>
      <c r="Q28" s="20" t="s">
        <v>392</v>
      </c>
      <c r="R28" s="25" t="s">
        <v>319</v>
      </c>
      <c r="S28" s="20" t="s">
        <v>72</v>
      </c>
      <c r="T28" s="20" t="s">
        <v>72</v>
      </c>
      <c r="U28" s="20" t="s">
        <v>269</v>
      </c>
      <c r="V28" s="20"/>
      <c r="W28" s="20"/>
      <c r="X28" s="23" t="str">
        <f>HYPERLINK("https://api.typeform.com/responses/files/e08a3f9c1c63e15a724e0698f5dfe2ea199f57a4c35751f48908eb4c799d3cf4/CV___Data_Analysis_Intern___Lê_Hữu_Tài.pdf")</f>
        <v>https://api.typeform.com/responses/files/e08a3f9c1c63e15a724e0698f5dfe2ea199f57a4c35751f48908eb4c799d3cf4/CV___Data_Analysis_Intern___Lê_Hữu_Tài.pdf</v>
      </c>
      <c r="Y28" s="26">
        <v>46134.65418981481</v>
      </c>
      <c r="Z28" s="20" t="s">
        <v>393</v>
      </c>
      <c r="AA28" s="6">
        <v>1.0</v>
      </c>
      <c r="AB28" s="7" t="s">
        <v>93</v>
      </c>
      <c r="AC28" s="28" t="s">
        <v>6377</v>
      </c>
      <c r="AD28" s="7" t="s">
        <v>6402</v>
      </c>
      <c r="AE28" s="28" t="s">
        <v>6403</v>
      </c>
      <c r="AF28" s="54" t="str">
        <f>IFERROR(
  IFS(
    AND(OR(AE28="Test",AE28="Chờ test",AE28="Test Review",AE28="Passed",AE28="Failed"), OR(E28="Game User Acquisition Intern",E28="Game Design Intern")), "Nhiên",
    AND(OR(AE28="Test",AE28="Chờ test",AE28="Test Review",AE28="Passed",AE28="Failed"), E28&lt;&gt;"Human Resources Intern", NOT(OR(E28="Game User Acquisition Intern",E28="Game Design Intern"))), "Quỳnh",
    AND(OR(AE28="Test",AE28="Chờ test",AE28="Test Review",AE28="Passed",AE28="Failed"), E28="Human Resources Intern"), "AUTO"
  ),
"")</f>
        <v>Quỳnh</v>
      </c>
      <c r="AG28" s="20"/>
      <c r="AH28" s="20"/>
      <c r="AI28" s="20"/>
      <c r="AJ28" s="55"/>
      <c r="AK28" s="27"/>
      <c r="AL28" s="27"/>
      <c r="AM28" s="27"/>
      <c r="AN28" s="27"/>
      <c r="AO28" s="27"/>
      <c r="AP28" s="27"/>
      <c r="AQ28" s="27"/>
      <c r="AR28" s="27"/>
      <c r="AS28" s="27"/>
      <c r="AT28" s="27"/>
      <c r="AU28" s="27"/>
      <c r="AV28" s="27"/>
      <c r="AW28" s="27"/>
      <c r="AX28" s="27"/>
      <c r="AY28" s="27"/>
      <c r="AZ28" s="27"/>
      <c r="BA28" s="27"/>
      <c r="BB28" s="27"/>
    </row>
    <row r="29" ht="22.5" hidden="1" customHeight="1">
      <c r="A29" s="20" t="s">
        <v>394</v>
      </c>
      <c r="B29" s="21">
        <v>38319.0</v>
      </c>
      <c r="C29" s="7" t="s">
        <v>395</v>
      </c>
      <c r="D29" s="22" t="s">
        <v>396</v>
      </c>
      <c r="E29" s="20" t="s">
        <v>82</v>
      </c>
      <c r="F29" s="20" t="s">
        <v>62</v>
      </c>
      <c r="G29" s="20" t="s">
        <v>397</v>
      </c>
      <c r="H29" s="20" t="s">
        <v>398</v>
      </c>
      <c r="I29" s="20" t="s">
        <v>244</v>
      </c>
      <c r="J29" s="20"/>
      <c r="K29" s="20" t="s">
        <v>67</v>
      </c>
      <c r="L29" s="20" t="s">
        <v>399</v>
      </c>
      <c r="M29" s="24">
        <v>46295.0</v>
      </c>
      <c r="N29" s="22" t="s">
        <v>400</v>
      </c>
      <c r="O29" s="23" t="str">
        <f>HYPERLINK("https://api.typeform.com/responses/files/60bf3328dfba7ff81a60e6bad5534deb69e645ca825f9e7dc1069eaa805df6cb/Transcript___Data_Analysis_Intern___Nguyễn_Bình_Minh_Quân.pdf")</f>
        <v>https://api.typeform.com/responses/files/60bf3328dfba7ff81a60e6bad5534deb69e645ca825f9e7dc1069eaa805df6cb/Transcript___Data_Analysis_Intern___Nguyễn_Bình_Minh_Quân.pdf</v>
      </c>
      <c r="P29" s="20" t="b">
        <v>0</v>
      </c>
      <c r="Q29" s="20" t="s">
        <v>401</v>
      </c>
      <c r="R29" s="25" t="s">
        <v>402</v>
      </c>
      <c r="S29" s="20" t="s">
        <v>72</v>
      </c>
      <c r="T29" s="20" t="s">
        <v>72</v>
      </c>
      <c r="U29" s="20" t="s">
        <v>403</v>
      </c>
      <c r="V29" s="20" t="s">
        <v>404</v>
      </c>
      <c r="W29" s="20" t="s">
        <v>405</v>
      </c>
      <c r="X29" s="23" t="str">
        <f>HYPERLINK("https://api.typeform.com/responses/files/a1942272df9d15a4a3ed1ffefc3aeba52f22eb8709bdf6af7f5c9d5c03178d0e/CV___Data_Analysis_Intern___Nguyễn_Bình_Minh_Quân.pdf")</f>
        <v>https://api.typeform.com/responses/files/a1942272df9d15a4a3ed1ffefc3aeba52f22eb8709bdf6af7f5c9d5c03178d0e/CV___Data_Analysis_Intern___Nguyễn_Bình_Minh_Quân.pdf</v>
      </c>
      <c r="Y29" s="26">
        <v>46134.6646412037</v>
      </c>
      <c r="Z29" s="20" t="s">
        <v>406</v>
      </c>
      <c r="AA29" s="6">
        <v>1.0</v>
      </c>
      <c r="AB29" s="7" t="s">
        <v>93</v>
      </c>
      <c r="AC29" s="28" t="s">
        <v>6376</v>
      </c>
      <c r="AD29" s="20"/>
      <c r="AE29" s="53"/>
      <c r="AF29" s="53"/>
      <c r="AG29" s="20"/>
      <c r="AH29" s="20"/>
      <c r="AI29" s="20"/>
      <c r="AJ29" s="55"/>
      <c r="AK29" s="27"/>
      <c r="AL29" s="27"/>
      <c r="AM29" s="27"/>
      <c r="AN29" s="27"/>
      <c r="AO29" s="27"/>
      <c r="AP29" s="27"/>
      <c r="AQ29" s="27"/>
      <c r="AR29" s="27"/>
      <c r="AS29" s="27"/>
      <c r="AT29" s="27"/>
      <c r="AU29" s="27"/>
      <c r="AV29" s="27"/>
      <c r="AW29" s="27"/>
      <c r="AX29" s="27"/>
      <c r="AY29" s="27"/>
      <c r="AZ29" s="27"/>
      <c r="BA29" s="27"/>
      <c r="BB29" s="27"/>
    </row>
    <row r="30" ht="22.5" hidden="1" customHeight="1">
      <c r="A30" s="29" t="s">
        <v>555</v>
      </c>
      <c r="B30" s="30">
        <v>38419.0</v>
      </c>
      <c r="C30" s="7" t="s">
        <v>556</v>
      </c>
      <c r="D30" s="31" t="s">
        <v>557</v>
      </c>
      <c r="E30" s="29" t="s">
        <v>62</v>
      </c>
      <c r="F30" s="29" t="s">
        <v>82</v>
      </c>
      <c r="G30" s="29" t="s">
        <v>558</v>
      </c>
      <c r="H30" s="29" t="s">
        <v>559</v>
      </c>
      <c r="I30" s="29" t="s">
        <v>85</v>
      </c>
      <c r="J30" s="29"/>
      <c r="K30" s="29" t="s">
        <v>219</v>
      </c>
      <c r="L30" s="29" t="s">
        <v>560</v>
      </c>
      <c r="M30" s="33">
        <v>46512.0</v>
      </c>
      <c r="N30" s="29" t="s">
        <v>561</v>
      </c>
      <c r="O30" s="32" t="str">
        <f>HYPERLINK("https://api.typeform.com/responses/files/5e922b8ef8531452826f7f70c7f6b0685e4494aa8c063924ee8caa7e52eee1bd/Kết_quả_học_tập.mhtml")</f>
        <v>https://api.typeform.com/responses/files/5e922b8ef8531452826f7f70c7f6b0685e4494aa8c063924ee8caa7e52eee1bd/Kết_quả_học_tập.mhtml</v>
      </c>
      <c r="P30" s="29" t="b">
        <v>1</v>
      </c>
      <c r="Q30" s="29" t="s">
        <v>562</v>
      </c>
      <c r="R30" s="29" t="s">
        <v>563</v>
      </c>
      <c r="S30" s="29" t="s">
        <v>72</v>
      </c>
      <c r="T30" s="29" t="s">
        <v>72</v>
      </c>
      <c r="U30" s="29" t="s">
        <v>73</v>
      </c>
      <c r="V30" s="29"/>
      <c r="W30" s="29"/>
      <c r="X30" s="32" t="str">
        <f>HYPERLINK("https://api.typeform.com/responses/files/0ba3d4016feebbfded743f5ec0b0d122b935a33de8f731f54ea23da8ecded209/CV___AI_Engineering_Intern___Phan_Đức_Anh.pdf")</f>
        <v>https://api.typeform.com/responses/files/0ba3d4016feebbfded743f5ec0b0d122b935a33de8f731f54ea23da8ecded209/CV___AI_Engineering_Intern___Phan_Đức_Anh.pdf</v>
      </c>
      <c r="Y30" s="34">
        <v>46135.10773148148</v>
      </c>
      <c r="Z30" s="29" t="s">
        <v>564</v>
      </c>
      <c r="AA30" s="6">
        <v>1.0</v>
      </c>
      <c r="AB30" s="58" t="s">
        <v>6381</v>
      </c>
      <c r="AC30" s="28" t="s">
        <v>6377</v>
      </c>
      <c r="AD30" s="95" t="s">
        <v>6404</v>
      </c>
      <c r="AE30" s="28" t="s">
        <v>6379</v>
      </c>
      <c r="AF30" s="54" t="str">
        <f>IFERROR(
  IFS(
    AND(OR(AE30="Test",AE30="Chờ test",AE30="Test Review",AE30="Passed",AE30="Failed"), OR(E30="Game User Acquisition Intern",E30="Game Design Intern")), "Nhiên",
    AND(OR(AE30="Test",AE30="Chờ test",AE30="Test Review",AE30="Passed",AE30="Failed"), E30&lt;&gt;"Human Resources Intern", NOT(OR(E30="Game User Acquisition Intern",E30="Game Design Intern"))), "Quỳnh",
    AND(OR(AE30="Test",AE30="Chờ test",AE30="Test Review",AE30="Passed",AE30="Failed"), E30="Human Resources Intern"), "AUTO"
  ),
"")</f>
        <v>Quỳnh</v>
      </c>
      <c r="AG30" s="20"/>
      <c r="AH30" s="59" t="s">
        <v>6405</v>
      </c>
      <c r="AI30" s="20"/>
      <c r="AJ30" s="55"/>
      <c r="AK30" s="27"/>
      <c r="AL30" s="27"/>
      <c r="AM30" s="27"/>
      <c r="AN30" s="27"/>
      <c r="AO30" s="27"/>
      <c r="AP30" s="27"/>
      <c r="AQ30" s="27"/>
      <c r="AR30" s="27"/>
      <c r="AS30" s="27"/>
      <c r="AT30" s="27"/>
      <c r="AU30" s="27"/>
      <c r="AV30" s="27"/>
      <c r="AW30" s="27"/>
      <c r="AX30" s="27"/>
      <c r="AY30" s="27"/>
      <c r="AZ30" s="27"/>
      <c r="BA30" s="27"/>
      <c r="BB30" s="27"/>
    </row>
    <row r="31" ht="22.5" hidden="1" customHeight="1">
      <c r="A31" s="60" t="s">
        <v>418</v>
      </c>
      <c r="B31" s="61">
        <v>38265.0</v>
      </c>
      <c r="C31" s="62" t="s">
        <v>419</v>
      </c>
      <c r="D31" s="63" t="s">
        <v>420</v>
      </c>
      <c r="E31" s="60" t="s">
        <v>99</v>
      </c>
      <c r="F31" s="60" t="s">
        <v>61</v>
      </c>
      <c r="G31" s="60" t="s">
        <v>421</v>
      </c>
      <c r="H31" s="60" t="s">
        <v>422</v>
      </c>
      <c r="I31" s="60" t="s">
        <v>65</v>
      </c>
      <c r="J31" s="60" t="s">
        <v>423</v>
      </c>
      <c r="K31" s="60" t="s">
        <v>103</v>
      </c>
      <c r="L31" s="60" t="s">
        <v>424</v>
      </c>
      <c r="M31" s="64">
        <v>46022.0</v>
      </c>
      <c r="N31" s="60" t="s">
        <v>425</v>
      </c>
      <c r="O31" s="65" t="str">
        <f>HYPERLINK("https://api.typeform.com/responses/files/7d5e3c597cb8e8623d929aa60f9a6c8b3456bf567dbe0f3767767997bc3f584f/Transcript___Game_Design_Intern___Nguyễn_Trương_Trọng_Hiếu.pdf")</f>
        <v>https://api.typeform.com/responses/files/7d5e3c597cb8e8623d929aa60f9a6c8b3456bf567dbe0f3767767997bc3f584f/Transcript___Game_Design_Intern___Nguyễn_Trương_Trọng_Hiếu.pdf</v>
      </c>
      <c r="P31" s="60" t="b">
        <v>1</v>
      </c>
      <c r="Q31" s="60" t="s">
        <v>426</v>
      </c>
      <c r="R31" s="66" t="s">
        <v>427</v>
      </c>
      <c r="S31" s="60" t="s">
        <v>72</v>
      </c>
      <c r="T31" s="60" t="s">
        <v>72</v>
      </c>
      <c r="U31" s="60" t="s">
        <v>73</v>
      </c>
      <c r="V31" s="60"/>
      <c r="W31" s="60"/>
      <c r="X31" s="65" t="str">
        <f>HYPERLINK("https://api.typeform.com/responses/files/8b05c5501e635ba28fae083a6363af0c3953606e85e3c00435c6673e00ec97e0/CV___Game_Design_Intern___Nguyễn_Trương_Trọng_Hiếu.pdf")</f>
        <v>https://api.typeform.com/responses/files/8b05c5501e635ba28fae083a6363af0c3953606e85e3c00435c6673e00ec97e0/CV___Game_Design_Intern___Nguyễn_Trương_Trọng_Hiếu.pdf</v>
      </c>
      <c r="Y31" s="67">
        <v>46134.69887731481</v>
      </c>
      <c r="Z31" s="60" t="s">
        <v>428</v>
      </c>
      <c r="AA31" s="68">
        <v>1.0</v>
      </c>
      <c r="AB31" s="69" t="s">
        <v>6381</v>
      </c>
      <c r="AC31" s="70" t="s">
        <v>6376</v>
      </c>
      <c r="AD31" s="60"/>
      <c r="AE31" s="71"/>
      <c r="AF31" s="53"/>
      <c r="AG31" s="20"/>
      <c r="AH31" s="20"/>
      <c r="AI31" s="20"/>
      <c r="AJ31" s="55"/>
      <c r="AK31" s="27"/>
      <c r="AL31" s="27"/>
      <c r="AM31" s="27"/>
      <c r="AN31" s="27"/>
      <c r="AO31" s="27"/>
      <c r="AP31" s="27"/>
      <c r="AQ31" s="27"/>
      <c r="AR31" s="27"/>
      <c r="AS31" s="27"/>
      <c r="AT31" s="27"/>
      <c r="AU31" s="27"/>
      <c r="AV31" s="27"/>
      <c r="AW31" s="27"/>
      <c r="AX31" s="27"/>
      <c r="AY31" s="27"/>
      <c r="AZ31" s="27"/>
      <c r="BA31" s="27"/>
      <c r="BB31" s="27"/>
    </row>
    <row r="32" ht="22.5" hidden="1" customHeight="1">
      <c r="A32" s="60" t="s">
        <v>429</v>
      </c>
      <c r="B32" s="61">
        <v>37811.0</v>
      </c>
      <c r="C32" s="62" t="s">
        <v>430</v>
      </c>
      <c r="D32" s="63" t="s">
        <v>431</v>
      </c>
      <c r="E32" s="60" t="s">
        <v>99</v>
      </c>
      <c r="F32" s="60" t="s">
        <v>99</v>
      </c>
      <c r="G32" s="60" t="s">
        <v>432</v>
      </c>
      <c r="H32" s="60" t="s">
        <v>433</v>
      </c>
      <c r="I32" s="60" t="s">
        <v>65</v>
      </c>
      <c r="J32" s="60" t="s">
        <v>434</v>
      </c>
      <c r="K32" s="60" t="s">
        <v>103</v>
      </c>
      <c r="L32" s="60" t="s">
        <v>132</v>
      </c>
      <c r="M32" s="64">
        <v>46047.0</v>
      </c>
      <c r="N32" s="63" t="s">
        <v>435</v>
      </c>
      <c r="O32" s="65" t="str">
        <f>HYPERLINK("https://api.typeform.com/responses/files/a09f4b7079ae962825f80e6fd51a202be38f1853e4f8ed8f0472c78f081cf6cc/BangDiem2_GameDesigner_Intern_NguyenKhacKy.jpg")</f>
        <v>https://api.typeform.com/responses/files/a09f4b7079ae962825f80e6fd51a202be38f1853e4f8ed8f0472c78f081cf6cc/BangDiem2_GameDesigner_Intern_NguyenKhacKy.jpg</v>
      </c>
      <c r="P32" s="60" t="b">
        <v>1</v>
      </c>
      <c r="Q32" s="60" t="s">
        <v>436</v>
      </c>
      <c r="R32" s="66" t="s">
        <v>437</v>
      </c>
      <c r="S32" s="60" t="s">
        <v>72</v>
      </c>
      <c r="T32" s="60" t="s">
        <v>72</v>
      </c>
      <c r="U32" s="60" t="s">
        <v>73</v>
      </c>
      <c r="V32" s="60"/>
      <c r="W32" s="60" t="s">
        <v>438</v>
      </c>
      <c r="X32" s="65" t="str">
        <f>HYPERLINK("https://api.typeform.com/responses/files/fa1b15a05f5a9a637d8311a003ee947cbf5e2cbdf8cf31df14c2811c1769ae86/CV_GameDesigner_Intern_NguyenKhacKy.pdf")</f>
        <v>https://api.typeform.com/responses/files/fa1b15a05f5a9a637d8311a003ee947cbf5e2cbdf8cf31df14c2811c1769ae86/CV_GameDesigner_Intern_NguyenKhacKy.pdf</v>
      </c>
      <c r="Y32" s="67">
        <v>46134.7274537037</v>
      </c>
      <c r="Z32" s="60" t="s">
        <v>439</v>
      </c>
      <c r="AA32" s="68">
        <v>1.0</v>
      </c>
      <c r="AB32" s="69" t="s">
        <v>6381</v>
      </c>
      <c r="AC32" s="70" t="s">
        <v>6376</v>
      </c>
      <c r="AD32" s="60"/>
      <c r="AE32" s="71"/>
      <c r="AF32" s="53"/>
      <c r="AG32" s="20"/>
      <c r="AH32" s="20"/>
      <c r="AI32" s="20"/>
      <c r="AJ32" s="55"/>
      <c r="AK32" s="27"/>
      <c r="AL32" s="27"/>
      <c r="AM32" s="27"/>
      <c r="AN32" s="27"/>
      <c r="AO32" s="27"/>
      <c r="AP32" s="27"/>
      <c r="AQ32" s="27"/>
      <c r="AR32" s="27"/>
      <c r="AS32" s="27"/>
      <c r="AT32" s="27"/>
      <c r="AU32" s="27"/>
      <c r="AV32" s="27"/>
      <c r="AW32" s="27"/>
      <c r="AX32" s="27"/>
      <c r="AY32" s="27"/>
      <c r="AZ32" s="27"/>
      <c r="BA32" s="27"/>
      <c r="BB32" s="27"/>
    </row>
    <row r="33" ht="22.5" hidden="1" customHeight="1">
      <c r="A33" s="29" t="s">
        <v>440</v>
      </c>
      <c r="B33" s="30">
        <v>37707.0</v>
      </c>
      <c r="C33" s="7" t="s">
        <v>441</v>
      </c>
      <c r="D33" s="31" t="s">
        <v>442</v>
      </c>
      <c r="E33" s="29" t="s">
        <v>61</v>
      </c>
      <c r="F33" s="29" t="s">
        <v>62</v>
      </c>
      <c r="G33" s="29" t="s">
        <v>443</v>
      </c>
      <c r="H33" s="29" t="s">
        <v>444</v>
      </c>
      <c r="I33" s="29" t="s">
        <v>445</v>
      </c>
      <c r="J33" s="29"/>
      <c r="K33" s="29" t="s">
        <v>103</v>
      </c>
      <c r="L33" s="29" t="s">
        <v>446</v>
      </c>
      <c r="M33" s="33">
        <v>46131.0</v>
      </c>
      <c r="N33" s="31" t="s">
        <v>447</v>
      </c>
      <c r="O33" s="32" t="str">
        <f>HYPERLINK("https://api.typeform.com/responses/files/b8b1562d43425dba367af235ec6038d28ddb7a26e29081acc6c76e4ec9ea0154/CV___Unity_Developer_Intern__Phạm_Thanh_Phong.JPG")</f>
        <v>https://api.typeform.com/responses/files/b8b1562d43425dba367af235ec6038d28ddb7a26e29081acc6c76e4ec9ea0154/CV___Unity_Developer_Intern__Phạm_Thanh_Phong.JPG</v>
      </c>
      <c r="P33" s="29" t="b">
        <v>0</v>
      </c>
      <c r="Q33" s="29" t="s">
        <v>448</v>
      </c>
      <c r="R33" s="29" t="s">
        <v>449</v>
      </c>
      <c r="S33" s="29" t="s">
        <v>72</v>
      </c>
      <c r="T33" s="29" t="s">
        <v>72</v>
      </c>
      <c r="U33" s="29" t="s">
        <v>224</v>
      </c>
      <c r="V33" s="29"/>
      <c r="W33" s="29" t="s">
        <v>450</v>
      </c>
      <c r="X33" s="32" t="str">
        <f>HYPERLINK("https://api.typeform.com/responses/files/afa1622ddb3fedbe9cc6effde4bfbb8f4eb14b1760b6b17321430f04d043059a/CV___Unity_Developer_Intern__Phạm_Thanh_Phong.pdf")</f>
        <v>https://api.typeform.com/responses/files/afa1622ddb3fedbe9cc6effde4bfbb8f4eb14b1760b6b17321430f04d043059a/CV___Unity_Developer_Intern__Phạm_Thanh_Phong.pdf</v>
      </c>
      <c r="Y33" s="34">
        <v>46134.75244212963</v>
      </c>
      <c r="Z33" s="29" t="s">
        <v>451</v>
      </c>
      <c r="AA33" s="6">
        <v>1.0</v>
      </c>
      <c r="AB33" s="7" t="s">
        <v>93</v>
      </c>
      <c r="AC33" s="28" t="s">
        <v>6376</v>
      </c>
      <c r="AD33" s="7" t="s">
        <v>6391</v>
      </c>
      <c r="AE33" s="53"/>
      <c r="AF33" s="53"/>
      <c r="AG33" s="20"/>
      <c r="AH33" s="20"/>
      <c r="AI33" s="20"/>
      <c r="AJ33" s="55"/>
      <c r="AK33" s="27"/>
      <c r="AL33" s="27"/>
      <c r="AM33" s="27"/>
      <c r="AN33" s="27"/>
      <c r="AO33" s="27"/>
      <c r="AP33" s="27"/>
      <c r="AQ33" s="27"/>
      <c r="AR33" s="27"/>
      <c r="AS33" s="27"/>
      <c r="AT33" s="27"/>
      <c r="AU33" s="27"/>
      <c r="AV33" s="27"/>
      <c r="AW33" s="27"/>
      <c r="AX33" s="27"/>
      <c r="AY33" s="27"/>
      <c r="AZ33" s="27"/>
      <c r="BA33" s="27"/>
      <c r="BB33" s="27"/>
    </row>
    <row r="34" ht="22.5" hidden="1" customHeight="1">
      <c r="A34" s="97" t="s">
        <v>452</v>
      </c>
      <c r="B34" s="98">
        <v>38215.0</v>
      </c>
      <c r="C34" s="62" t="s">
        <v>453</v>
      </c>
      <c r="D34" s="99" t="s">
        <v>454</v>
      </c>
      <c r="E34" s="97" t="s">
        <v>99</v>
      </c>
      <c r="F34" s="97" t="s">
        <v>61</v>
      </c>
      <c r="G34" s="97" t="s">
        <v>455</v>
      </c>
      <c r="H34" s="97" t="s">
        <v>456</v>
      </c>
      <c r="I34" s="60" t="s">
        <v>144</v>
      </c>
      <c r="J34" s="97"/>
      <c r="K34" s="97" t="s">
        <v>103</v>
      </c>
      <c r="L34" s="97" t="s">
        <v>457</v>
      </c>
      <c r="M34" s="100">
        <v>45950.0</v>
      </c>
      <c r="N34" s="99" t="s">
        <v>458</v>
      </c>
      <c r="O34" s="101" t="str">
        <f>HYPERLINK("https://api.typeform.com/responses/files/a6e0d3abf8eb69cad3e142b58af381177c5b4266e7fe4957923348bf4aac3051/Bảng_điểm__FPT_Polytechnic.pdf")</f>
        <v>https://api.typeform.com/responses/files/a6e0d3abf8eb69cad3e142b58af381177c5b4266e7fe4957923348bf4aac3051/Bảng_điểm__FPT_Polytechnic.pdf</v>
      </c>
      <c r="P34" s="97" t="b">
        <v>1</v>
      </c>
      <c r="Q34" s="97" t="s">
        <v>459</v>
      </c>
      <c r="R34" s="97" t="s">
        <v>460</v>
      </c>
      <c r="S34" s="97" t="s">
        <v>72</v>
      </c>
      <c r="T34" s="97" t="s">
        <v>72</v>
      </c>
      <c r="U34" s="97" t="s">
        <v>73</v>
      </c>
      <c r="V34" s="97"/>
      <c r="W34" s="97" t="s">
        <v>461</v>
      </c>
      <c r="X34" s="101" t="str">
        <f>HYPERLINK("https://api.typeform.com/responses/files/2fdffa75de17aa16a8fe240047e8508a7042e2e7cc5a196e8da76e94f91ef4b1/NguyenThanhHien.pdf")</f>
        <v>https://api.typeform.com/responses/files/2fdffa75de17aa16a8fe240047e8508a7042e2e7cc5a196e8da76e94f91ef4b1/NguyenThanhHien.pdf</v>
      </c>
      <c r="Y34" s="102">
        <v>46134.77148148148</v>
      </c>
      <c r="Z34" s="97" t="s">
        <v>462</v>
      </c>
      <c r="AA34" s="68">
        <v>1.0</v>
      </c>
      <c r="AB34" s="69" t="s">
        <v>6381</v>
      </c>
      <c r="AC34" s="70" t="s">
        <v>6376</v>
      </c>
      <c r="AD34" s="60"/>
      <c r="AE34" s="71"/>
      <c r="AF34" s="53"/>
      <c r="AG34" s="20"/>
      <c r="AH34" s="20"/>
      <c r="AI34" s="20"/>
      <c r="AJ34" s="55"/>
      <c r="AK34" s="27"/>
      <c r="AL34" s="27"/>
      <c r="AM34" s="27"/>
      <c r="AN34" s="27"/>
      <c r="AO34" s="27"/>
      <c r="AP34" s="27"/>
      <c r="AQ34" s="27"/>
      <c r="AR34" s="27"/>
      <c r="AS34" s="27"/>
      <c r="AT34" s="27"/>
      <c r="AU34" s="27"/>
      <c r="AV34" s="27"/>
      <c r="AW34" s="27"/>
      <c r="AX34" s="27"/>
      <c r="AY34" s="27"/>
      <c r="AZ34" s="27"/>
      <c r="BA34" s="27"/>
      <c r="BB34" s="27"/>
    </row>
    <row r="35" ht="22.5" hidden="1" customHeight="1">
      <c r="A35" s="97" t="s">
        <v>463</v>
      </c>
      <c r="B35" s="98">
        <v>38571.0</v>
      </c>
      <c r="C35" s="62" t="s">
        <v>464</v>
      </c>
      <c r="D35" s="99" t="s">
        <v>465</v>
      </c>
      <c r="E35" s="97" t="s">
        <v>99</v>
      </c>
      <c r="F35" s="97" t="s">
        <v>61</v>
      </c>
      <c r="G35" s="97" t="s">
        <v>466</v>
      </c>
      <c r="H35" s="97" t="s">
        <v>467</v>
      </c>
      <c r="I35" s="60" t="s">
        <v>468</v>
      </c>
      <c r="J35" s="97"/>
      <c r="K35" s="97" t="s">
        <v>219</v>
      </c>
      <c r="L35" s="97" t="s">
        <v>469</v>
      </c>
      <c r="M35" s="100">
        <v>46335.0</v>
      </c>
      <c r="N35" s="97" t="s">
        <v>470</v>
      </c>
      <c r="O35" s="101" t="str">
        <f>HYPERLINK("https://api.typeform.com/responses/files/8e6c5ea4417ac3f6a729c61e81f8c6700aa35d3cc1c9af0bad0d83516199b8c2/Transcript___Game_Design_Intern___Vũ_Trường_Hùng.pdf")</f>
        <v>https://api.typeform.com/responses/files/8e6c5ea4417ac3f6a729c61e81f8c6700aa35d3cc1c9af0bad0d83516199b8c2/Transcript___Game_Design_Intern___Vũ_Trường_Hùng.pdf</v>
      </c>
      <c r="P35" s="97" t="b">
        <v>1</v>
      </c>
      <c r="Q35" s="97" t="s">
        <v>471</v>
      </c>
      <c r="R35" s="97" t="s">
        <v>472</v>
      </c>
      <c r="S35" s="97" t="s">
        <v>72</v>
      </c>
      <c r="T35" s="97" t="s">
        <v>72</v>
      </c>
      <c r="U35" s="97" t="s">
        <v>473</v>
      </c>
      <c r="V35" s="97"/>
      <c r="W35" s="97" t="s">
        <v>474</v>
      </c>
      <c r="X35" s="101" t="str">
        <f>HYPERLINK("https://api.typeform.com/responses/files/00e4398db24a73fd2c58ca0cb2897d491ca8ed70f3c66d903e2b55344e695f72/CV___Game_Design_Intern___Vũ_Trường_Hùng.pdf")</f>
        <v>https://api.typeform.com/responses/files/00e4398db24a73fd2c58ca0cb2897d491ca8ed70f3c66d903e2b55344e695f72/CV___Game_Design_Intern___Vũ_Trường_Hùng.pdf</v>
      </c>
      <c r="Y35" s="102">
        <v>46134.81685185185</v>
      </c>
      <c r="Z35" s="97" t="s">
        <v>475</v>
      </c>
      <c r="AA35" s="68">
        <v>1.0</v>
      </c>
      <c r="AB35" s="69" t="s">
        <v>6381</v>
      </c>
      <c r="AC35" s="70" t="s">
        <v>6376</v>
      </c>
      <c r="AD35" s="60"/>
      <c r="AE35" s="71"/>
      <c r="AF35" s="53"/>
      <c r="AG35" s="20"/>
      <c r="AH35" s="20"/>
      <c r="AI35" s="20"/>
      <c r="AJ35" s="55"/>
      <c r="AK35" s="27"/>
      <c r="AL35" s="27"/>
      <c r="AM35" s="27"/>
      <c r="AN35" s="27"/>
      <c r="AO35" s="27"/>
      <c r="AP35" s="27"/>
      <c r="AQ35" s="27"/>
      <c r="AR35" s="27"/>
      <c r="AS35" s="27"/>
      <c r="AT35" s="27"/>
      <c r="AU35" s="27"/>
      <c r="AV35" s="27"/>
      <c r="AW35" s="27"/>
      <c r="AX35" s="27"/>
      <c r="AY35" s="27"/>
      <c r="AZ35" s="27"/>
      <c r="BA35" s="27"/>
      <c r="BB35" s="27"/>
    </row>
    <row r="36" ht="22.5" hidden="1" customHeight="1">
      <c r="A36" s="29" t="s">
        <v>476</v>
      </c>
      <c r="B36" s="30">
        <v>37891.0</v>
      </c>
      <c r="C36" s="7" t="s">
        <v>477</v>
      </c>
      <c r="D36" s="31" t="s">
        <v>478</v>
      </c>
      <c r="E36" s="29" t="s">
        <v>61</v>
      </c>
      <c r="F36" s="29" t="s">
        <v>61</v>
      </c>
      <c r="G36" s="29" t="s">
        <v>479</v>
      </c>
      <c r="H36" s="29" t="s">
        <v>480</v>
      </c>
      <c r="I36" s="29" t="s">
        <v>65</v>
      </c>
      <c r="J36" s="29" t="s">
        <v>481</v>
      </c>
      <c r="K36" s="29" t="s">
        <v>103</v>
      </c>
      <c r="L36" s="29" t="s">
        <v>482</v>
      </c>
      <c r="M36" s="33">
        <v>46011.0</v>
      </c>
      <c r="N36" s="31" t="s">
        <v>483</v>
      </c>
      <c r="O36" s="32" t="str">
        <f>HYPERLINK("https://api.typeform.com/responses/files/4f7acd8cd9f1fb6e6d09aea2d7944957c9b3da0c0a79b61b74c8dda816ecdbe5/Transcript____Unity_Developer_Intern___Lê_Đình_Thiện.jpg")</f>
        <v>https://api.typeform.com/responses/files/4f7acd8cd9f1fb6e6d09aea2d7944957c9b3da0c0a79b61b74c8dda816ecdbe5/Transcript____Unity_Developer_Intern___Lê_Đình_Thiện.jpg</v>
      </c>
      <c r="P36" s="29" t="b">
        <v>1</v>
      </c>
      <c r="Q36" s="29" t="s">
        <v>484</v>
      </c>
      <c r="R36" s="29" t="s">
        <v>485</v>
      </c>
      <c r="S36" s="29" t="s">
        <v>72</v>
      </c>
      <c r="T36" s="29" t="s">
        <v>72</v>
      </c>
      <c r="U36" s="29" t="s">
        <v>73</v>
      </c>
      <c r="V36" s="29"/>
      <c r="W36" s="29" t="s">
        <v>486</v>
      </c>
      <c r="X36" s="32" t="str">
        <f>HYPERLINK("https://api.typeform.com/responses/files/26321aec4288e6e5e6b66a5a410af01356498bc768af76316192413e3ef5a791/CV___Unity_Developer_Intern___Lê_Đình_Thiện.pdf")</f>
        <v>https://api.typeform.com/responses/files/26321aec4288e6e5e6b66a5a410af01356498bc768af76316192413e3ef5a791/CV___Unity_Developer_Intern___Lê_Đình_Thiện.pdf</v>
      </c>
      <c r="Y36" s="34">
        <v>46134.83269675926</v>
      </c>
      <c r="Z36" s="29" t="s">
        <v>487</v>
      </c>
      <c r="AA36" s="6">
        <v>1.0</v>
      </c>
      <c r="AB36" s="7" t="s">
        <v>93</v>
      </c>
      <c r="AC36" s="28" t="s">
        <v>6377</v>
      </c>
      <c r="AD36" s="7" t="s">
        <v>6406</v>
      </c>
      <c r="AE36" s="28" t="s">
        <v>6379</v>
      </c>
      <c r="AF36" s="54" t="str">
        <f>IFERROR(
  IFS(
    AND(OR(AE36="Test",AE36="Chờ test",AE36="Test Review",AE36="Passed",AE36="Failed"), OR(E36="Game User Acquisition Intern",E36="Game Design Intern")), "Nhiên",
    AND(OR(AE36="Test",AE36="Chờ test",AE36="Test Review",AE36="Passed",AE36="Failed"), E36&lt;&gt;"Human Resources Intern", NOT(OR(E36="Game User Acquisition Intern",E36="Game Design Intern"))), "Quỳnh",
    AND(OR(AE36="Test",AE36="Chờ test",AE36="Test Review",AE36="Passed",AE36="Failed"), E36="Human Resources Intern"), "AUTO"
  ),
"")</f>
        <v>Quỳnh</v>
      </c>
      <c r="AG36" s="20"/>
      <c r="AH36" s="20" t="e">
        <v>#N/A</v>
      </c>
      <c r="AI36" s="20"/>
      <c r="AJ36" s="55"/>
      <c r="AK36" s="27"/>
      <c r="AL36" s="27"/>
      <c r="AM36" s="27"/>
      <c r="AN36" s="27"/>
      <c r="AO36" s="27"/>
      <c r="AP36" s="27"/>
      <c r="AQ36" s="27"/>
      <c r="AR36" s="27"/>
      <c r="AS36" s="27"/>
      <c r="AT36" s="27"/>
      <c r="AU36" s="27"/>
      <c r="AV36" s="27"/>
      <c r="AW36" s="27"/>
      <c r="AX36" s="27"/>
      <c r="AY36" s="27"/>
      <c r="AZ36" s="27"/>
      <c r="BA36" s="27"/>
      <c r="BB36" s="27"/>
    </row>
    <row r="37" ht="22.5" hidden="1" customHeight="1">
      <c r="A37" s="97" t="s">
        <v>488</v>
      </c>
      <c r="B37" s="98">
        <v>37928.0</v>
      </c>
      <c r="C37" s="62" t="s">
        <v>489</v>
      </c>
      <c r="D37" s="99" t="s">
        <v>490</v>
      </c>
      <c r="E37" s="97" t="s">
        <v>99</v>
      </c>
      <c r="F37" s="97" t="s">
        <v>61</v>
      </c>
      <c r="G37" s="97" t="s">
        <v>491</v>
      </c>
      <c r="H37" s="97" t="s">
        <v>492</v>
      </c>
      <c r="I37" s="60" t="s">
        <v>65</v>
      </c>
      <c r="J37" s="97" t="s">
        <v>493</v>
      </c>
      <c r="K37" s="97" t="s">
        <v>67</v>
      </c>
      <c r="L37" s="97" t="s">
        <v>494</v>
      </c>
      <c r="M37" s="100">
        <v>46388.0</v>
      </c>
      <c r="N37" s="97" t="s">
        <v>495</v>
      </c>
      <c r="O37" s="101" t="str">
        <f>HYPERLINK("https://api.typeform.com/responses/files/62eb95305329d9838576d4744feb39ab794350739e79024a34d0da728b02647e/IMG_1720.jpeg")</f>
        <v>https://api.typeform.com/responses/files/62eb95305329d9838576d4744feb39ab794350739e79024a34d0da728b02647e/IMG_1720.jpeg</v>
      </c>
      <c r="P37" s="97" t="b">
        <v>1</v>
      </c>
      <c r="Q37" s="97" t="s">
        <v>496</v>
      </c>
      <c r="R37" s="97" t="s">
        <v>497</v>
      </c>
      <c r="S37" s="97" t="s">
        <v>498</v>
      </c>
      <c r="T37" s="97" t="s">
        <v>72</v>
      </c>
      <c r="U37" s="97" t="s">
        <v>224</v>
      </c>
      <c r="V37" s="97"/>
      <c r="W37" s="97" t="s">
        <v>499</v>
      </c>
      <c r="X37" s="101" t="str">
        <f>HYPERLINK("https://api.typeform.com/responses/files/122d52c5bc08c500f19cd8caa7d4410c0454c6b1cd5146f19975607c1a8087cd/Cv.pdf")</f>
        <v>https://api.typeform.com/responses/files/122d52c5bc08c500f19cd8caa7d4410c0454c6b1cd5146f19975607c1a8087cd/Cv.pdf</v>
      </c>
      <c r="Y37" s="102">
        <v>46134.8900462963</v>
      </c>
      <c r="Z37" s="97" t="s">
        <v>500</v>
      </c>
      <c r="AA37" s="68">
        <v>1.0</v>
      </c>
      <c r="AB37" s="69" t="s">
        <v>6381</v>
      </c>
      <c r="AC37" s="70" t="s">
        <v>6376</v>
      </c>
      <c r="AD37" s="60"/>
      <c r="AE37" s="71"/>
      <c r="AF37" s="53"/>
      <c r="AG37" s="20"/>
      <c r="AH37" s="20"/>
      <c r="AI37" s="20"/>
      <c r="AJ37" s="55"/>
      <c r="AK37" s="27"/>
      <c r="AL37" s="27"/>
      <c r="AM37" s="27"/>
      <c r="AN37" s="27"/>
      <c r="AO37" s="27"/>
      <c r="AP37" s="27"/>
      <c r="AQ37" s="27"/>
      <c r="AR37" s="27"/>
      <c r="AS37" s="27"/>
      <c r="AT37" s="27"/>
      <c r="AU37" s="27"/>
      <c r="AV37" s="27"/>
      <c r="AW37" s="27"/>
      <c r="AX37" s="27"/>
      <c r="AY37" s="27"/>
      <c r="AZ37" s="27"/>
      <c r="BA37" s="27"/>
      <c r="BB37" s="27"/>
    </row>
    <row r="38" ht="22.5" hidden="1" customHeight="1">
      <c r="A38" s="29" t="s">
        <v>501</v>
      </c>
      <c r="B38" s="30">
        <v>38236.0</v>
      </c>
      <c r="C38" s="7" t="s">
        <v>502</v>
      </c>
      <c r="D38" s="31" t="s">
        <v>503</v>
      </c>
      <c r="E38" s="29" t="s">
        <v>61</v>
      </c>
      <c r="F38" s="29" t="s">
        <v>99</v>
      </c>
      <c r="G38" s="29" t="s">
        <v>504</v>
      </c>
      <c r="H38" s="29" t="s">
        <v>505</v>
      </c>
      <c r="I38" s="29" t="s">
        <v>65</v>
      </c>
      <c r="J38" s="29" t="s">
        <v>506</v>
      </c>
      <c r="K38" s="29" t="s">
        <v>67</v>
      </c>
      <c r="L38" s="29" t="s">
        <v>132</v>
      </c>
      <c r="M38" s="33">
        <v>46336.0</v>
      </c>
      <c r="N38" s="31" t="s">
        <v>147</v>
      </c>
      <c r="O38" s="32" t="str">
        <f>HYPERLINK("https://api.typeform.com/responses/files/50511fecc58f8658467cbe03ad28330c1c26e5238b0fafbee680021fd2887584/Transcript___Unity_Development_Intern___Nguyễn_Anh_Tường.png")</f>
        <v>https://api.typeform.com/responses/files/50511fecc58f8658467cbe03ad28330c1c26e5238b0fafbee680021fd2887584/Transcript___Unity_Development_Intern___Nguyễn_Anh_Tường.png</v>
      </c>
      <c r="P38" s="29" t="b">
        <v>1</v>
      </c>
      <c r="Q38" s="29" t="s">
        <v>507</v>
      </c>
      <c r="R38" s="29" t="s">
        <v>508</v>
      </c>
      <c r="S38" s="29" t="s">
        <v>72</v>
      </c>
      <c r="T38" s="29" t="s">
        <v>72</v>
      </c>
      <c r="U38" s="29" t="s">
        <v>236</v>
      </c>
      <c r="V38" s="29"/>
      <c r="W38" s="29" t="s">
        <v>509</v>
      </c>
      <c r="X38" s="32" t="str">
        <f>HYPERLINK("https://api.typeform.com/responses/files/a2712d76e0a6340a8747f44b67c0ccb542e2c993557b5ea321e52cf750b47418/CV___Game_Development_Intern___Nguyễn_Anh_Tường.pdf")</f>
        <v>https://api.typeform.com/responses/files/a2712d76e0a6340a8747f44b67c0ccb542e2c993557b5ea321e52cf750b47418/CV___Game_Development_Intern___Nguyễn_Anh_Tường.pdf</v>
      </c>
      <c r="Y38" s="34">
        <v>46134.99296296296</v>
      </c>
      <c r="Z38" s="29" t="s">
        <v>510</v>
      </c>
      <c r="AA38" s="6">
        <v>1.0</v>
      </c>
      <c r="AB38" s="7" t="s">
        <v>93</v>
      </c>
      <c r="AC38" s="28" t="s">
        <v>6376</v>
      </c>
      <c r="AD38" s="7" t="s">
        <v>6391</v>
      </c>
      <c r="AE38" s="53"/>
      <c r="AF38" s="53"/>
      <c r="AG38" s="20"/>
      <c r="AH38" s="20"/>
      <c r="AI38" s="20"/>
      <c r="AJ38" s="55"/>
      <c r="AK38" s="27"/>
      <c r="AL38" s="27"/>
      <c r="AM38" s="27"/>
      <c r="AN38" s="27"/>
      <c r="AO38" s="27"/>
      <c r="AP38" s="27"/>
      <c r="AQ38" s="27"/>
      <c r="AR38" s="27"/>
      <c r="AS38" s="27"/>
      <c r="AT38" s="27"/>
      <c r="AU38" s="27"/>
      <c r="AV38" s="27"/>
      <c r="AW38" s="27"/>
      <c r="AX38" s="27"/>
      <c r="AY38" s="27"/>
      <c r="AZ38" s="27"/>
      <c r="BA38" s="27"/>
      <c r="BB38" s="27"/>
    </row>
    <row r="39" ht="22.5" hidden="1" customHeight="1">
      <c r="A39" s="29" t="s">
        <v>565</v>
      </c>
      <c r="B39" s="30">
        <v>38354.0</v>
      </c>
      <c r="C39" s="7" t="s">
        <v>566</v>
      </c>
      <c r="D39" s="31" t="s">
        <v>567</v>
      </c>
      <c r="E39" s="29" t="s">
        <v>62</v>
      </c>
      <c r="F39" s="29" t="s">
        <v>82</v>
      </c>
      <c r="G39" s="29" t="s">
        <v>568</v>
      </c>
      <c r="H39" s="29" t="s">
        <v>569</v>
      </c>
      <c r="I39" s="29" t="s">
        <v>326</v>
      </c>
      <c r="J39" s="29"/>
      <c r="K39" s="29" t="s">
        <v>219</v>
      </c>
      <c r="L39" s="29" t="s">
        <v>570</v>
      </c>
      <c r="M39" s="33">
        <v>46645.0</v>
      </c>
      <c r="N39" s="31" t="s">
        <v>571</v>
      </c>
      <c r="O39" s="32" t="str">
        <f>HYPERLINK("https://api.typeform.com/responses/files/eb90ca399fc88793c7d791fa6aa159fe77e71423f9f46cbe75fcc28e6e963ed5/Transcript___AI_Engineer_Intern___Luu_Thuong_Hong.pdf")</f>
        <v>https://api.typeform.com/responses/files/eb90ca399fc88793c7d791fa6aa159fe77e71423f9f46cbe75fcc28e6e963ed5/Transcript___AI_Engineer_Intern___Luu_Thuong_Hong.pdf</v>
      </c>
      <c r="P39" s="29" t="b">
        <v>1</v>
      </c>
      <c r="Q39" s="29" t="s">
        <v>572</v>
      </c>
      <c r="R39" s="29" t="s">
        <v>573</v>
      </c>
      <c r="S39" s="29" t="s">
        <v>72</v>
      </c>
      <c r="T39" s="29" t="s">
        <v>72</v>
      </c>
      <c r="U39" s="29" t="s">
        <v>269</v>
      </c>
      <c r="V39" s="29"/>
      <c r="W39" s="29" t="s">
        <v>574</v>
      </c>
      <c r="X39" s="32" t="str">
        <f>HYPERLINK("https://api.typeform.com/responses/files/7b7232dff254e35815a10437c391022d2aa2772abdf0d0b0994574c5bf008565/CV___AI_Engineer_Intern___Luu_Thuong_Hong.pdf")</f>
        <v>https://api.typeform.com/responses/files/7b7232dff254e35815a10437c391022d2aa2772abdf0d0b0994574c5bf008565/CV___AI_Engineer_Intern___Luu_Thuong_Hong.pdf</v>
      </c>
      <c r="Y39" s="34">
        <v>46135.10805555555</v>
      </c>
      <c r="Z39" s="29" t="s">
        <v>575</v>
      </c>
      <c r="AA39" s="6">
        <v>1.0</v>
      </c>
      <c r="AB39" s="58" t="s">
        <v>6381</v>
      </c>
      <c r="AC39" s="28" t="s">
        <v>6377</v>
      </c>
      <c r="AD39" s="95" t="s">
        <v>6407</v>
      </c>
      <c r="AE39" s="28" t="s">
        <v>6379</v>
      </c>
      <c r="AF39" s="54" t="str">
        <f t="shared" ref="AF39:AF40" si="4">IFERROR(
  IFS(
    AND(OR(AE39="Test",AE39="Chờ test",AE39="Test Review",AE39="Passed",AE39="Failed"), OR(E39="Game User Acquisition Intern",E39="Game Design Intern")), "Nhiên",
    AND(OR(AE39="Test",AE39="Chờ test",AE39="Test Review",AE39="Passed",AE39="Failed"), E39&lt;&gt;"Human Resources Intern", NOT(OR(E39="Game User Acquisition Intern",E39="Game Design Intern"))), "Quỳnh",
    AND(OR(AE39="Test",AE39="Chờ test",AE39="Test Review",AE39="Passed",AE39="Failed"), E39="Human Resources Intern"), "AUTO"
  ),
"")</f>
        <v>Quỳnh</v>
      </c>
      <c r="AG39" s="20"/>
      <c r="AH39" s="59" t="s">
        <v>6408</v>
      </c>
      <c r="AI39" s="20"/>
      <c r="AJ39" s="55"/>
      <c r="AK39" s="27"/>
      <c r="AL39" s="27"/>
      <c r="AM39" s="27"/>
      <c r="AN39" s="27"/>
      <c r="AO39" s="27"/>
      <c r="AP39" s="27"/>
      <c r="AQ39" s="27"/>
      <c r="AR39" s="27"/>
      <c r="AS39" s="27"/>
      <c r="AT39" s="27"/>
      <c r="AU39" s="27"/>
      <c r="AV39" s="27"/>
      <c r="AW39" s="27"/>
      <c r="AX39" s="27"/>
      <c r="AY39" s="27"/>
      <c r="AZ39" s="27"/>
      <c r="BA39" s="27"/>
      <c r="BB39" s="27"/>
    </row>
    <row r="40" ht="22.5" hidden="1" customHeight="1">
      <c r="A40" s="29" t="s">
        <v>518</v>
      </c>
      <c r="B40" s="30">
        <v>38689.0</v>
      </c>
      <c r="C40" s="7" t="s">
        <v>519</v>
      </c>
      <c r="D40" s="31" t="s">
        <v>520</v>
      </c>
      <c r="E40" s="29" t="s">
        <v>99</v>
      </c>
      <c r="F40" s="29" t="s">
        <v>99</v>
      </c>
      <c r="G40" s="29" t="s">
        <v>521</v>
      </c>
      <c r="H40" s="29" t="s">
        <v>522</v>
      </c>
      <c r="I40" s="20" t="s">
        <v>85</v>
      </c>
      <c r="J40" s="29"/>
      <c r="K40" s="29" t="s">
        <v>219</v>
      </c>
      <c r="L40" s="29" t="s">
        <v>446</v>
      </c>
      <c r="M40" s="33">
        <v>46573.0</v>
      </c>
      <c r="N40" s="31" t="s">
        <v>523</v>
      </c>
      <c r="O40" s="32" t="str">
        <f>HYPERLINK("https://api.typeform.com/responses/files/fece274dc73e25ad7a4def9371339d35e70a4e18ed7fe7148d03b46c0860de84/Transcript___Game_Design_Intern___Đinh_Thanh_Tùng.pdf")</f>
        <v>https://api.typeform.com/responses/files/fece274dc73e25ad7a4def9371339d35e70a4e18ed7fe7148d03b46c0860de84/Transcript___Game_Design_Intern___Đinh_Thanh_Tùng.pdf</v>
      </c>
      <c r="P40" s="29" t="b">
        <v>1</v>
      </c>
      <c r="Q40" s="29" t="s">
        <v>524</v>
      </c>
      <c r="R40" s="29" t="s">
        <v>525</v>
      </c>
      <c r="S40" s="29" t="s">
        <v>72</v>
      </c>
      <c r="T40" s="29" t="s">
        <v>72</v>
      </c>
      <c r="U40" s="29" t="s">
        <v>269</v>
      </c>
      <c r="V40" s="29"/>
      <c r="W40" s="29" t="s">
        <v>526</v>
      </c>
      <c r="X40" s="32" t="str">
        <f>HYPERLINK("https://api.typeform.com/responses/files/07a99ccdb8398dbd6eafa8a72d0489ae9d3c4eaf2139e3241422268a5d51cee9/DinhThanhTung_CV_en_GameDesign.pdf")</f>
        <v>https://api.typeform.com/responses/files/07a99ccdb8398dbd6eafa8a72d0489ae9d3c4eaf2139e3241422268a5d51cee9/DinhThanhTung_CV_en_GameDesign.pdf</v>
      </c>
      <c r="Y40" s="34">
        <v>46135.08146990741</v>
      </c>
      <c r="Z40" s="29" t="s">
        <v>527</v>
      </c>
      <c r="AA40" s="6">
        <v>1.0</v>
      </c>
      <c r="AB40" s="58" t="s">
        <v>6381</v>
      </c>
      <c r="AC40" s="28" t="s">
        <v>6377</v>
      </c>
      <c r="AD40" s="20"/>
      <c r="AE40" s="28" t="s">
        <v>6379</v>
      </c>
      <c r="AF40" s="54" t="str">
        <f t="shared" si="4"/>
        <v>Nhiên</v>
      </c>
      <c r="AG40" s="20"/>
      <c r="AH40" s="59" t="s">
        <v>6409</v>
      </c>
      <c r="AI40" s="20"/>
      <c r="AJ40" s="55"/>
      <c r="AK40" s="27"/>
      <c r="AL40" s="27"/>
      <c r="AM40" s="27"/>
      <c r="AN40" s="27"/>
      <c r="AO40" s="27"/>
      <c r="AP40" s="27"/>
      <c r="AQ40" s="27"/>
      <c r="AR40" s="27"/>
      <c r="AS40" s="27"/>
      <c r="AT40" s="27"/>
      <c r="AU40" s="27"/>
      <c r="AV40" s="27"/>
      <c r="AW40" s="27"/>
      <c r="AX40" s="27"/>
      <c r="AY40" s="27"/>
      <c r="AZ40" s="27"/>
      <c r="BA40" s="27"/>
      <c r="BB40" s="27"/>
    </row>
    <row r="41" ht="22.5" hidden="1" customHeight="1">
      <c r="A41" s="29" t="s">
        <v>618</v>
      </c>
      <c r="B41" s="30">
        <v>37657.0</v>
      </c>
      <c r="C41" s="7" t="s">
        <v>619</v>
      </c>
      <c r="D41" s="31" t="s">
        <v>620</v>
      </c>
      <c r="E41" s="29" t="s">
        <v>62</v>
      </c>
      <c r="F41" s="29" t="s">
        <v>82</v>
      </c>
      <c r="G41" s="29" t="s">
        <v>621</v>
      </c>
      <c r="H41" s="29" t="s">
        <v>622</v>
      </c>
      <c r="I41" s="29" t="s">
        <v>65</v>
      </c>
      <c r="J41" s="29" t="s">
        <v>623</v>
      </c>
      <c r="K41" s="29" t="s">
        <v>103</v>
      </c>
      <c r="L41" s="29" t="s">
        <v>624</v>
      </c>
      <c r="M41" s="33">
        <v>45725.0</v>
      </c>
      <c r="N41" s="31" t="s">
        <v>625</v>
      </c>
      <c r="O41" s="32" t="str">
        <f>HYPERLINK("https://api.typeform.com/responses/files/9d47e4f46d61402926c063f8e0d09d93e0f77118744e616f520d5946d84a6dfa/transcript___AI_Engineer_Intern___Phạm_Anh_Huy.pdf")</f>
        <v>https://api.typeform.com/responses/files/9d47e4f46d61402926c063f8e0d09d93e0f77118744e616f520d5946d84a6dfa/transcript___AI_Engineer_Intern___Phạm_Anh_Huy.pdf</v>
      </c>
      <c r="P41" s="29" t="b">
        <v>1</v>
      </c>
      <c r="Q41" s="29" t="s">
        <v>626</v>
      </c>
      <c r="R41" s="29" t="s">
        <v>627</v>
      </c>
      <c r="S41" s="29" t="s">
        <v>72</v>
      </c>
      <c r="T41" s="29" t="s">
        <v>72</v>
      </c>
      <c r="U41" s="29" t="s">
        <v>73</v>
      </c>
      <c r="V41" s="29"/>
      <c r="W41" s="29" t="s">
        <v>628</v>
      </c>
      <c r="X41" s="32" t="str">
        <f>HYPERLINK("https://api.typeform.com/responses/files/1216a8acc2c4d79fe949167e880b1faabf4615e4c4dc0cf49ba35b1fd1b31ccf/CV___AI_Engineer_Intern___Phạm_Anh_Huy.pdf")</f>
        <v>https://api.typeform.com/responses/files/1216a8acc2c4d79fe949167e880b1faabf4615e4c4dc0cf49ba35b1fd1b31ccf/CV___AI_Engineer_Intern___Phạm_Anh_Huy.pdf</v>
      </c>
      <c r="Y41" s="34">
        <v>46135.126759259256</v>
      </c>
      <c r="Z41" s="29" t="s">
        <v>629</v>
      </c>
      <c r="AA41" s="6">
        <v>1.0</v>
      </c>
      <c r="AB41" s="58" t="s">
        <v>6381</v>
      </c>
      <c r="AC41" s="28" t="s">
        <v>6376</v>
      </c>
      <c r="AD41" s="7" t="s">
        <v>6410</v>
      </c>
      <c r="AE41" s="53"/>
      <c r="AF41" s="53"/>
      <c r="AG41" s="20"/>
      <c r="AH41" s="20"/>
      <c r="AI41" s="20"/>
      <c r="AJ41" s="55"/>
      <c r="AK41" s="27"/>
      <c r="AL41" s="27"/>
      <c r="AM41" s="27"/>
      <c r="AN41" s="27"/>
      <c r="AO41" s="27"/>
      <c r="AP41" s="27"/>
      <c r="AQ41" s="27"/>
      <c r="AR41" s="27"/>
      <c r="AS41" s="27"/>
      <c r="AT41" s="27"/>
      <c r="AU41" s="27"/>
      <c r="AV41" s="27"/>
      <c r="AW41" s="27"/>
      <c r="AX41" s="27"/>
      <c r="AY41" s="27"/>
      <c r="AZ41" s="27"/>
      <c r="BA41" s="27"/>
      <c r="BB41" s="27"/>
    </row>
    <row r="42" ht="22.5" hidden="1" customHeight="1">
      <c r="A42" s="29" t="s">
        <v>639</v>
      </c>
      <c r="B42" s="30">
        <v>37670.0</v>
      </c>
      <c r="C42" s="7" t="s">
        <v>640</v>
      </c>
      <c r="D42" s="31" t="s">
        <v>641</v>
      </c>
      <c r="E42" s="29" t="s">
        <v>62</v>
      </c>
      <c r="F42" s="29" t="s">
        <v>82</v>
      </c>
      <c r="G42" s="29" t="s">
        <v>642</v>
      </c>
      <c r="H42" s="29" t="s">
        <v>643</v>
      </c>
      <c r="I42" s="29" t="s">
        <v>644</v>
      </c>
      <c r="J42" s="29"/>
      <c r="K42" s="29" t="s">
        <v>103</v>
      </c>
      <c r="L42" s="29" t="s">
        <v>384</v>
      </c>
      <c r="M42" s="33">
        <v>46047.0</v>
      </c>
      <c r="N42" s="31" t="s">
        <v>233</v>
      </c>
      <c r="O42" s="32" t="str">
        <f>HYPERLINK("https://api.typeform.com/responses/files/c6a47ea234d93a0daec54aa138027b68233d9821de626a723d4d3ddb0e52fffc/Transcript___AI_Engineering__Data_Analysis___Trần_Bảo_Phúc.pdf")</f>
        <v>https://api.typeform.com/responses/files/c6a47ea234d93a0daec54aa138027b68233d9821de626a723d4d3ddb0e52fffc/Transcript___AI_Engineering__Data_Analysis___Trần_Bảo_Phúc.pdf</v>
      </c>
      <c r="P42" s="29" t="b">
        <v>1</v>
      </c>
      <c r="Q42" s="29" t="s">
        <v>645</v>
      </c>
      <c r="R42" s="29" t="s">
        <v>646</v>
      </c>
      <c r="S42" s="29" t="s">
        <v>72</v>
      </c>
      <c r="T42" s="29" t="s">
        <v>72</v>
      </c>
      <c r="U42" s="29" t="s">
        <v>647</v>
      </c>
      <c r="V42" s="29"/>
      <c r="W42" s="29" t="s">
        <v>648</v>
      </c>
      <c r="X42" s="32" t="str">
        <f>HYPERLINK("https://api.typeform.com/responses/files/e9c62ce0a86826510e7d79f55ca1d628853b21a1e1c710ea3f51667d73b90ac1/CV___AI_Engineering__Data_Analysis___Trần_Bảo_Phúc.pdf")</f>
        <v>https://api.typeform.com/responses/files/e9c62ce0a86826510e7d79f55ca1d628853b21a1e1c710ea3f51667d73b90ac1/CV___AI_Engineering__Data_Analysis___Trần_Bảo_Phúc.pdf</v>
      </c>
      <c r="Y42" s="34">
        <v>46135.13636574074</v>
      </c>
      <c r="Z42" s="29" t="s">
        <v>649</v>
      </c>
      <c r="AA42" s="6">
        <v>1.0</v>
      </c>
      <c r="AB42" s="58" t="s">
        <v>6381</v>
      </c>
      <c r="AC42" s="28" t="s">
        <v>6377</v>
      </c>
      <c r="AD42" s="7" t="s">
        <v>6411</v>
      </c>
      <c r="AE42" s="28" t="s">
        <v>6379</v>
      </c>
      <c r="AF42" s="54" t="str">
        <f t="shared" ref="AF42:AF50" si="5">IFERROR(
  IFS(
    AND(OR(AE42="Test",AE42="Chờ test",AE42="Test Review",AE42="Passed",AE42="Failed"), OR(E42="Game User Acquisition Intern",E42="Game Design Intern")), "Nhiên",
    AND(OR(AE42="Test",AE42="Chờ test",AE42="Test Review",AE42="Passed",AE42="Failed"), E42&lt;&gt;"Human Resources Intern", NOT(OR(E42="Game User Acquisition Intern",E42="Game Design Intern"))), "Quỳnh",
    AND(OR(AE42="Test",AE42="Chờ test",AE42="Test Review",AE42="Passed",AE42="Failed"), E42="Human Resources Intern"), "AUTO"
  ),
"")</f>
        <v>Quỳnh</v>
      </c>
      <c r="AG42" s="20"/>
      <c r="AH42" s="59" t="s">
        <v>6412</v>
      </c>
      <c r="AI42" s="20"/>
      <c r="AJ42" s="55"/>
      <c r="AK42" s="27"/>
      <c r="AL42" s="27"/>
      <c r="AM42" s="27"/>
      <c r="AN42" s="27"/>
      <c r="AO42" s="27"/>
      <c r="AP42" s="27"/>
      <c r="AQ42" s="27"/>
      <c r="AR42" s="27"/>
      <c r="AS42" s="27"/>
      <c r="AT42" s="27"/>
      <c r="AU42" s="27"/>
      <c r="AV42" s="27"/>
      <c r="AW42" s="27"/>
      <c r="AX42" s="27"/>
      <c r="AY42" s="27"/>
      <c r="AZ42" s="27"/>
      <c r="BA42" s="27"/>
      <c r="BB42" s="27"/>
    </row>
    <row r="43" ht="22.5" hidden="1" customHeight="1">
      <c r="A43" s="29" t="s">
        <v>650</v>
      </c>
      <c r="B43" s="30">
        <v>38068.0</v>
      </c>
      <c r="C43" s="7" t="s">
        <v>651</v>
      </c>
      <c r="D43" s="31" t="s">
        <v>652</v>
      </c>
      <c r="E43" s="29" t="s">
        <v>62</v>
      </c>
      <c r="F43" s="29" t="s">
        <v>82</v>
      </c>
      <c r="G43" s="29" t="s">
        <v>653</v>
      </c>
      <c r="H43" s="29" t="s">
        <v>654</v>
      </c>
      <c r="I43" s="29" t="s">
        <v>326</v>
      </c>
      <c r="J43" s="29"/>
      <c r="K43" s="29" t="s">
        <v>67</v>
      </c>
      <c r="L43" s="29" t="s">
        <v>384</v>
      </c>
      <c r="M43" s="33">
        <v>46174.0</v>
      </c>
      <c r="N43" s="31" t="s">
        <v>147</v>
      </c>
      <c r="O43" s="32" t="str">
        <f>HYPERLINK("https://api.typeform.com/responses/files/aac96dbdaaf92b5934979f569ef4f49b1794ad7943a8a2a99f471154050e9776/CV__AI_Engineering_Intern___Tran_Chau_Phu.pdf")</f>
        <v>https://api.typeform.com/responses/files/aac96dbdaaf92b5934979f569ef4f49b1794ad7943a8a2a99f471154050e9776/CV__AI_Engineering_Intern___Tran_Chau_Phu.pdf</v>
      </c>
      <c r="P43" s="29" t="b">
        <v>1</v>
      </c>
      <c r="Q43" s="29" t="s">
        <v>655</v>
      </c>
      <c r="R43" s="29" t="s">
        <v>656</v>
      </c>
      <c r="S43" s="29" t="s">
        <v>72</v>
      </c>
      <c r="T43" s="29" t="s">
        <v>72</v>
      </c>
      <c r="U43" s="29" t="s">
        <v>269</v>
      </c>
      <c r="V43" s="29"/>
      <c r="W43" s="29"/>
      <c r="X43" s="32" t="str">
        <f>HYPERLINK("https://api.typeform.com/responses/files/a7e5e7ee3c242d865764ce22dd88e380b32805a768acefe8d8dc49374de3b09b/CV__AI_Engineering_Intern___Tran_Chau_Phu.pdf")</f>
        <v>https://api.typeform.com/responses/files/a7e5e7ee3c242d865764ce22dd88e380b32805a768acefe8d8dc49374de3b09b/CV__AI_Engineering_Intern___Tran_Chau_Phu.pdf</v>
      </c>
      <c r="Y43" s="34">
        <v>46135.13667824074</v>
      </c>
      <c r="Z43" s="29" t="s">
        <v>657</v>
      </c>
      <c r="AA43" s="6">
        <v>1.0</v>
      </c>
      <c r="AB43" s="58" t="s">
        <v>6381</v>
      </c>
      <c r="AC43" s="28" t="s">
        <v>6377</v>
      </c>
      <c r="AD43" s="7" t="s">
        <v>6413</v>
      </c>
      <c r="AE43" s="28" t="s">
        <v>6379</v>
      </c>
      <c r="AF43" s="54" t="str">
        <f t="shared" si="5"/>
        <v>Quỳnh</v>
      </c>
      <c r="AG43" s="20"/>
      <c r="AH43" s="59" t="s">
        <v>6414</v>
      </c>
      <c r="AI43" s="20"/>
      <c r="AJ43" s="55"/>
      <c r="AK43" s="27"/>
      <c r="AL43" s="27"/>
      <c r="AM43" s="27"/>
      <c r="AN43" s="27"/>
      <c r="AO43" s="27"/>
      <c r="AP43" s="27"/>
      <c r="AQ43" s="27"/>
      <c r="AR43" s="27"/>
      <c r="AS43" s="27"/>
      <c r="AT43" s="27"/>
      <c r="AU43" s="27"/>
      <c r="AV43" s="27"/>
      <c r="AW43" s="27"/>
      <c r="AX43" s="27"/>
      <c r="AY43" s="27"/>
      <c r="AZ43" s="27"/>
      <c r="BA43" s="27"/>
      <c r="BB43" s="27"/>
    </row>
    <row r="44" ht="22.5" hidden="1" customHeight="1">
      <c r="A44" s="29" t="s">
        <v>701</v>
      </c>
      <c r="B44" s="30">
        <v>38173.0</v>
      </c>
      <c r="C44" s="7" t="s">
        <v>702</v>
      </c>
      <c r="D44" s="31" t="s">
        <v>703</v>
      </c>
      <c r="E44" s="29" t="s">
        <v>62</v>
      </c>
      <c r="F44" s="29" t="s">
        <v>62</v>
      </c>
      <c r="G44" s="29" t="s">
        <v>704</v>
      </c>
      <c r="H44" s="29" t="s">
        <v>705</v>
      </c>
      <c r="I44" s="29" t="s">
        <v>326</v>
      </c>
      <c r="J44" s="29"/>
      <c r="K44" s="29" t="s">
        <v>67</v>
      </c>
      <c r="L44" s="29" t="s">
        <v>86</v>
      </c>
      <c r="M44" s="33">
        <v>46356.0</v>
      </c>
      <c r="N44" s="31" t="s">
        <v>613</v>
      </c>
      <c r="O44" s="32" t="str">
        <f>HYPERLINK("https://api.typeform.com/responses/files/c37dda3f7ac2ab76a79f0b4b5395822734fd96dd2fe50a2d3c7af6c3ac6b13d9/Bảng_Điểm.png")</f>
        <v>https://api.typeform.com/responses/files/c37dda3f7ac2ab76a79f0b4b5395822734fd96dd2fe50a2d3c7af6c3ac6b13d9/Bảng_Điểm.png</v>
      </c>
      <c r="P44" s="29" t="b">
        <v>1</v>
      </c>
      <c r="Q44" s="29" t="s">
        <v>706</v>
      </c>
      <c r="R44" s="29" t="s">
        <v>707</v>
      </c>
      <c r="S44" s="29" t="s">
        <v>72</v>
      </c>
      <c r="T44" s="29" t="s">
        <v>72</v>
      </c>
      <c r="U44" s="29" t="s">
        <v>269</v>
      </c>
      <c r="V44" s="29"/>
      <c r="W44" s="29" t="s">
        <v>708</v>
      </c>
      <c r="X44" s="32" t="str">
        <f>HYPERLINK("https://api.typeform.com/responses/files/c082a25d5847ac6afe84941809691831cec07785b03ed5814f9f567dac054704/CV___AI_Engineering_Intern___Lê_Huỳnh_Nhật_Hưng_.pdf")</f>
        <v>https://api.typeform.com/responses/files/c082a25d5847ac6afe84941809691831cec07785b03ed5814f9f567dac054704/CV___AI_Engineering_Intern___Lê_Huỳnh_Nhật_Hưng_.pdf</v>
      </c>
      <c r="Y44" s="34">
        <v>46135.16306712963</v>
      </c>
      <c r="Z44" s="29" t="s">
        <v>709</v>
      </c>
      <c r="AA44" s="6">
        <v>1.0</v>
      </c>
      <c r="AB44" s="58" t="s">
        <v>6381</v>
      </c>
      <c r="AC44" s="28" t="s">
        <v>6377</v>
      </c>
      <c r="AD44" s="20"/>
      <c r="AE44" s="28" t="s">
        <v>6379</v>
      </c>
      <c r="AF44" s="54" t="str">
        <f t="shared" si="5"/>
        <v>Quỳnh</v>
      </c>
      <c r="AG44" s="20"/>
      <c r="AH44" s="20" t="s">
        <v>6415</v>
      </c>
      <c r="AI44" s="20"/>
      <c r="AJ44" s="55"/>
      <c r="AK44" s="27"/>
      <c r="AL44" s="27"/>
      <c r="AM44" s="27"/>
      <c r="AN44" s="27"/>
      <c r="AO44" s="27"/>
      <c r="AP44" s="27"/>
      <c r="AQ44" s="27"/>
      <c r="AR44" s="27"/>
      <c r="AS44" s="27"/>
      <c r="AT44" s="27"/>
      <c r="AU44" s="27"/>
      <c r="AV44" s="27"/>
      <c r="AW44" s="27"/>
      <c r="AX44" s="27"/>
      <c r="AY44" s="27"/>
      <c r="AZ44" s="27"/>
      <c r="BA44" s="27"/>
      <c r="BB44" s="27"/>
    </row>
    <row r="45" ht="22.5" hidden="1" customHeight="1">
      <c r="A45" s="29" t="s">
        <v>761</v>
      </c>
      <c r="B45" s="30">
        <v>38485.0</v>
      </c>
      <c r="C45" s="7" t="s">
        <v>762</v>
      </c>
      <c r="D45" s="31" t="s">
        <v>763</v>
      </c>
      <c r="E45" s="29" t="s">
        <v>62</v>
      </c>
      <c r="F45" s="29" t="s">
        <v>82</v>
      </c>
      <c r="G45" s="29" t="s">
        <v>764</v>
      </c>
      <c r="H45" s="29" t="s">
        <v>765</v>
      </c>
      <c r="I45" s="29" t="s">
        <v>85</v>
      </c>
      <c r="J45" s="29"/>
      <c r="K45" s="29" t="s">
        <v>219</v>
      </c>
      <c r="L45" s="29" t="s">
        <v>384</v>
      </c>
      <c r="M45" s="33">
        <v>46539.0</v>
      </c>
      <c r="N45" s="31" t="s">
        <v>766</v>
      </c>
      <c r="O45" s="32" t="str">
        <f>HYPERLINK("https://api.typeform.com/responses/files/899742377a5f04d68b90cd45c2aad6c3cb54bd4f05d76d291582c21590cbaa2a/Transcript__AI_Engineering_Intern___Bùi_Trương_Thái_Sơn.pdf")</f>
        <v>https://api.typeform.com/responses/files/899742377a5f04d68b90cd45c2aad6c3cb54bd4f05d76d291582c21590cbaa2a/Transcript__AI_Engineering_Intern___Bùi_Trương_Thái_Sơn.pdf</v>
      </c>
      <c r="P45" s="29" t="b">
        <v>1</v>
      </c>
      <c r="Q45" s="29" t="s">
        <v>767</v>
      </c>
      <c r="R45" s="29" t="s">
        <v>768</v>
      </c>
      <c r="S45" s="29" t="s">
        <v>72</v>
      </c>
      <c r="T45" s="29" t="s">
        <v>72</v>
      </c>
      <c r="U45" s="29" t="s">
        <v>269</v>
      </c>
      <c r="V45" s="29"/>
      <c r="W45" s="29" t="s">
        <v>769</v>
      </c>
      <c r="X45" s="32" t="str">
        <f>HYPERLINK("https://api.typeform.com/responses/files/33b5ec23244c33f18529037b24f433283cb2fcee03255e79ae604e6862b5fff9/CV___AI_Engineering_Intern___Bùi_Trương_Thái_Sơn.pdf")</f>
        <v>https://api.typeform.com/responses/files/33b5ec23244c33f18529037b24f433283cb2fcee03255e79ae604e6862b5fff9/CV___AI_Engineering_Intern___Bùi_Trương_Thái_Sơn.pdf</v>
      </c>
      <c r="Y45" s="34">
        <v>46135.204664351855</v>
      </c>
      <c r="Z45" s="29" t="s">
        <v>770</v>
      </c>
      <c r="AA45" s="6">
        <v>1.0</v>
      </c>
      <c r="AB45" s="58" t="s">
        <v>6381</v>
      </c>
      <c r="AC45" s="28" t="s">
        <v>6377</v>
      </c>
      <c r="AD45" s="7" t="s">
        <v>6416</v>
      </c>
      <c r="AE45" s="28" t="s">
        <v>6379</v>
      </c>
      <c r="AF45" s="54" t="str">
        <f t="shared" si="5"/>
        <v>Quỳnh</v>
      </c>
      <c r="AG45" s="20"/>
      <c r="AH45" s="59" t="s">
        <v>6417</v>
      </c>
      <c r="AI45" s="20"/>
      <c r="AJ45" s="55"/>
      <c r="AK45" s="27"/>
      <c r="AL45" s="27"/>
      <c r="AM45" s="27"/>
      <c r="AN45" s="27"/>
      <c r="AO45" s="27"/>
      <c r="AP45" s="27"/>
      <c r="AQ45" s="27"/>
      <c r="AR45" s="27"/>
      <c r="AS45" s="27"/>
      <c r="AT45" s="27"/>
      <c r="AU45" s="27"/>
      <c r="AV45" s="27"/>
      <c r="AW45" s="27"/>
      <c r="AX45" s="27"/>
      <c r="AY45" s="27"/>
      <c r="AZ45" s="27"/>
      <c r="BA45" s="27"/>
      <c r="BB45" s="27"/>
    </row>
    <row r="46" ht="22.5" hidden="1" customHeight="1">
      <c r="A46" s="29" t="s">
        <v>576</v>
      </c>
      <c r="B46" s="30">
        <v>38233.0</v>
      </c>
      <c r="C46" s="7" t="s">
        <v>577</v>
      </c>
      <c r="D46" s="31" t="s">
        <v>578</v>
      </c>
      <c r="E46" s="29" t="s">
        <v>82</v>
      </c>
      <c r="F46" s="29" t="s">
        <v>127</v>
      </c>
      <c r="G46" s="29" t="s">
        <v>579</v>
      </c>
      <c r="H46" s="29" t="s">
        <v>580</v>
      </c>
      <c r="I46" s="29" t="s">
        <v>326</v>
      </c>
      <c r="J46" s="29"/>
      <c r="K46" s="29" t="s">
        <v>67</v>
      </c>
      <c r="L46" s="29" t="s">
        <v>581</v>
      </c>
      <c r="M46" s="33">
        <v>46357.0</v>
      </c>
      <c r="N46" s="31" t="s">
        <v>233</v>
      </c>
      <c r="O46" s="32" t="str">
        <f>HYPERLINK("https://api.typeform.com/responses/files/7a28bb2fd138bcaeead11add7689ed1690682546f3e088c177a277cbba8131c5/Transcript___Data_Analysis_Intern___Nguyễn_Hoàng_Vũ.pdf")</f>
        <v>https://api.typeform.com/responses/files/7a28bb2fd138bcaeead11add7689ed1690682546f3e088c177a277cbba8131c5/Transcript___Data_Analysis_Intern___Nguyễn_Hoàng_Vũ.pdf</v>
      </c>
      <c r="P46" s="29" t="b">
        <v>1</v>
      </c>
      <c r="Q46" s="29" t="s">
        <v>582</v>
      </c>
      <c r="R46" s="29" t="s">
        <v>583</v>
      </c>
      <c r="S46" s="29" t="s">
        <v>72</v>
      </c>
      <c r="T46" s="29" t="s">
        <v>72</v>
      </c>
      <c r="U46" s="29" t="s">
        <v>73</v>
      </c>
      <c r="V46" s="29"/>
      <c r="W46" s="29"/>
      <c r="X46" s="32" t="str">
        <f>HYPERLINK("https://api.typeform.com/responses/files/51978201fbd73caf36fa7569a5e49fabddce41a7fe129938d7f366190f818773/CV___Data_Analysis_Intern___Nguyễn_Hoàng_Vũ.pdf")</f>
        <v>https://api.typeform.com/responses/files/51978201fbd73caf36fa7569a5e49fabddce41a7fe129938d7f366190f818773/CV___Data_Analysis_Intern___Nguyễn_Hoàng_Vũ.pdf</v>
      </c>
      <c r="Y46" s="34">
        <v>46135.10922453704</v>
      </c>
      <c r="Z46" s="29" t="s">
        <v>584</v>
      </c>
      <c r="AA46" s="6">
        <v>1.0</v>
      </c>
      <c r="AB46" s="7" t="s">
        <v>93</v>
      </c>
      <c r="AC46" s="28" t="s">
        <v>6377</v>
      </c>
      <c r="AD46" s="7" t="s">
        <v>6418</v>
      </c>
      <c r="AE46" s="28" t="s">
        <v>6403</v>
      </c>
      <c r="AF46" s="54" t="str">
        <f t="shared" si="5"/>
        <v>Quỳnh</v>
      </c>
      <c r="AG46" s="20"/>
      <c r="AH46" s="20"/>
      <c r="AI46" s="20"/>
      <c r="AJ46" s="55"/>
      <c r="AK46" s="27"/>
      <c r="AL46" s="27"/>
      <c r="AM46" s="27"/>
      <c r="AN46" s="27"/>
      <c r="AO46" s="27"/>
      <c r="AP46" s="27"/>
      <c r="AQ46" s="27"/>
      <c r="AR46" s="27"/>
      <c r="AS46" s="27"/>
      <c r="AT46" s="27"/>
      <c r="AU46" s="27"/>
      <c r="AV46" s="27"/>
      <c r="AW46" s="27"/>
      <c r="AX46" s="27"/>
      <c r="AY46" s="27"/>
      <c r="AZ46" s="27"/>
      <c r="BA46" s="27"/>
      <c r="BB46" s="27"/>
    </row>
    <row r="47" ht="22.5" hidden="1" customHeight="1">
      <c r="A47" s="29" t="s">
        <v>585</v>
      </c>
      <c r="B47" s="30">
        <v>38273.0</v>
      </c>
      <c r="C47" s="7" t="s">
        <v>586</v>
      </c>
      <c r="D47" s="31" t="s">
        <v>587</v>
      </c>
      <c r="E47" s="29" t="s">
        <v>82</v>
      </c>
      <c r="F47" s="29"/>
      <c r="G47" s="29" t="s">
        <v>588</v>
      </c>
      <c r="H47" s="29" t="s">
        <v>589</v>
      </c>
      <c r="I47" s="29" t="s">
        <v>326</v>
      </c>
      <c r="J47" s="29"/>
      <c r="K47" s="29" t="s">
        <v>67</v>
      </c>
      <c r="L47" s="29" t="s">
        <v>590</v>
      </c>
      <c r="M47" s="33">
        <v>46318.0</v>
      </c>
      <c r="N47" s="31" t="s">
        <v>591</v>
      </c>
      <c r="O47" s="32" t="str">
        <f>HYPERLINK("https://api.typeform.com/responses/files/67b9e14e91162e6dc26b7f01b8bf93c176ca1aafb0b0c20f3c7c2635e3a6bb2f/Transcript___Data_Analyst_Intern___Tang_Thi_Van.pdf")</f>
        <v>https://api.typeform.com/responses/files/67b9e14e91162e6dc26b7f01b8bf93c176ca1aafb0b0c20f3c7c2635e3a6bb2f/Transcript___Data_Analyst_Intern___Tang_Thi_Van.pdf</v>
      </c>
      <c r="P47" s="29" t="b">
        <v>1</v>
      </c>
      <c r="Q47" s="29" t="s">
        <v>592</v>
      </c>
      <c r="R47" s="29" t="s">
        <v>593</v>
      </c>
      <c r="S47" s="29" t="s">
        <v>72</v>
      </c>
      <c r="T47" s="29" t="s">
        <v>72</v>
      </c>
      <c r="U47" s="29" t="s">
        <v>594</v>
      </c>
      <c r="V47" s="29"/>
      <c r="W47" s="29"/>
      <c r="X47" s="32" t="str">
        <f>HYPERLINK("https://api.typeform.com/responses/files/fe49c1215d88cda299c1fae7b1b00f72a205be6b86a134e8e5814bde4c3d65ce/CV_Data_Analyst_Intern_Tang_Thi_Van.pdf")</f>
        <v>https://api.typeform.com/responses/files/fe49c1215d88cda299c1fae7b1b00f72a205be6b86a134e8e5814bde4c3d65ce/CV_Data_Analyst_Intern_Tang_Thi_Van.pdf</v>
      </c>
      <c r="Y47" s="34">
        <v>46135.112916666665</v>
      </c>
      <c r="Z47" s="29" t="s">
        <v>595</v>
      </c>
      <c r="AA47" s="6">
        <v>1.0</v>
      </c>
      <c r="AB47" s="7" t="s">
        <v>93</v>
      </c>
      <c r="AC47" s="28" t="s">
        <v>6377</v>
      </c>
      <c r="AD47" s="7" t="s">
        <v>6419</v>
      </c>
      <c r="AE47" s="28" t="s">
        <v>6379</v>
      </c>
      <c r="AF47" s="54" t="str">
        <f t="shared" si="5"/>
        <v>Quỳnh</v>
      </c>
      <c r="AG47" s="20"/>
      <c r="AH47" s="20" t="e">
        <v>#N/A</v>
      </c>
      <c r="AI47" s="20"/>
      <c r="AJ47" s="55"/>
      <c r="AK47" s="27"/>
      <c r="AL47" s="27"/>
      <c r="AM47" s="27"/>
      <c r="AN47" s="27"/>
      <c r="AO47" s="27"/>
      <c r="AP47" s="27"/>
      <c r="AQ47" s="27"/>
      <c r="AR47" s="27"/>
      <c r="AS47" s="27"/>
      <c r="AT47" s="27"/>
      <c r="AU47" s="27"/>
      <c r="AV47" s="27"/>
      <c r="AW47" s="27"/>
      <c r="AX47" s="27"/>
      <c r="AY47" s="27"/>
      <c r="AZ47" s="27"/>
      <c r="BA47" s="27"/>
      <c r="BB47" s="27"/>
    </row>
    <row r="48" ht="22.5" hidden="1" customHeight="1">
      <c r="A48" s="29" t="s">
        <v>596</v>
      </c>
      <c r="B48" s="30">
        <v>37850.0</v>
      </c>
      <c r="C48" s="7" t="s">
        <v>597</v>
      </c>
      <c r="D48" s="31" t="s">
        <v>598</v>
      </c>
      <c r="E48" s="29" t="s">
        <v>61</v>
      </c>
      <c r="F48" s="29" t="s">
        <v>99</v>
      </c>
      <c r="G48" s="29" t="s">
        <v>599</v>
      </c>
      <c r="H48" s="29" t="s">
        <v>600</v>
      </c>
      <c r="I48" s="29" t="s">
        <v>372</v>
      </c>
      <c r="J48" s="29"/>
      <c r="K48" s="29" t="s">
        <v>103</v>
      </c>
      <c r="L48" s="29" t="s">
        <v>601</v>
      </c>
      <c r="M48" s="33">
        <v>46111.0</v>
      </c>
      <c r="N48" s="31" t="s">
        <v>602</v>
      </c>
      <c r="O48" s="32" t="str">
        <f>HYPERLINK("https://api.typeform.com/responses/files/4d07276f921cb86a8a4be214bcfce2418c2320fb662adb7287fc03329189edc1/Transcript___Unity_Development_Intern___Hoàng_Võ_Ngọc_Nguyên.docx")</f>
        <v>https://api.typeform.com/responses/files/4d07276f921cb86a8a4be214bcfce2418c2320fb662adb7287fc03329189edc1/Transcript___Unity_Development_Intern___Hoàng_Võ_Ngọc_Nguyên.docx</v>
      </c>
      <c r="P48" s="29" t="b">
        <v>0</v>
      </c>
      <c r="Q48" s="29" t="s">
        <v>603</v>
      </c>
      <c r="R48" s="29" t="s">
        <v>604</v>
      </c>
      <c r="S48" s="29" t="s">
        <v>72</v>
      </c>
      <c r="T48" s="29" t="s">
        <v>72</v>
      </c>
      <c r="U48" s="29" t="s">
        <v>544</v>
      </c>
      <c r="V48" s="29"/>
      <c r="W48" s="29" t="s">
        <v>605</v>
      </c>
      <c r="X48" s="32" t="str">
        <f>HYPERLINK("https://api.typeform.com/responses/files/6afb456be1ae90bf17ea2b627a06972f118a821868a18fe73e66d125e43b4a28/CV___Unity_Development_Intern___Hoàng_Võ_Ngọc_Nguyên.pdf")</f>
        <v>https://api.typeform.com/responses/files/6afb456be1ae90bf17ea2b627a06972f118a821868a18fe73e66d125e43b4a28/CV___Unity_Development_Intern___Hoàng_Võ_Ngọc_Nguyên.pdf</v>
      </c>
      <c r="Y48" s="34">
        <v>46135.11503472222</v>
      </c>
      <c r="Z48" s="29" t="s">
        <v>606</v>
      </c>
      <c r="AA48" s="6">
        <v>1.0</v>
      </c>
      <c r="AB48" s="7" t="s">
        <v>93</v>
      </c>
      <c r="AC48" s="28" t="s">
        <v>6376</v>
      </c>
      <c r="AD48" s="7" t="s">
        <v>6420</v>
      </c>
      <c r="AE48" s="53"/>
      <c r="AF48" s="54" t="str">
        <f t="shared" si="5"/>
        <v/>
      </c>
      <c r="AG48" s="20"/>
      <c r="AH48" s="20"/>
      <c r="AI48" s="20"/>
      <c r="AJ48" s="55"/>
      <c r="AK48" s="27"/>
      <c r="AL48" s="27"/>
      <c r="AM48" s="27"/>
      <c r="AN48" s="27"/>
      <c r="AO48" s="27"/>
      <c r="AP48" s="27"/>
      <c r="AQ48" s="27"/>
      <c r="AR48" s="27"/>
      <c r="AS48" s="27"/>
      <c r="AT48" s="27"/>
      <c r="AU48" s="27"/>
      <c r="AV48" s="27"/>
      <c r="AW48" s="27"/>
      <c r="AX48" s="27"/>
      <c r="AY48" s="27"/>
      <c r="AZ48" s="27"/>
      <c r="BA48" s="27"/>
      <c r="BB48" s="27"/>
    </row>
    <row r="49" ht="22.5" customHeight="1">
      <c r="A49" s="29" t="s">
        <v>607</v>
      </c>
      <c r="B49" s="30">
        <v>38427.0</v>
      </c>
      <c r="C49" s="7" t="s">
        <v>608</v>
      </c>
      <c r="D49" s="31" t="s">
        <v>609</v>
      </c>
      <c r="E49" s="29" t="s">
        <v>82</v>
      </c>
      <c r="F49" s="29" t="s">
        <v>62</v>
      </c>
      <c r="G49" s="29" t="s">
        <v>610</v>
      </c>
      <c r="H49" s="29" t="s">
        <v>611</v>
      </c>
      <c r="I49" s="29" t="s">
        <v>326</v>
      </c>
      <c r="J49" s="29"/>
      <c r="K49" s="29" t="s">
        <v>219</v>
      </c>
      <c r="L49" s="29" t="s">
        <v>612</v>
      </c>
      <c r="M49" s="33">
        <v>46661.0</v>
      </c>
      <c r="N49" s="31" t="s">
        <v>613</v>
      </c>
      <c r="O49" s="32" t="str">
        <f>HYPERLINK("https://api.typeform.com/responses/files/2a74944854212f3661c3cf9503cb4073c26a704690dc8f889fbae90ae76548f7/Transcript___Data_Analysis_Intern___Hoàng_Đôn_Thiện_Hòa.png")</f>
        <v>https://api.typeform.com/responses/files/2a74944854212f3661c3cf9503cb4073c26a704690dc8f889fbae90ae76548f7/Transcript___Data_Analysis_Intern___Hoàng_Đôn_Thiện_Hòa.png</v>
      </c>
      <c r="P49" s="29" t="b">
        <v>1</v>
      </c>
      <c r="Q49" s="29" t="s">
        <v>614</v>
      </c>
      <c r="R49" s="29" t="s">
        <v>615</v>
      </c>
      <c r="S49" s="29" t="s">
        <v>72</v>
      </c>
      <c r="T49" s="29" t="s">
        <v>72</v>
      </c>
      <c r="U49" s="29" t="s">
        <v>544</v>
      </c>
      <c r="V49" s="29"/>
      <c r="W49" s="29" t="s">
        <v>616</v>
      </c>
      <c r="X49" s="32" t="str">
        <f>HYPERLINK("https://api.typeform.com/responses/files/69a382b14fe3d1beff1f534018860474017cfe6d5844b20326edde33aba1e49d/CV___Data_Analysis_Intern___Hoàng_Đôn_Thiện_Hòa.pdf")</f>
        <v>https://api.typeform.com/responses/files/69a382b14fe3d1beff1f534018860474017cfe6d5844b20326edde33aba1e49d/CV___Data_Analysis_Intern___Hoàng_Đôn_Thiện_Hòa.pdf</v>
      </c>
      <c r="Y49" s="34">
        <v>46135.12049768519</v>
      </c>
      <c r="Z49" s="29" t="s">
        <v>617</v>
      </c>
      <c r="AA49" s="6">
        <v>1.0</v>
      </c>
      <c r="AB49" s="7" t="s">
        <v>93</v>
      </c>
      <c r="AC49" s="28" t="s">
        <v>6376</v>
      </c>
      <c r="AD49" s="7" t="s">
        <v>6421</v>
      </c>
      <c r="AE49" s="53"/>
      <c r="AF49" s="54" t="str">
        <f t="shared" si="5"/>
        <v/>
      </c>
      <c r="AG49" s="20"/>
      <c r="AH49" s="20"/>
      <c r="AI49" s="20"/>
      <c r="AJ49" s="55"/>
      <c r="AK49" s="27"/>
      <c r="AL49" s="27"/>
      <c r="AM49" s="27"/>
      <c r="AN49" s="27"/>
      <c r="AO49" s="27"/>
      <c r="AP49" s="27"/>
      <c r="AQ49" s="27"/>
      <c r="AR49" s="27"/>
      <c r="AS49" s="27"/>
      <c r="AT49" s="27"/>
      <c r="AU49" s="27"/>
      <c r="AV49" s="27"/>
      <c r="AW49" s="27"/>
      <c r="AX49" s="27"/>
      <c r="AY49" s="27"/>
      <c r="AZ49" s="27"/>
      <c r="BA49" s="27"/>
      <c r="BB49" s="27"/>
    </row>
    <row r="50" ht="22.5" hidden="1" customHeight="1">
      <c r="A50" s="29" t="s">
        <v>827</v>
      </c>
      <c r="B50" s="30">
        <v>38383.0</v>
      </c>
      <c r="C50" s="7" t="s">
        <v>828</v>
      </c>
      <c r="D50" s="31" t="s">
        <v>829</v>
      </c>
      <c r="E50" s="29" t="s">
        <v>62</v>
      </c>
      <c r="F50" s="29"/>
      <c r="G50" s="29" t="s">
        <v>830</v>
      </c>
      <c r="H50" s="29" t="s">
        <v>831</v>
      </c>
      <c r="I50" s="29" t="s">
        <v>326</v>
      </c>
      <c r="J50" s="29"/>
      <c r="K50" s="29" t="s">
        <v>219</v>
      </c>
      <c r="L50" s="29" t="s">
        <v>412</v>
      </c>
      <c r="M50" s="33">
        <v>46534.0</v>
      </c>
      <c r="N50" s="31" t="s">
        <v>832</v>
      </c>
      <c r="O50" s="32" t="str">
        <f>HYPERLINK("https://api.typeform.com/responses/files/7c36e3eaab3e7620de0cee3e622097d1fb6d6164ece519f63c19c7c90ff18a84/Transcript___AI_Engineering_Intern___Lê_Hoàng_Minh_Huy.pdf")</f>
        <v>https://api.typeform.com/responses/files/7c36e3eaab3e7620de0cee3e622097d1fb6d6164ece519f63c19c7c90ff18a84/Transcript___AI_Engineering_Intern___Lê_Hoàng_Minh_Huy.pdf</v>
      </c>
      <c r="P50" s="29" t="b">
        <v>1</v>
      </c>
      <c r="Q50" s="29" t="s">
        <v>833</v>
      </c>
      <c r="R50" s="29" t="s">
        <v>834</v>
      </c>
      <c r="S50" s="29" t="s">
        <v>72</v>
      </c>
      <c r="T50" s="29" t="s">
        <v>72</v>
      </c>
      <c r="U50" s="29" t="s">
        <v>269</v>
      </c>
      <c r="V50" s="29"/>
      <c r="W50" s="29" t="s">
        <v>835</v>
      </c>
      <c r="X50" s="32" t="str">
        <f>HYPERLINK("https://api.typeform.com/responses/files/0e80c5146b919565afa7a640844aac47e7324536f9bec95713427c5909165e0d/CV___AI_Engineering_Intern___Lê_Hoàng_Minh_Huy.pdf")</f>
        <v>https://api.typeform.com/responses/files/0e80c5146b919565afa7a640844aac47e7324536f9bec95713427c5909165e0d/CV___AI_Engineering_Intern___Lê_Hoàng_Minh_Huy.pdf</v>
      </c>
      <c r="Y50" s="34">
        <v>46135.29078703704</v>
      </c>
      <c r="Z50" s="29" t="s">
        <v>836</v>
      </c>
      <c r="AA50" s="6">
        <v>1.0</v>
      </c>
      <c r="AB50" s="58" t="s">
        <v>6381</v>
      </c>
      <c r="AC50" s="28" t="s">
        <v>6377</v>
      </c>
      <c r="AD50" s="7" t="s">
        <v>6422</v>
      </c>
      <c r="AE50" s="28" t="s">
        <v>6379</v>
      </c>
      <c r="AF50" s="54" t="str">
        <f t="shared" si="5"/>
        <v>Quỳnh</v>
      </c>
      <c r="AG50" s="20"/>
      <c r="AH50" s="59" t="s">
        <v>6423</v>
      </c>
      <c r="AI50" s="20"/>
      <c r="AJ50" s="55"/>
      <c r="AK50" s="27"/>
      <c r="AL50" s="27"/>
      <c r="AM50" s="27"/>
      <c r="AN50" s="27"/>
      <c r="AO50" s="27"/>
      <c r="AP50" s="27"/>
      <c r="AQ50" s="27"/>
      <c r="AR50" s="27"/>
      <c r="AS50" s="27"/>
      <c r="AT50" s="27"/>
      <c r="AU50" s="27"/>
      <c r="AV50" s="27"/>
      <c r="AW50" s="27"/>
      <c r="AX50" s="27"/>
      <c r="AY50" s="27"/>
      <c r="AZ50" s="27"/>
      <c r="BA50" s="27"/>
      <c r="BB50" s="27"/>
    </row>
    <row r="51" ht="22.5" hidden="1" customHeight="1">
      <c r="A51" s="29" t="s">
        <v>630</v>
      </c>
      <c r="B51" s="30">
        <v>38600.0</v>
      </c>
      <c r="C51" s="7" t="s">
        <v>631</v>
      </c>
      <c r="D51" s="31" t="s">
        <v>632</v>
      </c>
      <c r="E51" s="29" t="s">
        <v>633</v>
      </c>
      <c r="F51" s="29" t="s">
        <v>127</v>
      </c>
      <c r="G51" s="29" t="s">
        <v>634</v>
      </c>
      <c r="H51" s="29" t="s">
        <v>635</v>
      </c>
      <c r="I51" s="29" t="s">
        <v>636</v>
      </c>
      <c r="J51" s="29"/>
      <c r="K51" s="29" t="s">
        <v>219</v>
      </c>
      <c r="L51" s="29" t="s">
        <v>637</v>
      </c>
      <c r="M51" s="33">
        <v>46086.0</v>
      </c>
      <c r="N51" s="31" t="s">
        <v>309</v>
      </c>
      <c r="O51" s="32" t="str">
        <f>HYPERLINK("https://api.typeform.com/responses/files/0ea850431ceb5b9a26ed5ccb490aae0d55864847201071b13440eed1bf6ad7f3/IMG_1942.png")</f>
        <v>https://api.typeform.com/responses/files/0ea850431ceb5b9a26ed5ccb490aae0d55864847201071b13440eed1bf6ad7f3/IMG_1942.png</v>
      </c>
      <c r="P51" s="29" t="b">
        <v>0</v>
      </c>
      <c r="Q51" s="29" t="s">
        <v>375</v>
      </c>
      <c r="R51" s="29" t="s">
        <v>375</v>
      </c>
      <c r="S51" s="29" t="s">
        <v>72</v>
      </c>
      <c r="T51" s="29" t="s">
        <v>72</v>
      </c>
      <c r="U51" s="29" t="s">
        <v>73</v>
      </c>
      <c r="V51" s="29"/>
      <c r="W51" s="29"/>
      <c r="X51" s="32" t="str">
        <f>HYPERLINK("https://api.typeform.com/responses/files/1a18997f6512b37b45535bdc5867b79369906360da49e91633221911cf34e1d8/Tran_Tuong_Vi___Human_Resources_Intern.pdf")</f>
        <v>https://api.typeform.com/responses/files/1a18997f6512b37b45535bdc5867b79369906360da49e91633221911cf34e1d8/Tran_Tuong_Vi___Human_Resources_Intern.pdf</v>
      </c>
      <c r="Y51" s="34">
        <v>46135.13041666667</v>
      </c>
      <c r="Z51" s="29" t="s">
        <v>638</v>
      </c>
      <c r="AA51" s="6">
        <v>1.0</v>
      </c>
      <c r="AB51" s="7" t="s">
        <v>6424</v>
      </c>
      <c r="AC51" s="28" t="s">
        <v>6376</v>
      </c>
      <c r="AD51" s="20"/>
      <c r="AE51" s="53"/>
      <c r="AF51" s="53"/>
      <c r="AG51" s="20"/>
      <c r="AH51" s="20"/>
      <c r="AI51" s="20"/>
      <c r="AJ51" s="55"/>
      <c r="AK51" s="27"/>
      <c r="AL51" s="27"/>
      <c r="AM51" s="27"/>
      <c r="AN51" s="27"/>
      <c r="AO51" s="27"/>
      <c r="AP51" s="27"/>
      <c r="AQ51" s="27"/>
      <c r="AR51" s="27"/>
      <c r="AS51" s="27"/>
      <c r="AT51" s="27"/>
      <c r="AU51" s="27"/>
      <c r="AV51" s="27"/>
      <c r="AW51" s="27"/>
      <c r="AX51" s="27"/>
      <c r="AY51" s="27"/>
      <c r="AZ51" s="27"/>
      <c r="BA51" s="27"/>
      <c r="BB51" s="27"/>
    </row>
    <row r="52" ht="22.5" hidden="1" customHeight="1">
      <c r="A52" s="29" t="s">
        <v>875</v>
      </c>
      <c r="B52" s="30">
        <v>38674.0</v>
      </c>
      <c r="C52" s="7" t="s">
        <v>876</v>
      </c>
      <c r="D52" s="31" t="s">
        <v>877</v>
      </c>
      <c r="E52" s="29" t="s">
        <v>62</v>
      </c>
      <c r="F52" s="29" t="s">
        <v>82</v>
      </c>
      <c r="G52" s="29" t="s">
        <v>878</v>
      </c>
      <c r="H52" s="29" t="s">
        <v>879</v>
      </c>
      <c r="I52" s="29" t="s">
        <v>326</v>
      </c>
      <c r="J52" s="29"/>
      <c r="K52" s="29" t="s">
        <v>219</v>
      </c>
      <c r="L52" s="29" t="s">
        <v>880</v>
      </c>
      <c r="M52" s="33">
        <v>46588.0</v>
      </c>
      <c r="N52" s="31" t="s">
        <v>881</v>
      </c>
      <c r="O52" s="32" t="str">
        <f>HYPERLINK("https://api.typeform.com/responses/files/521c6eee80b0ccf39cc417ed4510ee7eb317aee0a5283cad201c95971306cc1a/Transcript___AI_Engineer_Intern___Ngô_Quang_Thắng.png")</f>
        <v>https://api.typeform.com/responses/files/521c6eee80b0ccf39cc417ed4510ee7eb317aee0a5283cad201c95971306cc1a/Transcript___AI_Engineer_Intern___Ngô_Quang_Thắng.png</v>
      </c>
      <c r="P52" s="29" t="b">
        <v>1</v>
      </c>
      <c r="Q52" s="29" t="s">
        <v>882</v>
      </c>
      <c r="R52" s="29" t="s">
        <v>883</v>
      </c>
      <c r="S52" s="29" t="s">
        <v>72</v>
      </c>
      <c r="T52" s="29" t="s">
        <v>72</v>
      </c>
      <c r="U52" s="29" t="s">
        <v>269</v>
      </c>
      <c r="V52" s="29"/>
      <c r="W52" s="29"/>
      <c r="X52" s="32" t="str">
        <f>HYPERLINK("https://api.typeform.com/responses/files/d33197ef617e2a04f5469121f98f7c529a7fafd018233673286bf2c57eeafb62/Ngo_Quang_Thang___AI_Intern_CV.pdf")</f>
        <v>https://api.typeform.com/responses/files/d33197ef617e2a04f5469121f98f7c529a7fafd018233673286bf2c57eeafb62/Ngo_Quang_Thang___AI_Intern_CV.pdf</v>
      </c>
      <c r="Y52" s="34">
        <v>46135.32100694445</v>
      </c>
      <c r="Z52" s="29" t="s">
        <v>884</v>
      </c>
      <c r="AA52" s="6">
        <v>1.0</v>
      </c>
      <c r="AB52" s="58" t="s">
        <v>6381</v>
      </c>
      <c r="AC52" s="28" t="s">
        <v>6377</v>
      </c>
      <c r="AD52" s="7" t="s">
        <v>6425</v>
      </c>
      <c r="AE52" s="28" t="s">
        <v>6379</v>
      </c>
      <c r="AF52" s="54" t="str">
        <f>IFERROR(
  IFS(
    AND(OR(AE52="Test",AE52="Chờ test",AE52="Test Review",AE52="Passed",AE52="Failed"), OR(E52="Game User Acquisition Intern",E52="Game Design Intern")), "Nhiên",
    AND(OR(AE52="Test",AE52="Chờ test",AE52="Test Review",AE52="Passed",AE52="Failed"), E52&lt;&gt;"Human Resources Intern", NOT(OR(E52="Game User Acquisition Intern",E52="Game Design Intern"))), "Quỳnh",
    AND(OR(AE52="Test",AE52="Chờ test",AE52="Test Review",AE52="Passed",AE52="Failed"), E52="Human Resources Intern"), "AUTO"
  ),
"")</f>
        <v>Quỳnh</v>
      </c>
      <c r="AG52" s="20"/>
      <c r="AH52" s="59" t="s">
        <v>6426</v>
      </c>
      <c r="AI52" s="20"/>
      <c r="AJ52" s="55"/>
      <c r="AK52" s="27"/>
      <c r="AL52" s="27"/>
      <c r="AM52" s="27"/>
      <c r="AN52" s="27"/>
      <c r="AO52" s="27"/>
      <c r="AP52" s="27"/>
      <c r="AQ52" s="27"/>
      <c r="AR52" s="27"/>
      <c r="AS52" s="27"/>
      <c r="AT52" s="27"/>
      <c r="AU52" s="27"/>
      <c r="AV52" s="27"/>
      <c r="AW52" s="27"/>
      <c r="AX52" s="27"/>
      <c r="AY52" s="27"/>
      <c r="AZ52" s="27"/>
      <c r="BA52" s="27"/>
      <c r="BB52" s="27"/>
    </row>
    <row r="53" ht="22.5" hidden="1" customHeight="1">
      <c r="A53" s="29" t="s">
        <v>936</v>
      </c>
      <c r="B53" s="30">
        <v>38590.0</v>
      </c>
      <c r="C53" s="7" t="s">
        <v>937</v>
      </c>
      <c r="D53" s="31" t="s">
        <v>938</v>
      </c>
      <c r="E53" s="29" t="s">
        <v>62</v>
      </c>
      <c r="F53" s="29" t="s">
        <v>82</v>
      </c>
      <c r="G53" s="29" t="s">
        <v>939</v>
      </c>
      <c r="H53" s="29" t="s">
        <v>940</v>
      </c>
      <c r="I53" s="29" t="s">
        <v>85</v>
      </c>
      <c r="J53" s="29"/>
      <c r="K53" s="29" t="s">
        <v>219</v>
      </c>
      <c r="L53" s="29" t="s">
        <v>941</v>
      </c>
      <c r="M53" s="33">
        <v>46568.0</v>
      </c>
      <c r="N53" s="31" t="s">
        <v>942</v>
      </c>
      <c r="O53" s="32" t="str">
        <f>HYPERLINK("https://api.typeform.com/responses/files/2151f187ae006366c5499804a53fb850071e2c6fdbcd00d2edc9a3a37a4879bf/Transcript___AI_Engineer_Intern___Trần_Thị_Cẩm_Tú.pdf")</f>
        <v>https://api.typeform.com/responses/files/2151f187ae006366c5499804a53fb850071e2c6fdbcd00d2edc9a3a37a4879bf/Transcript___AI_Engineer_Intern___Trần_Thị_Cẩm_Tú.pdf</v>
      </c>
      <c r="P53" s="29" t="b">
        <v>1</v>
      </c>
      <c r="Q53" s="29" t="s">
        <v>943</v>
      </c>
      <c r="R53" s="29" t="s">
        <v>944</v>
      </c>
      <c r="S53" s="29" t="s">
        <v>72</v>
      </c>
      <c r="T53" s="29" t="s">
        <v>72</v>
      </c>
      <c r="U53" s="29" t="s">
        <v>269</v>
      </c>
      <c r="V53" s="29"/>
      <c r="W53" s="29" t="s">
        <v>945</v>
      </c>
      <c r="X53" s="32" t="str">
        <f>HYPERLINK("https://api.typeform.com/responses/files/c5080d11f4e19ba5fded75a8d5709c8b111aa5f0a28985b843fdcca32becb287/CV___AI_Engineer_Intern___Trần_Thị_Cẩm_Tú.pdf")</f>
        <v>https://api.typeform.com/responses/files/c5080d11f4e19ba5fded75a8d5709c8b111aa5f0a28985b843fdcca32becb287/CV___AI_Engineer_Intern___Trần_Thị_Cẩm_Tú.pdf</v>
      </c>
      <c r="Y53" s="34">
        <v>46135.33482638889</v>
      </c>
      <c r="Z53" s="29" t="s">
        <v>946</v>
      </c>
      <c r="AA53" s="6">
        <v>1.0</v>
      </c>
      <c r="AB53" s="58" t="s">
        <v>6381</v>
      </c>
      <c r="AC53" s="28" t="s">
        <v>6376</v>
      </c>
      <c r="AD53" s="7" t="s">
        <v>6427</v>
      </c>
      <c r="AE53" s="53"/>
      <c r="AF53" s="53"/>
      <c r="AG53" s="20"/>
      <c r="AH53" s="20"/>
      <c r="AI53" s="20"/>
      <c r="AJ53" s="55"/>
      <c r="AK53" s="27"/>
      <c r="AL53" s="27"/>
      <c r="AM53" s="27"/>
      <c r="AN53" s="27"/>
      <c r="AO53" s="27"/>
      <c r="AP53" s="27"/>
      <c r="AQ53" s="27"/>
      <c r="AR53" s="27"/>
      <c r="AS53" s="27"/>
      <c r="AT53" s="27"/>
      <c r="AU53" s="27"/>
      <c r="AV53" s="27"/>
      <c r="AW53" s="27"/>
      <c r="AX53" s="27"/>
      <c r="AY53" s="27"/>
      <c r="AZ53" s="27"/>
      <c r="BA53" s="27"/>
      <c r="BB53" s="27"/>
    </row>
    <row r="54" ht="22.5" hidden="1" customHeight="1">
      <c r="A54" s="29" t="s">
        <v>989</v>
      </c>
      <c r="B54" s="30">
        <v>38532.0</v>
      </c>
      <c r="C54" s="7" t="s">
        <v>990</v>
      </c>
      <c r="D54" s="31" t="s">
        <v>991</v>
      </c>
      <c r="E54" s="29" t="s">
        <v>62</v>
      </c>
      <c r="F54" s="29" t="s">
        <v>82</v>
      </c>
      <c r="G54" s="29" t="s">
        <v>992</v>
      </c>
      <c r="H54" s="29" t="s">
        <v>993</v>
      </c>
      <c r="I54" s="29" t="s">
        <v>326</v>
      </c>
      <c r="J54" s="29"/>
      <c r="K54" s="29" t="s">
        <v>219</v>
      </c>
      <c r="L54" s="29" t="s">
        <v>930</v>
      </c>
      <c r="M54" s="33">
        <v>46631.0</v>
      </c>
      <c r="N54" s="31" t="s">
        <v>533</v>
      </c>
      <c r="O54" s="32" t="str">
        <f>HYPERLINK("https://api.typeform.com/responses/files/77b1059b80948ab001a9c15facb8f4f6ea9b752d9c6db050777affe6b065370e/Transcript___AI_Engineering_Intern___Lê_Thượng_Đế.pdf")</f>
        <v>https://api.typeform.com/responses/files/77b1059b80948ab001a9c15facb8f4f6ea9b752d9c6db050777affe6b065370e/Transcript___AI_Engineering_Intern___Lê_Thượng_Đế.pdf</v>
      </c>
      <c r="P54" s="29" t="b">
        <v>1</v>
      </c>
      <c r="Q54" s="29" t="s">
        <v>994</v>
      </c>
      <c r="R54" s="29" t="s">
        <v>995</v>
      </c>
      <c r="S54" s="29" t="s">
        <v>72</v>
      </c>
      <c r="T54" s="29" t="s">
        <v>72</v>
      </c>
      <c r="U54" s="29" t="s">
        <v>269</v>
      </c>
      <c r="V54" s="29"/>
      <c r="W54" s="29" t="s">
        <v>996</v>
      </c>
      <c r="X54" s="32" t="str">
        <f>HYPERLINK("https://api.typeform.com/responses/files/47e336659677080dc6b9ac08aca17651a8d5ce4b2229b649c0e781e8dae0e234/CV___AI_Engineering_Intern___Lê_Thượng_Đế.pdf")</f>
        <v>https://api.typeform.com/responses/files/47e336659677080dc6b9ac08aca17651a8d5ce4b2229b649c0e781e8dae0e234/CV___AI_Engineering_Intern___Lê_Thượng_Đế.pdf</v>
      </c>
      <c r="Y54" s="34">
        <v>46135.34982638889</v>
      </c>
      <c r="Z54" s="29" t="s">
        <v>997</v>
      </c>
      <c r="AA54" s="6">
        <v>1.0</v>
      </c>
      <c r="AB54" s="58" t="s">
        <v>6381</v>
      </c>
      <c r="AC54" s="28" t="s">
        <v>6377</v>
      </c>
      <c r="AD54" s="7" t="s">
        <v>6428</v>
      </c>
      <c r="AE54" s="28" t="s">
        <v>6397</v>
      </c>
      <c r="AF54" s="54" t="str">
        <f t="shared" ref="AF54:AF55" si="6">IFERROR(
  IFS(
    AND(OR(AE54="Test",AE54="Chờ test",AE54="Test Review",AE54="Passed",AE54="Failed"), OR(E54="Game User Acquisition Intern",E54="Game Design Intern")), "Nhiên",
    AND(OR(AE54="Test",AE54="Chờ test",AE54="Test Review",AE54="Passed",AE54="Failed"), E54&lt;&gt;"Human Resources Intern", NOT(OR(E54="Game User Acquisition Intern",E54="Game Design Intern"))), "Quỳnh",
    AND(OR(AE54="Test",AE54="Chờ test",AE54="Test Review",AE54="Passed",AE54="Failed"), E54="Human Resources Intern"), "AUTO"
  ),
"")</f>
        <v/>
      </c>
      <c r="AG54" s="20"/>
      <c r="AH54" s="20" t="e">
        <v>#N/A</v>
      </c>
      <c r="AI54" s="20"/>
      <c r="AJ54" s="55"/>
      <c r="AK54" s="27"/>
      <c r="AL54" s="27"/>
      <c r="AM54" s="27"/>
      <c r="AN54" s="27"/>
      <c r="AO54" s="27"/>
      <c r="AP54" s="27"/>
      <c r="AQ54" s="27"/>
      <c r="AR54" s="27"/>
      <c r="AS54" s="27"/>
      <c r="AT54" s="27"/>
      <c r="AU54" s="27"/>
      <c r="AV54" s="27"/>
      <c r="AW54" s="27"/>
      <c r="AX54" s="27"/>
      <c r="AY54" s="27"/>
      <c r="AZ54" s="27"/>
      <c r="BA54" s="27"/>
      <c r="BB54" s="27"/>
    </row>
    <row r="55" ht="22.5" hidden="1" customHeight="1">
      <c r="A55" s="29" t="s">
        <v>667</v>
      </c>
      <c r="B55" s="30">
        <v>38097.0</v>
      </c>
      <c r="C55" s="7" t="s">
        <v>668</v>
      </c>
      <c r="D55" s="31" t="s">
        <v>669</v>
      </c>
      <c r="E55" s="29" t="s">
        <v>61</v>
      </c>
      <c r="F55" s="29" t="s">
        <v>61</v>
      </c>
      <c r="G55" s="29" t="s">
        <v>670</v>
      </c>
      <c r="H55" s="29" t="s">
        <v>671</v>
      </c>
      <c r="I55" s="29" t="s">
        <v>144</v>
      </c>
      <c r="J55" s="29"/>
      <c r="K55" s="29" t="s">
        <v>672</v>
      </c>
      <c r="L55" s="29" t="s">
        <v>673</v>
      </c>
      <c r="M55" s="33">
        <v>45657.0</v>
      </c>
      <c r="N55" s="31" t="s">
        <v>118</v>
      </c>
      <c r="O55" s="32" t="str">
        <f>HYPERLINK("https://api.typeform.com/responses/files/7ae42e6d8a81297a50072a37bad597d80a492b231111de564534e8deb8486d49/Transcript__Unity_Development_Intern_Nguyen_Duy_Tam.jpg")</f>
        <v>https://api.typeform.com/responses/files/7ae42e6d8a81297a50072a37bad597d80a492b231111de564534e8deb8486d49/Transcript__Unity_Development_Intern_Nguyen_Duy_Tam.jpg</v>
      </c>
      <c r="P55" s="29" t="b">
        <v>1</v>
      </c>
      <c r="Q55" s="29" t="s">
        <v>674</v>
      </c>
      <c r="R55" s="29" t="s">
        <v>675</v>
      </c>
      <c r="S55" s="29" t="s">
        <v>72</v>
      </c>
      <c r="T55" s="29" t="s">
        <v>72</v>
      </c>
      <c r="U55" s="29" t="s">
        <v>403</v>
      </c>
      <c r="V55" s="29" t="s">
        <v>676</v>
      </c>
      <c r="W55" s="29" t="s">
        <v>677</v>
      </c>
      <c r="X55" s="32" t="str">
        <f>HYPERLINK("https://api.typeform.com/responses/files/49995bdf4a8f02ba96d24d8f7be9e294d1ed22a4fb142cc0b2e3ad38e792268e/CV__Unity_Development_Intern_Nguyen_Duy_Tam.pdf")</f>
        <v>https://api.typeform.com/responses/files/49995bdf4a8f02ba96d24d8f7be9e294d1ed22a4fb142cc0b2e3ad38e792268e/CV__Unity_Development_Intern_Nguyen_Duy_Tam.pdf</v>
      </c>
      <c r="Y55" s="34">
        <v>46135.149560185186</v>
      </c>
      <c r="Z55" s="29" t="s">
        <v>678</v>
      </c>
      <c r="AA55" s="6">
        <v>1.0</v>
      </c>
      <c r="AB55" s="7" t="s">
        <v>93</v>
      </c>
      <c r="AC55" s="28" t="s">
        <v>6377</v>
      </c>
      <c r="AD55" s="7" t="s">
        <v>6429</v>
      </c>
      <c r="AE55" s="28" t="s">
        <v>6379</v>
      </c>
      <c r="AF55" s="54" t="str">
        <f t="shared" si="6"/>
        <v>Quỳnh</v>
      </c>
      <c r="AG55" s="20"/>
      <c r="AH55" s="20" t="e">
        <v>#N/A</v>
      </c>
      <c r="AI55" s="20"/>
      <c r="AJ55" s="55"/>
      <c r="AK55" s="27"/>
      <c r="AL55" s="27"/>
      <c r="AM55" s="27"/>
      <c r="AN55" s="27"/>
      <c r="AO55" s="27"/>
      <c r="AP55" s="27"/>
      <c r="AQ55" s="27"/>
      <c r="AR55" s="27"/>
      <c r="AS55" s="27"/>
      <c r="AT55" s="27"/>
      <c r="AU55" s="27"/>
      <c r="AV55" s="27"/>
      <c r="AW55" s="27"/>
      <c r="AX55" s="27"/>
      <c r="AY55" s="27"/>
      <c r="AZ55" s="27"/>
      <c r="BA55" s="27"/>
      <c r="BB55" s="27"/>
    </row>
    <row r="56" ht="22.5" hidden="1" customHeight="1">
      <c r="A56" s="29" t="s">
        <v>679</v>
      </c>
      <c r="B56" s="30">
        <v>37651.0</v>
      </c>
      <c r="C56" s="7" t="s">
        <v>680</v>
      </c>
      <c r="D56" s="31" t="s">
        <v>681</v>
      </c>
      <c r="E56" s="29" t="s">
        <v>127</v>
      </c>
      <c r="F56" s="29" t="s">
        <v>99</v>
      </c>
      <c r="G56" s="29" t="s">
        <v>682</v>
      </c>
      <c r="H56" s="29" t="s">
        <v>683</v>
      </c>
      <c r="I56" s="29" t="s">
        <v>85</v>
      </c>
      <c r="J56" s="29"/>
      <c r="K56" s="29" t="s">
        <v>103</v>
      </c>
      <c r="L56" s="29" t="s">
        <v>684</v>
      </c>
      <c r="M56" s="33">
        <v>46193.0</v>
      </c>
      <c r="N56" s="31" t="s">
        <v>685</v>
      </c>
      <c r="O56" s="32" t="str">
        <f>HYPERLINK("https://api.typeform.com/responses/files/8524f2a023060951d3bdda3c6f37a9bf3dbd5dfec973dc787006b830dcde7251/Kết_quả_học_tập.pdf")</f>
        <v>https://api.typeform.com/responses/files/8524f2a023060951d3bdda3c6f37a9bf3dbd5dfec973dc787006b830dcde7251/Kết_quả_học_tập.pdf</v>
      </c>
      <c r="P56" s="29" t="b">
        <v>0</v>
      </c>
      <c r="Q56" s="29" t="s">
        <v>376</v>
      </c>
      <c r="R56" s="29" t="s">
        <v>686</v>
      </c>
      <c r="S56" s="29" t="s">
        <v>72</v>
      </c>
      <c r="T56" s="29" t="s">
        <v>72</v>
      </c>
      <c r="U56" s="29" t="s">
        <v>687</v>
      </c>
      <c r="V56" s="29"/>
      <c r="W56" s="29" t="s">
        <v>688</v>
      </c>
      <c r="X56" s="32" t="str">
        <f>HYPERLINK("https://api.typeform.com/responses/files/466950a48ead7c1cebe67525b70331b25c7084c3d9d9bf7a330f04c8965dea56/NguyenThanhDat_CV_FE.pdf")</f>
        <v>https://api.typeform.com/responses/files/466950a48ead7c1cebe67525b70331b25c7084c3d9d9bf7a330f04c8965dea56/NguyenThanhDat_CV_FE.pdf</v>
      </c>
      <c r="Y56" s="34">
        <v>46135.154502314814</v>
      </c>
      <c r="Z56" s="29" t="s">
        <v>689</v>
      </c>
      <c r="AA56" s="6">
        <v>1.0</v>
      </c>
      <c r="AB56" s="7" t="s">
        <v>109</v>
      </c>
      <c r="AC56" s="28" t="s">
        <v>6376</v>
      </c>
      <c r="AD56" s="7" t="s">
        <v>6430</v>
      </c>
      <c r="AE56" s="53"/>
      <c r="AF56" s="53"/>
      <c r="AG56" s="20"/>
      <c r="AH56" s="20"/>
      <c r="AI56" s="20"/>
      <c r="AJ56" s="55"/>
      <c r="AK56" s="27"/>
      <c r="AL56" s="27"/>
      <c r="AM56" s="27"/>
      <c r="AN56" s="27"/>
      <c r="AO56" s="27"/>
      <c r="AP56" s="27"/>
      <c r="AQ56" s="27"/>
      <c r="AR56" s="27"/>
      <c r="AS56" s="27"/>
      <c r="AT56" s="27"/>
      <c r="AU56" s="27"/>
      <c r="AV56" s="27"/>
      <c r="AW56" s="27"/>
      <c r="AX56" s="27"/>
      <c r="AY56" s="27"/>
      <c r="AZ56" s="27"/>
      <c r="BA56" s="27"/>
      <c r="BB56" s="27"/>
    </row>
    <row r="57" ht="22.5" hidden="1" customHeight="1">
      <c r="A57" s="29" t="s">
        <v>690</v>
      </c>
      <c r="B57" s="30">
        <v>37591.0</v>
      </c>
      <c r="C57" s="7" t="s">
        <v>691</v>
      </c>
      <c r="D57" s="31" t="s">
        <v>692</v>
      </c>
      <c r="E57" s="29" t="s">
        <v>61</v>
      </c>
      <c r="F57" s="29" t="s">
        <v>99</v>
      </c>
      <c r="G57" s="29" t="s">
        <v>693</v>
      </c>
      <c r="H57" s="29" t="s">
        <v>694</v>
      </c>
      <c r="I57" s="29" t="s">
        <v>326</v>
      </c>
      <c r="J57" s="29"/>
      <c r="K57" s="29" t="s">
        <v>103</v>
      </c>
      <c r="L57" s="29" t="s">
        <v>695</v>
      </c>
      <c r="M57" s="33">
        <v>45627.0</v>
      </c>
      <c r="N57" s="31" t="s">
        <v>696</v>
      </c>
      <c r="O57" s="32" t="str">
        <f>HYPERLINK("https://api.typeform.com/responses/files/a5f42e616ee77c13476ef7ddc8a8224262b0fc45d3abfa80e8c35e52b2c1a743/Transcript___Unity_Development_Intern___Hoàng_Đình_Ngọc_Quang.pdf")</f>
        <v>https://api.typeform.com/responses/files/a5f42e616ee77c13476ef7ddc8a8224262b0fc45d3abfa80e8c35e52b2c1a743/Transcript___Unity_Development_Intern___Hoàng_Đình_Ngọc_Quang.pdf</v>
      </c>
      <c r="P57" s="29" t="b">
        <v>0</v>
      </c>
      <c r="Q57" s="29" t="s">
        <v>697</v>
      </c>
      <c r="R57" s="29" t="s">
        <v>698</v>
      </c>
      <c r="S57" s="29" t="s">
        <v>72</v>
      </c>
      <c r="T57" s="29" t="s">
        <v>72</v>
      </c>
      <c r="U57" s="29" t="s">
        <v>269</v>
      </c>
      <c r="V57" s="29"/>
      <c r="W57" s="29" t="s">
        <v>699</v>
      </c>
      <c r="X57" s="32" t="str">
        <f>HYPERLINK("https://api.typeform.com/responses/files/913a9844eb0d0cfb1ae0c26fd6a1caf74a015ab7792709f4b3311cd20d6c6050/CV___Unity_Development_Intern___Hoàng_Đình_Ngọc_Quang.pdf")</f>
        <v>https://api.typeform.com/responses/files/913a9844eb0d0cfb1ae0c26fd6a1caf74a015ab7792709f4b3311cd20d6c6050/CV___Unity_Development_Intern___Hoàng_Đình_Ngọc_Quang.pdf</v>
      </c>
      <c r="Y57" s="34">
        <v>46135.162083333336</v>
      </c>
      <c r="Z57" s="29" t="s">
        <v>700</v>
      </c>
      <c r="AA57" s="6">
        <v>1.0</v>
      </c>
      <c r="AB57" s="7" t="s">
        <v>93</v>
      </c>
      <c r="AC57" s="28" t="s">
        <v>6376</v>
      </c>
      <c r="AD57" s="20"/>
      <c r="AE57" s="53"/>
      <c r="AF57" s="53"/>
      <c r="AG57" s="20"/>
      <c r="AH57" s="20"/>
      <c r="AI57" s="20"/>
      <c r="AJ57" s="55"/>
      <c r="AK57" s="27"/>
      <c r="AL57" s="27"/>
      <c r="AM57" s="27"/>
      <c r="AN57" s="27"/>
      <c r="AO57" s="27"/>
      <c r="AP57" s="27"/>
      <c r="AQ57" s="27"/>
      <c r="AR57" s="27"/>
      <c r="AS57" s="27"/>
      <c r="AT57" s="27"/>
      <c r="AU57" s="27"/>
      <c r="AV57" s="27"/>
      <c r="AW57" s="27"/>
      <c r="AX57" s="27"/>
      <c r="AY57" s="27"/>
      <c r="AZ57" s="27"/>
      <c r="BA57" s="27"/>
      <c r="BB57" s="27"/>
    </row>
    <row r="58" ht="22.5" hidden="1" customHeight="1">
      <c r="A58" s="29" t="s">
        <v>1096</v>
      </c>
      <c r="B58" s="30">
        <v>38654.0</v>
      </c>
      <c r="C58" s="7" t="s">
        <v>1097</v>
      </c>
      <c r="D58" s="31" t="s">
        <v>1098</v>
      </c>
      <c r="E58" s="29" t="s">
        <v>62</v>
      </c>
      <c r="F58" s="29" t="s">
        <v>82</v>
      </c>
      <c r="G58" s="29" t="s">
        <v>1099</v>
      </c>
      <c r="H58" s="29" t="s">
        <v>1100</v>
      </c>
      <c r="I58" s="29" t="s">
        <v>326</v>
      </c>
      <c r="J58" s="29"/>
      <c r="K58" s="29" t="s">
        <v>219</v>
      </c>
      <c r="L58" s="29" t="s">
        <v>1101</v>
      </c>
      <c r="M58" s="33">
        <v>46690.0</v>
      </c>
      <c r="N58" s="31" t="s">
        <v>1102</v>
      </c>
      <c r="O58" s="32" t="str">
        <f>HYPERLINK("https://api.typeform.com/responses/files/74aa6d908bf0188a41033aac4fa96a3de59c3cafc233d0a0c45de341df5a2254/Transcript___AI_Engineer_Intern___Pham_Nam_Huyen.pdf")</f>
        <v>https://api.typeform.com/responses/files/74aa6d908bf0188a41033aac4fa96a3de59c3cafc233d0a0c45de341df5a2254/Transcript___AI_Engineer_Intern___Pham_Nam_Huyen.pdf</v>
      </c>
      <c r="P58" s="29" t="b">
        <v>1</v>
      </c>
      <c r="Q58" s="29" t="s">
        <v>1103</v>
      </c>
      <c r="R58" s="29" t="s">
        <v>1104</v>
      </c>
      <c r="S58" s="29" t="s">
        <v>72</v>
      </c>
      <c r="T58" s="29" t="s">
        <v>72</v>
      </c>
      <c r="U58" s="29" t="s">
        <v>269</v>
      </c>
      <c r="V58" s="29"/>
      <c r="W58" s="29" t="s">
        <v>1105</v>
      </c>
      <c r="X58" s="32" t="str">
        <f>HYPERLINK("https://api.typeform.com/responses/files/33b80cc0fce962c044c2de751057b7dc15bf5b9263d18d45f96b58cdf3ac606c/CV___AI_Engineer_Intern___Pham_Nam_Huyen.pdf")</f>
        <v>https://api.typeform.com/responses/files/33b80cc0fce962c044c2de751057b7dc15bf5b9263d18d45f96b58cdf3ac606c/CV___AI_Engineer_Intern___Pham_Nam_Huyen.pdf</v>
      </c>
      <c r="Y58" s="34">
        <v>46135.38486111111</v>
      </c>
      <c r="Z58" s="29" t="s">
        <v>1106</v>
      </c>
      <c r="AA58" s="6">
        <v>1.0</v>
      </c>
      <c r="AB58" s="58" t="s">
        <v>6381</v>
      </c>
      <c r="AC58" s="28" t="s">
        <v>6376</v>
      </c>
      <c r="AD58" s="7" t="s">
        <v>6431</v>
      </c>
      <c r="AE58" s="53"/>
      <c r="AF58" s="53"/>
      <c r="AG58" s="20"/>
      <c r="AH58" s="20"/>
      <c r="AI58" s="20"/>
      <c r="AJ58" s="55"/>
      <c r="AK58" s="27"/>
      <c r="AL58" s="27"/>
      <c r="AM58" s="27"/>
      <c r="AN58" s="27"/>
      <c r="AO58" s="27"/>
      <c r="AP58" s="27"/>
      <c r="AQ58" s="27"/>
      <c r="AR58" s="27"/>
      <c r="AS58" s="27"/>
      <c r="AT58" s="27"/>
      <c r="AU58" s="27"/>
      <c r="AV58" s="27"/>
      <c r="AW58" s="27"/>
      <c r="AX58" s="27"/>
      <c r="AY58" s="27"/>
      <c r="AZ58" s="27"/>
      <c r="BA58" s="27"/>
      <c r="BB58" s="27"/>
    </row>
    <row r="59" ht="22.5" hidden="1" customHeight="1">
      <c r="A59" s="29" t="s">
        <v>710</v>
      </c>
      <c r="B59" s="30">
        <v>37212.0</v>
      </c>
      <c r="C59" s="7" t="s">
        <v>711</v>
      </c>
      <c r="D59" s="31" t="s">
        <v>712</v>
      </c>
      <c r="E59" s="29" t="s">
        <v>61</v>
      </c>
      <c r="F59" s="29" t="s">
        <v>99</v>
      </c>
      <c r="G59" s="29" t="s">
        <v>713</v>
      </c>
      <c r="H59" s="29" t="s">
        <v>714</v>
      </c>
      <c r="I59" s="29" t="s">
        <v>715</v>
      </c>
      <c r="J59" s="29"/>
      <c r="K59" s="29" t="s">
        <v>103</v>
      </c>
      <c r="L59" s="29" t="s">
        <v>716</v>
      </c>
      <c r="M59" s="33">
        <v>45407.0</v>
      </c>
      <c r="N59" s="31" t="s">
        <v>717</v>
      </c>
      <c r="O59" s="32" t="str">
        <f>HYPERLINK("https://api.typeform.com/responses/files/ea3f40e92803b5df1a0c80e8c0b8aeae965b4f281c3236461cc115cbe5d7aad5/Transcript___Unity_Development_Intern___Trần_Thiện_Thuật.pdf")</f>
        <v>https://api.typeform.com/responses/files/ea3f40e92803b5df1a0c80e8c0b8aeae965b4f281c3236461cc115cbe5d7aad5/Transcript___Unity_Development_Intern___Trần_Thiện_Thuật.pdf</v>
      </c>
      <c r="P59" s="29" t="b">
        <v>1</v>
      </c>
      <c r="Q59" s="29" t="s">
        <v>718</v>
      </c>
      <c r="R59" s="29" t="s">
        <v>719</v>
      </c>
      <c r="S59" s="29" t="s">
        <v>72</v>
      </c>
      <c r="T59" s="29" t="s">
        <v>72</v>
      </c>
      <c r="U59" s="29" t="s">
        <v>90</v>
      </c>
      <c r="V59" s="29"/>
      <c r="W59" s="29"/>
      <c r="X59" s="32" t="str">
        <f>HYPERLINK("https://api.typeform.com/responses/files/f450780c1f800b2a08270cda5b1a49e500431947ff5903b2ef01d3c000e5a2c2/CV___Unity_Development_Intern___Trần_Thiện_Thuật.pdf")</f>
        <v>https://api.typeform.com/responses/files/f450780c1f800b2a08270cda5b1a49e500431947ff5903b2ef01d3c000e5a2c2/CV___Unity_Development_Intern___Trần_Thiện_Thuật.pdf</v>
      </c>
      <c r="Y59" s="34">
        <v>46135.16575231482</v>
      </c>
      <c r="Z59" s="29" t="s">
        <v>720</v>
      </c>
      <c r="AA59" s="6">
        <v>1.0</v>
      </c>
      <c r="AB59" s="7" t="s">
        <v>93</v>
      </c>
      <c r="AC59" s="28" t="s">
        <v>6376</v>
      </c>
      <c r="AD59" s="7" t="s">
        <v>6432</v>
      </c>
      <c r="AE59" s="53"/>
      <c r="AF59" s="53"/>
      <c r="AG59" s="20"/>
      <c r="AH59" s="20"/>
      <c r="AI59" s="20"/>
      <c r="AJ59" s="55"/>
      <c r="AK59" s="27"/>
      <c r="AL59" s="27"/>
      <c r="AM59" s="27"/>
      <c r="AN59" s="27"/>
      <c r="AO59" s="27"/>
      <c r="AP59" s="27"/>
      <c r="AQ59" s="27"/>
      <c r="AR59" s="27"/>
      <c r="AS59" s="27"/>
      <c r="AT59" s="27"/>
      <c r="AU59" s="27"/>
      <c r="AV59" s="27"/>
      <c r="AW59" s="27"/>
      <c r="AX59" s="27"/>
      <c r="AY59" s="27"/>
      <c r="AZ59" s="27"/>
      <c r="BA59" s="27"/>
      <c r="BB59" s="27"/>
    </row>
    <row r="60" ht="22.5" hidden="1" customHeight="1">
      <c r="A60" s="29" t="s">
        <v>721</v>
      </c>
      <c r="B60" s="30">
        <v>37345.0</v>
      </c>
      <c r="C60" s="7" t="s">
        <v>722</v>
      </c>
      <c r="D60" s="31" t="s">
        <v>723</v>
      </c>
      <c r="E60" s="29" t="s">
        <v>82</v>
      </c>
      <c r="F60" s="29" t="s">
        <v>127</v>
      </c>
      <c r="G60" s="29" t="s">
        <v>724</v>
      </c>
      <c r="H60" s="29" t="s">
        <v>725</v>
      </c>
      <c r="I60" s="29" t="s">
        <v>85</v>
      </c>
      <c r="J60" s="29"/>
      <c r="K60" s="29" t="s">
        <v>103</v>
      </c>
      <c r="L60" s="29" t="s">
        <v>726</v>
      </c>
      <c r="M60" s="33">
        <v>45834.0</v>
      </c>
      <c r="N60" s="31" t="s">
        <v>727</v>
      </c>
      <c r="O60" s="32" t="str">
        <f>HYPERLINK("https://api.typeform.com/responses/files/742bdce06f532f229d7c7fa2980f58d3c871ad4c3d30450c36582c089668905e/Transcript___Data_Analysis_Intern___Bui_Thi_Thanh.pdf")</f>
        <v>https://api.typeform.com/responses/files/742bdce06f532f229d7c7fa2980f58d3c871ad4c3d30450c36582c089668905e/Transcript___Data_Analysis_Intern___Bui_Thi_Thanh.pdf</v>
      </c>
      <c r="P60" s="29" t="b">
        <v>1</v>
      </c>
      <c r="Q60" s="29" t="s">
        <v>728</v>
      </c>
      <c r="R60" s="29" t="s">
        <v>729</v>
      </c>
      <c r="S60" s="29" t="s">
        <v>72</v>
      </c>
      <c r="T60" s="29" t="s">
        <v>72</v>
      </c>
      <c r="U60" s="29" t="s">
        <v>269</v>
      </c>
      <c r="V60" s="29"/>
      <c r="W60" s="29" t="s">
        <v>730</v>
      </c>
      <c r="X60" s="32" t="str">
        <f>HYPERLINK("https://api.typeform.com/responses/files/55ae2bf19e92aba997f01186ab6d7c0afbc476e5d9e3e02a13fdc450c74e3666/CV___Data_Analysis_Intern___Bui_Thi_Thanh.pdf")</f>
        <v>https://api.typeform.com/responses/files/55ae2bf19e92aba997f01186ab6d7c0afbc476e5d9e3e02a13fdc450c74e3666/CV___Data_Analysis_Intern___Bui_Thi_Thanh.pdf</v>
      </c>
      <c r="Y60" s="34">
        <v>46135.18096064815</v>
      </c>
      <c r="Z60" s="29" t="s">
        <v>731</v>
      </c>
      <c r="AA60" s="6">
        <v>1.0</v>
      </c>
      <c r="AB60" s="7" t="s">
        <v>93</v>
      </c>
      <c r="AC60" s="28" t="s">
        <v>6376</v>
      </c>
      <c r="AD60" s="7" t="s">
        <v>6433</v>
      </c>
      <c r="AE60" s="53"/>
      <c r="AF60" s="53"/>
      <c r="AG60" s="20"/>
      <c r="AH60" s="20"/>
      <c r="AI60" s="20"/>
      <c r="AJ60" s="55"/>
      <c r="AK60" s="27"/>
      <c r="AL60" s="27"/>
      <c r="AM60" s="27"/>
      <c r="AN60" s="27"/>
      <c r="AO60" s="27"/>
      <c r="AP60" s="27"/>
      <c r="AQ60" s="27"/>
      <c r="AR60" s="27"/>
      <c r="AS60" s="27"/>
      <c r="AT60" s="27"/>
      <c r="AU60" s="27"/>
      <c r="AV60" s="27"/>
      <c r="AW60" s="27"/>
      <c r="AX60" s="27"/>
      <c r="AY60" s="27"/>
      <c r="AZ60" s="27"/>
      <c r="BA60" s="27"/>
      <c r="BB60" s="27"/>
    </row>
    <row r="61" ht="22.5" customHeight="1">
      <c r="A61" s="29" t="s">
        <v>732</v>
      </c>
      <c r="B61" s="30">
        <v>38186.0</v>
      </c>
      <c r="C61" s="7" t="s">
        <v>733</v>
      </c>
      <c r="D61" s="31" t="s">
        <v>734</v>
      </c>
      <c r="E61" s="29" t="s">
        <v>82</v>
      </c>
      <c r="F61" s="29" t="s">
        <v>62</v>
      </c>
      <c r="G61" s="29" t="s">
        <v>735</v>
      </c>
      <c r="H61" s="29" t="s">
        <v>736</v>
      </c>
      <c r="I61" s="29" t="s">
        <v>326</v>
      </c>
      <c r="J61" s="29"/>
      <c r="K61" s="29" t="s">
        <v>67</v>
      </c>
      <c r="L61" s="29" t="s">
        <v>737</v>
      </c>
      <c r="M61" s="33">
        <v>46368.0</v>
      </c>
      <c r="N61" s="31" t="s">
        <v>738</v>
      </c>
      <c r="O61" s="32" t="str">
        <f>HYPERLINK("https://api.typeform.com/responses/files/7cc242f46afc8d4374e5851201271a718ddae19ff7d4e3d0727890cab63e4ac3/Transcript___Data_Analysis_Intern___Phan_Thị_Ngọc_Linh.docx")</f>
        <v>https://api.typeform.com/responses/files/7cc242f46afc8d4374e5851201271a718ddae19ff7d4e3d0727890cab63e4ac3/Transcript___Data_Analysis_Intern___Phan_Thị_Ngọc_Linh.docx</v>
      </c>
      <c r="P61" s="29" t="b">
        <v>0</v>
      </c>
      <c r="Q61" s="29" t="s">
        <v>739</v>
      </c>
      <c r="R61" s="29" t="s">
        <v>740</v>
      </c>
      <c r="S61" s="29" t="s">
        <v>72</v>
      </c>
      <c r="T61" s="29" t="s">
        <v>72</v>
      </c>
      <c r="U61" s="29" t="s">
        <v>269</v>
      </c>
      <c r="V61" s="29"/>
      <c r="W61" s="29"/>
      <c r="X61" s="32" t="str">
        <f>HYPERLINK("https://api.typeform.com/responses/files/e436ba5505db080cded0e76331bb1219c9c3eb09ec21cf048a1d4581fd4dfb15/CV___Data_Analysis_Intern___Phan_Thị_Ngọc_Linh.pdf")</f>
        <v>https://api.typeform.com/responses/files/e436ba5505db080cded0e76331bb1219c9c3eb09ec21cf048a1d4581fd4dfb15/CV___Data_Analysis_Intern___Phan_Thị_Ngọc_Linh.pdf</v>
      </c>
      <c r="Y61" s="34">
        <v>46135.19243055556</v>
      </c>
      <c r="Z61" s="29" t="s">
        <v>741</v>
      </c>
      <c r="AA61" s="6">
        <v>1.0</v>
      </c>
      <c r="AB61" s="7" t="s">
        <v>93</v>
      </c>
      <c r="AC61" s="28" t="s">
        <v>6376</v>
      </c>
      <c r="AD61" s="7" t="s">
        <v>6434</v>
      </c>
      <c r="AE61" s="53"/>
      <c r="AF61" s="54" t="str">
        <f t="shared" ref="AF61:AF63" si="7">IFERROR(
  IFS(
    AND(OR(AE61="Test",AE61="Chờ test",AE61="Test Review",AE61="Passed",AE61="Failed"), OR(E61="Game User Acquisition Intern",E61="Game Design Intern")), "Nhiên",
    AND(OR(AE61="Test",AE61="Chờ test",AE61="Test Review",AE61="Passed",AE61="Failed"), E61&lt;&gt;"Human Resources Intern", NOT(OR(E61="Game User Acquisition Intern",E61="Game Design Intern"))), "Quỳnh",
    AND(OR(AE61="Test",AE61="Chờ test",AE61="Test Review",AE61="Passed",AE61="Failed"), E61="Human Resources Intern"), "AUTO"
  ),
"")</f>
        <v/>
      </c>
      <c r="AG61" s="20"/>
      <c r="AH61" s="20"/>
      <c r="AI61" s="20"/>
      <c r="AJ61" s="55"/>
      <c r="AK61" s="27"/>
      <c r="AL61" s="27"/>
      <c r="AM61" s="27"/>
      <c r="AN61" s="27"/>
      <c r="AO61" s="27"/>
      <c r="AP61" s="27"/>
      <c r="AQ61" s="27"/>
      <c r="AR61" s="27"/>
      <c r="AS61" s="27"/>
      <c r="AT61" s="27"/>
      <c r="AU61" s="27"/>
      <c r="AV61" s="27"/>
      <c r="AW61" s="27"/>
      <c r="AX61" s="27"/>
      <c r="AY61" s="27"/>
      <c r="AZ61" s="27"/>
      <c r="BA61" s="27"/>
      <c r="BB61" s="27"/>
    </row>
    <row r="62" ht="22.5" hidden="1" customHeight="1">
      <c r="A62" s="29" t="s">
        <v>742</v>
      </c>
      <c r="B62" s="30">
        <v>37866.0</v>
      </c>
      <c r="C62" s="7" t="s">
        <v>743</v>
      </c>
      <c r="D62" s="31" t="s">
        <v>744</v>
      </c>
      <c r="E62" s="29" t="s">
        <v>61</v>
      </c>
      <c r="F62" s="29" t="s">
        <v>99</v>
      </c>
      <c r="G62" s="29" t="s">
        <v>745</v>
      </c>
      <c r="H62" s="29" t="s">
        <v>752</v>
      </c>
      <c r="I62" s="29" t="s">
        <v>65</v>
      </c>
      <c r="J62" s="29" t="s">
        <v>747</v>
      </c>
      <c r="K62" s="29" t="s">
        <v>103</v>
      </c>
      <c r="L62" s="29" t="s">
        <v>184</v>
      </c>
      <c r="M62" s="33">
        <v>46123.0</v>
      </c>
      <c r="N62" s="31" t="s">
        <v>663</v>
      </c>
      <c r="O62" s="32" t="str">
        <f>HYPERLINK("https://api.typeform.com/responses/files/9f1b39690d0baaea4fb9a7bf6375fd7c6a3965b2023dde4aeac1deb514b49151/Transcript_UnityDevelopmentIntern_TranQuangAnhThuan.pdf")</f>
        <v>https://api.typeform.com/responses/files/9f1b39690d0baaea4fb9a7bf6375fd7c6a3965b2023dde4aeac1deb514b49151/Transcript_UnityDevelopmentIntern_TranQuangAnhThuan.pdf</v>
      </c>
      <c r="P62" s="29" t="b">
        <v>1</v>
      </c>
      <c r="Q62" s="29" t="s">
        <v>753</v>
      </c>
      <c r="R62" s="29" t="s">
        <v>749</v>
      </c>
      <c r="S62" s="29" t="s">
        <v>72</v>
      </c>
      <c r="T62" s="29" t="s">
        <v>72</v>
      </c>
      <c r="U62" s="29" t="s">
        <v>73</v>
      </c>
      <c r="V62" s="29"/>
      <c r="W62" s="29" t="s">
        <v>750</v>
      </c>
      <c r="X62" s="32" t="str">
        <f>HYPERLINK("https://api.typeform.com/responses/files/d7ccb550fb196ca2f07156fea9eee62a8523a116e7634b54c1cf1e26839ae92a/CV_UnityDevelopmentIntern_TrầnQuangAnhThuận.pdf")</f>
        <v>https://api.typeform.com/responses/files/d7ccb550fb196ca2f07156fea9eee62a8523a116e7634b54c1cf1e26839ae92a/CV_UnityDevelopmentIntern_TrầnQuangAnhThuận.pdf</v>
      </c>
      <c r="Y62" s="34">
        <v>46135.19641203704</v>
      </c>
      <c r="Z62" s="29" t="s">
        <v>754</v>
      </c>
      <c r="AA62" s="6">
        <v>1.0</v>
      </c>
      <c r="AB62" s="7" t="s">
        <v>93</v>
      </c>
      <c r="AC62" s="28" t="s">
        <v>6377</v>
      </c>
      <c r="AD62" s="7" t="s">
        <v>6435</v>
      </c>
      <c r="AE62" s="28" t="s">
        <v>6379</v>
      </c>
      <c r="AF62" s="54" t="str">
        <f t="shared" si="7"/>
        <v>Quỳnh</v>
      </c>
      <c r="AG62" s="20"/>
      <c r="AH62" s="20" t="e">
        <v>#N/A</v>
      </c>
      <c r="AI62" s="20"/>
      <c r="AJ62" s="55"/>
      <c r="AK62" s="27"/>
      <c r="AL62" s="27"/>
      <c r="AM62" s="27"/>
      <c r="AN62" s="27"/>
      <c r="AO62" s="27"/>
      <c r="AP62" s="27"/>
      <c r="AQ62" s="27"/>
      <c r="AR62" s="27"/>
      <c r="AS62" s="27"/>
      <c r="AT62" s="27"/>
      <c r="AU62" s="27"/>
      <c r="AV62" s="27"/>
      <c r="AW62" s="27"/>
      <c r="AX62" s="27"/>
      <c r="AY62" s="27"/>
      <c r="AZ62" s="27"/>
      <c r="BA62" s="27"/>
      <c r="BB62" s="27"/>
    </row>
    <row r="63" ht="22.5" hidden="1" customHeight="1">
      <c r="A63" s="29" t="s">
        <v>755</v>
      </c>
      <c r="B63" s="30">
        <v>38092.0</v>
      </c>
      <c r="C63" s="7" t="s">
        <v>756</v>
      </c>
      <c r="D63" s="31" t="s">
        <v>757</v>
      </c>
      <c r="E63" s="29" t="s">
        <v>127</v>
      </c>
      <c r="F63" s="29"/>
      <c r="G63" s="29" t="s">
        <v>758</v>
      </c>
      <c r="H63" s="29" t="s">
        <v>759</v>
      </c>
      <c r="I63" s="29" t="s">
        <v>326</v>
      </c>
      <c r="J63" s="29"/>
      <c r="K63" s="29" t="s">
        <v>67</v>
      </c>
      <c r="L63" s="29" t="s">
        <v>220</v>
      </c>
      <c r="M63" s="33">
        <v>46265.0</v>
      </c>
      <c r="N63" s="31" t="s">
        <v>171</v>
      </c>
      <c r="O63" s="32" t="str">
        <f>HYPERLINK("https://api.typeform.com/responses/files/90d63a782e6397b673cf1e2d10e27d42283c3b4eb11c513cd110885f995ba336/Transcript___Game_Quality_Assurance_Intern___Nguyễn_Lâm_Nhã_Uyên.pdf")</f>
        <v>https://api.typeform.com/responses/files/90d63a782e6397b673cf1e2d10e27d42283c3b4eb11c513cd110885f995ba336/Transcript___Game_Quality_Assurance_Intern___Nguyễn_Lâm_Nhã_Uyên.pdf</v>
      </c>
      <c r="P63" s="29" t="b">
        <v>0</v>
      </c>
      <c r="Q63" s="29" t="s">
        <v>222</v>
      </c>
      <c r="R63" s="29" t="s">
        <v>222</v>
      </c>
      <c r="S63" s="29" t="s">
        <v>72</v>
      </c>
      <c r="T63" s="29" t="s">
        <v>72</v>
      </c>
      <c r="U63" s="29" t="s">
        <v>269</v>
      </c>
      <c r="V63" s="29"/>
      <c r="W63" s="29"/>
      <c r="X63" s="32" t="str">
        <f>HYPERLINK("https://api.typeform.com/responses/files/ab0fcb15ceb6a2d22635d729a28cba208409937025a6f2014006d56079d8e6ec/CV___Game_Quality_Assurance_Intern___Nguyễn_Lâm_Nhã_Uyên.pdf")</f>
        <v>https://api.typeform.com/responses/files/ab0fcb15ceb6a2d22635d729a28cba208409937025a6f2014006d56079d8e6ec/CV___Game_Quality_Assurance_Intern___Nguyễn_Lâm_Nhã_Uyên.pdf</v>
      </c>
      <c r="Y63" s="34">
        <v>46135.197291666664</v>
      </c>
      <c r="Z63" s="29" t="s">
        <v>760</v>
      </c>
      <c r="AA63" s="6">
        <v>1.0</v>
      </c>
      <c r="AB63" s="7" t="s">
        <v>109</v>
      </c>
      <c r="AC63" s="28" t="s">
        <v>6377</v>
      </c>
      <c r="AD63" s="7" t="s">
        <v>6436</v>
      </c>
      <c r="AE63" s="28" t="s">
        <v>6379</v>
      </c>
      <c r="AF63" s="54" t="str">
        <f t="shared" si="7"/>
        <v>Quỳnh</v>
      </c>
      <c r="AG63" s="20"/>
      <c r="AH63" s="59" t="s">
        <v>6437</v>
      </c>
      <c r="AI63" s="20"/>
      <c r="AJ63" s="55"/>
      <c r="AK63" s="27"/>
      <c r="AL63" s="27"/>
      <c r="AM63" s="27"/>
      <c r="AN63" s="27"/>
      <c r="AO63" s="27"/>
      <c r="AP63" s="27"/>
      <c r="AQ63" s="27"/>
      <c r="AR63" s="27"/>
      <c r="AS63" s="27"/>
      <c r="AT63" s="27"/>
      <c r="AU63" s="27"/>
      <c r="AV63" s="27"/>
      <c r="AW63" s="27"/>
      <c r="AX63" s="27"/>
      <c r="AY63" s="27"/>
      <c r="AZ63" s="27"/>
      <c r="BA63" s="27"/>
      <c r="BB63" s="27"/>
    </row>
    <row r="64" ht="22.5" hidden="1" customHeight="1">
      <c r="A64" s="29" t="s">
        <v>1107</v>
      </c>
      <c r="B64" s="30">
        <v>38550.0</v>
      </c>
      <c r="C64" s="7" t="s">
        <v>1108</v>
      </c>
      <c r="D64" s="31" t="s">
        <v>1109</v>
      </c>
      <c r="E64" s="29" t="s">
        <v>62</v>
      </c>
      <c r="F64" s="29" t="s">
        <v>127</v>
      </c>
      <c r="G64" s="29" t="s">
        <v>1110</v>
      </c>
      <c r="H64" s="29" t="s">
        <v>1111</v>
      </c>
      <c r="I64" s="29" t="s">
        <v>326</v>
      </c>
      <c r="J64" s="29"/>
      <c r="K64" s="29" t="s">
        <v>219</v>
      </c>
      <c r="L64" s="29" t="s">
        <v>132</v>
      </c>
      <c r="M64" s="33">
        <v>46557.0</v>
      </c>
      <c r="N64" s="31" t="s">
        <v>1112</v>
      </c>
      <c r="O64" s="32" t="str">
        <f>HYPERLINK("https://api.typeform.com/responses/files/81406446df5c890b20817b6f7674ddd4b6da2c97c0eb1fc090db290a995c9ac4/Transcript___AI_Engineering_Intern___Lê_Thanh_Hải.pdf")</f>
        <v>https://api.typeform.com/responses/files/81406446df5c890b20817b6f7674ddd4b6da2c97c0eb1fc090db290a995c9ac4/Transcript___AI_Engineering_Intern___Lê_Thanh_Hải.pdf</v>
      </c>
      <c r="P64" s="29" t="b">
        <v>1</v>
      </c>
      <c r="Q64" s="29" t="s">
        <v>1113</v>
      </c>
      <c r="R64" s="29" t="s">
        <v>1114</v>
      </c>
      <c r="S64" s="29" t="s">
        <v>72</v>
      </c>
      <c r="T64" s="29" t="s">
        <v>72</v>
      </c>
      <c r="U64" s="29" t="s">
        <v>269</v>
      </c>
      <c r="V64" s="29"/>
      <c r="W64" s="29" t="s">
        <v>1115</v>
      </c>
      <c r="X64" s="32" t="str">
        <f>HYPERLINK("https://api.typeform.com/responses/files/39dc45b2d6992ec65df1265ec3929705877f63942dd9ffb9db922ff7f448b4cf/CV___AI_Engineering_Intern___Lê_Thanh_Hải.pdf")</f>
        <v>https://api.typeform.com/responses/files/39dc45b2d6992ec65df1265ec3929705877f63942dd9ffb9db922ff7f448b4cf/CV___AI_Engineering_Intern___Lê_Thanh_Hải.pdf</v>
      </c>
      <c r="Y64" s="34">
        <v>46135.388819444444</v>
      </c>
      <c r="Z64" s="29" t="s">
        <v>1116</v>
      </c>
      <c r="AA64" s="6">
        <v>1.0</v>
      </c>
      <c r="AB64" s="58" t="s">
        <v>6381</v>
      </c>
      <c r="AC64" s="28" t="s">
        <v>6376</v>
      </c>
      <c r="AD64" s="103" t="s">
        <v>6438</v>
      </c>
      <c r="AE64" s="53"/>
      <c r="AF64" s="53"/>
      <c r="AG64" s="20"/>
      <c r="AH64" s="20"/>
      <c r="AI64" s="20"/>
      <c r="AJ64" s="55"/>
      <c r="AK64" s="27"/>
      <c r="AL64" s="27"/>
      <c r="AM64" s="27"/>
      <c r="AN64" s="27"/>
      <c r="AO64" s="27"/>
      <c r="AP64" s="27"/>
      <c r="AQ64" s="27"/>
      <c r="AR64" s="27"/>
      <c r="AS64" s="27"/>
      <c r="AT64" s="27"/>
      <c r="AU64" s="27"/>
      <c r="AV64" s="27"/>
      <c r="AW64" s="27"/>
      <c r="AX64" s="27"/>
      <c r="AY64" s="27"/>
      <c r="AZ64" s="27"/>
      <c r="BA64" s="27"/>
      <c r="BB64" s="27"/>
    </row>
    <row r="65" ht="22.5" hidden="1" customHeight="1">
      <c r="A65" s="97" t="s">
        <v>771</v>
      </c>
      <c r="B65" s="98">
        <v>36984.0</v>
      </c>
      <c r="C65" s="62" t="s">
        <v>772</v>
      </c>
      <c r="D65" s="99" t="s">
        <v>773</v>
      </c>
      <c r="E65" s="97" t="s">
        <v>774</v>
      </c>
      <c r="F65" s="97" t="s">
        <v>99</v>
      </c>
      <c r="G65" s="97" t="s">
        <v>775</v>
      </c>
      <c r="H65" s="97" t="s">
        <v>776</v>
      </c>
      <c r="I65" s="60" t="s">
        <v>777</v>
      </c>
      <c r="J65" s="97"/>
      <c r="K65" s="97" t="s">
        <v>778</v>
      </c>
      <c r="L65" s="97" t="s">
        <v>779</v>
      </c>
      <c r="M65" s="100">
        <v>45392.0</v>
      </c>
      <c r="N65" s="99" t="s">
        <v>780</v>
      </c>
      <c r="O65" s="101" t="str">
        <f>HYPERLINK("https://api.typeform.com/responses/files/9298ff89a07630e37ebb90de7b7a7ae5bc365a31e1f1cd8f601324eb8835fccb/Transcript_User_Acquisition_Intern_Tran_Minh_Tam.pdf")</f>
        <v>https://api.typeform.com/responses/files/9298ff89a07630e37ebb90de7b7a7ae5bc365a31e1f1cd8f601324eb8835fccb/Transcript_User_Acquisition_Intern_Tran_Minh_Tam.pdf</v>
      </c>
      <c r="P65" s="97" t="b">
        <v>1</v>
      </c>
      <c r="Q65" s="97" t="s">
        <v>781</v>
      </c>
      <c r="R65" s="97" t="s">
        <v>782</v>
      </c>
      <c r="S65" s="97" t="s">
        <v>72</v>
      </c>
      <c r="T65" s="97" t="s">
        <v>72</v>
      </c>
      <c r="U65" s="97" t="s">
        <v>90</v>
      </c>
      <c r="V65" s="97"/>
      <c r="W65" s="97" t="s">
        <v>783</v>
      </c>
      <c r="X65" s="101" t="str">
        <f>HYPERLINK("https://api.typeform.com/responses/files/9db784c49df225d52ff3b4115379a148cd369806c5636ecc49aa8eb1a0dbe8f5/CV___UA_Intern___Trần_Minh_Tâm.pdf")</f>
        <v>https://api.typeform.com/responses/files/9db784c49df225d52ff3b4115379a148cd369806c5636ecc49aa8eb1a0dbe8f5/CV___UA_Intern___Trần_Minh_Tâm.pdf</v>
      </c>
      <c r="Y65" s="102">
        <v>46135.22119212963</v>
      </c>
      <c r="Z65" s="97" t="s">
        <v>784</v>
      </c>
      <c r="AA65" s="68">
        <v>1.0</v>
      </c>
      <c r="AB65" s="69" t="s">
        <v>6381</v>
      </c>
      <c r="AC65" s="70" t="s">
        <v>6376</v>
      </c>
      <c r="AD65" s="60"/>
      <c r="AE65" s="71"/>
      <c r="AF65" s="53"/>
      <c r="AG65" s="20"/>
      <c r="AH65" s="20"/>
      <c r="AI65" s="20"/>
      <c r="AJ65" s="55"/>
      <c r="AK65" s="27"/>
      <c r="AL65" s="27"/>
      <c r="AM65" s="27"/>
      <c r="AN65" s="27"/>
      <c r="AO65" s="27"/>
      <c r="AP65" s="27"/>
      <c r="AQ65" s="27"/>
      <c r="AR65" s="27"/>
      <c r="AS65" s="27"/>
      <c r="AT65" s="27"/>
      <c r="AU65" s="27"/>
      <c r="AV65" s="27"/>
      <c r="AW65" s="27"/>
      <c r="AX65" s="27"/>
      <c r="AY65" s="27"/>
      <c r="AZ65" s="27"/>
      <c r="BA65" s="27"/>
      <c r="BB65" s="27"/>
    </row>
    <row r="66" ht="22.5" hidden="1" customHeight="1">
      <c r="A66" s="29" t="s">
        <v>1127</v>
      </c>
      <c r="B66" s="30">
        <v>38423.0</v>
      </c>
      <c r="C66" s="7" t="s">
        <v>1128</v>
      </c>
      <c r="D66" s="31" t="s">
        <v>1129</v>
      </c>
      <c r="E66" s="29" t="s">
        <v>62</v>
      </c>
      <c r="F66" s="29" t="s">
        <v>62</v>
      </c>
      <c r="G66" s="29" t="s">
        <v>1130</v>
      </c>
      <c r="H66" s="29" t="s">
        <v>1131</v>
      </c>
      <c r="I66" s="29" t="s">
        <v>326</v>
      </c>
      <c r="J66" s="29"/>
      <c r="K66" s="29" t="s">
        <v>219</v>
      </c>
      <c r="L66" s="29" t="s">
        <v>399</v>
      </c>
      <c r="M66" s="33">
        <v>46729.0</v>
      </c>
      <c r="N66" s="31" t="s">
        <v>1132</v>
      </c>
      <c r="O66" s="32" t="str">
        <f>HYPERLINK("https://api.typeform.com/responses/files/09384fae56aa1d141c2aa820f38ce9fbe0697c2e4d8819f42f435eaabb69bb91/Transcript___AI_Engineer_Intern___Trương_Quang_Huy.pdf")</f>
        <v>https://api.typeform.com/responses/files/09384fae56aa1d141c2aa820f38ce9fbe0697c2e4d8819f42f435eaabb69bb91/Transcript___AI_Engineer_Intern___Trương_Quang_Huy.pdf</v>
      </c>
      <c r="P66" s="29" t="b">
        <v>1</v>
      </c>
      <c r="Q66" s="29" t="s">
        <v>1133</v>
      </c>
      <c r="R66" s="29" t="s">
        <v>1134</v>
      </c>
      <c r="S66" s="29" t="s">
        <v>72</v>
      </c>
      <c r="T66" s="29" t="s">
        <v>72</v>
      </c>
      <c r="U66" s="29" t="s">
        <v>269</v>
      </c>
      <c r="V66" s="29"/>
      <c r="W66" s="29" t="s">
        <v>1135</v>
      </c>
      <c r="X66" s="32" t="str">
        <f>HYPERLINK("https://api.typeform.com/responses/files/f17fde5ed2b5519b66aefc220a7efb429aa3d89216388717c8e495f7915fabfd/CV_TruongQuangHuy_AI_Intern.pdf")</f>
        <v>https://api.typeform.com/responses/files/f17fde5ed2b5519b66aefc220a7efb429aa3d89216388717c8e495f7915fabfd/CV_TruongQuangHuy_AI_Intern.pdf</v>
      </c>
      <c r="Y66" s="34">
        <v>46135.395474537036</v>
      </c>
      <c r="Z66" s="29" t="s">
        <v>1136</v>
      </c>
      <c r="AA66" s="6">
        <v>1.0</v>
      </c>
      <c r="AB66" s="58" t="s">
        <v>6381</v>
      </c>
      <c r="AC66" s="28" t="s">
        <v>6377</v>
      </c>
      <c r="AD66" s="8" t="s">
        <v>6439</v>
      </c>
      <c r="AE66" s="28" t="s">
        <v>6379</v>
      </c>
      <c r="AF66" s="54" t="str">
        <f t="shared" ref="AF66:AF67" si="8">IFERROR(
  IFS(
    AND(OR(AE66="Test",AE66="Chờ test",AE66="Test Review",AE66="Passed",AE66="Failed"), OR(E66="Game User Acquisition Intern",E66="Game Design Intern")), "Nhiên",
    AND(OR(AE66="Test",AE66="Chờ test",AE66="Test Review",AE66="Passed",AE66="Failed"), E66&lt;&gt;"Human Resources Intern", NOT(OR(E66="Game User Acquisition Intern",E66="Game Design Intern"))), "Quỳnh",
    AND(OR(AE66="Test",AE66="Chờ test",AE66="Test Review",AE66="Passed",AE66="Failed"), E66="Human Resources Intern"), "AUTO"
  ),
"")</f>
        <v>Quỳnh</v>
      </c>
      <c r="AG66" s="20"/>
      <c r="AH66" s="59" t="s">
        <v>6440</v>
      </c>
      <c r="AI66" s="20"/>
      <c r="AJ66" s="55"/>
      <c r="AK66" s="27"/>
      <c r="AL66" s="27"/>
      <c r="AM66" s="27"/>
      <c r="AN66" s="27"/>
      <c r="AO66" s="27"/>
      <c r="AP66" s="27"/>
      <c r="AQ66" s="27"/>
      <c r="AR66" s="27"/>
      <c r="AS66" s="27"/>
      <c r="AT66" s="27"/>
      <c r="AU66" s="27"/>
      <c r="AV66" s="27"/>
      <c r="AW66" s="27"/>
      <c r="AX66" s="27"/>
      <c r="AY66" s="27"/>
      <c r="AZ66" s="27"/>
      <c r="BA66" s="27"/>
      <c r="BB66" s="27"/>
    </row>
    <row r="67" ht="22.5" hidden="1" customHeight="1">
      <c r="A67" s="29" t="s">
        <v>796</v>
      </c>
      <c r="B67" s="30">
        <v>38086.0</v>
      </c>
      <c r="C67" s="7" t="s">
        <v>797</v>
      </c>
      <c r="D67" s="31" t="s">
        <v>798</v>
      </c>
      <c r="E67" s="29" t="s">
        <v>82</v>
      </c>
      <c r="F67" s="29" t="s">
        <v>82</v>
      </c>
      <c r="G67" s="29" t="s">
        <v>799</v>
      </c>
      <c r="H67" s="29" t="s">
        <v>800</v>
      </c>
      <c r="I67" s="29" t="s">
        <v>372</v>
      </c>
      <c r="J67" s="29"/>
      <c r="K67" s="29" t="s">
        <v>67</v>
      </c>
      <c r="L67" s="29" t="s">
        <v>801</v>
      </c>
      <c r="M67" s="33">
        <v>46235.0</v>
      </c>
      <c r="N67" s="31" t="s">
        <v>802</v>
      </c>
      <c r="O67" s="32" t="str">
        <f>HYPERLINK("https://api.typeform.com/responses/files/197754f93cca9713ea6c19e48a2c22a02674834c05d8eab9823833874ec792ca/Transcript___Data_Analysis_Intern___Nguyễn_Như_Hoàng_Tiến.pdf")</f>
        <v>https://api.typeform.com/responses/files/197754f93cca9713ea6c19e48a2c22a02674834c05d8eab9823833874ec792ca/Transcript___Data_Analysis_Intern___Nguyễn_Như_Hoàng_Tiến.pdf</v>
      </c>
      <c r="P67" s="29" t="b">
        <v>1</v>
      </c>
      <c r="Q67" s="29" t="s">
        <v>803</v>
      </c>
      <c r="R67" s="29" t="s">
        <v>804</v>
      </c>
      <c r="S67" s="29" t="s">
        <v>72</v>
      </c>
      <c r="T67" s="29" t="s">
        <v>72</v>
      </c>
      <c r="U67" s="29" t="s">
        <v>73</v>
      </c>
      <c r="V67" s="29"/>
      <c r="W67" s="29" t="s">
        <v>805</v>
      </c>
      <c r="X67" s="32" t="str">
        <f>HYPERLINK("https://api.typeform.com/responses/files/1a94eb35f04f92e9c435cd2b3226af21c8d29d300e63893f531e986985a407f8/CV___Data_Analysis_Intern___Nguyễn_Như_Hoàng_Tiến.pdf")</f>
        <v>https://api.typeform.com/responses/files/1a94eb35f04f92e9c435cd2b3226af21c8d29d300e63893f531e986985a407f8/CV___Data_Analysis_Intern___Nguyễn_Như_Hoàng_Tiến.pdf</v>
      </c>
      <c r="Y67" s="34">
        <v>46135.27307870371</v>
      </c>
      <c r="Z67" s="29" t="s">
        <v>806</v>
      </c>
      <c r="AA67" s="6">
        <v>1.0</v>
      </c>
      <c r="AB67" s="7" t="s">
        <v>93</v>
      </c>
      <c r="AC67" s="28" t="s">
        <v>6377</v>
      </c>
      <c r="AD67" s="20"/>
      <c r="AE67" s="28" t="s">
        <v>6379</v>
      </c>
      <c r="AF67" s="54" t="str">
        <f t="shared" si="8"/>
        <v>Quỳnh</v>
      </c>
      <c r="AG67" s="20"/>
      <c r="AH67" s="20" t="e">
        <v>#N/A</v>
      </c>
      <c r="AI67" s="20"/>
      <c r="AJ67" s="55"/>
      <c r="AK67" s="27"/>
      <c r="AL67" s="27"/>
      <c r="AM67" s="27"/>
      <c r="AN67" s="27"/>
      <c r="AO67" s="27"/>
      <c r="AP67" s="27"/>
      <c r="AQ67" s="27"/>
      <c r="AR67" s="27"/>
      <c r="AS67" s="27"/>
      <c r="AT67" s="27"/>
      <c r="AU67" s="27"/>
      <c r="AV67" s="27"/>
      <c r="AW67" s="27"/>
      <c r="AX67" s="27"/>
      <c r="AY67" s="27"/>
      <c r="AZ67" s="27"/>
      <c r="BA67" s="27"/>
      <c r="BB67" s="27"/>
    </row>
    <row r="68" ht="22.5" hidden="1" customHeight="1">
      <c r="A68" s="29" t="s">
        <v>1137</v>
      </c>
      <c r="B68" s="30">
        <v>38445.0</v>
      </c>
      <c r="C68" s="7" t="s">
        <v>1138</v>
      </c>
      <c r="D68" s="31" t="s">
        <v>1139</v>
      </c>
      <c r="E68" s="29" t="s">
        <v>62</v>
      </c>
      <c r="F68" s="29" t="s">
        <v>82</v>
      </c>
      <c r="G68" s="29" t="s">
        <v>1140</v>
      </c>
      <c r="H68" s="29" t="s">
        <v>1141</v>
      </c>
      <c r="I68" s="29" t="s">
        <v>326</v>
      </c>
      <c r="J68" s="29"/>
      <c r="K68" s="29" t="s">
        <v>219</v>
      </c>
      <c r="L68" s="29" t="s">
        <v>1142</v>
      </c>
      <c r="M68" s="33">
        <v>46614.0</v>
      </c>
      <c r="N68" s="31" t="s">
        <v>1143</v>
      </c>
      <c r="O68" s="32" t="str">
        <f>HYPERLINK("https://api.typeform.com/responses/files/8f0723db20415767d8504d21be8b0c7309a7651b953e0aa754a564a3279bef5e/Transcript_AI_Engineer_Intern_Từ_Thế_Phong.pdf")</f>
        <v>https://api.typeform.com/responses/files/8f0723db20415767d8504d21be8b0c7309a7651b953e0aa754a564a3279bef5e/Transcript_AI_Engineer_Intern_Từ_Thế_Phong.pdf</v>
      </c>
      <c r="P68" s="29" t="b">
        <v>1</v>
      </c>
      <c r="Q68" s="29" t="s">
        <v>1144</v>
      </c>
      <c r="R68" s="29" t="s">
        <v>1145</v>
      </c>
      <c r="S68" s="29" t="s">
        <v>72</v>
      </c>
      <c r="T68" s="29" t="s">
        <v>72</v>
      </c>
      <c r="U68" s="29" t="s">
        <v>933</v>
      </c>
      <c r="V68" s="29"/>
      <c r="W68" s="29" t="s">
        <v>1146</v>
      </c>
      <c r="X68" s="32" t="str">
        <f>HYPERLINK("https://api.typeform.com/responses/files/f91d3b6d05bb1cf5873b04cd9e4d8a02b6a45de2dd14c6a956a3aa72b633570d/CV_AI_Engineer_Intern_Từ_Thế_Phong.pdf")</f>
        <v>https://api.typeform.com/responses/files/f91d3b6d05bb1cf5873b04cd9e4d8a02b6a45de2dd14c6a956a3aa72b633570d/CV_AI_Engineer_Intern_Từ_Thế_Phong.pdf</v>
      </c>
      <c r="Y68" s="34">
        <v>46135.397893518515</v>
      </c>
      <c r="Z68" s="29" t="s">
        <v>1147</v>
      </c>
      <c r="AA68" s="6">
        <v>1.0</v>
      </c>
      <c r="AB68" s="58" t="s">
        <v>6381</v>
      </c>
      <c r="AC68" s="28" t="s">
        <v>6376</v>
      </c>
      <c r="AD68" s="7" t="s">
        <v>6410</v>
      </c>
      <c r="AE68" s="53"/>
      <c r="AF68" s="53"/>
      <c r="AG68" s="20"/>
      <c r="AH68" s="20"/>
      <c r="AI68" s="20"/>
      <c r="AJ68" s="55"/>
      <c r="AK68" s="27"/>
      <c r="AL68" s="27"/>
      <c r="AM68" s="27"/>
      <c r="AN68" s="27"/>
      <c r="AO68" s="27"/>
      <c r="AP68" s="27"/>
      <c r="AQ68" s="27"/>
      <c r="AR68" s="27"/>
      <c r="AS68" s="27"/>
      <c r="AT68" s="27"/>
      <c r="AU68" s="27"/>
      <c r="AV68" s="27"/>
      <c r="AW68" s="27"/>
      <c r="AX68" s="27"/>
      <c r="AY68" s="27"/>
      <c r="AZ68" s="27"/>
      <c r="BA68" s="27"/>
      <c r="BB68" s="27"/>
    </row>
    <row r="69" ht="22.5" hidden="1" customHeight="1">
      <c r="A69" s="29" t="s">
        <v>817</v>
      </c>
      <c r="B69" s="30">
        <v>38327.0</v>
      </c>
      <c r="C69" s="7" t="s">
        <v>818</v>
      </c>
      <c r="D69" s="31" t="s">
        <v>819</v>
      </c>
      <c r="E69" s="29" t="s">
        <v>82</v>
      </c>
      <c r="F69" s="29" t="s">
        <v>62</v>
      </c>
      <c r="G69" s="29" t="s">
        <v>820</v>
      </c>
      <c r="H69" s="29" t="s">
        <v>821</v>
      </c>
      <c r="I69" s="29" t="s">
        <v>372</v>
      </c>
      <c r="J69" s="29"/>
      <c r="K69" s="29" t="s">
        <v>67</v>
      </c>
      <c r="L69" s="29" t="s">
        <v>801</v>
      </c>
      <c r="M69" s="33">
        <v>46233.0</v>
      </c>
      <c r="N69" s="31" t="s">
        <v>822</v>
      </c>
      <c r="O69" s="32" t="str">
        <f>HYPERLINK("https://api.typeform.com/responses/files/f613be3ab695b944a64e4885f32e0f81645b190b585c14ee85e928d5e83caada/Transcript___Data_Analysis_Intern___Nguyễn_Ngọc_Anh_Thư.pdf")</f>
        <v>https://api.typeform.com/responses/files/f613be3ab695b944a64e4885f32e0f81645b190b585c14ee85e928d5e83caada/Transcript___Data_Analysis_Intern___Nguyễn_Ngọc_Anh_Thư.pdf</v>
      </c>
      <c r="P69" s="29" t="b">
        <v>1</v>
      </c>
      <c r="Q69" s="29" t="s">
        <v>823</v>
      </c>
      <c r="R69" s="29" t="s">
        <v>824</v>
      </c>
      <c r="S69" s="29" t="s">
        <v>72</v>
      </c>
      <c r="T69" s="29" t="s">
        <v>72</v>
      </c>
      <c r="U69" s="29" t="s">
        <v>269</v>
      </c>
      <c r="V69" s="29"/>
      <c r="W69" s="29" t="s">
        <v>825</v>
      </c>
      <c r="X69" s="32" t="str">
        <f>HYPERLINK("https://api.typeform.com/responses/files/2fffe136de9f5b906fd23d09092e8d4567853ffa591c1ce3f988f7fce539c937/CV___Data_Analysis_Intern___Nguyễn_Ngọc_Anh_.pdf")</f>
        <v>https://api.typeform.com/responses/files/2fffe136de9f5b906fd23d09092e8d4567853ffa591c1ce3f988f7fce539c937/CV___Data_Analysis_Intern___Nguyễn_Ngọc_Anh_.pdf</v>
      </c>
      <c r="Y69" s="34">
        <v>46135.28873842592</v>
      </c>
      <c r="Z69" s="29" t="s">
        <v>826</v>
      </c>
      <c r="AA69" s="6">
        <v>1.0</v>
      </c>
      <c r="AB69" s="7" t="s">
        <v>93</v>
      </c>
      <c r="AC69" s="28" t="s">
        <v>6377</v>
      </c>
      <c r="AD69" s="7" t="s">
        <v>6441</v>
      </c>
      <c r="AE69" s="28" t="s">
        <v>6379</v>
      </c>
      <c r="AF69" s="54" t="str">
        <f t="shared" ref="AF69:AF70" si="9">IFERROR(
  IFS(
    AND(OR(AE69="Test",AE69="Chờ test",AE69="Test Review",AE69="Passed",AE69="Failed"), OR(E69="Game User Acquisition Intern",E69="Game Design Intern")), "Nhiên",
    AND(OR(AE69="Test",AE69="Chờ test",AE69="Test Review",AE69="Passed",AE69="Failed"), E69&lt;&gt;"Human Resources Intern", NOT(OR(E69="Game User Acquisition Intern",E69="Game Design Intern"))), "Quỳnh",
    AND(OR(AE69="Test",AE69="Chờ test",AE69="Test Review",AE69="Passed",AE69="Failed"), E69="Human Resources Intern"), "AUTO"
  ),
"")</f>
        <v>Quỳnh</v>
      </c>
      <c r="AG69" s="20"/>
      <c r="AH69" s="20" t="e">
        <v>#N/A</v>
      </c>
      <c r="AI69" s="20"/>
      <c r="AJ69" s="55"/>
      <c r="AK69" s="27"/>
      <c r="AL69" s="27"/>
      <c r="AM69" s="27"/>
      <c r="AN69" s="27"/>
      <c r="AO69" s="27"/>
      <c r="AP69" s="27"/>
      <c r="AQ69" s="27"/>
      <c r="AR69" s="27"/>
      <c r="AS69" s="27"/>
      <c r="AT69" s="27"/>
      <c r="AU69" s="27"/>
      <c r="AV69" s="27"/>
      <c r="AW69" s="27"/>
      <c r="AX69" s="27"/>
      <c r="AY69" s="27"/>
      <c r="AZ69" s="27"/>
      <c r="BA69" s="27"/>
      <c r="BB69" s="27"/>
    </row>
    <row r="70" ht="22.5" hidden="1" customHeight="1">
      <c r="A70" s="29" t="s">
        <v>1168</v>
      </c>
      <c r="B70" s="30">
        <v>38623.0</v>
      </c>
      <c r="C70" s="7" t="s">
        <v>1169</v>
      </c>
      <c r="D70" s="31" t="s">
        <v>1170</v>
      </c>
      <c r="E70" s="29" t="s">
        <v>62</v>
      </c>
      <c r="F70" s="29" t="s">
        <v>82</v>
      </c>
      <c r="G70" s="29" t="s">
        <v>1171</v>
      </c>
      <c r="H70" s="29" t="s">
        <v>1172</v>
      </c>
      <c r="I70" s="29" t="s">
        <v>715</v>
      </c>
      <c r="J70" s="29"/>
      <c r="K70" s="29" t="s">
        <v>219</v>
      </c>
      <c r="L70" s="29" t="s">
        <v>612</v>
      </c>
      <c r="M70" s="33">
        <v>46461.0</v>
      </c>
      <c r="N70" s="31" t="s">
        <v>1173</v>
      </c>
      <c r="O70" s="32" t="str">
        <f>HYPERLINK("https://api.typeform.com/responses/files/e0aeb0d7481c48e06cbd8560e3541a1c6275c68d0440c3650669448a39b43d7f/NhanNguyenPhuc_Transcript.pdf")</f>
        <v>https://api.typeform.com/responses/files/e0aeb0d7481c48e06cbd8560e3541a1c6275c68d0440c3650669448a39b43d7f/NhanNguyenPhuc_Transcript.pdf</v>
      </c>
      <c r="P70" s="29" t="b">
        <v>1</v>
      </c>
      <c r="Q70" s="29" t="s">
        <v>1174</v>
      </c>
      <c r="R70" s="29" t="s">
        <v>1175</v>
      </c>
      <c r="S70" s="29" t="s">
        <v>72</v>
      </c>
      <c r="T70" s="29" t="s">
        <v>72</v>
      </c>
      <c r="U70" s="29" t="s">
        <v>73</v>
      </c>
      <c r="V70" s="29"/>
      <c r="W70" s="29" t="s">
        <v>1176</v>
      </c>
      <c r="X70" s="32" t="str">
        <f>HYPERLINK("https://api.typeform.com/responses/files/d7ef40376f3826cc31e6ec7cc59d299e8af13fe3a65ec5f6226cb2229d5fa39f/NhanNguyenPhuc_CS.pdf")</f>
        <v>https://api.typeform.com/responses/files/d7ef40376f3826cc31e6ec7cc59d299e8af13fe3a65ec5f6226cb2229d5fa39f/NhanNguyenPhuc_CS.pdf</v>
      </c>
      <c r="Y70" s="34">
        <v>46135.420011574075</v>
      </c>
      <c r="Z70" s="29" t="s">
        <v>1177</v>
      </c>
      <c r="AA70" s="6">
        <v>1.0</v>
      </c>
      <c r="AB70" s="58" t="s">
        <v>6381</v>
      </c>
      <c r="AC70" s="28" t="s">
        <v>6377</v>
      </c>
      <c r="AD70" s="7" t="s">
        <v>6442</v>
      </c>
      <c r="AE70" s="28" t="s">
        <v>6397</v>
      </c>
      <c r="AF70" s="54" t="str">
        <f t="shared" si="9"/>
        <v/>
      </c>
      <c r="AG70" s="20"/>
      <c r="AH70" s="20" t="e">
        <v>#N/A</v>
      </c>
      <c r="AI70" s="20"/>
      <c r="AJ70" s="55"/>
      <c r="AK70" s="27"/>
      <c r="AL70" s="27"/>
      <c r="AM70" s="27"/>
      <c r="AN70" s="27"/>
      <c r="AO70" s="27"/>
      <c r="AP70" s="27"/>
      <c r="AQ70" s="27"/>
      <c r="AR70" s="27"/>
      <c r="AS70" s="27"/>
      <c r="AT70" s="27"/>
      <c r="AU70" s="27"/>
      <c r="AV70" s="27"/>
      <c r="AW70" s="27"/>
      <c r="AX70" s="27"/>
      <c r="AY70" s="27"/>
      <c r="AZ70" s="27"/>
      <c r="BA70" s="27"/>
      <c r="BB70" s="27"/>
    </row>
    <row r="71" ht="22.5" hidden="1" customHeight="1">
      <c r="A71" s="29" t="s">
        <v>837</v>
      </c>
      <c r="B71" s="30">
        <v>37659.0</v>
      </c>
      <c r="C71" s="7" t="s">
        <v>838</v>
      </c>
      <c r="D71" s="31" t="s">
        <v>839</v>
      </c>
      <c r="E71" s="29" t="s">
        <v>82</v>
      </c>
      <c r="F71" s="29" t="s">
        <v>62</v>
      </c>
      <c r="G71" s="29" t="s">
        <v>840</v>
      </c>
      <c r="H71" s="29" t="s">
        <v>841</v>
      </c>
      <c r="I71" s="29" t="s">
        <v>842</v>
      </c>
      <c r="J71" s="29"/>
      <c r="K71" s="29" t="s">
        <v>103</v>
      </c>
      <c r="L71" s="29" t="s">
        <v>384</v>
      </c>
      <c r="M71" s="33">
        <v>45741.0</v>
      </c>
      <c r="N71" s="31" t="s">
        <v>317</v>
      </c>
      <c r="O71" s="32" t="str">
        <f>HYPERLINK("https://api.typeform.com/responses/files/b67f04fc03f821214d8192accd9134ded95094e00bbbf2d1fb2aafbe33bb8ec5/Transcript___Data_Analysis_Intern___Nguyễn_Tân_Niên.pdf")</f>
        <v>https://api.typeform.com/responses/files/b67f04fc03f821214d8192accd9134ded95094e00bbbf2d1fb2aafbe33bb8ec5/Transcript___Data_Analysis_Intern___Nguyễn_Tân_Niên.pdf</v>
      </c>
      <c r="P71" s="29" t="b">
        <v>0</v>
      </c>
      <c r="Q71" s="29" t="s">
        <v>222</v>
      </c>
      <c r="R71" s="29" t="s">
        <v>843</v>
      </c>
      <c r="S71" s="29" t="s">
        <v>72</v>
      </c>
      <c r="T71" s="29" t="s">
        <v>72</v>
      </c>
      <c r="U71" s="29" t="s">
        <v>90</v>
      </c>
      <c r="V71" s="29"/>
      <c r="W71" s="29"/>
      <c r="X71" s="32" t="str">
        <f>HYPERLINK("https://api.typeform.com/responses/files/e585125ecfd69f5a7e95eb54452bea045138b07b338bd298099ccf75a6dcda62/CV___Data_Analysis_Intern___Nguyễn_Tân_Niên.pdf")</f>
        <v>https://api.typeform.com/responses/files/e585125ecfd69f5a7e95eb54452bea045138b07b338bd298099ccf75a6dcda62/CV___Data_Analysis_Intern___Nguyễn_Tân_Niên.pdf</v>
      </c>
      <c r="Y71" s="34">
        <v>46135.29311342593</v>
      </c>
      <c r="Z71" s="29" t="s">
        <v>844</v>
      </c>
      <c r="AA71" s="6">
        <v>1.0</v>
      </c>
      <c r="AB71" s="7" t="s">
        <v>93</v>
      </c>
      <c r="AC71" s="28" t="s">
        <v>6376</v>
      </c>
      <c r="AD71" s="7" t="s">
        <v>6443</v>
      </c>
      <c r="AE71" s="53"/>
      <c r="AF71" s="53"/>
      <c r="AG71" s="20"/>
      <c r="AH71" s="20"/>
      <c r="AI71" s="20"/>
      <c r="AJ71" s="55"/>
      <c r="AK71" s="27"/>
      <c r="AL71" s="27"/>
      <c r="AM71" s="27"/>
      <c r="AN71" s="27"/>
      <c r="AO71" s="27"/>
      <c r="AP71" s="27"/>
      <c r="AQ71" s="27"/>
      <c r="AR71" s="27"/>
      <c r="AS71" s="27"/>
      <c r="AT71" s="27"/>
      <c r="AU71" s="27"/>
      <c r="AV71" s="27"/>
      <c r="AW71" s="27"/>
      <c r="AX71" s="27"/>
      <c r="AY71" s="27"/>
      <c r="AZ71" s="27"/>
      <c r="BA71" s="27"/>
      <c r="BB71" s="27"/>
    </row>
    <row r="72" ht="22.5" hidden="1" customHeight="1">
      <c r="A72" s="29" t="s">
        <v>845</v>
      </c>
      <c r="B72" s="30">
        <v>37916.0</v>
      </c>
      <c r="C72" s="7" t="s">
        <v>846</v>
      </c>
      <c r="D72" s="31" t="s">
        <v>847</v>
      </c>
      <c r="E72" s="29" t="s">
        <v>82</v>
      </c>
      <c r="F72" s="29" t="s">
        <v>62</v>
      </c>
      <c r="G72" s="29" t="s">
        <v>848</v>
      </c>
      <c r="H72" s="29" t="s">
        <v>849</v>
      </c>
      <c r="I72" s="29" t="s">
        <v>65</v>
      </c>
      <c r="J72" s="29" t="s">
        <v>850</v>
      </c>
      <c r="K72" s="29" t="s">
        <v>103</v>
      </c>
      <c r="L72" s="29" t="s">
        <v>851</v>
      </c>
      <c r="M72" s="33">
        <v>45840.0</v>
      </c>
      <c r="N72" s="29" t="s">
        <v>852</v>
      </c>
      <c r="O72" s="32" t="str">
        <f>HYPERLINK("https://api.typeform.com/responses/files/d43d6618e5631e482db10f51767dc7c5dc6e44fb8cc711c6083ca05c6bec3089/Transcript___Data_Analysis_Intern___Lê_Quốc_Đạt.png")</f>
        <v>https://api.typeform.com/responses/files/d43d6618e5631e482db10f51767dc7c5dc6e44fb8cc711c6083ca05c6bec3089/Transcript___Data_Analysis_Intern___Lê_Quốc_Đạt.png</v>
      </c>
      <c r="P72" s="29" t="b">
        <v>1</v>
      </c>
      <c r="Q72" s="29" t="s">
        <v>853</v>
      </c>
      <c r="R72" s="29" t="s">
        <v>854</v>
      </c>
      <c r="S72" s="29" t="s">
        <v>72</v>
      </c>
      <c r="T72" s="29" t="s">
        <v>72</v>
      </c>
      <c r="U72" s="29" t="s">
        <v>73</v>
      </c>
      <c r="V72" s="29"/>
      <c r="W72" s="29" t="s">
        <v>855</v>
      </c>
      <c r="X72" s="32" t="str">
        <f>HYPERLINK("https://api.typeform.com/responses/files/1f736557a29312c6c137020feae6d2f476cd583cf46334a419b7b0f27358df7c/CV___Data_Analysis_Intern___Lê_Quốc_Đạt.pdf")</f>
        <v>https://api.typeform.com/responses/files/1f736557a29312c6c137020feae6d2f476cd583cf46334a419b7b0f27358df7c/CV___Data_Analysis_Intern___Lê_Quốc_Đạt.pdf</v>
      </c>
      <c r="Y72" s="34">
        <v>46135.2959837963</v>
      </c>
      <c r="Z72" s="29" t="s">
        <v>856</v>
      </c>
      <c r="AA72" s="6">
        <v>1.0</v>
      </c>
      <c r="AB72" s="7" t="s">
        <v>93</v>
      </c>
      <c r="AC72" s="28" t="s">
        <v>6376</v>
      </c>
      <c r="AD72" s="7" t="s">
        <v>6444</v>
      </c>
      <c r="AE72" s="53"/>
      <c r="AF72" s="53"/>
      <c r="AG72" s="20"/>
      <c r="AH72" s="20"/>
      <c r="AI72" s="20"/>
      <c r="AJ72" s="55"/>
      <c r="AK72" s="27"/>
      <c r="AL72" s="27"/>
      <c r="AM72" s="27"/>
      <c r="AN72" s="27"/>
      <c r="AO72" s="27"/>
      <c r="AP72" s="27"/>
      <c r="AQ72" s="27"/>
      <c r="AR72" s="27"/>
      <c r="AS72" s="27"/>
      <c r="AT72" s="27"/>
      <c r="AU72" s="27"/>
      <c r="AV72" s="27"/>
      <c r="AW72" s="27"/>
      <c r="AX72" s="27"/>
      <c r="AY72" s="27"/>
      <c r="AZ72" s="27"/>
      <c r="BA72" s="27"/>
      <c r="BB72" s="27"/>
    </row>
    <row r="73" ht="22.5" hidden="1" customHeight="1">
      <c r="A73" s="97" t="s">
        <v>857</v>
      </c>
      <c r="B73" s="98">
        <v>37742.0</v>
      </c>
      <c r="C73" s="62" t="s">
        <v>858</v>
      </c>
      <c r="D73" s="99" t="s">
        <v>859</v>
      </c>
      <c r="E73" s="97" t="s">
        <v>99</v>
      </c>
      <c r="F73" s="97" t="s">
        <v>774</v>
      </c>
      <c r="G73" s="97" t="s">
        <v>860</v>
      </c>
      <c r="H73" s="97" t="s">
        <v>861</v>
      </c>
      <c r="I73" s="60" t="s">
        <v>65</v>
      </c>
      <c r="J73" s="97" t="s">
        <v>862</v>
      </c>
      <c r="K73" s="97" t="s">
        <v>103</v>
      </c>
      <c r="L73" s="97" t="s">
        <v>256</v>
      </c>
      <c r="M73" s="100">
        <v>46258.0</v>
      </c>
      <c r="N73" s="99" t="s">
        <v>233</v>
      </c>
      <c r="O73" s="101" t="str">
        <f>HYPERLINK("https://api.typeform.com/responses/files/2f8b61f84bfc34b01fc0cf2cd47a80a9a291f1fc97bf4a7dc3063b41b959fa3d/Bảng_điểm__FPT_Polytechnic.pdf")</f>
        <v>https://api.typeform.com/responses/files/2f8b61f84bfc34b01fc0cf2cd47a80a9a291f1fc97bf4a7dc3063b41b959fa3d/Bảng_điểm__FPT_Polytechnic.pdf</v>
      </c>
      <c r="P73" s="97" t="b">
        <v>1</v>
      </c>
      <c r="Q73" s="97" t="s">
        <v>863</v>
      </c>
      <c r="R73" s="97" t="s">
        <v>864</v>
      </c>
      <c r="S73" s="97" t="s">
        <v>72</v>
      </c>
      <c r="T73" s="97" t="s">
        <v>72</v>
      </c>
      <c r="U73" s="97" t="s">
        <v>90</v>
      </c>
      <c r="V73" s="97"/>
      <c r="W73" s="97" t="s">
        <v>865</v>
      </c>
      <c r="X73" s="101" t="str">
        <f>HYPERLINK("https://api.typeform.com/responses/files/2de0c188b99fb08f9574efd35b5a69d718f391ff738650e8490d6cc642170ffb/CV_BuiHuuHoang_GameDesignerIntern.pdf")</f>
        <v>https://api.typeform.com/responses/files/2de0c188b99fb08f9574efd35b5a69d718f391ff738650e8490d6cc642170ffb/CV_BuiHuuHoang_GameDesignerIntern.pdf</v>
      </c>
      <c r="Y73" s="102">
        <v>46135.296585648146</v>
      </c>
      <c r="Z73" s="97" t="s">
        <v>866</v>
      </c>
      <c r="AA73" s="68">
        <v>1.0</v>
      </c>
      <c r="AB73" s="69" t="s">
        <v>6381</v>
      </c>
      <c r="AC73" s="70" t="s">
        <v>6376</v>
      </c>
      <c r="AD73" s="60"/>
      <c r="AE73" s="71"/>
      <c r="AF73" s="53"/>
      <c r="AG73" s="20"/>
      <c r="AH73" s="20"/>
      <c r="AI73" s="20"/>
      <c r="AJ73" s="55"/>
      <c r="AK73" s="27"/>
      <c r="AL73" s="27"/>
      <c r="AM73" s="27"/>
      <c r="AN73" s="27"/>
      <c r="AO73" s="27"/>
      <c r="AP73" s="27"/>
      <c r="AQ73" s="27"/>
      <c r="AR73" s="27"/>
      <c r="AS73" s="27"/>
      <c r="AT73" s="27"/>
      <c r="AU73" s="27"/>
      <c r="AV73" s="27"/>
      <c r="AW73" s="27"/>
      <c r="AX73" s="27"/>
      <c r="AY73" s="27"/>
      <c r="AZ73" s="27"/>
      <c r="BA73" s="27"/>
      <c r="BB73" s="27"/>
    </row>
    <row r="74" ht="22.5" hidden="1" customHeight="1">
      <c r="A74" s="29" t="s">
        <v>1197</v>
      </c>
      <c r="B74" s="30">
        <v>38369.0</v>
      </c>
      <c r="C74" s="7" t="s">
        <v>1198</v>
      </c>
      <c r="D74" s="31" t="s">
        <v>1199</v>
      </c>
      <c r="E74" s="29" t="s">
        <v>62</v>
      </c>
      <c r="F74" s="29" t="s">
        <v>99</v>
      </c>
      <c r="G74" s="29" t="s">
        <v>1200</v>
      </c>
      <c r="H74" s="29" t="s">
        <v>1201</v>
      </c>
      <c r="I74" s="29" t="s">
        <v>326</v>
      </c>
      <c r="J74" s="29"/>
      <c r="K74" s="29" t="s">
        <v>219</v>
      </c>
      <c r="L74" s="29" t="s">
        <v>930</v>
      </c>
      <c r="M74" s="33">
        <v>46599.0</v>
      </c>
      <c r="N74" s="29" t="s">
        <v>1202</v>
      </c>
      <c r="O74" s="32" t="str">
        <f>HYPERLINK("https://api.typeform.com/responses/files/4ed4c03c22e38db4bfdf607843257ae9c74b89baa25c800f303868f53c3361eb/Transcript___AI_Engineering_Intern___Lê_Quốc_Anh.pdf")</f>
        <v>https://api.typeform.com/responses/files/4ed4c03c22e38db4bfdf607843257ae9c74b89baa25c800f303868f53c3361eb/Transcript___AI_Engineering_Intern___Lê_Quốc_Anh.pdf</v>
      </c>
      <c r="P74" s="29" t="b">
        <v>1</v>
      </c>
      <c r="Q74" s="29" t="s">
        <v>1203</v>
      </c>
      <c r="R74" s="29" t="s">
        <v>1204</v>
      </c>
      <c r="S74" s="29" t="s">
        <v>72</v>
      </c>
      <c r="T74" s="29" t="s">
        <v>72</v>
      </c>
      <c r="U74" s="29" t="s">
        <v>269</v>
      </c>
      <c r="V74" s="29"/>
      <c r="W74" s="29" t="s">
        <v>1205</v>
      </c>
      <c r="X74" s="32" t="str">
        <f>HYPERLINK("https://api.typeform.com/responses/files/bd8837fc08d2de6a717f6ea596ee2c18c009fe995ade8cdffee7846b2ef92f5a/CV___AI_Engineering_Intern___Lê_Quốc_Anh.pdf")</f>
        <v>https://api.typeform.com/responses/files/bd8837fc08d2de6a717f6ea596ee2c18c009fe995ade8cdffee7846b2ef92f5a/CV___AI_Engineering_Intern___Lê_Quốc_Anh.pdf</v>
      </c>
      <c r="Y74" s="34">
        <v>46135.42930555555</v>
      </c>
      <c r="Z74" s="29" t="s">
        <v>1206</v>
      </c>
      <c r="AA74" s="6">
        <v>1.0</v>
      </c>
      <c r="AB74" s="58" t="s">
        <v>6381</v>
      </c>
      <c r="AC74" s="28" t="s">
        <v>6377</v>
      </c>
      <c r="AD74" s="95" t="s">
        <v>6445</v>
      </c>
      <c r="AE74" s="28" t="s">
        <v>6379</v>
      </c>
      <c r="AF74" s="54" t="str">
        <f>IFERROR(
  IFS(
    AND(OR(AE74="Test",AE74="Chờ test",AE74="Test Review",AE74="Passed",AE74="Failed"), OR(E74="Game User Acquisition Intern",E74="Game Design Intern")), "Nhiên",
    AND(OR(AE74="Test",AE74="Chờ test",AE74="Test Review",AE74="Passed",AE74="Failed"), E74&lt;&gt;"Human Resources Intern", NOT(OR(E74="Game User Acquisition Intern",E74="Game Design Intern"))), "Quỳnh",
    AND(OR(AE74="Test",AE74="Chờ test",AE74="Test Review",AE74="Passed",AE74="Failed"), E74="Human Resources Intern"), "AUTO"
  ),
"")</f>
        <v>Quỳnh</v>
      </c>
      <c r="AG74" s="20"/>
      <c r="AH74" s="59" t="s">
        <v>6446</v>
      </c>
      <c r="AI74" s="20"/>
      <c r="AJ74" s="55"/>
      <c r="AK74" s="27"/>
      <c r="AL74" s="27"/>
      <c r="AM74" s="27"/>
      <c r="AN74" s="27"/>
      <c r="AO74" s="27"/>
      <c r="AP74" s="27"/>
      <c r="AQ74" s="27"/>
      <c r="AR74" s="27"/>
      <c r="AS74" s="27"/>
      <c r="AT74" s="27"/>
      <c r="AU74" s="27"/>
      <c r="AV74" s="27"/>
      <c r="AW74" s="27"/>
      <c r="AX74" s="27"/>
      <c r="AY74" s="27"/>
      <c r="AZ74" s="27"/>
      <c r="BA74" s="27"/>
      <c r="BB74" s="27"/>
    </row>
    <row r="75" ht="22.5" hidden="1" customHeight="1">
      <c r="A75" s="29" t="s">
        <v>1225</v>
      </c>
      <c r="B75" s="30">
        <v>38642.0</v>
      </c>
      <c r="C75" s="7" t="s">
        <v>1226</v>
      </c>
      <c r="D75" s="31" t="s">
        <v>1227</v>
      </c>
      <c r="E75" s="29" t="s">
        <v>62</v>
      </c>
      <c r="F75" s="29" t="s">
        <v>82</v>
      </c>
      <c r="G75" s="29" t="s">
        <v>1228</v>
      </c>
      <c r="H75" s="29" t="s">
        <v>1229</v>
      </c>
      <c r="I75" s="29" t="s">
        <v>85</v>
      </c>
      <c r="J75" s="29"/>
      <c r="K75" s="29" t="s">
        <v>219</v>
      </c>
      <c r="L75" s="29" t="s">
        <v>941</v>
      </c>
      <c r="M75" s="33">
        <v>46388.0</v>
      </c>
      <c r="N75" s="31" t="s">
        <v>1230</v>
      </c>
      <c r="O75" s="32" t="str">
        <f>HYPERLINK("https://api.typeform.com/responses/files/b2d00d4cc3dae58521f49d91d21e70d0c73d1be3c4354fa4f5eb26253e1b3249/Transcript___AI_Engineer_Intern___Hà_Tuấn_Anh.pdf")</f>
        <v>https://api.typeform.com/responses/files/b2d00d4cc3dae58521f49d91d21e70d0c73d1be3c4354fa4f5eb26253e1b3249/Transcript___AI_Engineer_Intern___Hà_Tuấn_Anh.pdf</v>
      </c>
      <c r="P75" s="29" t="b">
        <v>1</v>
      </c>
      <c r="Q75" s="29" t="s">
        <v>1231</v>
      </c>
      <c r="R75" s="29" t="s">
        <v>1232</v>
      </c>
      <c r="S75" s="29" t="s">
        <v>72</v>
      </c>
      <c r="T75" s="29" t="s">
        <v>72</v>
      </c>
      <c r="U75" s="29" t="s">
        <v>269</v>
      </c>
      <c r="V75" s="29"/>
      <c r="W75" s="29" t="s">
        <v>1233</v>
      </c>
      <c r="X75" s="32" t="str">
        <f>HYPERLINK("https://api.typeform.com/responses/files/201cfda18c6a2ac7481ac727cbfbf9acea0695e9e49e491c71b7787bfa4b484d/CV___AI_Engineer_Intern___HaTuanAnh.pdf")</f>
        <v>https://api.typeform.com/responses/files/201cfda18c6a2ac7481ac727cbfbf9acea0695e9e49e491c71b7787bfa4b484d/CV___AI_Engineer_Intern___HaTuanAnh.pdf</v>
      </c>
      <c r="Y75" s="34">
        <v>46135.45673611111</v>
      </c>
      <c r="Z75" s="29" t="s">
        <v>1234</v>
      </c>
      <c r="AA75" s="6">
        <v>1.0</v>
      </c>
      <c r="AB75" s="58" t="s">
        <v>6381</v>
      </c>
      <c r="AC75" s="28" t="s">
        <v>6376</v>
      </c>
      <c r="AD75" s="7" t="s">
        <v>6410</v>
      </c>
      <c r="AE75" s="53"/>
      <c r="AF75" s="53"/>
      <c r="AG75" s="20"/>
      <c r="AH75" s="20"/>
      <c r="AI75" s="20"/>
      <c r="AJ75" s="55"/>
      <c r="AK75" s="27"/>
      <c r="AL75" s="27"/>
      <c r="AM75" s="27"/>
      <c r="AN75" s="27"/>
      <c r="AO75" s="27"/>
      <c r="AP75" s="27"/>
      <c r="AQ75" s="27"/>
      <c r="AR75" s="27"/>
      <c r="AS75" s="27"/>
      <c r="AT75" s="27"/>
      <c r="AU75" s="27"/>
      <c r="AV75" s="27"/>
      <c r="AW75" s="27"/>
      <c r="AX75" s="27"/>
      <c r="AY75" s="27"/>
      <c r="AZ75" s="27"/>
      <c r="BA75" s="27"/>
      <c r="BB75" s="27"/>
    </row>
    <row r="76" ht="22.5" hidden="1" customHeight="1">
      <c r="A76" s="29" t="s">
        <v>885</v>
      </c>
      <c r="B76" s="30">
        <v>38442.0</v>
      </c>
      <c r="C76" s="7" t="s">
        <v>886</v>
      </c>
      <c r="D76" s="31" t="s">
        <v>887</v>
      </c>
      <c r="E76" s="29" t="s">
        <v>61</v>
      </c>
      <c r="F76" s="29" t="s">
        <v>99</v>
      </c>
      <c r="G76" s="29" t="s">
        <v>888</v>
      </c>
      <c r="H76" s="29" t="s">
        <v>889</v>
      </c>
      <c r="I76" s="29" t="s">
        <v>85</v>
      </c>
      <c r="J76" s="29"/>
      <c r="K76" s="29" t="s">
        <v>219</v>
      </c>
      <c r="L76" s="29" t="s">
        <v>624</v>
      </c>
      <c r="M76" s="33">
        <v>46539.0</v>
      </c>
      <c r="N76" s="31" t="s">
        <v>890</v>
      </c>
      <c r="O76" s="32" t="str">
        <f>HYPERLINK("https://api.typeform.com/responses/files/47ad1bccc0d96235ea0cea7788d1a4325c308b8090bf30e67ddf6982ddd6208f/Transcript___Unity_Development_Intern___Nguyễn_Hoàng_Nhựt_Minh.pdf")</f>
        <v>https://api.typeform.com/responses/files/47ad1bccc0d96235ea0cea7788d1a4325c308b8090bf30e67ddf6982ddd6208f/Transcript___Unity_Development_Intern___Nguyễn_Hoàng_Nhựt_Minh.pdf</v>
      </c>
      <c r="P76" s="29" t="b">
        <v>1</v>
      </c>
      <c r="Q76" s="29" t="s">
        <v>891</v>
      </c>
      <c r="R76" s="29" t="s">
        <v>892</v>
      </c>
      <c r="S76" s="29" t="s">
        <v>72</v>
      </c>
      <c r="T76" s="29" t="s">
        <v>72</v>
      </c>
      <c r="U76" s="29" t="s">
        <v>269</v>
      </c>
      <c r="V76" s="29"/>
      <c r="W76" s="29" t="s">
        <v>893</v>
      </c>
      <c r="X76" s="32" t="str">
        <f>HYPERLINK("https://api.typeform.com/responses/files/d914454b06e295b1494f5751301f86f65c896e259443a1516a3df3f18cf4b925/CV___Game_Development_Intern___Nguyễn_Hoàng_Nhựt_Minh.pdf")</f>
        <v>https://api.typeform.com/responses/files/d914454b06e295b1494f5751301f86f65c896e259443a1516a3df3f18cf4b925/CV___Game_Development_Intern___Nguyễn_Hoàng_Nhựt_Minh.pdf</v>
      </c>
      <c r="Y76" s="34">
        <v>46135.32344907407</v>
      </c>
      <c r="Z76" s="29" t="s">
        <v>894</v>
      </c>
      <c r="AA76" s="6">
        <v>1.0</v>
      </c>
      <c r="AB76" s="7" t="s">
        <v>93</v>
      </c>
      <c r="AC76" s="28" t="s">
        <v>6377</v>
      </c>
      <c r="AD76" s="56" t="s">
        <v>6447</v>
      </c>
      <c r="AE76" s="28" t="s">
        <v>6403</v>
      </c>
      <c r="AF76" s="54" t="str">
        <f t="shared" ref="AF76:AF79" si="10">IFERROR(
  IFS(
    AND(OR(AE76="Test",AE76="Chờ test",AE76="Test Review",AE76="Passed",AE76="Failed"), OR(E76="Game User Acquisition Intern",E76="Game Design Intern")), "Nhiên",
    AND(OR(AE76="Test",AE76="Chờ test",AE76="Test Review",AE76="Passed",AE76="Failed"), E76&lt;&gt;"Human Resources Intern", NOT(OR(E76="Game User Acquisition Intern",E76="Game Design Intern"))), "Quỳnh",
    AND(OR(AE76="Test",AE76="Chờ test",AE76="Test Review",AE76="Passed",AE76="Failed"), E76="Human Resources Intern"), "AUTO"
  ),
"")</f>
        <v>Quỳnh</v>
      </c>
      <c r="AG76" s="20"/>
      <c r="AH76" s="20"/>
      <c r="AI76" s="20"/>
      <c r="AJ76" s="55"/>
      <c r="AK76" s="27"/>
      <c r="AL76" s="27"/>
      <c r="AM76" s="27"/>
      <c r="AN76" s="27"/>
      <c r="AO76" s="27"/>
      <c r="AP76" s="27"/>
      <c r="AQ76" s="27"/>
      <c r="AR76" s="27"/>
      <c r="AS76" s="27"/>
      <c r="AT76" s="27"/>
      <c r="AU76" s="27"/>
      <c r="AV76" s="27"/>
      <c r="AW76" s="27"/>
      <c r="AX76" s="27"/>
      <c r="AY76" s="27"/>
      <c r="AZ76" s="27"/>
      <c r="BA76" s="27"/>
      <c r="BB76" s="27"/>
    </row>
    <row r="77" ht="22.5" customHeight="1">
      <c r="A77" s="29" t="s">
        <v>895</v>
      </c>
      <c r="B77" s="30">
        <v>38689.0</v>
      </c>
      <c r="C77" s="7" t="s">
        <v>896</v>
      </c>
      <c r="D77" s="31" t="s">
        <v>897</v>
      </c>
      <c r="E77" s="29" t="s">
        <v>82</v>
      </c>
      <c r="F77" s="29" t="s">
        <v>62</v>
      </c>
      <c r="G77" s="29" t="s">
        <v>898</v>
      </c>
      <c r="H77" s="29" t="s">
        <v>899</v>
      </c>
      <c r="I77" s="29" t="s">
        <v>326</v>
      </c>
      <c r="J77" s="29"/>
      <c r="K77" s="29" t="s">
        <v>219</v>
      </c>
      <c r="L77" s="29" t="s">
        <v>900</v>
      </c>
      <c r="M77" s="33">
        <v>46661.0</v>
      </c>
      <c r="N77" s="31" t="s">
        <v>901</v>
      </c>
      <c r="O77" s="32" t="str">
        <f>HYPERLINK("https://api.typeform.com/responses/files/b8f952efdb4391ab6c9f176cbe504e32ec4920c33540f54b8e9ae7ddbd23cfe8/Transcript___Data_Analysis_Intern___Nguyễn_Đỗ_Bảo.pdf")</f>
        <v>https://api.typeform.com/responses/files/b8f952efdb4391ab6c9f176cbe504e32ec4920c33540f54b8e9ae7ddbd23cfe8/Transcript___Data_Analysis_Intern___Nguyễn_Đỗ_Bảo.pdf</v>
      </c>
      <c r="P77" s="29" t="b">
        <v>1</v>
      </c>
      <c r="Q77" s="29" t="s">
        <v>902</v>
      </c>
      <c r="R77" s="29" t="s">
        <v>401</v>
      </c>
      <c r="S77" s="29" t="s">
        <v>72</v>
      </c>
      <c r="T77" s="29" t="s">
        <v>72</v>
      </c>
      <c r="U77" s="29" t="s">
        <v>269</v>
      </c>
      <c r="V77" s="29"/>
      <c r="W77" s="29"/>
      <c r="X77" s="32" t="str">
        <f>HYPERLINK("https://api.typeform.com/responses/files/df74df34cce58e0508bbfaf80b7b0c65b0befd6e4c7bc95b76218b1bd4320916/CV___Data_Analysis_Intern___Nguyễn_Đỗ_Bảo.pdf")</f>
        <v>https://api.typeform.com/responses/files/df74df34cce58e0508bbfaf80b7b0c65b0befd6e4c7bc95b76218b1bd4320916/CV___Data_Analysis_Intern___Nguyễn_Đỗ_Bảo.pdf</v>
      </c>
      <c r="Y77" s="34">
        <v>46135.326365740744</v>
      </c>
      <c r="Z77" s="29" t="s">
        <v>903</v>
      </c>
      <c r="AA77" s="6">
        <v>1.0</v>
      </c>
      <c r="AB77" s="7" t="s">
        <v>93</v>
      </c>
      <c r="AC77" s="28" t="s">
        <v>6376</v>
      </c>
      <c r="AD77" s="7" t="s">
        <v>6448</v>
      </c>
      <c r="AE77" s="53"/>
      <c r="AF77" s="54" t="str">
        <f t="shared" si="10"/>
        <v/>
      </c>
      <c r="AG77" s="20"/>
      <c r="AH77" s="20"/>
      <c r="AI77" s="20"/>
      <c r="AJ77" s="55"/>
      <c r="AK77" s="27"/>
      <c r="AL77" s="27"/>
      <c r="AM77" s="27"/>
      <c r="AN77" s="27"/>
      <c r="AO77" s="27"/>
      <c r="AP77" s="27"/>
      <c r="AQ77" s="27"/>
      <c r="AR77" s="27"/>
      <c r="AS77" s="27"/>
      <c r="AT77" s="27"/>
      <c r="AU77" s="27"/>
      <c r="AV77" s="27"/>
      <c r="AW77" s="27"/>
      <c r="AX77" s="27"/>
      <c r="AY77" s="27"/>
      <c r="AZ77" s="27"/>
      <c r="BA77" s="27"/>
      <c r="BB77" s="27"/>
    </row>
    <row r="78" ht="22.5" hidden="1" customHeight="1">
      <c r="A78" s="104" t="s">
        <v>904</v>
      </c>
      <c r="B78" s="105">
        <v>38486.0</v>
      </c>
      <c r="C78" s="106" t="s">
        <v>905</v>
      </c>
      <c r="D78" s="107" t="s">
        <v>906</v>
      </c>
      <c r="E78" s="104" t="s">
        <v>61</v>
      </c>
      <c r="F78" s="104" t="s">
        <v>99</v>
      </c>
      <c r="G78" s="104" t="s">
        <v>907</v>
      </c>
      <c r="H78" s="104" t="s">
        <v>908</v>
      </c>
      <c r="I78" s="104" t="s">
        <v>326</v>
      </c>
      <c r="J78" s="104"/>
      <c r="K78" s="104" t="s">
        <v>219</v>
      </c>
      <c r="L78" s="104" t="s">
        <v>909</v>
      </c>
      <c r="M78" s="108">
        <v>46487.0</v>
      </c>
      <c r="N78" s="107" t="s">
        <v>171</v>
      </c>
      <c r="O78" s="32" t="str">
        <f>HYPERLINK("https://api.typeform.com/responses/files/54ddf9056a21b942eaefce0c49985ea288988b8770f9c1c9cb3f00ffb4bdd2de/Transcript___Unity_Development_Intern___Lê_Đức_Ngọc_Bảo.pdf")</f>
        <v>https://api.typeform.com/responses/files/54ddf9056a21b942eaefce0c49985ea288988b8770f9c1c9cb3f00ffb4bdd2de/Transcript___Unity_Development_Intern___Lê_Đức_Ngọc_Bảo.pdf</v>
      </c>
      <c r="P78" s="104" t="b">
        <v>1</v>
      </c>
      <c r="Q78" s="104" t="s">
        <v>910</v>
      </c>
      <c r="R78" s="104" t="s">
        <v>911</v>
      </c>
      <c r="S78" s="104" t="s">
        <v>72</v>
      </c>
      <c r="T78" s="104" t="s">
        <v>72</v>
      </c>
      <c r="U78" s="104" t="s">
        <v>269</v>
      </c>
      <c r="V78" s="104"/>
      <c r="W78" s="104" t="s">
        <v>912</v>
      </c>
      <c r="X78" s="32" t="str">
        <f>HYPERLINK("https://api.typeform.com/responses/files/c71055fd22a8a3aed3133a94e1fa1d02abc143b273777e1ee54743c876bfb166/CV___Unity_Development_Intern___Lê_Đức_Ngọc_Bảo.pdf")</f>
        <v>https://api.typeform.com/responses/files/c71055fd22a8a3aed3133a94e1fa1d02abc143b273777e1ee54743c876bfb166/CV___Unity_Development_Intern___Lê_Đức_Ngọc_Bảo.pdf</v>
      </c>
      <c r="Y78" s="109">
        <v>46135.3283912037</v>
      </c>
      <c r="Z78" s="104" t="s">
        <v>913</v>
      </c>
      <c r="AA78" s="110">
        <v>1.0</v>
      </c>
      <c r="AB78" s="7" t="s">
        <v>93</v>
      </c>
      <c r="AC78" s="111" t="s">
        <v>6377</v>
      </c>
      <c r="AD78" s="106" t="s">
        <v>6449</v>
      </c>
      <c r="AE78" s="28" t="s">
        <v>6379</v>
      </c>
      <c r="AF78" s="54" t="str">
        <f t="shared" si="10"/>
        <v>Quỳnh</v>
      </c>
      <c r="AG78" s="20"/>
      <c r="AH78" s="20" t="e">
        <v>#N/A</v>
      </c>
      <c r="AI78" s="20"/>
      <c r="AJ78" s="55"/>
      <c r="AK78" s="27"/>
      <c r="AL78" s="27"/>
      <c r="AM78" s="27"/>
      <c r="AN78" s="27"/>
      <c r="AO78" s="27"/>
      <c r="AP78" s="27"/>
      <c r="AQ78" s="27"/>
      <c r="AR78" s="27"/>
      <c r="AS78" s="27"/>
      <c r="AT78" s="27"/>
      <c r="AU78" s="27"/>
      <c r="AV78" s="27"/>
      <c r="AW78" s="27"/>
      <c r="AX78" s="27"/>
      <c r="AY78" s="27"/>
      <c r="AZ78" s="27"/>
      <c r="BA78" s="27"/>
      <c r="BB78" s="27"/>
    </row>
    <row r="79" ht="22.5" hidden="1" customHeight="1">
      <c r="A79" s="29" t="s">
        <v>914</v>
      </c>
      <c r="B79" s="30">
        <v>38366.0</v>
      </c>
      <c r="C79" s="7" t="s">
        <v>915</v>
      </c>
      <c r="D79" s="31" t="s">
        <v>916</v>
      </c>
      <c r="E79" s="29" t="s">
        <v>61</v>
      </c>
      <c r="F79" s="29" t="s">
        <v>99</v>
      </c>
      <c r="G79" s="29" t="s">
        <v>917</v>
      </c>
      <c r="H79" s="29" t="s">
        <v>918</v>
      </c>
      <c r="I79" s="29" t="s">
        <v>65</v>
      </c>
      <c r="J79" s="29" t="s">
        <v>919</v>
      </c>
      <c r="K79" s="29" t="s">
        <v>169</v>
      </c>
      <c r="L79" s="29" t="s">
        <v>256</v>
      </c>
      <c r="M79" s="33">
        <v>46270.0</v>
      </c>
      <c r="N79" s="31" t="s">
        <v>920</v>
      </c>
      <c r="O79" s="32" t="str">
        <f>HYPERLINK("https://api.typeform.com/responses/files/550fa4c9cc9d642447388b1d66ee638c31c525971e78c3ee1eb4088c7101787e/Transcript___Unity_Development___Trần_Duy_Anh_Khoa.pdf")</f>
        <v>https://api.typeform.com/responses/files/550fa4c9cc9d642447388b1d66ee638c31c525971e78c3ee1eb4088c7101787e/Transcript___Unity_Development___Trần_Duy_Anh_Khoa.pdf</v>
      </c>
      <c r="P79" s="29" t="b">
        <v>1</v>
      </c>
      <c r="Q79" s="29" t="s">
        <v>921</v>
      </c>
      <c r="R79" s="29" t="s">
        <v>922</v>
      </c>
      <c r="S79" s="29" t="s">
        <v>72</v>
      </c>
      <c r="T79" s="29" t="s">
        <v>72</v>
      </c>
      <c r="U79" s="29" t="s">
        <v>73</v>
      </c>
      <c r="V79" s="29"/>
      <c r="W79" s="29" t="s">
        <v>923</v>
      </c>
      <c r="X79" s="32" t="str">
        <f>HYPERLINK("https://api.typeform.com/responses/files/83f68021392f2dfec9c4ed45da9356bea5c83c8f9d1203f1242e51e15034d923/CV___Unity_Development___Trần_Duy_Anh_Khoa.pdf")</f>
        <v>https://api.typeform.com/responses/files/83f68021392f2dfec9c4ed45da9356bea5c83c8f9d1203f1242e51e15034d923/CV___Unity_Development___Trần_Duy_Anh_Khoa.pdf</v>
      </c>
      <c r="Y79" s="34">
        <v>46135.3290162037</v>
      </c>
      <c r="Z79" s="29" t="s">
        <v>924</v>
      </c>
      <c r="AA79" s="6">
        <v>1.0</v>
      </c>
      <c r="AB79" s="7" t="s">
        <v>93</v>
      </c>
      <c r="AC79" s="28" t="s">
        <v>6377</v>
      </c>
      <c r="AD79" s="7" t="s">
        <v>6450</v>
      </c>
      <c r="AE79" s="28" t="s">
        <v>6379</v>
      </c>
      <c r="AF79" s="54" t="str">
        <f t="shared" si="10"/>
        <v>Quỳnh</v>
      </c>
      <c r="AG79" s="20"/>
      <c r="AH79" s="20" t="e">
        <v>#N/A</v>
      </c>
      <c r="AI79" s="20"/>
      <c r="AJ79" s="55"/>
      <c r="AK79" s="27"/>
      <c r="AL79" s="27"/>
      <c r="AM79" s="27"/>
      <c r="AN79" s="27"/>
      <c r="AO79" s="27"/>
      <c r="AP79" s="27"/>
      <c r="AQ79" s="27"/>
      <c r="AR79" s="27"/>
      <c r="AS79" s="27"/>
      <c r="AT79" s="27"/>
      <c r="AU79" s="27"/>
      <c r="AV79" s="27"/>
      <c r="AW79" s="27"/>
      <c r="AX79" s="27"/>
      <c r="AY79" s="27"/>
      <c r="AZ79" s="27"/>
      <c r="BA79" s="27"/>
      <c r="BB79" s="27"/>
    </row>
    <row r="80" ht="22.5" hidden="1" customHeight="1">
      <c r="A80" s="29" t="s">
        <v>925</v>
      </c>
      <c r="B80" s="30">
        <v>38602.0</v>
      </c>
      <c r="C80" s="7" t="s">
        <v>926</v>
      </c>
      <c r="D80" s="31" t="s">
        <v>927</v>
      </c>
      <c r="E80" s="29" t="s">
        <v>82</v>
      </c>
      <c r="F80" s="29" t="s">
        <v>62</v>
      </c>
      <c r="G80" s="29" t="s">
        <v>928</v>
      </c>
      <c r="H80" s="29" t="s">
        <v>929</v>
      </c>
      <c r="I80" s="29" t="s">
        <v>715</v>
      </c>
      <c r="J80" s="29"/>
      <c r="K80" s="29" t="s">
        <v>219</v>
      </c>
      <c r="L80" s="29" t="s">
        <v>930</v>
      </c>
      <c r="M80" s="33">
        <v>46721.0</v>
      </c>
      <c r="N80" s="31" t="s">
        <v>881</v>
      </c>
      <c r="O80" s="32" t="str">
        <f>HYPERLINK("https://api.typeform.com/responses/files/fe7e058a2298da1de241d20580e2e35bfc3b9750bbfe7ee1ab653978d205ea3b/Transcript___Data_Analysis_Intern___Trần_Gia_Bảo_Anh.pdf")</f>
        <v>https://api.typeform.com/responses/files/fe7e058a2298da1de241d20580e2e35bfc3b9750bbfe7ee1ab653978d205ea3b/Transcript___Data_Analysis_Intern___Trần_Gia_Bảo_Anh.pdf</v>
      </c>
      <c r="P80" s="29" t="b">
        <v>0</v>
      </c>
      <c r="Q80" s="29" t="s">
        <v>931</v>
      </c>
      <c r="R80" s="29" t="s">
        <v>932</v>
      </c>
      <c r="S80" s="29" t="s">
        <v>72</v>
      </c>
      <c r="T80" s="29" t="s">
        <v>72</v>
      </c>
      <c r="U80" s="29" t="s">
        <v>933</v>
      </c>
      <c r="V80" s="29"/>
      <c r="W80" s="29" t="s">
        <v>934</v>
      </c>
      <c r="X80" s="32" t="str">
        <f>HYPERLINK("https://api.typeform.com/responses/files/5fbac08faa6986638bbdaa77be3362f395b7a5432f0b5f0f7dc9af7098525994/CV___Data_Analysis_Intern___Trần_Gia_Bảo_Anh.pdf")</f>
        <v>https://api.typeform.com/responses/files/5fbac08faa6986638bbdaa77be3362f395b7a5432f0b5f0f7dc9af7098525994/CV___Data_Analysis_Intern___Trần_Gia_Bảo_Anh.pdf</v>
      </c>
      <c r="Y80" s="34">
        <v>46135.33064814815</v>
      </c>
      <c r="Z80" s="29" t="s">
        <v>935</v>
      </c>
      <c r="AA80" s="6">
        <v>1.0</v>
      </c>
      <c r="AB80" s="7" t="s">
        <v>93</v>
      </c>
      <c r="AC80" s="28" t="s">
        <v>6376</v>
      </c>
      <c r="AD80" s="20"/>
      <c r="AE80" s="53"/>
      <c r="AF80" s="53"/>
      <c r="AG80" s="20"/>
      <c r="AH80" s="20"/>
      <c r="AI80" s="20"/>
      <c r="AJ80" s="55"/>
      <c r="AK80" s="27"/>
      <c r="AL80" s="27"/>
      <c r="AM80" s="27"/>
      <c r="AN80" s="27"/>
      <c r="AO80" s="27"/>
      <c r="AP80" s="27"/>
      <c r="AQ80" s="27"/>
      <c r="AR80" s="27"/>
      <c r="AS80" s="27"/>
      <c r="AT80" s="27"/>
      <c r="AU80" s="27"/>
      <c r="AV80" s="27"/>
      <c r="AW80" s="27"/>
      <c r="AX80" s="27"/>
      <c r="AY80" s="27"/>
      <c r="AZ80" s="27"/>
      <c r="BA80" s="27"/>
      <c r="BB80" s="27"/>
    </row>
    <row r="81" ht="22.5" hidden="1" customHeight="1">
      <c r="A81" s="29" t="s">
        <v>1265</v>
      </c>
      <c r="B81" s="30">
        <v>38353.0</v>
      </c>
      <c r="C81" s="7" t="s">
        <v>1266</v>
      </c>
      <c r="D81" s="31" t="s">
        <v>1267</v>
      </c>
      <c r="E81" s="29" t="s">
        <v>62</v>
      </c>
      <c r="F81" s="29" t="s">
        <v>82</v>
      </c>
      <c r="G81" s="29" t="s">
        <v>1268</v>
      </c>
      <c r="H81" s="29" t="s">
        <v>1269</v>
      </c>
      <c r="I81" s="29" t="s">
        <v>326</v>
      </c>
      <c r="J81" s="29"/>
      <c r="K81" s="29" t="s">
        <v>219</v>
      </c>
      <c r="L81" s="29" t="s">
        <v>86</v>
      </c>
      <c r="M81" s="33">
        <v>46388.0</v>
      </c>
      <c r="N81" s="31" t="s">
        <v>1270</v>
      </c>
      <c r="O81" s="32" t="str">
        <f>HYPERLINK("https://api.typeform.com/responses/files/6f0ca83af989a79567b3a77bf984a701bc6da54104605cc700804eda7253bd7a/bangdiem.pdf")</f>
        <v>https://api.typeform.com/responses/files/6f0ca83af989a79567b3a77bf984a701bc6da54104605cc700804eda7253bd7a/bangdiem.pdf</v>
      </c>
      <c r="P81" s="29" t="b">
        <v>1</v>
      </c>
      <c r="Q81" s="29" t="s">
        <v>1271</v>
      </c>
      <c r="R81" s="29" t="s">
        <v>1272</v>
      </c>
      <c r="S81" s="29" t="s">
        <v>72</v>
      </c>
      <c r="T81" s="29" t="s">
        <v>72</v>
      </c>
      <c r="U81" s="29" t="s">
        <v>269</v>
      </c>
      <c r="V81" s="29"/>
      <c r="W81" s="29" t="s">
        <v>1273</v>
      </c>
      <c r="X81" s="32" t="str">
        <f>HYPERLINK("https://api.typeform.com/responses/files/3a6acd6d4f4767f4f6e166c2c181a8ddce7024092f9202d14549ab84bd7a9bd0/CV___AI_Engineer_Intern___Nguyen_Thanh_Owen.pdf")</f>
        <v>https://api.typeform.com/responses/files/3a6acd6d4f4767f4f6e166c2c181a8ddce7024092f9202d14549ab84bd7a9bd0/CV___AI_Engineer_Intern___Nguyen_Thanh_Owen.pdf</v>
      </c>
      <c r="Y81" s="34">
        <v>46135.50478009259</v>
      </c>
      <c r="Z81" s="29" t="s">
        <v>1274</v>
      </c>
      <c r="AA81" s="11">
        <v>1.0</v>
      </c>
      <c r="AB81" s="58" t="s">
        <v>6381</v>
      </c>
      <c r="AC81" s="28" t="s">
        <v>6376</v>
      </c>
      <c r="AD81" s="7" t="s">
        <v>6451</v>
      </c>
      <c r="AE81" s="54"/>
      <c r="AF81" s="53"/>
      <c r="AG81" s="20"/>
      <c r="AH81" s="20"/>
      <c r="AI81" s="20"/>
      <c r="AJ81" s="55"/>
      <c r="AK81" s="27"/>
      <c r="AL81" s="27"/>
      <c r="AM81" s="27"/>
      <c r="AN81" s="27"/>
      <c r="AO81" s="27"/>
      <c r="AP81" s="27"/>
      <c r="AQ81" s="27"/>
      <c r="AR81" s="27"/>
      <c r="AS81" s="27"/>
      <c r="AT81" s="27"/>
      <c r="AU81" s="27"/>
      <c r="AV81" s="27"/>
      <c r="AW81" s="27"/>
      <c r="AX81" s="27"/>
      <c r="AY81" s="27"/>
      <c r="AZ81" s="27"/>
      <c r="BA81" s="27"/>
      <c r="BB81" s="27"/>
    </row>
    <row r="82" ht="22.5" hidden="1" customHeight="1">
      <c r="A82" s="112" t="s">
        <v>272</v>
      </c>
      <c r="B82" s="113">
        <v>37623.0</v>
      </c>
      <c r="C82" s="85" t="s">
        <v>273</v>
      </c>
      <c r="D82" s="114" t="s">
        <v>274</v>
      </c>
      <c r="E82" s="112" t="s">
        <v>62</v>
      </c>
      <c r="F82" s="112" t="s">
        <v>82</v>
      </c>
      <c r="G82" s="112" t="s">
        <v>275</v>
      </c>
      <c r="H82" s="112" t="s">
        <v>276</v>
      </c>
      <c r="I82" s="112" t="s">
        <v>277</v>
      </c>
      <c r="J82" s="112"/>
      <c r="K82" s="112" t="s">
        <v>67</v>
      </c>
      <c r="L82" s="112" t="s">
        <v>278</v>
      </c>
      <c r="M82" s="115">
        <v>46234.0</v>
      </c>
      <c r="N82" s="112" t="s">
        <v>279</v>
      </c>
      <c r="O82" s="116" t="str">
        <f>HYPERLINK("https://api.typeform.com/responses/files/32a39f2241d205e2501fd82b9c0e9d929733317670a5a619458cad22954c4171/Transcripts___AI_Engineering_Intern___Phan_Đình_Thái.pdf")</f>
        <v>https://api.typeform.com/responses/files/32a39f2241d205e2501fd82b9c0e9d929733317670a5a619458cad22954c4171/Transcripts___AI_Engineering_Intern___Phan_Đình_Thái.pdf</v>
      </c>
      <c r="P82" s="112" t="b">
        <v>1</v>
      </c>
      <c r="Q82" s="112" t="s">
        <v>280</v>
      </c>
      <c r="R82" s="117" t="s">
        <v>281</v>
      </c>
      <c r="S82" s="112" t="s">
        <v>72</v>
      </c>
      <c r="T82" s="112" t="s">
        <v>72</v>
      </c>
      <c r="U82" s="112" t="s">
        <v>73</v>
      </c>
      <c r="V82" s="112"/>
      <c r="W82" s="112"/>
      <c r="X82" s="116" t="str">
        <f>HYPERLINK("https://api.typeform.com/responses/files/ee0dd682bb1d771392c8eb91ba1ed3cfe9f368026e14433af0d78829e461f8dc/CV___AI_Engineering_Intern___Phan_Đình_Thái.pdf")</f>
        <v>https://api.typeform.com/responses/files/ee0dd682bb1d771392c8eb91ba1ed3cfe9f368026e14433af0d78829e461f8dc/CV___AI_Engineering_Intern___Phan_Đình_Thái.pdf</v>
      </c>
      <c r="Y82" s="118">
        <v>46134.57943287037</v>
      </c>
      <c r="Z82" s="112" t="s">
        <v>282</v>
      </c>
      <c r="AA82" s="90">
        <v>1.0</v>
      </c>
      <c r="AB82" s="91" t="s">
        <v>6381</v>
      </c>
      <c r="AC82" s="92" t="s">
        <v>6376</v>
      </c>
      <c r="AD82" s="112"/>
      <c r="AE82" s="93"/>
      <c r="AF82" s="53"/>
      <c r="AG82" s="20"/>
      <c r="AH82" s="20"/>
      <c r="AI82" s="20"/>
      <c r="AJ82" s="55"/>
      <c r="AK82" s="27"/>
      <c r="AL82" s="27"/>
      <c r="AM82" s="27"/>
      <c r="AN82" s="27"/>
      <c r="AO82" s="27"/>
      <c r="AP82" s="27"/>
      <c r="AQ82" s="27"/>
      <c r="AR82" s="27"/>
      <c r="AS82" s="27"/>
      <c r="AT82" s="27"/>
      <c r="AU82" s="27"/>
      <c r="AV82" s="27"/>
      <c r="AW82" s="27"/>
      <c r="AX82" s="27"/>
      <c r="AY82" s="27"/>
      <c r="AZ82" s="27"/>
      <c r="BA82" s="27"/>
      <c r="BB82" s="27"/>
    </row>
    <row r="83" ht="22.5" hidden="1" customHeight="1">
      <c r="A83" s="83" t="s">
        <v>956</v>
      </c>
      <c r="B83" s="84">
        <v>37442.0</v>
      </c>
      <c r="C83" s="85" t="s">
        <v>957</v>
      </c>
      <c r="D83" s="86" t="s">
        <v>958</v>
      </c>
      <c r="E83" s="83" t="s">
        <v>62</v>
      </c>
      <c r="F83" s="83"/>
      <c r="G83" s="83" t="s">
        <v>959</v>
      </c>
      <c r="H83" s="83" t="s">
        <v>960</v>
      </c>
      <c r="I83" s="83" t="s">
        <v>65</v>
      </c>
      <c r="J83" s="83" t="s">
        <v>961</v>
      </c>
      <c r="K83" s="83" t="s">
        <v>103</v>
      </c>
      <c r="L83" s="83" t="s">
        <v>570</v>
      </c>
      <c r="M83" s="87">
        <v>45838.0</v>
      </c>
      <c r="N83" s="86" t="s">
        <v>962</v>
      </c>
      <c r="O83" s="88" t="str">
        <f>HYPERLINK("https://api.typeform.com/responses/files/f45b99150e6efe4fea979401ceddf1ffadcb0ae92e9b36c1337bd498bc1c231c/Transcript___AI_Engineering_Intern___Nguyễn_Hoàng_Anh_Tuấn.jpg")</f>
        <v>https://api.typeform.com/responses/files/f45b99150e6efe4fea979401ceddf1ffadcb0ae92e9b36c1337bd498bc1c231c/Transcript___AI_Engineering_Intern___Nguyễn_Hoàng_Anh_Tuấn.jpg</v>
      </c>
      <c r="P83" s="83" t="b">
        <v>1</v>
      </c>
      <c r="Q83" s="83" t="s">
        <v>963</v>
      </c>
      <c r="R83" s="83" t="s">
        <v>964</v>
      </c>
      <c r="S83" s="83" t="s">
        <v>72</v>
      </c>
      <c r="T83" s="83" t="s">
        <v>72</v>
      </c>
      <c r="U83" s="83" t="s">
        <v>224</v>
      </c>
      <c r="V83" s="83"/>
      <c r="W83" s="83" t="s">
        <v>965</v>
      </c>
      <c r="X83" s="88" t="str">
        <f>HYPERLINK("https://api.typeform.com/responses/files/2f89cded93fd97744b80dd6ac511ca22cfd52eda910d93696bcb30beb2f11a1d/CV___AI_Engineering_Intern___Nguyễn_Hoàng_Anh_Tuấn.pdf")</f>
        <v>https://api.typeform.com/responses/files/2f89cded93fd97744b80dd6ac511ca22cfd52eda910d93696bcb30beb2f11a1d/CV___AI_Engineering_Intern___Nguyễn_Hoàng_Anh_Tuấn.pdf</v>
      </c>
      <c r="Y83" s="89">
        <v>46135.34069444444</v>
      </c>
      <c r="Z83" s="83" t="s">
        <v>966</v>
      </c>
      <c r="AA83" s="90">
        <v>1.0</v>
      </c>
      <c r="AB83" s="91" t="s">
        <v>6381</v>
      </c>
      <c r="AC83" s="92" t="s">
        <v>6376</v>
      </c>
      <c r="AD83" s="112"/>
      <c r="AE83" s="93"/>
      <c r="AF83" s="53"/>
      <c r="AG83" s="20"/>
      <c r="AH83" s="20"/>
      <c r="AI83" s="20"/>
      <c r="AJ83" s="55"/>
      <c r="AK83" s="27"/>
      <c r="AL83" s="27"/>
      <c r="AM83" s="27"/>
      <c r="AN83" s="27"/>
      <c r="AO83" s="27"/>
      <c r="AP83" s="27"/>
      <c r="AQ83" s="27"/>
      <c r="AR83" s="27"/>
      <c r="AS83" s="27"/>
      <c r="AT83" s="27"/>
      <c r="AU83" s="27"/>
      <c r="AV83" s="27"/>
      <c r="AW83" s="27"/>
      <c r="AX83" s="27"/>
      <c r="AY83" s="27"/>
      <c r="AZ83" s="27"/>
      <c r="BA83" s="27"/>
      <c r="BB83" s="27"/>
    </row>
    <row r="84" ht="22.5" hidden="1" customHeight="1">
      <c r="A84" s="29" t="s">
        <v>967</v>
      </c>
      <c r="B84" s="30">
        <v>38656.0</v>
      </c>
      <c r="C84" s="7" t="s">
        <v>968</v>
      </c>
      <c r="D84" s="31" t="s">
        <v>969</v>
      </c>
      <c r="E84" s="29" t="s">
        <v>61</v>
      </c>
      <c r="F84" s="29" t="s">
        <v>99</v>
      </c>
      <c r="G84" s="29" t="s">
        <v>970</v>
      </c>
      <c r="H84" s="29" t="s">
        <v>971</v>
      </c>
      <c r="I84" s="29" t="s">
        <v>326</v>
      </c>
      <c r="J84" s="29"/>
      <c r="K84" s="29" t="s">
        <v>219</v>
      </c>
      <c r="L84" s="29" t="s">
        <v>972</v>
      </c>
      <c r="M84" s="33">
        <v>46599.0</v>
      </c>
      <c r="N84" s="31" t="s">
        <v>973</v>
      </c>
      <c r="O84" s="32" t="str">
        <f>HYPERLINK("https://api.typeform.com/responses/files/87a3aff02bcaebfc6e087ffad7f8fb10719c4c0a29df83bb9e54e59330e51c9e/Transcript___Unity_Development_Intern___Nguyễn_Hiếu_Thuận.pdf")</f>
        <v>https://api.typeform.com/responses/files/87a3aff02bcaebfc6e087ffad7f8fb10719c4c0a29df83bb9e54e59330e51c9e/Transcript___Unity_Development_Intern___Nguyễn_Hiếu_Thuận.pdf</v>
      </c>
      <c r="P84" s="29" t="b">
        <v>1</v>
      </c>
      <c r="Q84" s="29" t="s">
        <v>974</v>
      </c>
      <c r="R84" s="29" t="s">
        <v>975</v>
      </c>
      <c r="S84" s="29" t="s">
        <v>72</v>
      </c>
      <c r="T84" s="29" t="s">
        <v>72</v>
      </c>
      <c r="U84" s="29" t="s">
        <v>976</v>
      </c>
      <c r="V84" s="29"/>
      <c r="W84" s="29" t="s">
        <v>977</v>
      </c>
      <c r="X84" s="32" t="str">
        <f>HYPERLINK("https://api.typeform.com/responses/files/13ce1c138308c19e310ea2f0e1b72e024da1faca71de2034d5f5855655e7f4de/CV___Unity_Development_Intern___Nguyễn_Hiếu_Thuận.pdf")</f>
        <v>https://api.typeform.com/responses/files/13ce1c138308c19e310ea2f0e1b72e024da1faca71de2034d5f5855655e7f4de/CV___Unity_Development_Intern___Nguyễn_Hiếu_Thuận.pdf</v>
      </c>
      <c r="Y84" s="34">
        <v>46135.342094907406</v>
      </c>
      <c r="Z84" s="29" t="s">
        <v>978</v>
      </c>
      <c r="AA84" s="6">
        <v>1.0</v>
      </c>
      <c r="AB84" s="7" t="s">
        <v>93</v>
      </c>
      <c r="AC84" s="28" t="s">
        <v>6377</v>
      </c>
      <c r="AD84" s="7" t="s">
        <v>6452</v>
      </c>
      <c r="AE84" s="28" t="s">
        <v>6379</v>
      </c>
      <c r="AF84" s="54" t="str">
        <f>IFERROR(
  IFS(
    AND(OR(AE84="Test",AE84="Chờ test",AE84="Test Review",AE84="Passed",AE84="Failed"), OR(E84="Game User Acquisition Intern",E84="Game Design Intern")), "Nhiên",
    AND(OR(AE84="Test",AE84="Chờ test",AE84="Test Review",AE84="Passed",AE84="Failed"), E84&lt;&gt;"Human Resources Intern", NOT(OR(E84="Game User Acquisition Intern",E84="Game Design Intern"))), "Quỳnh",
    AND(OR(AE84="Test",AE84="Chờ test",AE84="Test Review",AE84="Passed",AE84="Failed"), E84="Human Resources Intern"), "AUTO"
  ),
"")</f>
        <v>Quỳnh</v>
      </c>
      <c r="AG84" s="20"/>
      <c r="AH84" s="20" t="e">
        <v>#N/A</v>
      </c>
      <c r="AI84" s="20"/>
      <c r="AJ84" s="55"/>
      <c r="AK84" s="27"/>
      <c r="AL84" s="27"/>
      <c r="AM84" s="27"/>
      <c r="AN84" s="27"/>
      <c r="AO84" s="27"/>
      <c r="AP84" s="27"/>
      <c r="AQ84" s="27"/>
      <c r="AR84" s="27"/>
      <c r="AS84" s="27"/>
      <c r="AT84" s="27"/>
      <c r="AU84" s="27"/>
      <c r="AV84" s="27"/>
      <c r="AW84" s="27"/>
      <c r="AX84" s="27"/>
      <c r="AY84" s="27"/>
      <c r="AZ84" s="27"/>
      <c r="BA84" s="27"/>
      <c r="BB84" s="27"/>
    </row>
    <row r="85" ht="22.5" hidden="1" customHeight="1">
      <c r="A85" s="97" t="s">
        <v>979</v>
      </c>
      <c r="B85" s="98">
        <v>38303.0</v>
      </c>
      <c r="C85" s="62" t="s">
        <v>980</v>
      </c>
      <c r="D85" s="99" t="s">
        <v>981</v>
      </c>
      <c r="E85" s="97" t="s">
        <v>99</v>
      </c>
      <c r="F85" s="97" t="s">
        <v>633</v>
      </c>
      <c r="G85" s="97" t="s">
        <v>982</v>
      </c>
      <c r="H85" s="97" t="s">
        <v>983</v>
      </c>
      <c r="I85" s="60" t="s">
        <v>338</v>
      </c>
      <c r="J85" s="97"/>
      <c r="K85" s="97" t="s">
        <v>67</v>
      </c>
      <c r="L85" s="97" t="s">
        <v>984</v>
      </c>
      <c r="M85" s="100">
        <v>46264.0</v>
      </c>
      <c r="N85" s="99" t="s">
        <v>780</v>
      </c>
      <c r="O85" s="101" t="str">
        <f>HYPERLINK("https://api.typeform.com/responses/files/5613931a0bdc98fdc21b76b3f228a064f1d2e732917696f89c19f5b8b659fefc/IMG_1543.jpeg")</f>
        <v>https://api.typeform.com/responses/files/5613931a0bdc98fdc21b76b3f228a064f1d2e732917696f89c19f5b8b659fefc/IMG_1543.jpeg</v>
      </c>
      <c r="P85" s="97" t="b">
        <v>1</v>
      </c>
      <c r="Q85" s="97" t="s">
        <v>985</v>
      </c>
      <c r="R85" s="97" t="s">
        <v>986</v>
      </c>
      <c r="S85" s="97" t="s">
        <v>72</v>
      </c>
      <c r="T85" s="97" t="s">
        <v>72</v>
      </c>
      <c r="U85" s="97" t="s">
        <v>73</v>
      </c>
      <c r="V85" s="97"/>
      <c r="W85" s="97" t="s">
        <v>987</v>
      </c>
      <c r="X85" s="101" t="str">
        <f>HYPERLINK("https://api.typeform.com/responses/files/315a712f04491fb9709779bd6bbd3d94d46fb1bfc745cb8d9ba733cad569c785/cv.pdf")</f>
        <v>https://api.typeform.com/responses/files/315a712f04491fb9709779bd6bbd3d94d46fb1bfc745cb8d9ba733cad569c785/cv.pdf</v>
      </c>
      <c r="Y85" s="102">
        <v>46135.345046296294</v>
      </c>
      <c r="Z85" s="97" t="s">
        <v>988</v>
      </c>
      <c r="AA85" s="68">
        <v>1.0</v>
      </c>
      <c r="AB85" s="69" t="s">
        <v>6381</v>
      </c>
      <c r="AC85" s="70" t="s">
        <v>6376</v>
      </c>
      <c r="AD85" s="60"/>
      <c r="AE85" s="71"/>
      <c r="AF85" s="53"/>
      <c r="AG85" s="20"/>
      <c r="AH85" s="20"/>
      <c r="AI85" s="20"/>
      <c r="AJ85" s="55"/>
      <c r="AK85" s="27"/>
      <c r="AL85" s="27"/>
      <c r="AM85" s="27"/>
      <c r="AN85" s="27"/>
      <c r="AO85" s="27"/>
      <c r="AP85" s="27"/>
      <c r="AQ85" s="27"/>
      <c r="AR85" s="27"/>
      <c r="AS85" s="27"/>
      <c r="AT85" s="27"/>
      <c r="AU85" s="27"/>
      <c r="AV85" s="27"/>
      <c r="AW85" s="27"/>
      <c r="AX85" s="27"/>
      <c r="AY85" s="27"/>
      <c r="AZ85" s="27"/>
      <c r="BA85" s="27"/>
      <c r="BB85" s="27"/>
    </row>
    <row r="86" ht="22.5" hidden="1" customHeight="1">
      <c r="A86" s="20" t="s">
        <v>303</v>
      </c>
      <c r="B86" s="21">
        <v>38208.0</v>
      </c>
      <c r="C86" s="7" t="s">
        <v>304</v>
      </c>
      <c r="D86" s="22" t="s">
        <v>305</v>
      </c>
      <c r="E86" s="20" t="s">
        <v>62</v>
      </c>
      <c r="F86" s="20" t="s">
        <v>82</v>
      </c>
      <c r="G86" s="20" t="s">
        <v>306</v>
      </c>
      <c r="H86" s="20" t="s">
        <v>307</v>
      </c>
      <c r="I86" s="20" t="s">
        <v>85</v>
      </c>
      <c r="J86" s="20"/>
      <c r="K86" s="20" t="s">
        <v>103</v>
      </c>
      <c r="L86" s="20" t="s">
        <v>308</v>
      </c>
      <c r="M86" s="24">
        <v>46185.0</v>
      </c>
      <c r="N86" s="22" t="s">
        <v>309</v>
      </c>
      <c r="O86" s="23" t="str">
        <f>HYPERLINK("https://api.typeform.com/responses/files/aec9ee77beb60ce0615124d212aa8d38203db7389e67ebca493c86f6b27aaa81/NguyenHungPhat_Academic.pdf")</f>
        <v>https://api.typeform.com/responses/files/aec9ee77beb60ce0615124d212aa8d38203db7389e67ebca493c86f6b27aaa81/NguyenHungPhat_Academic.pdf</v>
      </c>
      <c r="P86" s="20" t="b">
        <v>0</v>
      </c>
      <c r="Q86" s="20" t="s">
        <v>300</v>
      </c>
      <c r="R86" s="25" t="s">
        <v>310</v>
      </c>
      <c r="S86" s="20" t="s">
        <v>72</v>
      </c>
      <c r="T86" s="20" t="s">
        <v>72</v>
      </c>
      <c r="U86" s="20" t="s">
        <v>269</v>
      </c>
      <c r="V86" s="20"/>
      <c r="W86" s="20"/>
      <c r="X86" s="23" t="str">
        <f>HYPERLINK("https://api.typeform.com/responses/files/3c6a52aa01e5a74e1c7916912deed381030556df188e16cb493301cc5c04b70c/CV_Nguyen_Hung_Phat.pdf")</f>
        <v>https://api.typeform.com/responses/files/3c6a52aa01e5a74e1c7916912deed381030556df188e16cb493301cc5c04b70c/CV_Nguyen_Hung_Phat.pdf</v>
      </c>
      <c r="Y86" s="26">
        <v>46134.59475694445</v>
      </c>
      <c r="Z86" s="20" t="s">
        <v>311</v>
      </c>
      <c r="AA86" s="6">
        <v>1.0</v>
      </c>
      <c r="AB86" s="58" t="s">
        <v>6381</v>
      </c>
      <c r="AC86" s="28" t="s">
        <v>6377</v>
      </c>
      <c r="AD86" s="7" t="s">
        <v>6453</v>
      </c>
      <c r="AE86" s="28" t="s">
        <v>6379</v>
      </c>
      <c r="AF86" s="54" t="str">
        <f t="shared" ref="AF86:AF88" si="11">IFERROR(
  IFS(
    AND(OR(AE86="Test",AE86="Chờ test",AE86="Test Review",AE86="Passed",AE86="Failed"), OR(E86="Game User Acquisition Intern",E86="Game Design Intern")), "Nhiên",
    AND(OR(AE86="Test",AE86="Chờ test",AE86="Test Review",AE86="Passed",AE86="Failed"), E86&lt;&gt;"Human Resources Intern", NOT(OR(E86="Game User Acquisition Intern",E86="Game Design Intern"))), "Quỳnh",
    AND(OR(AE86="Test",AE86="Chờ test",AE86="Test Review",AE86="Passed",AE86="Failed"), E86="Human Resources Intern"), "AUTO"
  ),
"")</f>
        <v>Quỳnh</v>
      </c>
      <c r="AG86" s="20"/>
      <c r="AH86" s="59" t="s">
        <v>6454</v>
      </c>
      <c r="AI86" s="20"/>
      <c r="AJ86" s="55"/>
      <c r="AK86" s="27"/>
      <c r="AL86" s="27"/>
      <c r="AM86" s="27"/>
      <c r="AN86" s="27"/>
      <c r="AO86" s="27"/>
      <c r="AP86" s="27"/>
      <c r="AQ86" s="27"/>
      <c r="AR86" s="27"/>
      <c r="AS86" s="27"/>
      <c r="AT86" s="27"/>
      <c r="AU86" s="27"/>
      <c r="AV86" s="27"/>
      <c r="AW86" s="27"/>
      <c r="AX86" s="27"/>
      <c r="AY86" s="27"/>
      <c r="AZ86" s="27"/>
      <c r="BA86" s="27"/>
      <c r="BB86" s="27"/>
    </row>
    <row r="87" ht="22.5" hidden="1" customHeight="1">
      <c r="A87" s="20" t="s">
        <v>407</v>
      </c>
      <c r="B87" s="21">
        <v>38017.0</v>
      </c>
      <c r="C87" s="7" t="s">
        <v>408</v>
      </c>
      <c r="D87" s="22" t="s">
        <v>409</v>
      </c>
      <c r="E87" s="20" t="s">
        <v>62</v>
      </c>
      <c r="F87" s="20"/>
      <c r="G87" s="20" t="s">
        <v>410</v>
      </c>
      <c r="H87" s="20" t="s">
        <v>411</v>
      </c>
      <c r="I87" s="20" t="s">
        <v>85</v>
      </c>
      <c r="J87" s="20"/>
      <c r="K87" s="20" t="s">
        <v>103</v>
      </c>
      <c r="L87" s="20" t="s">
        <v>412</v>
      </c>
      <c r="M87" s="24">
        <v>38076.0</v>
      </c>
      <c r="N87" s="22" t="s">
        <v>413</v>
      </c>
      <c r="O87" s="23" t="str">
        <f>HYPERLINK("https://api.typeform.com/responses/files/6be9ec4d71904347ff7f5f8e5faab8d1dbb6e7d05e2054f9b7dac2e952d52196/Transcript___AI_Engineer_Intern___Nguyễn_Đình_Quân.pdf")</f>
        <v>https://api.typeform.com/responses/files/6be9ec4d71904347ff7f5f8e5faab8d1dbb6e7d05e2054f9b7dac2e952d52196/Transcript___AI_Engineer_Intern___Nguyễn_Đình_Quân.pdf</v>
      </c>
      <c r="P87" s="20" t="b">
        <v>0</v>
      </c>
      <c r="Q87" s="20" t="s">
        <v>414</v>
      </c>
      <c r="R87" s="25" t="s">
        <v>415</v>
      </c>
      <c r="S87" s="20" t="s">
        <v>72</v>
      </c>
      <c r="T87" s="20" t="s">
        <v>72</v>
      </c>
      <c r="U87" s="20" t="s">
        <v>269</v>
      </c>
      <c r="V87" s="20"/>
      <c r="W87" s="20" t="s">
        <v>416</v>
      </c>
      <c r="X87" s="23" t="str">
        <f>HYPERLINK("https://api.typeform.com/responses/files/f5bf755277ab2ea133a66c36a4d97eb480b102d604bca6e2509ef5b40d82a528/CV___AI_Engineer_Intern___Nguyễn_Đình_Quân.pdf")</f>
        <v>https://api.typeform.com/responses/files/f5bf755277ab2ea133a66c36a4d97eb480b102d604bca6e2509ef5b40d82a528/CV___AI_Engineer_Intern___Nguyễn_Đình_Quân.pdf</v>
      </c>
      <c r="Y87" s="26">
        <v>46134.67152777778</v>
      </c>
      <c r="Z87" s="20" t="s">
        <v>417</v>
      </c>
      <c r="AA87" s="6">
        <v>1.0</v>
      </c>
      <c r="AB87" s="58" t="s">
        <v>6381</v>
      </c>
      <c r="AC87" s="28" t="s">
        <v>6377</v>
      </c>
      <c r="AD87" s="95" t="s">
        <v>6455</v>
      </c>
      <c r="AE87" s="28" t="s">
        <v>6397</v>
      </c>
      <c r="AF87" s="54" t="str">
        <f t="shared" si="11"/>
        <v/>
      </c>
      <c r="AG87" s="20"/>
      <c r="AH87" s="20" t="e">
        <v>#N/A</v>
      </c>
      <c r="AI87" s="20"/>
      <c r="AJ87" s="55"/>
      <c r="AK87" s="27"/>
      <c r="AL87" s="27"/>
      <c r="AM87" s="27"/>
      <c r="AN87" s="27"/>
      <c r="AO87" s="27"/>
      <c r="AP87" s="27"/>
      <c r="AQ87" s="27"/>
      <c r="AR87" s="27"/>
      <c r="AS87" s="27"/>
      <c r="AT87" s="27"/>
      <c r="AU87" s="27"/>
      <c r="AV87" s="27"/>
      <c r="AW87" s="27"/>
      <c r="AX87" s="27"/>
      <c r="AY87" s="27"/>
      <c r="AZ87" s="27"/>
      <c r="BA87" s="27"/>
      <c r="BB87" s="27"/>
    </row>
    <row r="88" ht="22.5" hidden="1" customHeight="1">
      <c r="A88" s="29" t="s">
        <v>1008</v>
      </c>
      <c r="B88" s="30">
        <v>38547.0</v>
      </c>
      <c r="C88" s="7" t="s">
        <v>1009</v>
      </c>
      <c r="D88" s="31" t="s">
        <v>1010</v>
      </c>
      <c r="E88" s="29" t="s">
        <v>127</v>
      </c>
      <c r="F88" s="29" t="s">
        <v>99</v>
      </c>
      <c r="G88" s="29" t="s">
        <v>1011</v>
      </c>
      <c r="H88" s="29" t="s">
        <v>1012</v>
      </c>
      <c r="I88" s="29" t="s">
        <v>326</v>
      </c>
      <c r="J88" s="29"/>
      <c r="K88" s="29" t="s">
        <v>219</v>
      </c>
      <c r="L88" s="29" t="s">
        <v>298</v>
      </c>
      <c r="M88" s="33">
        <v>46690.0</v>
      </c>
      <c r="N88" s="31" t="s">
        <v>1013</v>
      </c>
      <c r="O88" s="32" t="str">
        <f>HYPERLINK("https://api.typeform.com/responses/files/d2fb59e96097f4cbcb9aea592b0050d4cbf111b712534a2d71cf235e92dc1a72/Transcript___Quality_Assurance_Intern___Ngô_Thế_Đạt.pdf")</f>
        <v>https://api.typeform.com/responses/files/d2fb59e96097f4cbcb9aea592b0050d4cbf111b712534a2d71cf235e92dc1a72/Transcript___Quality_Assurance_Intern___Ngô_Thế_Đạt.pdf</v>
      </c>
      <c r="P88" s="29" t="b">
        <v>0</v>
      </c>
      <c r="Q88" s="29" t="s">
        <v>1014</v>
      </c>
      <c r="R88" s="29" t="s">
        <v>1015</v>
      </c>
      <c r="S88" s="29" t="s">
        <v>72</v>
      </c>
      <c r="T88" s="29" t="s">
        <v>72</v>
      </c>
      <c r="U88" s="29" t="s">
        <v>269</v>
      </c>
      <c r="V88" s="29"/>
      <c r="W88" s="29" t="s">
        <v>1016</v>
      </c>
      <c r="X88" s="32" t="str">
        <f>HYPERLINK("https://api.typeform.com/responses/files/595deea966c478bd9aa0278e4b89a07d0d466ff734da064ecc46364c044d03e3/CV___Quality_Assurance_Intern___Ngô_Thế_Đạt.pdf")</f>
        <v>https://api.typeform.com/responses/files/595deea966c478bd9aa0278e4b89a07d0d466ff734da064ecc46364c044d03e3/CV___Quality_Assurance_Intern___Ngô_Thế_Đạt.pdf</v>
      </c>
      <c r="Y88" s="34">
        <v>46135.356886574074</v>
      </c>
      <c r="Z88" s="29" t="s">
        <v>1017</v>
      </c>
      <c r="AA88" s="6">
        <v>1.0</v>
      </c>
      <c r="AB88" s="7" t="s">
        <v>109</v>
      </c>
      <c r="AC88" s="28" t="s">
        <v>6377</v>
      </c>
      <c r="AD88" s="20"/>
      <c r="AE88" s="28" t="s">
        <v>6379</v>
      </c>
      <c r="AF88" s="54" t="str">
        <f t="shared" si="11"/>
        <v>Quỳnh</v>
      </c>
      <c r="AG88" s="119"/>
      <c r="AH88" s="59" t="s">
        <v>6456</v>
      </c>
      <c r="AI88" s="20"/>
      <c r="AJ88" s="55"/>
      <c r="AK88" s="27"/>
      <c r="AL88" s="27"/>
      <c r="AM88" s="27"/>
      <c r="AN88" s="27"/>
      <c r="AO88" s="27"/>
      <c r="AP88" s="27"/>
      <c r="AQ88" s="27"/>
      <c r="AR88" s="27"/>
      <c r="AS88" s="27"/>
      <c r="AT88" s="27"/>
      <c r="AU88" s="27"/>
      <c r="AV88" s="27"/>
      <c r="AW88" s="27"/>
      <c r="AX88" s="27"/>
      <c r="AY88" s="27"/>
      <c r="AZ88" s="27"/>
      <c r="BA88" s="27"/>
      <c r="BB88" s="27"/>
    </row>
    <row r="89" ht="22.5" hidden="1" customHeight="1">
      <c r="A89" s="29" t="s">
        <v>1018</v>
      </c>
      <c r="B89" s="30">
        <v>38581.0</v>
      </c>
      <c r="C89" s="7" t="s">
        <v>1019</v>
      </c>
      <c r="D89" s="31" t="s">
        <v>1020</v>
      </c>
      <c r="E89" s="29" t="s">
        <v>61</v>
      </c>
      <c r="F89" s="29" t="s">
        <v>99</v>
      </c>
      <c r="G89" s="29" t="s">
        <v>1021</v>
      </c>
      <c r="H89" s="29" t="s">
        <v>1022</v>
      </c>
      <c r="I89" s="29" t="s">
        <v>1023</v>
      </c>
      <c r="J89" s="29"/>
      <c r="K89" s="29" t="s">
        <v>219</v>
      </c>
      <c r="L89" s="29" t="s">
        <v>132</v>
      </c>
      <c r="M89" s="33">
        <v>46497.0</v>
      </c>
      <c r="N89" s="31" t="s">
        <v>221</v>
      </c>
      <c r="O89" s="32" t="str">
        <f>HYPERLINK("https://api.typeform.com/responses/files/dc696662f8d3c56da2eb98a90c6777b9992dbdb528117317daab4cc22e00f60f/Transcript___Unity_Development_Intern___Âu_Gia_Quốc.html")</f>
        <v>https://api.typeform.com/responses/files/dc696662f8d3c56da2eb98a90c6777b9992dbdb528117317daab4cc22e00f60f/Transcript___Unity_Development_Intern___Âu_Gia_Quốc.html</v>
      </c>
      <c r="P89" s="29" t="b">
        <v>1</v>
      </c>
      <c r="Q89" s="29" t="s">
        <v>1024</v>
      </c>
      <c r="R89" s="29" t="s">
        <v>1025</v>
      </c>
      <c r="S89" s="29" t="s">
        <v>72</v>
      </c>
      <c r="T89" s="29" t="s">
        <v>72</v>
      </c>
      <c r="U89" s="29" t="s">
        <v>1026</v>
      </c>
      <c r="V89" s="29"/>
      <c r="W89" s="29" t="s">
        <v>1027</v>
      </c>
      <c r="X89" s="32" t="str">
        <f>HYPERLINK("https://api.typeform.com/responses/files/842c0863455320e109ac433218682c262ea07b21c249d8e0f2330ad5bab3d5c1/CV___Unity_Devolopment_Intern___Âu_Gia_Quốc.pdf")</f>
        <v>https://api.typeform.com/responses/files/842c0863455320e109ac433218682c262ea07b21c249d8e0f2330ad5bab3d5c1/CV___Unity_Devolopment_Intern___Âu_Gia_Quốc.pdf</v>
      </c>
      <c r="Y89" s="34">
        <v>46135.36101851852</v>
      </c>
      <c r="Z89" s="29" t="s">
        <v>1028</v>
      </c>
      <c r="AA89" s="6">
        <v>1.0</v>
      </c>
      <c r="AB89" s="7" t="s">
        <v>93</v>
      </c>
      <c r="AC89" s="28" t="s">
        <v>6376</v>
      </c>
      <c r="AD89" s="7" t="s">
        <v>6457</v>
      </c>
      <c r="AE89" s="53"/>
      <c r="AF89" s="54"/>
      <c r="AG89" s="20"/>
      <c r="AH89" s="20"/>
      <c r="AI89" s="20"/>
      <c r="AJ89" s="55"/>
      <c r="AK89" s="27"/>
      <c r="AL89" s="27"/>
      <c r="AM89" s="27"/>
      <c r="AN89" s="27"/>
      <c r="AO89" s="27"/>
      <c r="AP89" s="27"/>
      <c r="AQ89" s="27"/>
      <c r="AR89" s="27"/>
      <c r="AS89" s="27"/>
      <c r="AT89" s="27"/>
      <c r="AU89" s="27"/>
      <c r="AV89" s="27"/>
      <c r="AW89" s="27"/>
      <c r="AX89" s="27"/>
      <c r="AY89" s="27"/>
      <c r="AZ89" s="27"/>
      <c r="BA89" s="27"/>
      <c r="BB89" s="27"/>
    </row>
    <row r="90" ht="22.5" hidden="1" customHeight="1">
      <c r="A90" s="29" t="s">
        <v>1029</v>
      </c>
      <c r="B90" s="30">
        <v>37774.0</v>
      </c>
      <c r="C90" s="7" t="s">
        <v>1030</v>
      </c>
      <c r="D90" s="31" t="s">
        <v>1031</v>
      </c>
      <c r="E90" s="29" t="s">
        <v>82</v>
      </c>
      <c r="F90" s="29" t="s">
        <v>774</v>
      </c>
      <c r="G90" s="29" t="s">
        <v>1032</v>
      </c>
      <c r="H90" s="29" t="s">
        <v>1033</v>
      </c>
      <c r="I90" s="29" t="s">
        <v>326</v>
      </c>
      <c r="J90" s="29"/>
      <c r="K90" s="29" t="s">
        <v>103</v>
      </c>
      <c r="L90" s="29" t="s">
        <v>384</v>
      </c>
      <c r="M90" s="33">
        <v>46004.0</v>
      </c>
      <c r="N90" s="31" t="s">
        <v>1034</v>
      </c>
      <c r="O90" s="32" t="str">
        <f>HYPERLINK("https://api.typeform.com/responses/files/5352a89c3743e0d2f3725ba577d2859171a2860d5aa98a7f06bb8a861c505249/Transcript___Data_Analysis_Intern___Hồ_Sỹ_Kiên.pdf")</f>
        <v>https://api.typeform.com/responses/files/5352a89c3743e0d2f3725ba577d2859171a2860d5aa98a7f06bb8a861c505249/Transcript___Data_Analysis_Intern___Hồ_Sỹ_Kiên.pdf</v>
      </c>
      <c r="P90" s="29" t="b">
        <v>1</v>
      </c>
      <c r="Q90" s="29" t="s">
        <v>1035</v>
      </c>
      <c r="R90" s="29" t="s">
        <v>1036</v>
      </c>
      <c r="S90" s="29" t="s">
        <v>72</v>
      </c>
      <c r="T90" s="29" t="s">
        <v>72</v>
      </c>
      <c r="U90" s="29" t="s">
        <v>269</v>
      </c>
      <c r="V90" s="29"/>
      <c r="W90" s="29"/>
      <c r="X90" s="32" t="str">
        <f>HYPERLINK("https://api.typeform.com/responses/files/0d4d5686a239a28813bcfe7058dbab979db88faf416caae9a78d2262ff2b4420/CV___Data_Analysis_Intern___Hồ_Sỹ_Kiên.pdf")</f>
        <v>https://api.typeform.com/responses/files/0d4d5686a239a28813bcfe7058dbab979db88faf416caae9a78d2262ff2b4420/CV___Data_Analysis_Intern___Hồ_Sỹ_Kiên.pdf</v>
      </c>
      <c r="Y90" s="34">
        <v>46135.36241898148</v>
      </c>
      <c r="Z90" s="29" t="s">
        <v>1037</v>
      </c>
      <c r="AA90" s="6">
        <v>1.0</v>
      </c>
      <c r="AB90" s="7" t="s">
        <v>93</v>
      </c>
      <c r="AC90" s="28" t="s">
        <v>6377</v>
      </c>
      <c r="AD90" s="7" t="s">
        <v>6458</v>
      </c>
      <c r="AE90" s="28" t="s">
        <v>6379</v>
      </c>
      <c r="AF90" s="54" t="str">
        <f t="shared" ref="AF90:AF96" si="12">IFERROR(
  IFS(
    AND(OR(AE90="Test",AE90="Chờ test",AE90="Test Review",AE90="Passed",AE90="Failed"), OR(E90="Game User Acquisition Intern",E90="Game Design Intern")), "Nhiên",
    AND(OR(AE90="Test",AE90="Chờ test",AE90="Test Review",AE90="Passed",AE90="Failed"), E90&lt;&gt;"Human Resources Intern", NOT(OR(E90="Game User Acquisition Intern",E90="Game Design Intern"))), "Quỳnh",
    AND(OR(AE90="Test",AE90="Chờ test",AE90="Test Review",AE90="Passed",AE90="Failed"), E90="Human Resources Intern"), "AUTO"
  ),
"")</f>
        <v>Quỳnh</v>
      </c>
      <c r="AG90" s="20"/>
      <c r="AH90" s="20" t="e">
        <v>#N/A</v>
      </c>
      <c r="AI90" s="20"/>
      <c r="AJ90" s="55"/>
      <c r="AK90" s="27"/>
      <c r="AL90" s="27"/>
      <c r="AM90" s="27"/>
      <c r="AN90" s="27"/>
      <c r="AO90" s="27"/>
      <c r="AP90" s="27"/>
      <c r="AQ90" s="27"/>
      <c r="AR90" s="27"/>
      <c r="AS90" s="27"/>
      <c r="AT90" s="27"/>
      <c r="AU90" s="27"/>
      <c r="AV90" s="27"/>
      <c r="AW90" s="27"/>
      <c r="AX90" s="27"/>
      <c r="AY90" s="27"/>
      <c r="AZ90" s="27"/>
      <c r="BA90" s="27"/>
      <c r="BB90" s="27"/>
    </row>
    <row r="91" ht="22.5" hidden="1" customHeight="1">
      <c r="A91" s="29" t="s">
        <v>1038</v>
      </c>
      <c r="B91" s="30">
        <v>38510.0</v>
      </c>
      <c r="C91" s="7" t="s">
        <v>1039</v>
      </c>
      <c r="D91" s="31" t="s">
        <v>1040</v>
      </c>
      <c r="E91" s="29" t="s">
        <v>99</v>
      </c>
      <c r="F91" s="29" t="s">
        <v>127</v>
      </c>
      <c r="G91" s="29" t="s">
        <v>1041</v>
      </c>
      <c r="H91" s="29" t="s">
        <v>1042</v>
      </c>
      <c r="I91" s="20" t="s">
        <v>326</v>
      </c>
      <c r="J91" s="29"/>
      <c r="K91" s="29" t="s">
        <v>219</v>
      </c>
      <c r="L91" s="29" t="s">
        <v>581</v>
      </c>
      <c r="M91" s="33">
        <v>46569.0</v>
      </c>
      <c r="N91" s="31" t="s">
        <v>738</v>
      </c>
      <c r="O91" s="32" t="str">
        <f>HYPERLINK("https://api.typeform.com/responses/files/9d8f722770ab7e9e7658e3298b03ffc1f2f0765545b34d517d7d18a085d48a28/Transcript___Game_Design_Intern___Nguyễn_Trọng_Tín.pdf")</f>
        <v>https://api.typeform.com/responses/files/9d8f722770ab7e9e7658e3298b03ffc1f2f0765545b34d517d7d18a085d48a28/Transcript___Game_Design_Intern___Nguyễn_Trọng_Tín.pdf</v>
      </c>
      <c r="P91" s="29" t="b">
        <v>1</v>
      </c>
      <c r="Q91" s="29" t="s">
        <v>1043</v>
      </c>
      <c r="R91" s="29" t="s">
        <v>1044</v>
      </c>
      <c r="S91" s="29" t="s">
        <v>72</v>
      </c>
      <c r="T91" s="29" t="s">
        <v>72</v>
      </c>
      <c r="U91" s="29" t="s">
        <v>269</v>
      </c>
      <c r="V91" s="29"/>
      <c r="W91" s="29"/>
      <c r="X91" s="32" t="str">
        <f>HYPERLINK("https://api.typeform.com/responses/files/e6571cb60e20ddab94c5b18644fb3f3d9665fc71536be8324341e07f09873f2b/CV___Game_Design_Intern___Nguyễn_Trọng_Tín.pdf")</f>
        <v>https://api.typeform.com/responses/files/e6571cb60e20ddab94c5b18644fb3f3d9665fc71536be8324341e07f09873f2b/CV___Game_Design_Intern___Nguyễn_Trọng_Tín.pdf</v>
      </c>
      <c r="Y91" s="34">
        <v>46135.3640625</v>
      </c>
      <c r="Z91" s="29" t="s">
        <v>1045</v>
      </c>
      <c r="AA91" s="6">
        <v>1.0</v>
      </c>
      <c r="AB91" s="58" t="s">
        <v>6381</v>
      </c>
      <c r="AC91" s="28" t="s">
        <v>6377</v>
      </c>
      <c r="AD91" s="20"/>
      <c r="AE91" s="28" t="s">
        <v>6379</v>
      </c>
      <c r="AF91" s="54" t="str">
        <f t="shared" si="12"/>
        <v>Nhiên</v>
      </c>
      <c r="AG91" s="20"/>
      <c r="AH91" s="59" t="s">
        <v>6459</v>
      </c>
      <c r="AI91" s="20"/>
      <c r="AJ91" s="55"/>
      <c r="AK91" s="27"/>
      <c r="AL91" s="27"/>
      <c r="AM91" s="27"/>
      <c r="AN91" s="27"/>
      <c r="AO91" s="27"/>
      <c r="AP91" s="27"/>
      <c r="AQ91" s="27"/>
      <c r="AR91" s="27"/>
      <c r="AS91" s="27"/>
      <c r="AT91" s="27"/>
      <c r="AU91" s="27"/>
      <c r="AV91" s="27"/>
      <c r="AW91" s="27"/>
      <c r="AX91" s="27"/>
      <c r="AY91" s="27"/>
      <c r="AZ91" s="27"/>
      <c r="BA91" s="27"/>
      <c r="BB91" s="27"/>
    </row>
    <row r="92" ht="22.5" hidden="1" customHeight="1">
      <c r="A92" s="29" t="s">
        <v>904</v>
      </c>
      <c r="B92" s="30">
        <v>38486.0</v>
      </c>
      <c r="C92" s="7" t="s">
        <v>905</v>
      </c>
      <c r="D92" s="31" t="s">
        <v>906</v>
      </c>
      <c r="E92" s="29" t="s">
        <v>99</v>
      </c>
      <c r="F92" s="29" t="s">
        <v>61</v>
      </c>
      <c r="G92" s="29" t="s">
        <v>1046</v>
      </c>
      <c r="H92" s="29" t="s">
        <v>1047</v>
      </c>
      <c r="I92" s="20" t="s">
        <v>326</v>
      </c>
      <c r="J92" s="29"/>
      <c r="K92" s="29" t="s">
        <v>219</v>
      </c>
      <c r="L92" s="29" t="s">
        <v>909</v>
      </c>
      <c r="M92" s="33">
        <v>46487.0</v>
      </c>
      <c r="N92" s="31" t="s">
        <v>171</v>
      </c>
      <c r="O92" s="32" t="str">
        <f>HYPERLINK("https://api.typeform.com/responses/files/5358e3fde437753098e705cbbb88ec8a2e702bf7aa294d246d619535854da0b5/Transcript___Game_Design_Intern___Lê_Đức_Ngọc_Bảo.pdf")</f>
        <v>https://api.typeform.com/responses/files/5358e3fde437753098e705cbbb88ec8a2e702bf7aa294d246d619535854da0b5/Transcript___Game_Design_Intern___Lê_Đức_Ngọc_Bảo.pdf</v>
      </c>
      <c r="P92" s="29" t="b">
        <v>1</v>
      </c>
      <c r="Q92" s="29" t="s">
        <v>1048</v>
      </c>
      <c r="R92" s="29" t="s">
        <v>1049</v>
      </c>
      <c r="S92" s="29" t="s">
        <v>72</v>
      </c>
      <c r="T92" s="29" t="s">
        <v>72</v>
      </c>
      <c r="U92" s="29" t="s">
        <v>269</v>
      </c>
      <c r="V92" s="29"/>
      <c r="W92" s="29" t="s">
        <v>1050</v>
      </c>
      <c r="X92" s="32" t="str">
        <f>HYPERLINK("https://api.typeform.com/responses/files/9145a98dbead25c9c7392f20b4dceb14aebe27481534db4732d8e5e54ec4ea07/CV___Game_Design_Intern___Lê_Đức_Ngọc_Bảo.pdf")</f>
        <v>https://api.typeform.com/responses/files/9145a98dbead25c9c7392f20b4dceb14aebe27481534db4732d8e5e54ec4ea07/CV___Game_Design_Intern___Lê_Đức_Ngọc_Bảo.pdf</v>
      </c>
      <c r="Y92" s="34">
        <v>46135.37412037037</v>
      </c>
      <c r="Z92" s="29" t="s">
        <v>1051</v>
      </c>
      <c r="AA92" s="6">
        <v>1.0</v>
      </c>
      <c r="AB92" s="58" t="s">
        <v>6381</v>
      </c>
      <c r="AC92" s="28" t="s">
        <v>6377</v>
      </c>
      <c r="AD92" s="120" t="s">
        <v>6460</v>
      </c>
      <c r="AE92" s="28" t="s">
        <v>6397</v>
      </c>
      <c r="AF92" s="54" t="str">
        <f t="shared" si="12"/>
        <v/>
      </c>
      <c r="AG92" s="20"/>
      <c r="AH92" s="20" t="e">
        <v>#N/A</v>
      </c>
      <c r="AI92" s="20"/>
      <c r="AJ92" s="55"/>
      <c r="AK92" s="27"/>
      <c r="AL92" s="27"/>
      <c r="AM92" s="27"/>
      <c r="AN92" s="27"/>
      <c r="AO92" s="27"/>
      <c r="AP92" s="27"/>
      <c r="AQ92" s="27"/>
      <c r="AR92" s="27"/>
      <c r="AS92" s="27"/>
      <c r="AT92" s="27"/>
      <c r="AU92" s="27"/>
      <c r="AV92" s="27"/>
      <c r="AW92" s="27"/>
      <c r="AX92" s="27"/>
      <c r="AY92" s="27"/>
      <c r="AZ92" s="27"/>
      <c r="BA92" s="27"/>
      <c r="BB92" s="27"/>
    </row>
    <row r="93" ht="22.5" hidden="1" customHeight="1">
      <c r="A93" s="29" t="s">
        <v>1052</v>
      </c>
      <c r="B93" s="30">
        <v>38509.0</v>
      </c>
      <c r="C93" s="7" t="s">
        <v>1053</v>
      </c>
      <c r="D93" s="31" t="s">
        <v>1054</v>
      </c>
      <c r="E93" s="29" t="s">
        <v>61</v>
      </c>
      <c r="F93" s="29" t="s">
        <v>99</v>
      </c>
      <c r="G93" s="29" t="s">
        <v>1055</v>
      </c>
      <c r="H93" s="29" t="s">
        <v>1056</v>
      </c>
      <c r="I93" s="29" t="s">
        <v>326</v>
      </c>
      <c r="J93" s="29"/>
      <c r="K93" s="29" t="s">
        <v>219</v>
      </c>
      <c r="L93" s="29" t="s">
        <v>1057</v>
      </c>
      <c r="M93" s="33">
        <v>46599.0</v>
      </c>
      <c r="N93" s="31" t="s">
        <v>1058</v>
      </c>
      <c r="O93" s="32" t="str">
        <f>HYPERLINK("https://api.typeform.com/responses/files/637adfdcf93d4883a6bdfe068955bf91165fb75068794f639548b124baa11c1f/Transcript___Unity_Development_Intern___Dương_Gia_Huy.pdf")</f>
        <v>https://api.typeform.com/responses/files/637adfdcf93d4883a6bdfe068955bf91165fb75068794f639548b124baa11c1f/Transcript___Unity_Development_Intern___Dương_Gia_Huy.pdf</v>
      </c>
      <c r="P93" s="29" t="b">
        <v>1</v>
      </c>
      <c r="Q93" s="29" t="s">
        <v>1059</v>
      </c>
      <c r="R93" s="29" t="s">
        <v>1060</v>
      </c>
      <c r="S93" s="29" t="s">
        <v>72</v>
      </c>
      <c r="T93" s="29" t="s">
        <v>72</v>
      </c>
      <c r="U93" s="29" t="s">
        <v>1061</v>
      </c>
      <c r="V93" s="29"/>
      <c r="W93" s="29" t="s">
        <v>1062</v>
      </c>
      <c r="X93" s="32" t="str">
        <f>HYPERLINK("https://api.typeform.com/responses/files/b22b62d34cf4248ceb57a2c17b614e85489e4e40a05eb76403846505e5e5364f/CV___Unity_Development_Intern___Dương_Gia_Huy.pdf")</f>
        <v>https://api.typeform.com/responses/files/b22b62d34cf4248ceb57a2c17b614e85489e4e40a05eb76403846505e5e5364f/CV___Unity_Development_Intern___Dương_Gia_Huy.pdf</v>
      </c>
      <c r="Y93" s="34">
        <v>46135.378969907404</v>
      </c>
      <c r="Z93" s="29" t="s">
        <v>1063</v>
      </c>
      <c r="AA93" s="6">
        <v>1.0</v>
      </c>
      <c r="AB93" s="7" t="s">
        <v>93</v>
      </c>
      <c r="AC93" s="28" t="s">
        <v>6377</v>
      </c>
      <c r="AD93" s="20"/>
      <c r="AE93" s="28" t="s">
        <v>6379</v>
      </c>
      <c r="AF93" s="54" t="str">
        <f t="shared" si="12"/>
        <v>Quỳnh</v>
      </c>
      <c r="AG93" s="20"/>
      <c r="AH93" s="20" t="e">
        <v>#N/A</v>
      </c>
      <c r="AI93" s="20"/>
      <c r="AJ93" s="55"/>
      <c r="AK93" s="27"/>
      <c r="AL93" s="27"/>
      <c r="AM93" s="27"/>
      <c r="AN93" s="27"/>
      <c r="AO93" s="27"/>
      <c r="AP93" s="27"/>
      <c r="AQ93" s="27"/>
      <c r="AR93" s="27"/>
      <c r="AS93" s="27"/>
      <c r="AT93" s="27"/>
      <c r="AU93" s="27"/>
      <c r="AV93" s="27"/>
      <c r="AW93" s="27"/>
      <c r="AX93" s="27"/>
      <c r="AY93" s="27"/>
      <c r="AZ93" s="27"/>
      <c r="BA93" s="27"/>
      <c r="BB93" s="27"/>
    </row>
    <row r="94" ht="22.5" hidden="1" customHeight="1">
      <c r="A94" s="29" t="s">
        <v>1064</v>
      </c>
      <c r="B94" s="30">
        <v>38132.0</v>
      </c>
      <c r="C94" s="7" t="s">
        <v>6461</v>
      </c>
      <c r="D94" s="31" t="s">
        <v>1066</v>
      </c>
      <c r="E94" s="29" t="s">
        <v>127</v>
      </c>
      <c r="F94" s="29" t="s">
        <v>61</v>
      </c>
      <c r="G94" s="29" t="s">
        <v>1067</v>
      </c>
      <c r="H94" s="29" t="s">
        <v>1068</v>
      </c>
      <c r="I94" s="29" t="s">
        <v>1069</v>
      </c>
      <c r="J94" s="29"/>
      <c r="K94" s="29" t="s">
        <v>67</v>
      </c>
      <c r="L94" s="29" t="s">
        <v>1070</v>
      </c>
      <c r="M94" s="33">
        <v>46478.0</v>
      </c>
      <c r="N94" s="31" t="s">
        <v>147</v>
      </c>
      <c r="O94" s="32" t="str">
        <f>HYPERLINK("https://api.typeform.com/responses/files/07fa7e9427a4a1a7e897996fd548bab714719251e83863e62d46d15088dc7b62/Transcript_Game_QA_Tô_Duy_Hào.xlsx")</f>
        <v>https://api.typeform.com/responses/files/07fa7e9427a4a1a7e897996fd548bab714719251e83863e62d46d15088dc7b62/Transcript_Game_QA_Tô_Duy_Hào.xlsx</v>
      </c>
      <c r="P94" s="29" t="b">
        <v>1</v>
      </c>
      <c r="Q94" s="29" t="s">
        <v>1071</v>
      </c>
      <c r="R94" s="29" t="s">
        <v>1072</v>
      </c>
      <c r="S94" s="29" t="s">
        <v>72</v>
      </c>
      <c r="T94" s="29" t="s">
        <v>72</v>
      </c>
      <c r="U94" s="29" t="s">
        <v>73</v>
      </c>
      <c r="V94" s="29"/>
      <c r="W94" s="29" t="s">
        <v>1073</v>
      </c>
      <c r="X94" s="32" t="str">
        <f>HYPERLINK("https://api.typeform.com/responses/files/2f23e7ae5d672b69707c0992cb576fbac8809937fc2b281696a9df38d70b0522/CV_Tester_game_Tô_Duy_Hào.pdf")</f>
        <v>https://api.typeform.com/responses/files/2f23e7ae5d672b69707c0992cb576fbac8809937fc2b281696a9df38d70b0522/CV_Tester_game_Tô_Duy_Hào.pdf</v>
      </c>
      <c r="Y94" s="34">
        <v>46135.38055555556</v>
      </c>
      <c r="Z94" s="29" t="s">
        <v>1074</v>
      </c>
      <c r="AA94" s="6">
        <v>1.0</v>
      </c>
      <c r="AB94" s="7" t="s">
        <v>109</v>
      </c>
      <c r="AC94" s="28" t="s">
        <v>6377</v>
      </c>
      <c r="AD94" s="7" t="s">
        <v>6462</v>
      </c>
      <c r="AE94" s="28" t="s">
        <v>6379</v>
      </c>
      <c r="AF94" s="54" t="str">
        <f t="shared" si="12"/>
        <v>Quỳnh</v>
      </c>
      <c r="AG94" s="119"/>
      <c r="AH94" s="59" t="s">
        <v>6463</v>
      </c>
      <c r="AI94" s="20"/>
      <c r="AJ94" s="55"/>
      <c r="AK94" s="27"/>
      <c r="AL94" s="27"/>
      <c r="AM94" s="27"/>
      <c r="AN94" s="27"/>
      <c r="AO94" s="27"/>
      <c r="AP94" s="27"/>
      <c r="AQ94" s="27"/>
      <c r="AR94" s="27"/>
      <c r="AS94" s="27"/>
      <c r="AT94" s="27"/>
      <c r="AU94" s="27"/>
      <c r="AV94" s="27"/>
      <c r="AW94" s="27"/>
      <c r="AX94" s="27"/>
      <c r="AY94" s="27"/>
      <c r="AZ94" s="27"/>
      <c r="BA94" s="27"/>
      <c r="BB94" s="27"/>
    </row>
    <row r="95" ht="22.5" hidden="1" customHeight="1">
      <c r="A95" s="29" t="s">
        <v>1075</v>
      </c>
      <c r="B95" s="30">
        <v>37848.0</v>
      </c>
      <c r="C95" s="7" t="s">
        <v>1076</v>
      </c>
      <c r="D95" s="31" t="s">
        <v>1077</v>
      </c>
      <c r="E95" s="29" t="s">
        <v>127</v>
      </c>
      <c r="F95" s="29" t="s">
        <v>61</v>
      </c>
      <c r="G95" s="29" t="s">
        <v>1078</v>
      </c>
      <c r="H95" s="29" t="s">
        <v>1079</v>
      </c>
      <c r="I95" s="29" t="s">
        <v>65</v>
      </c>
      <c r="J95" s="29" t="s">
        <v>1080</v>
      </c>
      <c r="K95" s="29" t="s">
        <v>103</v>
      </c>
      <c r="L95" s="29" t="s">
        <v>624</v>
      </c>
      <c r="M95" s="33">
        <v>45991.0</v>
      </c>
      <c r="N95" s="31" t="s">
        <v>1081</v>
      </c>
      <c r="O95" s="32" t="str">
        <f>HYPERLINK("https://api.typeform.com/responses/files/a1a8f11bf017dc3d8f86e64e4976d1f22ca2d63c970f33bd1b7bef8859c25ac3/Transcript___Game_Quality_Assurance_Intern___Tran_Thien_Phuc.jpg")</f>
        <v>https://api.typeform.com/responses/files/a1a8f11bf017dc3d8f86e64e4976d1f22ca2d63c970f33bd1b7bef8859c25ac3/Transcript___Game_Quality_Assurance_Intern___Tran_Thien_Phuc.jpg</v>
      </c>
      <c r="P95" s="29" t="b">
        <v>1</v>
      </c>
      <c r="Q95" s="29" t="s">
        <v>1082</v>
      </c>
      <c r="R95" s="29" t="s">
        <v>1083</v>
      </c>
      <c r="S95" s="29" t="s">
        <v>72</v>
      </c>
      <c r="T95" s="29" t="s">
        <v>72</v>
      </c>
      <c r="U95" s="29" t="s">
        <v>544</v>
      </c>
      <c r="V95" s="29"/>
      <c r="W95" s="29"/>
      <c r="X95" s="32" t="str">
        <f>HYPERLINK("https://api.typeform.com/responses/files/fa66bd29b491a695e3932e14f6aaa53631a00ad5f142b7912fd101e452396121/CV___Game_Quality_Assurance_Intern___Tran_Thien_Phuc.pdf")</f>
        <v>https://api.typeform.com/responses/files/fa66bd29b491a695e3932e14f6aaa53631a00ad5f142b7912fd101e452396121/CV___Game_Quality_Assurance_Intern___Tran_Thien_Phuc.pdf</v>
      </c>
      <c r="Y95" s="34">
        <v>46135.38348379629</v>
      </c>
      <c r="Z95" s="29" t="s">
        <v>1084</v>
      </c>
      <c r="AA95" s="6">
        <v>1.0</v>
      </c>
      <c r="AB95" s="7" t="s">
        <v>109</v>
      </c>
      <c r="AC95" s="28" t="s">
        <v>6388</v>
      </c>
      <c r="AD95" s="7" t="s">
        <v>6464</v>
      </c>
      <c r="AE95" s="53"/>
      <c r="AF95" s="54" t="str">
        <f t="shared" si="12"/>
        <v/>
      </c>
      <c r="AG95" s="20"/>
      <c r="AH95" s="20"/>
      <c r="AI95" s="20"/>
      <c r="AJ95" s="55"/>
      <c r="AK95" s="27"/>
      <c r="AL95" s="27"/>
      <c r="AM95" s="27"/>
      <c r="AN95" s="27"/>
      <c r="AO95" s="27"/>
      <c r="AP95" s="27"/>
      <c r="AQ95" s="27"/>
      <c r="AR95" s="27"/>
      <c r="AS95" s="27"/>
      <c r="AT95" s="27"/>
      <c r="AU95" s="27"/>
      <c r="AV95" s="27"/>
      <c r="AW95" s="27"/>
      <c r="AX95" s="27"/>
      <c r="AY95" s="27"/>
      <c r="AZ95" s="27"/>
      <c r="BA95" s="27"/>
      <c r="BB95" s="27"/>
    </row>
    <row r="96" ht="22.5" hidden="1" customHeight="1">
      <c r="A96" s="29" t="s">
        <v>1085</v>
      </c>
      <c r="B96" s="30">
        <v>38104.0</v>
      </c>
      <c r="C96" s="7" t="s">
        <v>1086</v>
      </c>
      <c r="D96" s="31" t="s">
        <v>1087</v>
      </c>
      <c r="E96" s="29" t="s">
        <v>774</v>
      </c>
      <c r="F96" s="29" t="s">
        <v>82</v>
      </c>
      <c r="G96" s="29" t="s">
        <v>1088</v>
      </c>
      <c r="H96" s="29" t="s">
        <v>1089</v>
      </c>
      <c r="I96" s="20" t="s">
        <v>65</v>
      </c>
      <c r="J96" s="29" t="s">
        <v>961</v>
      </c>
      <c r="K96" s="29" t="s">
        <v>103</v>
      </c>
      <c r="L96" s="29" t="s">
        <v>1090</v>
      </c>
      <c r="M96" s="33">
        <v>46021.0</v>
      </c>
      <c r="N96" s="29" t="s">
        <v>1091</v>
      </c>
      <c r="O96" s="32" t="str">
        <f>HYPERLINK("https://api.typeform.com/responses/files/bb7d872711fb2c4a3b9767e4c9f87c1e1c8cc0305614aa3fa461f5b71309ebf2/Transcript___Game_User_Acquisition_Intern___Nguyễn_Hoàng_Quân.pdf")</f>
        <v>https://api.typeform.com/responses/files/bb7d872711fb2c4a3b9767e4c9f87c1e1c8cc0305614aa3fa461f5b71309ebf2/Transcript___Game_User_Acquisition_Intern___Nguyễn_Hoàng_Quân.pdf</v>
      </c>
      <c r="P96" s="29" t="b">
        <v>1</v>
      </c>
      <c r="Q96" s="29" t="s">
        <v>1092</v>
      </c>
      <c r="R96" s="29" t="s">
        <v>1093</v>
      </c>
      <c r="S96" s="29" t="s">
        <v>72</v>
      </c>
      <c r="T96" s="29" t="s">
        <v>72</v>
      </c>
      <c r="U96" s="29" t="s">
        <v>73</v>
      </c>
      <c r="V96" s="29"/>
      <c r="W96" s="29" t="s">
        <v>1094</v>
      </c>
      <c r="X96" s="32" t="str">
        <f>HYPERLINK("https://api.typeform.com/responses/files/64328656a3584ca322f0b5b8fd476272db2fdf18cc02663d4c57a60f8d682d1c/CV___Game_User_Acquisition_Intern___Nguyen_Hoang_Quan.pdf")</f>
        <v>https://api.typeform.com/responses/files/64328656a3584ca322f0b5b8fd476272db2fdf18cc02663d4c57a60f8d682d1c/CV___Game_User_Acquisition_Intern___Nguyen_Hoang_Quan.pdf</v>
      </c>
      <c r="Y96" s="34">
        <v>46135.38394675926</v>
      </c>
      <c r="Z96" s="29" t="s">
        <v>1095</v>
      </c>
      <c r="AA96" s="6">
        <v>1.0</v>
      </c>
      <c r="AB96" s="58" t="s">
        <v>6381</v>
      </c>
      <c r="AC96" s="28" t="s">
        <v>6388</v>
      </c>
      <c r="AD96" s="8" t="s">
        <v>6465</v>
      </c>
      <c r="AE96" s="71"/>
      <c r="AF96" s="54" t="str">
        <f t="shared" si="12"/>
        <v/>
      </c>
      <c r="AG96" s="20"/>
      <c r="AH96" s="20"/>
      <c r="AI96" s="20"/>
      <c r="AJ96" s="55"/>
      <c r="AK96" s="27"/>
      <c r="AL96" s="27"/>
      <c r="AM96" s="27"/>
      <c r="AN96" s="27"/>
      <c r="AO96" s="27"/>
      <c r="AP96" s="27"/>
      <c r="AQ96" s="27"/>
      <c r="AR96" s="27"/>
      <c r="AS96" s="27"/>
      <c r="AT96" s="27"/>
      <c r="AU96" s="27"/>
      <c r="AV96" s="27"/>
      <c r="AW96" s="27"/>
      <c r="AX96" s="27"/>
      <c r="AY96" s="27"/>
      <c r="AZ96" s="27"/>
      <c r="BA96" s="27"/>
      <c r="BB96" s="27"/>
    </row>
    <row r="97" ht="22.5" hidden="1" customHeight="1">
      <c r="A97" s="29" t="s">
        <v>546</v>
      </c>
      <c r="B97" s="30">
        <v>37316.0</v>
      </c>
      <c r="C97" s="7" t="s">
        <v>547</v>
      </c>
      <c r="D97" s="31" t="s">
        <v>548</v>
      </c>
      <c r="E97" s="29" t="s">
        <v>62</v>
      </c>
      <c r="F97" s="29" t="s">
        <v>99</v>
      </c>
      <c r="G97" s="29" t="s">
        <v>549</v>
      </c>
      <c r="H97" s="29" t="s">
        <v>550</v>
      </c>
      <c r="I97" s="29" t="s">
        <v>326</v>
      </c>
      <c r="J97" s="29"/>
      <c r="K97" s="29" t="s">
        <v>67</v>
      </c>
      <c r="L97" s="29" t="s">
        <v>551</v>
      </c>
      <c r="M97" s="33">
        <v>46173.0</v>
      </c>
      <c r="N97" s="31" t="s">
        <v>159</v>
      </c>
      <c r="O97" s="32" t="str">
        <f>HYPERLINK("https://api.typeform.com/responses/files/dd321eee0cdcba6e3d2f48f539481a837df44e45e6bda0b46ea2ff5d7edbb5ec/Transcript___AI_Engineering_Intern____Nguyen_Le_Son.pdf")</f>
        <v>https://api.typeform.com/responses/files/dd321eee0cdcba6e3d2f48f539481a837df44e45e6bda0b46ea2ff5d7edbb5ec/Transcript___AI_Engineering_Intern____Nguyen_Le_Son.pdf</v>
      </c>
      <c r="P97" s="29" t="b">
        <v>0</v>
      </c>
      <c r="Q97" s="29" t="s">
        <v>552</v>
      </c>
      <c r="R97" s="29" t="s">
        <v>553</v>
      </c>
      <c r="S97" s="29" t="s">
        <v>72</v>
      </c>
      <c r="T97" s="29" t="s">
        <v>72</v>
      </c>
      <c r="U97" s="29" t="s">
        <v>269</v>
      </c>
      <c r="V97" s="29"/>
      <c r="W97" s="29"/>
      <c r="X97" s="32" t="str">
        <f>HYPERLINK("https://api.typeform.com/responses/files/d93aa58561292d0ae9161191c5d412fcc6723e8227878a2b0045b9a78ed1875e/CV_Son_ENG.pdf")</f>
        <v>https://api.typeform.com/responses/files/d93aa58561292d0ae9161191c5d412fcc6723e8227878a2b0045b9a78ed1875e/CV_Son_ENG.pdf</v>
      </c>
      <c r="Y97" s="34">
        <v>46135.10155092592</v>
      </c>
      <c r="Z97" s="29" t="s">
        <v>554</v>
      </c>
      <c r="AA97" s="6">
        <v>1.0</v>
      </c>
      <c r="AB97" s="58" t="s">
        <v>6381</v>
      </c>
      <c r="AC97" s="28" t="s">
        <v>6376</v>
      </c>
      <c r="AD97" s="7" t="s">
        <v>6466</v>
      </c>
      <c r="AE97" s="53"/>
      <c r="AF97" s="53"/>
      <c r="AG97" s="20"/>
      <c r="AH97" s="20"/>
      <c r="AI97" s="20"/>
      <c r="AJ97" s="55"/>
      <c r="AK97" s="27"/>
      <c r="AL97" s="27"/>
      <c r="AM97" s="27"/>
      <c r="AN97" s="27"/>
      <c r="AO97" s="27"/>
      <c r="AP97" s="27"/>
      <c r="AQ97" s="27"/>
      <c r="AR97" s="27"/>
      <c r="AS97" s="27"/>
      <c r="AT97" s="27"/>
      <c r="AU97" s="27"/>
      <c r="AV97" s="27"/>
      <c r="AW97" s="27"/>
      <c r="AX97" s="27"/>
      <c r="AY97" s="27"/>
      <c r="AZ97" s="27"/>
      <c r="BA97" s="27"/>
      <c r="BB97" s="27"/>
    </row>
    <row r="98" ht="22.5" hidden="1" customHeight="1">
      <c r="A98" s="29" t="s">
        <v>658</v>
      </c>
      <c r="B98" s="30">
        <v>37682.0</v>
      </c>
      <c r="C98" s="7" t="s">
        <v>659</v>
      </c>
      <c r="D98" s="31" t="s">
        <v>660</v>
      </c>
      <c r="E98" s="29" t="s">
        <v>62</v>
      </c>
      <c r="F98" s="29" t="s">
        <v>62</v>
      </c>
      <c r="G98" s="29" t="s">
        <v>661</v>
      </c>
      <c r="H98" s="29" t="s">
        <v>662</v>
      </c>
      <c r="I98" s="29" t="s">
        <v>326</v>
      </c>
      <c r="J98" s="29"/>
      <c r="K98" s="29" t="s">
        <v>103</v>
      </c>
      <c r="L98" s="29" t="s">
        <v>412</v>
      </c>
      <c r="M98" s="33">
        <v>45990.0</v>
      </c>
      <c r="N98" s="31" t="s">
        <v>663</v>
      </c>
      <c r="O98" s="32" t="str">
        <f>HYPERLINK("https://api.typeform.com/responses/files/3ce1249212233c7d69981dd589f5f573ffd57263db14e8b653dd72b32a185134/AcademicTranscript_KhueNguyenBich.pdf")</f>
        <v>https://api.typeform.com/responses/files/3ce1249212233c7d69981dd589f5f573ffd57263db14e8b653dd72b32a185134/AcademicTranscript_KhueNguyenBich.pdf</v>
      </c>
      <c r="P98" s="29" t="b">
        <v>0</v>
      </c>
      <c r="Q98" s="29" t="s">
        <v>300</v>
      </c>
      <c r="R98" s="29" t="s">
        <v>664</v>
      </c>
      <c r="S98" s="29" t="s">
        <v>72</v>
      </c>
      <c r="T98" s="29" t="s">
        <v>72</v>
      </c>
      <c r="U98" s="29" t="s">
        <v>269</v>
      </c>
      <c r="V98" s="29"/>
      <c r="W98" s="29" t="s">
        <v>665</v>
      </c>
      <c r="X98" s="32" t="str">
        <f>HYPERLINK("https://api.typeform.com/responses/files/41b9c362b3d996aa30d0cf4ff590953b4043814d32686707123ee5677c3bb46e/CV___AI_Engineer_Intern___Nguyễn_Bích_Khuê.pdf")</f>
        <v>https://api.typeform.com/responses/files/41b9c362b3d996aa30d0cf4ff590953b4043814d32686707123ee5677c3bb46e/CV___AI_Engineer_Intern___Nguyễn_Bích_Khuê.pdf</v>
      </c>
      <c r="Y98" s="34">
        <v>46135.14042824074</v>
      </c>
      <c r="Z98" s="29" t="s">
        <v>666</v>
      </c>
      <c r="AA98" s="6">
        <v>1.0</v>
      </c>
      <c r="AB98" s="58" t="s">
        <v>6381</v>
      </c>
      <c r="AC98" s="28" t="s">
        <v>6377</v>
      </c>
      <c r="AD98" s="20"/>
      <c r="AE98" s="28" t="s">
        <v>6379</v>
      </c>
      <c r="AF98" s="54" t="str">
        <f t="shared" ref="AF98:AF99" si="13">IFERROR(
  IFS(
    AND(OR(AE98="Test",AE98="Chờ test",AE98="Test Review",AE98="Passed",AE98="Failed"), OR(E98="Game User Acquisition Intern",E98="Game Design Intern")), "Nhiên",
    AND(OR(AE98="Test",AE98="Chờ test",AE98="Test Review",AE98="Passed",AE98="Failed"), E98&lt;&gt;"Human Resources Intern", NOT(OR(E98="Game User Acquisition Intern",E98="Game Design Intern"))), "Quỳnh",
    AND(OR(AE98="Test",AE98="Chờ test",AE98="Test Review",AE98="Passed",AE98="Failed"), E98="Human Resources Intern"), "AUTO"
  ),
"")</f>
        <v>Quỳnh</v>
      </c>
      <c r="AG98" s="20"/>
      <c r="AH98" s="59" t="s">
        <v>6467</v>
      </c>
      <c r="AI98" s="20"/>
      <c r="AJ98" s="55"/>
      <c r="AK98" s="27"/>
      <c r="AL98" s="27"/>
      <c r="AM98" s="27"/>
      <c r="AN98" s="27"/>
      <c r="AO98" s="27"/>
      <c r="AP98" s="27"/>
      <c r="AQ98" s="27"/>
      <c r="AR98" s="27"/>
      <c r="AS98" s="27"/>
      <c r="AT98" s="27"/>
      <c r="AU98" s="27"/>
      <c r="AV98" s="27"/>
      <c r="AW98" s="27"/>
      <c r="AX98" s="27"/>
      <c r="AY98" s="27"/>
      <c r="AZ98" s="27"/>
      <c r="BA98" s="27"/>
      <c r="BB98" s="27"/>
    </row>
    <row r="99" ht="22.5" hidden="1" customHeight="1">
      <c r="A99" s="29" t="s">
        <v>1117</v>
      </c>
      <c r="B99" s="30">
        <v>38431.0</v>
      </c>
      <c r="C99" s="7" t="s">
        <v>1118</v>
      </c>
      <c r="D99" s="31" t="s">
        <v>1119</v>
      </c>
      <c r="E99" s="29" t="s">
        <v>127</v>
      </c>
      <c r="F99" s="29" t="s">
        <v>82</v>
      </c>
      <c r="G99" s="29" t="s">
        <v>1120</v>
      </c>
      <c r="H99" s="29" t="s">
        <v>1121</v>
      </c>
      <c r="I99" s="29" t="s">
        <v>85</v>
      </c>
      <c r="J99" s="29"/>
      <c r="K99" s="29" t="s">
        <v>219</v>
      </c>
      <c r="L99" s="29" t="s">
        <v>581</v>
      </c>
      <c r="M99" s="33">
        <v>46599.0</v>
      </c>
      <c r="N99" s="31" t="s">
        <v>1122</v>
      </c>
      <c r="O99" s="32" t="str">
        <f>HYPERLINK("https://api.typeform.com/responses/files/afa155bc62564592555b7c202a6e91e55de540654a954279413f986bc3554527/Transcript___Game_Quality_Assurance_Intern___Nguyễn_Thành_Khang.pdf")</f>
        <v>https://api.typeform.com/responses/files/afa155bc62564592555b7c202a6e91e55de540654a954279413f986bc3554527/Transcript___Game_Quality_Assurance_Intern___Nguyễn_Thành_Khang.pdf</v>
      </c>
      <c r="P99" s="29" t="b">
        <v>0</v>
      </c>
      <c r="Q99" s="29" t="s">
        <v>268</v>
      </c>
      <c r="R99" s="29" t="s">
        <v>1123</v>
      </c>
      <c r="S99" s="29" t="s">
        <v>72</v>
      </c>
      <c r="T99" s="29" t="s">
        <v>72</v>
      </c>
      <c r="U99" s="29" t="s">
        <v>1124</v>
      </c>
      <c r="V99" s="29"/>
      <c r="W99" s="29" t="s">
        <v>1125</v>
      </c>
      <c r="X99" s="32" t="str">
        <f>HYPERLINK("https://api.typeform.com/responses/files/fcd7000484a6deb72868beb7bc4acea848208ab3a93704720eac1f387ad9fe6d/CV_NguyenThanhKhang_Game_QA_Intern.pdf")</f>
        <v>https://api.typeform.com/responses/files/fcd7000484a6deb72868beb7bc4acea848208ab3a93704720eac1f387ad9fe6d/CV_NguyenThanhKhang_Game_QA_Intern.pdf</v>
      </c>
      <c r="Y99" s="34">
        <v>46135.39378472222</v>
      </c>
      <c r="Z99" s="29" t="s">
        <v>1126</v>
      </c>
      <c r="AA99" s="6">
        <v>1.0</v>
      </c>
      <c r="AB99" s="7" t="s">
        <v>109</v>
      </c>
      <c r="AC99" s="28" t="s">
        <v>6377</v>
      </c>
      <c r="AD99" s="7" t="s">
        <v>6468</v>
      </c>
      <c r="AE99" s="28" t="s">
        <v>6379</v>
      </c>
      <c r="AF99" s="54" t="str">
        <f t="shared" si="13"/>
        <v>Quỳnh</v>
      </c>
      <c r="AG99" s="20"/>
      <c r="AH99" s="20" t="e">
        <v>#N/A</v>
      </c>
      <c r="AI99" s="20"/>
      <c r="AJ99" s="55"/>
      <c r="AK99" s="27"/>
      <c r="AL99" s="27"/>
      <c r="AM99" s="27"/>
      <c r="AN99" s="27"/>
      <c r="AO99" s="27"/>
      <c r="AP99" s="27"/>
      <c r="AQ99" s="27"/>
      <c r="AR99" s="27"/>
      <c r="AS99" s="27"/>
      <c r="AT99" s="27"/>
      <c r="AU99" s="27"/>
      <c r="AV99" s="27"/>
      <c r="AW99" s="27"/>
      <c r="AX99" s="27"/>
      <c r="AY99" s="27"/>
      <c r="AZ99" s="27"/>
      <c r="BA99" s="27"/>
      <c r="BB99" s="27"/>
    </row>
    <row r="100" ht="22.5" hidden="1" customHeight="1">
      <c r="A100" s="29" t="s">
        <v>867</v>
      </c>
      <c r="B100" s="30">
        <v>38156.0</v>
      </c>
      <c r="C100" s="7" t="s">
        <v>868</v>
      </c>
      <c r="D100" s="31" t="s">
        <v>869</v>
      </c>
      <c r="E100" s="29" t="s">
        <v>62</v>
      </c>
      <c r="F100" s="29" t="s">
        <v>82</v>
      </c>
      <c r="G100" s="29" t="s">
        <v>870</v>
      </c>
      <c r="H100" s="29" t="s">
        <v>871</v>
      </c>
      <c r="I100" s="29" t="s">
        <v>326</v>
      </c>
      <c r="J100" s="29"/>
      <c r="K100" s="29" t="s">
        <v>67</v>
      </c>
      <c r="L100" s="29" t="s">
        <v>86</v>
      </c>
      <c r="M100" s="33">
        <v>46310.0</v>
      </c>
      <c r="N100" s="31" t="s">
        <v>872</v>
      </c>
      <c r="O100" s="32" t="str">
        <f>HYPERLINK("https://api.typeform.com/responses/files/829189505b46f30fe22953c4f239e2dc0d5fe5289cb642fc4501ea50456e5d77/inbound7099643817910465525.pdf")</f>
        <v>https://api.typeform.com/responses/files/829189505b46f30fe22953c4f239e2dc0d5fe5289cb642fc4501ea50456e5d77/inbound7099643817910465525.pdf</v>
      </c>
      <c r="P100" s="29" t="b">
        <v>0</v>
      </c>
      <c r="Q100" s="29" t="s">
        <v>268</v>
      </c>
      <c r="R100" s="29" t="s">
        <v>873</v>
      </c>
      <c r="S100" s="29" t="s">
        <v>72</v>
      </c>
      <c r="T100" s="29" t="s">
        <v>72</v>
      </c>
      <c r="U100" s="29" t="s">
        <v>73</v>
      </c>
      <c r="V100" s="29"/>
      <c r="W100" s="29"/>
      <c r="X100" s="32" t="str">
        <f>HYPERLINK("https://api.typeform.com/responses/files/f91e2e00e580532c8fb45251c8b78b51291a7f010a3005381ee1b15e7b59eba5/inbound5323035336007774194.pdf")</f>
        <v>https://api.typeform.com/responses/files/f91e2e00e580532c8fb45251c8b78b51291a7f010a3005381ee1b15e7b59eba5/inbound5323035336007774194.pdf</v>
      </c>
      <c r="Y100" s="34">
        <v>46135.32052083333</v>
      </c>
      <c r="Z100" s="29" t="s">
        <v>874</v>
      </c>
      <c r="AA100" s="6">
        <v>1.0</v>
      </c>
      <c r="AB100" s="58" t="s">
        <v>6381</v>
      </c>
      <c r="AC100" s="28" t="s">
        <v>6376</v>
      </c>
      <c r="AD100" s="106" t="s">
        <v>6469</v>
      </c>
      <c r="AE100" s="53"/>
      <c r="AF100" s="53"/>
      <c r="AG100" s="20"/>
      <c r="AH100" s="20"/>
      <c r="AI100" s="20"/>
      <c r="AJ100" s="55"/>
      <c r="AK100" s="27"/>
      <c r="AL100" s="27"/>
      <c r="AM100" s="27"/>
      <c r="AN100" s="27"/>
      <c r="AO100" s="27"/>
      <c r="AP100" s="27"/>
      <c r="AQ100" s="27"/>
      <c r="AR100" s="27"/>
      <c r="AS100" s="27"/>
      <c r="AT100" s="27"/>
      <c r="AU100" s="27"/>
      <c r="AV100" s="27"/>
      <c r="AW100" s="27"/>
      <c r="AX100" s="27"/>
      <c r="AY100" s="27"/>
      <c r="AZ100" s="27"/>
      <c r="BA100" s="27"/>
      <c r="BB100" s="27"/>
    </row>
    <row r="101" ht="22.5" hidden="1" customHeight="1">
      <c r="A101" s="29" t="s">
        <v>998</v>
      </c>
      <c r="B101" s="30">
        <v>38373.0</v>
      </c>
      <c r="C101" s="7" t="s">
        <v>999</v>
      </c>
      <c r="D101" s="31" t="s">
        <v>1000</v>
      </c>
      <c r="E101" s="29" t="s">
        <v>62</v>
      </c>
      <c r="F101" s="29" t="s">
        <v>82</v>
      </c>
      <c r="G101" s="29" t="s">
        <v>1001</v>
      </c>
      <c r="H101" s="29" t="s">
        <v>1002</v>
      </c>
      <c r="I101" s="29" t="s">
        <v>715</v>
      </c>
      <c r="J101" s="29"/>
      <c r="K101" s="29" t="s">
        <v>219</v>
      </c>
      <c r="L101" s="29" t="s">
        <v>399</v>
      </c>
      <c r="M101" s="33">
        <v>46559.0</v>
      </c>
      <c r="N101" s="31" t="s">
        <v>1003</v>
      </c>
      <c r="O101" s="32" t="str">
        <f>HYPERLINK("https://api.typeform.com/responses/files/4a6be9bb88c7b60a0910532c6a3914e20d8329cdd34d6e55949611f4f40761d5/Transcript___AI_Engineer_Intern___Nguyễn_Tấn_Lộc.pdf")</f>
        <v>https://api.typeform.com/responses/files/4a6be9bb88c7b60a0910532c6a3914e20d8329cdd34d6e55949611f4f40761d5/Transcript___AI_Engineer_Intern___Nguyễn_Tấn_Lộc.pdf</v>
      </c>
      <c r="P101" s="29" t="b">
        <v>0</v>
      </c>
      <c r="Q101" s="29" t="s">
        <v>1004</v>
      </c>
      <c r="R101" s="29" t="s">
        <v>1005</v>
      </c>
      <c r="S101" s="29" t="s">
        <v>72</v>
      </c>
      <c r="T101" s="29" t="s">
        <v>72</v>
      </c>
      <c r="U101" s="29" t="s">
        <v>544</v>
      </c>
      <c r="V101" s="29"/>
      <c r="W101" s="29" t="s">
        <v>1006</v>
      </c>
      <c r="X101" s="32" t="str">
        <f>HYPERLINK("https://api.typeform.com/responses/files/c20af2aa1fd8654cb219f60432c95ae7b4c156b0c8d51e699155027729d80177/CV___AI_Engineer_Intern___Nguyễn_Tấn_Lộc.pdf")</f>
        <v>https://api.typeform.com/responses/files/c20af2aa1fd8654cb219f60432c95ae7b4c156b0c8d51e699155027729d80177/CV___AI_Engineer_Intern___Nguyễn_Tấn_Lộc.pdf</v>
      </c>
      <c r="Y101" s="34">
        <v>46135.35532407407</v>
      </c>
      <c r="Z101" s="29" t="s">
        <v>1007</v>
      </c>
      <c r="AA101" s="6">
        <v>1.0</v>
      </c>
      <c r="AB101" s="58" t="s">
        <v>6381</v>
      </c>
      <c r="AC101" s="28" t="s">
        <v>6377</v>
      </c>
      <c r="AD101" s="7" t="s">
        <v>6470</v>
      </c>
      <c r="AE101" s="28" t="s">
        <v>6379</v>
      </c>
      <c r="AF101" s="54" t="str">
        <f>IFERROR(
  IFS(
    AND(OR(AE101="Test",AE101="Chờ test",AE101="Test Review",AE101="Passed",AE101="Failed"), OR(E101="Game User Acquisition Intern",E101="Game Design Intern")), "Nhiên",
    AND(OR(AE101="Test",AE101="Chờ test",AE101="Test Review",AE101="Passed",AE101="Failed"), E101&lt;&gt;"Human Resources Intern", NOT(OR(E101="Game User Acquisition Intern",E101="Game Design Intern"))), "Quỳnh",
    AND(OR(AE101="Test",AE101="Chờ test",AE101="Test Review",AE101="Passed",AE101="Failed"), E101="Human Resources Intern"), "AUTO"
  ),
"")</f>
        <v>Quỳnh</v>
      </c>
      <c r="AG101" s="20"/>
      <c r="AH101" s="59" t="s">
        <v>6471</v>
      </c>
      <c r="AI101" s="20"/>
      <c r="AJ101" s="55"/>
      <c r="AK101" s="27"/>
      <c r="AL101" s="27"/>
      <c r="AM101" s="27"/>
      <c r="AN101" s="27"/>
      <c r="AO101" s="27"/>
      <c r="AP101" s="27"/>
      <c r="AQ101" s="27"/>
      <c r="AR101" s="27"/>
      <c r="AS101" s="27"/>
      <c r="AT101" s="27"/>
      <c r="AU101" s="27"/>
      <c r="AV101" s="27"/>
      <c r="AW101" s="27"/>
      <c r="AX101" s="27"/>
      <c r="AY101" s="27"/>
      <c r="AZ101" s="27"/>
      <c r="BA101" s="27"/>
      <c r="BB101" s="27"/>
    </row>
    <row r="102" ht="22.5" hidden="1" customHeight="1">
      <c r="A102" s="29" t="s">
        <v>1148</v>
      </c>
      <c r="B102" s="30">
        <v>37888.0</v>
      </c>
      <c r="C102" s="7" t="s">
        <v>1149</v>
      </c>
      <c r="D102" s="31" t="s">
        <v>1150</v>
      </c>
      <c r="E102" s="29" t="s">
        <v>633</v>
      </c>
      <c r="F102" s="29"/>
      <c r="G102" s="29" t="s">
        <v>1151</v>
      </c>
      <c r="H102" s="29" t="s">
        <v>1152</v>
      </c>
      <c r="I102" s="29" t="s">
        <v>636</v>
      </c>
      <c r="J102" s="29"/>
      <c r="K102" s="29" t="s">
        <v>103</v>
      </c>
      <c r="L102" s="29" t="s">
        <v>1153</v>
      </c>
      <c r="M102" s="33">
        <v>46136.0</v>
      </c>
      <c r="N102" s="31" t="s">
        <v>890</v>
      </c>
      <c r="O102" s="32" t="str">
        <f>HYPERLINK("https://api.typeform.com/responses/files/b5b106888e92ab7a05ea091336dba9f6cff14c521207973d404bae7c0943376d/Transcript___Human_Resources_Intern___Nguyen_Vu_Tuong_Vy.jfif")</f>
        <v>https://api.typeform.com/responses/files/b5b106888e92ab7a05ea091336dba9f6cff14c521207973d404bae7c0943376d/Transcript___Human_Resources_Intern___Nguyen_Vu_Tuong_Vy.jfif</v>
      </c>
      <c r="P102" s="29" t="b">
        <v>1</v>
      </c>
      <c r="Q102" s="29" t="s">
        <v>1154</v>
      </c>
      <c r="R102" s="29" t="s">
        <v>1155</v>
      </c>
      <c r="S102" s="29" t="s">
        <v>72</v>
      </c>
      <c r="T102" s="29" t="s">
        <v>72</v>
      </c>
      <c r="U102" s="29" t="s">
        <v>224</v>
      </c>
      <c r="V102" s="29"/>
      <c r="W102" s="29" t="s">
        <v>1156</v>
      </c>
      <c r="X102" s="32" t="str">
        <f>HYPERLINK("https://api.typeform.com/responses/files/bf2d490301046f5e6f1e73c8a33218e53bfd19b313c37dbdae7d0bcf11aa8edd/CV___Human_Resources_Intern___Nguyen_Vu_Tuong_Vy.pdf")</f>
        <v>https://api.typeform.com/responses/files/bf2d490301046f5e6f1e73c8a33218e53bfd19b313c37dbdae7d0bcf11aa8edd/CV___Human_Resources_Intern___Nguyen_Vu_Tuong_Vy.pdf</v>
      </c>
      <c r="Y102" s="34">
        <v>46135.40975694444</v>
      </c>
      <c r="Z102" s="29" t="s">
        <v>1157</v>
      </c>
      <c r="AA102" s="6">
        <v>1.0</v>
      </c>
      <c r="AB102" s="7" t="s">
        <v>6424</v>
      </c>
      <c r="AC102" s="28" t="s">
        <v>6377</v>
      </c>
      <c r="AD102" s="20"/>
      <c r="AE102" s="28" t="s">
        <v>6377</v>
      </c>
      <c r="AF102" s="121" t="s">
        <v>93</v>
      </c>
      <c r="AG102" s="20"/>
      <c r="AH102" s="20" t="e">
        <v>#N/A</v>
      </c>
      <c r="AI102" s="20"/>
      <c r="AJ102" s="55"/>
      <c r="AK102" s="27"/>
      <c r="AL102" s="27"/>
      <c r="AM102" s="27"/>
      <c r="AN102" s="27"/>
      <c r="AO102" s="27"/>
      <c r="AP102" s="27"/>
      <c r="AQ102" s="27"/>
      <c r="AR102" s="27"/>
      <c r="AS102" s="27"/>
      <c r="AT102" s="27"/>
      <c r="AU102" s="27"/>
      <c r="AV102" s="27"/>
      <c r="AW102" s="27"/>
      <c r="AX102" s="27"/>
      <c r="AY102" s="27"/>
      <c r="AZ102" s="27"/>
      <c r="BA102" s="27"/>
      <c r="BB102" s="27"/>
    </row>
    <row r="103" ht="22.5" hidden="1" customHeight="1">
      <c r="A103" s="29" t="s">
        <v>1158</v>
      </c>
      <c r="B103" s="30">
        <v>38332.0</v>
      </c>
      <c r="C103" s="7" t="s">
        <v>1159</v>
      </c>
      <c r="D103" s="31" t="s">
        <v>1160</v>
      </c>
      <c r="E103" s="29" t="s">
        <v>99</v>
      </c>
      <c r="F103" s="29" t="s">
        <v>61</v>
      </c>
      <c r="G103" s="29" t="s">
        <v>1161</v>
      </c>
      <c r="H103" s="29" t="s">
        <v>1162</v>
      </c>
      <c r="I103" s="20" t="s">
        <v>777</v>
      </c>
      <c r="J103" s="29"/>
      <c r="K103" s="29" t="s">
        <v>103</v>
      </c>
      <c r="L103" s="29" t="s">
        <v>1163</v>
      </c>
      <c r="M103" s="33">
        <v>46125.0</v>
      </c>
      <c r="N103" s="31" t="s">
        <v>1164</v>
      </c>
      <c r="O103" s="32" t="str">
        <f>HYPERLINK("https://api.typeform.com/responses/files/3e93766e103d8b3b8c6e021a6dfba8ef7efbdc4a0a482b483693a3b715ff5b70/Transcript___Game_Designer___Trần_Thị_Minh_Vi.pdf")</f>
        <v>https://api.typeform.com/responses/files/3e93766e103d8b3b8c6e021a6dfba8ef7efbdc4a0a482b483693a3b715ff5b70/Transcript___Game_Designer___Trần_Thị_Minh_Vi.pdf</v>
      </c>
      <c r="P103" s="29" t="b">
        <v>1</v>
      </c>
      <c r="Q103" s="29" t="s">
        <v>1165</v>
      </c>
      <c r="R103" s="29" t="s">
        <v>1166</v>
      </c>
      <c r="S103" s="29" t="s">
        <v>72</v>
      </c>
      <c r="T103" s="29" t="s">
        <v>72</v>
      </c>
      <c r="U103" s="29" t="s">
        <v>236</v>
      </c>
      <c r="V103" s="29"/>
      <c r="W103" s="29"/>
      <c r="X103" s="32" t="str">
        <f>HYPERLINK("https://api.typeform.com/responses/files/20dbbc50732985f275a0db419b876ad77048b86b80f9c7a9af01fc8c79357836/CV___Game_Designer___Trần_Thị_Minh_Vi.docx")</f>
        <v>https://api.typeform.com/responses/files/20dbbc50732985f275a0db419b876ad77048b86b80f9c7a9af01fc8c79357836/CV___Game_Designer___Trần_Thị_Minh_Vi.docx</v>
      </c>
      <c r="Y103" s="34">
        <v>46135.416817129626</v>
      </c>
      <c r="Z103" s="29" t="s">
        <v>1167</v>
      </c>
      <c r="AA103" s="6">
        <v>1.0</v>
      </c>
      <c r="AB103" s="58" t="s">
        <v>6381</v>
      </c>
      <c r="AC103" s="28" t="s">
        <v>6377</v>
      </c>
      <c r="AD103" s="20"/>
      <c r="AE103" s="28" t="s">
        <v>6397</v>
      </c>
      <c r="AF103" s="54" t="str">
        <f>IFERROR(
  IFS(
    AND(OR(AE103="Test",AE103="Chờ test",AE103="Test Review",AE103="Passed",AE103="Failed"), OR(E103="Game User Acquisition Intern",E103="Game Design Intern")), "Nhiên",
    AND(OR(AE103="Test",AE103="Chờ test",AE103="Test Review",AE103="Passed",AE103="Failed"), E103&lt;&gt;"Human Resources Intern", NOT(OR(E103="Game User Acquisition Intern",E103="Game Design Intern"))), "Quỳnh",
    AND(OR(AE103="Test",AE103="Chờ test",AE103="Test Review",AE103="Passed",AE103="Failed"), E103="Human Resources Intern"), "AUTO"
  ),
"")</f>
        <v/>
      </c>
      <c r="AG103" s="20"/>
      <c r="AH103" s="20" t="e">
        <v>#N/A</v>
      </c>
      <c r="AI103" s="20"/>
      <c r="AJ103" s="55"/>
      <c r="AK103" s="27"/>
      <c r="AL103" s="27"/>
      <c r="AM103" s="27"/>
      <c r="AN103" s="27"/>
      <c r="AO103" s="27"/>
      <c r="AP103" s="27"/>
      <c r="AQ103" s="27"/>
      <c r="AR103" s="27"/>
      <c r="AS103" s="27"/>
      <c r="AT103" s="27"/>
      <c r="AU103" s="27"/>
      <c r="AV103" s="27"/>
      <c r="AW103" s="27"/>
      <c r="AX103" s="27"/>
      <c r="AY103" s="27"/>
      <c r="AZ103" s="27"/>
      <c r="BA103" s="27"/>
      <c r="BB103" s="27"/>
    </row>
    <row r="104" ht="22.5" hidden="1" customHeight="1">
      <c r="A104" s="29" t="s">
        <v>1207</v>
      </c>
      <c r="B104" s="30">
        <v>38650.0</v>
      </c>
      <c r="C104" s="7" t="s">
        <v>1208</v>
      </c>
      <c r="D104" s="31" t="s">
        <v>1209</v>
      </c>
      <c r="E104" s="29" t="s">
        <v>62</v>
      </c>
      <c r="F104" s="29" t="s">
        <v>82</v>
      </c>
      <c r="G104" s="29" t="s">
        <v>1210</v>
      </c>
      <c r="H104" s="29" t="s">
        <v>1211</v>
      </c>
      <c r="I104" s="29" t="s">
        <v>85</v>
      </c>
      <c r="J104" s="29"/>
      <c r="K104" s="29" t="s">
        <v>219</v>
      </c>
      <c r="L104" s="29" t="s">
        <v>220</v>
      </c>
      <c r="M104" s="33">
        <v>46388.0</v>
      </c>
      <c r="N104" s="31" t="s">
        <v>1212</v>
      </c>
      <c r="O104" s="32" t="str">
        <f>HYPERLINK("https://api.typeform.com/responses/files/419b31d98ea0765c6bb256fbbb518f38b69e7d8229d9e7e6bde6bb5a7bddc367/Transcript___AI_Engineer_Intern___Nguyễn_Minh_Trí.pdf")</f>
        <v>https://api.typeform.com/responses/files/419b31d98ea0765c6bb256fbbb518f38b69e7d8229d9e7e6bde6bb5a7bddc367/Transcript___AI_Engineer_Intern___Nguyễn_Minh_Trí.pdf</v>
      </c>
      <c r="P104" s="29" t="b">
        <v>0</v>
      </c>
      <c r="Q104" s="29" t="s">
        <v>222</v>
      </c>
      <c r="R104" s="29" t="s">
        <v>1213</v>
      </c>
      <c r="S104" s="29" t="s">
        <v>72</v>
      </c>
      <c r="T104" s="29" t="s">
        <v>72</v>
      </c>
      <c r="U104" s="29" t="s">
        <v>269</v>
      </c>
      <c r="V104" s="29"/>
      <c r="W104" s="29"/>
      <c r="X104" s="32" t="str">
        <f>HYPERLINK("https://api.typeform.com/responses/files/74f482e6b44b10e47dd02d72cf2ee37ccd2f0c8fb5eeb0c410bef9c91f4107e5/NGUYENMINHTRI.pdf")</f>
        <v>https://api.typeform.com/responses/files/74f482e6b44b10e47dd02d72cf2ee37ccd2f0c8fb5eeb0c410bef9c91f4107e5/NGUYENMINHTRI.pdf</v>
      </c>
      <c r="Y104" s="34">
        <v>46135.43216435185</v>
      </c>
      <c r="Z104" s="29" t="s">
        <v>1214</v>
      </c>
      <c r="AA104" s="6">
        <v>1.0</v>
      </c>
      <c r="AB104" s="58" t="s">
        <v>6381</v>
      </c>
      <c r="AC104" s="28" t="s">
        <v>6376</v>
      </c>
      <c r="AD104" s="7" t="s">
        <v>6410</v>
      </c>
      <c r="AE104" s="53"/>
      <c r="AF104" s="53"/>
      <c r="AG104" s="20"/>
      <c r="AH104" s="20"/>
      <c r="AI104" s="20"/>
      <c r="AJ104" s="55"/>
      <c r="AK104" s="27"/>
      <c r="AL104" s="27"/>
      <c r="AM104" s="27"/>
      <c r="AN104" s="27"/>
      <c r="AO104" s="27"/>
      <c r="AP104" s="27"/>
      <c r="AQ104" s="27"/>
      <c r="AR104" s="27"/>
      <c r="AS104" s="27"/>
      <c r="AT104" s="27"/>
      <c r="AU104" s="27"/>
      <c r="AV104" s="27"/>
      <c r="AW104" s="27"/>
      <c r="AX104" s="27"/>
      <c r="AY104" s="27"/>
      <c r="AZ104" s="27"/>
      <c r="BA104" s="27"/>
      <c r="BB104" s="27"/>
    </row>
    <row r="105" ht="22.5" hidden="1" customHeight="1">
      <c r="A105" s="29" t="s">
        <v>1178</v>
      </c>
      <c r="B105" s="30">
        <v>38455.0</v>
      </c>
      <c r="C105" s="7" t="s">
        <v>1179</v>
      </c>
      <c r="D105" s="31" t="s">
        <v>1180</v>
      </c>
      <c r="E105" s="29" t="s">
        <v>61</v>
      </c>
      <c r="F105" s="29" t="s">
        <v>127</v>
      </c>
      <c r="G105" s="29" t="s">
        <v>1181</v>
      </c>
      <c r="H105" s="29" t="s">
        <v>1182</v>
      </c>
      <c r="I105" s="29" t="s">
        <v>326</v>
      </c>
      <c r="J105" s="29"/>
      <c r="K105" s="29" t="s">
        <v>219</v>
      </c>
      <c r="L105" s="29" t="s">
        <v>1183</v>
      </c>
      <c r="M105" s="33">
        <v>46600.0</v>
      </c>
      <c r="N105" s="31" t="s">
        <v>1184</v>
      </c>
      <c r="O105" s="32" t="str">
        <f>HYPERLINK("https://api.typeform.com/responses/files/47d292cd67ef44255db66d905e40a4d204b201bb0686a4c5363ac1d48b9f46aa/Transcript___Unity_Development_Intern___Mai_Xuân_Hưng.pdf")</f>
        <v>https://api.typeform.com/responses/files/47d292cd67ef44255db66d905e40a4d204b201bb0686a4c5363ac1d48b9f46aa/Transcript___Unity_Development_Intern___Mai_Xuân_Hưng.pdf</v>
      </c>
      <c r="P105" s="29" t="b">
        <v>1</v>
      </c>
      <c r="Q105" s="29" t="s">
        <v>1185</v>
      </c>
      <c r="R105" s="29" t="s">
        <v>1186</v>
      </c>
      <c r="S105" s="29" t="s">
        <v>72</v>
      </c>
      <c r="T105" s="29" t="s">
        <v>72</v>
      </c>
      <c r="U105" s="29" t="s">
        <v>269</v>
      </c>
      <c r="V105" s="29"/>
      <c r="W105" s="29"/>
      <c r="X105" s="32" t="str">
        <f>HYPERLINK("https://api.typeform.com/responses/files/4d2b2b03c284c150b8f5da63e2ca951c723a4bd843368806105c03f36b704011/CV___Unity_Development_Intern___Mai_Xuân_Hưng.pdf")</f>
        <v>https://api.typeform.com/responses/files/4d2b2b03c284c150b8f5da63e2ca951c723a4bd843368806105c03f36b704011/CV___Unity_Development_Intern___Mai_Xuân_Hưng.pdf</v>
      </c>
      <c r="Y105" s="34">
        <v>46135.42386574074</v>
      </c>
      <c r="Z105" s="29" t="s">
        <v>1187</v>
      </c>
      <c r="AA105" s="6">
        <v>1.0</v>
      </c>
      <c r="AB105" s="7" t="s">
        <v>93</v>
      </c>
      <c r="AC105" s="28" t="s">
        <v>6377</v>
      </c>
      <c r="AD105" s="20"/>
      <c r="AE105" s="28" t="s">
        <v>6379</v>
      </c>
      <c r="AF105" s="54" t="str">
        <f t="shared" ref="AF105:AF107" si="14">IFERROR(
  IFS(
    AND(OR(AE105="Test",AE105="Chờ test",AE105="Test Review",AE105="Passed",AE105="Failed"), OR(E105="Game User Acquisition Intern",E105="Game Design Intern")), "Nhiên",
    AND(OR(AE105="Test",AE105="Chờ test",AE105="Test Review",AE105="Passed",AE105="Failed"), E105&lt;&gt;"Human Resources Intern", NOT(OR(E105="Game User Acquisition Intern",E105="Game Design Intern"))), "Quỳnh",
    AND(OR(AE105="Test",AE105="Chờ test",AE105="Test Review",AE105="Passed",AE105="Failed"), E105="Human Resources Intern"), "AUTO"
  ),
"")</f>
        <v>Quỳnh</v>
      </c>
      <c r="AG105" s="20"/>
      <c r="AH105" s="20" t="e">
        <v>#N/A</v>
      </c>
      <c r="AI105" s="20"/>
      <c r="AJ105" s="55"/>
      <c r="AK105" s="27"/>
      <c r="AL105" s="27"/>
      <c r="AM105" s="27"/>
      <c r="AN105" s="27"/>
      <c r="AO105" s="27"/>
      <c r="AP105" s="27"/>
      <c r="AQ105" s="27"/>
      <c r="AR105" s="27"/>
      <c r="AS105" s="27"/>
      <c r="AT105" s="27"/>
      <c r="AU105" s="27"/>
      <c r="AV105" s="27"/>
      <c r="AW105" s="27"/>
      <c r="AX105" s="27"/>
      <c r="AY105" s="27"/>
      <c r="AZ105" s="27"/>
      <c r="BA105" s="27"/>
      <c r="BB105" s="27"/>
    </row>
    <row r="106" ht="22.5" hidden="1" customHeight="1">
      <c r="A106" s="29" t="s">
        <v>1188</v>
      </c>
      <c r="B106" s="30">
        <v>38306.0</v>
      </c>
      <c r="C106" s="7" t="s">
        <v>1189</v>
      </c>
      <c r="D106" s="31" t="s">
        <v>1190</v>
      </c>
      <c r="E106" s="29" t="s">
        <v>61</v>
      </c>
      <c r="F106" s="29" t="s">
        <v>61</v>
      </c>
      <c r="G106" s="29" t="s">
        <v>1191</v>
      </c>
      <c r="H106" s="29" t="s">
        <v>1192</v>
      </c>
      <c r="I106" s="29" t="s">
        <v>372</v>
      </c>
      <c r="J106" s="29"/>
      <c r="K106" s="29" t="s">
        <v>67</v>
      </c>
      <c r="L106" s="29" t="s">
        <v>1183</v>
      </c>
      <c r="M106" s="33">
        <v>46235.0</v>
      </c>
      <c r="N106" s="31" t="s">
        <v>1122</v>
      </c>
      <c r="O106" s="32" t="str">
        <f>HYPERLINK("https://api.typeform.com/responses/files/171f51003ca98f221610d69e5129407cb375635c01a0e289abdb91bde32fa7ab/Transcript___Unity_Developer_Intern___Duong_Khanh_Nguyen.png")</f>
        <v>https://api.typeform.com/responses/files/171f51003ca98f221610d69e5129407cb375635c01a0e289abdb91bde32fa7ab/Transcript___Unity_Developer_Intern___Duong_Khanh_Nguyen.png</v>
      </c>
      <c r="P106" s="29" t="b">
        <v>1</v>
      </c>
      <c r="Q106" s="29" t="s">
        <v>1193</v>
      </c>
      <c r="R106" s="29" t="s">
        <v>1194</v>
      </c>
      <c r="S106" s="29" t="s">
        <v>72</v>
      </c>
      <c r="T106" s="29" t="s">
        <v>72</v>
      </c>
      <c r="U106" s="29" t="s">
        <v>73</v>
      </c>
      <c r="V106" s="29"/>
      <c r="W106" s="29" t="s">
        <v>1195</v>
      </c>
      <c r="X106" s="32" t="str">
        <f>HYPERLINK("https://api.typeform.com/responses/files/7a41119c7f4c86f3b5ec7e32dee7b7e0663cac3cad0c740ddbb2cafd069903ef/CV_Unity_Developer_Intern_Duong_Khanh_Nguyen.pdf")</f>
        <v>https://api.typeform.com/responses/files/7a41119c7f4c86f3b5ec7e32dee7b7e0663cac3cad0c740ddbb2cafd069903ef/CV_Unity_Developer_Intern_Duong_Khanh_Nguyen.pdf</v>
      </c>
      <c r="Y106" s="34">
        <v>46135.42532407407</v>
      </c>
      <c r="Z106" s="29" t="s">
        <v>1196</v>
      </c>
      <c r="AA106" s="6">
        <v>1.0</v>
      </c>
      <c r="AB106" s="7" t="s">
        <v>93</v>
      </c>
      <c r="AC106" s="28" t="s">
        <v>6377</v>
      </c>
      <c r="AD106" s="20"/>
      <c r="AE106" s="28" t="s">
        <v>6379</v>
      </c>
      <c r="AF106" s="54" t="str">
        <f t="shared" si="14"/>
        <v>Quỳnh</v>
      </c>
      <c r="AG106" s="20"/>
      <c r="AH106" s="20" t="e">
        <v>#N/A</v>
      </c>
      <c r="AI106" s="20"/>
      <c r="AJ106" s="55"/>
      <c r="AK106" s="27"/>
      <c r="AL106" s="27"/>
      <c r="AM106" s="27"/>
      <c r="AN106" s="27"/>
      <c r="AO106" s="27"/>
      <c r="AP106" s="27"/>
      <c r="AQ106" s="27"/>
      <c r="AR106" s="27"/>
      <c r="AS106" s="27"/>
      <c r="AT106" s="27"/>
      <c r="AU106" s="27"/>
      <c r="AV106" s="27"/>
      <c r="AW106" s="27"/>
      <c r="AX106" s="27"/>
      <c r="AY106" s="27"/>
      <c r="AZ106" s="27"/>
      <c r="BA106" s="27"/>
      <c r="BB106" s="27"/>
    </row>
    <row r="107" ht="22.5" hidden="1" customHeight="1">
      <c r="A107" s="29" t="s">
        <v>1255</v>
      </c>
      <c r="B107" s="30">
        <v>38374.0</v>
      </c>
      <c r="C107" s="7" t="s">
        <v>1256</v>
      </c>
      <c r="D107" s="31" t="s">
        <v>1257</v>
      </c>
      <c r="E107" s="29" t="s">
        <v>62</v>
      </c>
      <c r="F107" s="29" t="s">
        <v>82</v>
      </c>
      <c r="G107" s="29" t="s">
        <v>1258</v>
      </c>
      <c r="H107" s="29" t="s">
        <v>1259</v>
      </c>
      <c r="I107" s="29" t="s">
        <v>326</v>
      </c>
      <c r="J107" s="29"/>
      <c r="K107" s="29" t="s">
        <v>219</v>
      </c>
      <c r="L107" s="29" t="s">
        <v>132</v>
      </c>
      <c r="M107" s="33">
        <v>46591.0</v>
      </c>
      <c r="N107" s="31" t="s">
        <v>1260</v>
      </c>
      <c r="O107" s="32" t="str">
        <f>HYPERLINK("https://api.typeform.com/responses/files/0edb1749d9364d57be5803c36ce6d7561a382104c757209d6dc51f43ac3bfbf3/Transcript___AI_Engineering_Intern___Võ_Nguyễn_Thảo_Uyên.pdf")</f>
        <v>https://api.typeform.com/responses/files/0edb1749d9364d57be5803c36ce6d7561a382104c757209d6dc51f43ac3bfbf3/Transcript___AI_Engineering_Intern___Võ_Nguyễn_Thảo_Uyên.pdf</v>
      </c>
      <c r="P107" s="29" t="b">
        <v>0</v>
      </c>
      <c r="Q107" s="29" t="s">
        <v>1261</v>
      </c>
      <c r="R107" s="29" t="s">
        <v>1262</v>
      </c>
      <c r="S107" s="29" t="s">
        <v>72</v>
      </c>
      <c r="T107" s="29" t="s">
        <v>72</v>
      </c>
      <c r="U107" s="29" t="s">
        <v>269</v>
      </c>
      <c r="V107" s="29"/>
      <c r="W107" s="29" t="s">
        <v>1263</v>
      </c>
      <c r="X107" s="32" t="str">
        <f>HYPERLINK("https://api.typeform.com/responses/files/413b29ffd4b9d0b3f21a6386888fe160c827d20a97f85cbf3415e5f68a9724ad/CV___AI_Engineering_Intern___Võ_Nguyễn_Thảo_Uyên.pdf")</f>
        <v>https://api.typeform.com/responses/files/413b29ffd4b9d0b3f21a6386888fe160c827d20a97f85cbf3415e5f68a9724ad/CV___AI_Engineering_Intern___Võ_Nguyễn_Thảo_Uyên.pdf</v>
      </c>
      <c r="Y107" s="34">
        <v>46135.50050925926</v>
      </c>
      <c r="Z107" s="29" t="s">
        <v>1264</v>
      </c>
      <c r="AA107" s="6">
        <v>1.0</v>
      </c>
      <c r="AB107" s="58" t="s">
        <v>6381</v>
      </c>
      <c r="AC107" s="28" t="s">
        <v>6377</v>
      </c>
      <c r="AD107" s="7" t="s">
        <v>6472</v>
      </c>
      <c r="AE107" s="28" t="s">
        <v>6379</v>
      </c>
      <c r="AF107" s="54" t="str">
        <f t="shared" si="14"/>
        <v>Quỳnh</v>
      </c>
      <c r="AG107" s="20"/>
      <c r="AH107" s="59" t="s">
        <v>6473</v>
      </c>
      <c r="AI107" s="20"/>
      <c r="AJ107" s="55"/>
      <c r="AK107" s="27"/>
      <c r="AL107" s="27"/>
      <c r="AM107" s="27"/>
      <c r="AN107" s="27"/>
      <c r="AO107" s="27"/>
      <c r="AP107" s="27"/>
      <c r="AQ107" s="27"/>
      <c r="AR107" s="27"/>
      <c r="AS107" s="27"/>
      <c r="AT107" s="27"/>
      <c r="AU107" s="27"/>
      <c r="AV107" s="27"/>
      <c r="AW107" s="27"/>
      <c r="AX107" s="27"/>
      <c r="AY107" s="27"/>
      <c r="AZ107" s="27"/>
      <c r="BA107" s="27"/>
      <c r="BB107" s="27"/>
    </row>
    <row r="108" ht="22.5" hidden="1" customHeight="1">
      <c r="A108" s="83" t="s">
        <v>511</v>
      </c>
      <c r="B108" s="84">
        <v>38001.0</v>
      </c>
      <c r="C108" s="85" t="s">
        <v>512</v>
      </c>
      <c r="D108" s="86" t="s">
        <v>513</v>
      </c>
      <c r="E108" s="83" t="s">
        <v>62</v>
      </c>
      <c r="F108" s="83" t="s">
        <v>82</v>
      </c>
      <c r="G108" s="83" t="s">
        <v>514</v>
      </c>
      <c r="H108" s="83" t="s">
        <v>515</v>
      </c>
      <c r="I108" s="83" t="s">
        <v>468</v>
      </c>
      <c r="J108" s="83"/>
      <c r="K108" s="83" t="s">
        <v>103</v>
      </c>
      <c r="L108" s="83" t="s">
        <v>132</v>
      </c>
      <c r="M108" s="87">
        <v>46143.0</v>
      </c>
      <c r="N108" s="86" t="s">
        <v>118</v>
      </c>
      <c r="O108" s="88" t="str">
        <f>HYPERLINK("https://api.typeform.com/responses/files/dd6850e19856682ebf44057545d6322d95f861ef2526e22a64bae0e19d093ff2/Transcript___Data_Analysis_Intern___Võ_Ngọc_Duy.pdf")</f>
        <v>https://api.typeform.com/responses/files/dd6850e19856682ebf44057545d6322d95f861ef2526e22a64bae0e19d093ff2/Transcript___Data_Analysis_Intern___Võ_Ngọc_Duy.pdf</v>
      </c>
      <c r="P108" s="83" t="b">
        <v>0</v>
      </c>
      <c r="Q108" s="83" t="s">
        <v>268</v>
      </c>
      <c r="R108" s="83" t="s">
        <v>516</v>
      </c>
      <c r="S108" s="83" t="s">
        <v>72</v>
      </c>
      <c r="T108" s="83" t="s">
        <v>72</v>
      </c>
      <c r="U108" s="83" t="s">
        <v>90</v>
      </c>
      <c r="V108" s="83"/>
      <c r="W108" s="83" t="s">
        <v>318</v>
      </c>
      <c r="X108" s="88" t="str">
        <f>HYPERLINK("https://api.typeform.com/responses/files/cbff5534cc3b2e0025b9480516547d65b020ba3f79473917fa1bbf65567763b4/CV___Data_Analysis_Intern___Võ_Ngọc_Duy.pdf")</f>
        <v>https://api.typeform.com/responses/files/cbff5534cc3b2e0025b9480516547d65b020ba3f79473917fa1bbf65567763b4/CV___Data_Analysis_Intern___Võ_Ngọc_Duy.pdf</v>
      </c>
      <c r="Y108" s="89">
        <v>46135.056759259256</v>
      </c>
      <c r="Z108" s="83" t="s">
        <v>517</v>
      </c>
      <c r="AA108" s="90">
        <v>1.0</v>
      </c>
      <c r="AB108" s="91" t="s">
        <v>6381</v>
      </c>
      <c r="AC108" s="92" t="s">
        <v>6376</v>
      </c>
      <c r="AD108" s="112"/>
      <c r="AE108" s="93"/>
      <c r="AF108" s="53"/>
      <c r="AG108" s="20"/>
      <c r="AH108" s="20"/>
      <c r="AI108" s="20"/>
      <c r="AJ108" s="55"/>
      <c r="AK108" s="27"/>
      <c r="AL108" s="27"/>
      <c r="AM108" s="27"/>
      <c r="AN108" s="27"/>
      <c r="AO108" s="27"/>
      <c r="AP108" s="27"/>
      <c r="AQ108" s="27"/>
      <c r="AR108" s="27"/>
      <c r="AS108" s="27"/>
      <c r="AT108" s="27"/>
      <c r="AU108" s="27"/>
      <c r="AV108" s="27"/>
      <c r="AW108" s="27"/>
      <c r="AX108" s="27"/>
      <c r="AY108" s="27"/>
      <c r="AZ108" s="27"/>
      <c r="BA108" s="27"/>
      <c r="BB108" s="27"/>
    </row>
    <row r="109" ht="22.5" hidden="1" customHeight="1">
      <c r="A109" s="29" t="s">
        <v>1215</v>
      </c>
      <c r="B109" s="30">
        <v>38478.0</v>
      </c>
      <c r="C109" s="7" t="s">
        <v>1216</v>
      </c>
      <c r="D109" s="31" t="s">
        <v>1217</v>
      </c>
      <c r="E109" s="29" t="s">
        <v>61</v>
      </c>
      <c r="F109" s="29" t="s">
        <v>99</v>
      </c>
      <c r="G109" s="29" t="s">
        <v>1218</v>
      </c>
      <c r="H109" s="29" t="s">
        <v>1219</v>
      </c>
      <c r="I109" s="29" t="s">
        <v>326</v>
      </c>
      <c r="J109" s="29"/>
      <c r="K109" s="29" t="s">
        <v>219</v>
      </c>
      <c r="L109" s="29" t="s">
        <v>104</v>
      </c>
      <c r="M109" s="33">
        <v>46629.0</v>
      </c>
      <c r="N109" s="31" t="s">
        <v>1220</v>
      </c>
      <c r="O109" s="32" t="str">
        <f>HYPERLINK("https://api.typeform.com/responses/files/104146cfb9d015572da096b40f36448996ab731e27af56d82f0d3977b8fe15d7/Transcript___Unity_Developer___Trần_Khôn_Chí.pdf")</f>
        <v>https://api.typeform.com/responses/files/104146cfb9d015572da096b40f36448996ab731e27af56d82f0d3977b8fe15d7/Transcript___Unity_Developer___Trần_Khôn_Chí.pdf</v>
      </c>
      <c r="P109" s="29" t="b">
        <v>1</v>
      </c>
      <c r="Q109" s="29" t="s">
        <v>1221</v>
      </c>
      <c r="R109" s="29" t="s">
        <v>1222</v>
      </c>
      <c r="S109" s="29" t="s">
        <v>72</v>
      </c>
      <c r="T109" s="29" t="s">
        <v>72</v>
      </c>
      <c r="U109" s="29" t="s">
        <v>269</v>
      </c>
      <c r="V109" s="29"/>
      <c r="W109" s="29" t="s">
        <v>1223</v>
      </c>
      <c r="X109" s="32" t="str">
        <f>HYPERLINK("https://api.typeform.com/responses/files/fdeea48f0463bc538f70c9fedc14231d27cbe66daadf47ddfebf47b4011ac4cd/CV___Unity_Developer___Trần_Khôn_Chí.pdf")</f>
        <v>https://api.typeform.com/responses/files/fdeea48f0463bc538f70c9fedc14231d27cbe66daadf47ddfebf47b4011ac4cd/CV___Unity_Developer___Trần_Khôn_Chí.pdf</v>
      </c>
      <c r="Y109" s="34">
        <v>46135.43310185185</v>
      </c>
      <c r="Z109" s="29" t="s">
        <v>1224</v>
      </c>
      <c r="AA109" s="6">
        <v>1.0</v>
      </c>
      <c r="AB109" s="7" t="s">
        <v>93</v>
      </c>
      <c r="AC109" s="28" t="s">
        <v>6377</v>
      </c>
      <c r="AD109" s="7" t="s">
        <v>6474</v>
      </c>
      <c r="AE109" s="28" t="s">
        <v>6379</v>
      </c>
      <c r="AF109" s="54" t="str">
        <f>IFERROR(
  IFS(
    AND(OR(AE109="Test",AE109="Chờ test",AE109="Test Review",AE109="Passed",AE109="Failed"), OR(E109="Game User Acquisition Intern",E109="Game Design Intern")), "Nhiên",
    AND(OR(AE109="Test",AE109="Chờ test",AE109="Test Review",AE109="Passed",AE109="Failed"), E109&lt;&gt;"Human Resources Intern", NOT(OR(E109="Game User Acquisition Intern",E109="Game Design Intern"))), "Quỳnh",
    AND(OR(AE109="Test",AE109="Chờ test",AE109="Test Review",AE109="Passed",AE109="Failed"), E109="Human Resources Intern"), "AUTO"
  ),
"")</f>
        <v>Quỳnh</v>
      </c>
      <c r="AG109" s="20"/>
      <c r="AH109" s="20" t="e">
        <v>#N/A</v>
      </c>
      <c r="AI109" s="20"/>
      <c r="AJ109" s="122" t="s">
        <v>6475</v>
      </c>
      <c r="AK109" s="27"/>
      <c r="AL109" s="27"/>
      <c r="AM109" s="27"/>
      <c r="AN109" s="27"/>
      <c r="AO109" s="27"/>
      <c r="AP109" s="27"/>
      <c r="AQ109" s="27"/>
      <c r="AR109" s="27"/>
      <c r="AS109" s="27"/>
      <c r="AT109" s="27"/>
      <c r="AU109" s="27"/>
      <c r="AV109" s="27"/>
      <c r="AW109" s="27"/>
      <c r="AX109" s="27"/>
      <c r="AY109" s="27"/>
      <c r="AZ109" s="27"/>
      <c r="BA109" s="27"/>
      <c r="BB109" s="27"/>
    </row>
    <row r="110" ht="22.5" hidden="1" customHeight="1">
      <c r="A110" s="83" t="s">
        <v>785</v>
      </c>
      <c r="B110" s="84">
        <v>37874.0</v>
      </c>
      <c r="C110" s="85" t="s">
        <v>786</v>
      </c>
      <c r="D110" s="86" t="s">
        <v>787</v>
      </c>
      <c r="E110" s="83" t="s">
        <v>62</v>
      </c>
      <c r="F110" s="83" t="s">
        <v>82</v>
      </c>
      <c r="G110" s="83" t="s">
        <v>788</v>
      </c>
      <c r="H110" s="83" t="s">
        <v>789</v>
      </c>
      <c r="I110" s="83" t="s">
        <v>130</v>
      </c>
      <c r="J110" s="83"/>
      <c r="K110" s="83" t="s">
        <v>103</v>
      </c>
      <c r="L110" s="83" t="s">
        <v>446</v>
      </c>
      <c r="M110" s="87">
        <v>46095.0</v>
      </c>
      <c r="N110" s="83" t="s">
        <v>790</v>
      </c>
      <c r="O110" s="88" t="str">
        <f>HYPERLINK("https://api.typeform.com/responses/files/7ad1ccd86e7e758cf60802d137c2e843f679ab855928239a7616187eff95b299/VoThanhTrong_DEV_TR.pdf")</f>
        <v>https://api.typeform.com/responses/files/7ad1ccd86e7e758cf60802d137c2e843f679ab855928239a7616187eff95b299/VoThanhTrong_DEV_TR.pdf</v>
      </c>
      <c r="P110" s="83" t="b">
        <v>0</v>
      </c>
      <c r="Q110" s="83" t="s">
        <v>791</v>
      </c>
      <c r="R110" s="83" t="s">
        <v>792</v>
      </c>
      <c r="S110" s="83" t="s">
        <v>72</v>
      </c>
      <c r="T110" s="83" t="s">
        <v>72</v>
      </c>
      <c r="U110" s="83" t="s">
        <v>793</v>
      </c>
      <c r="V110" s="83"/>
      <c r="W110" s="83" t="s">
        <v>794</v>
      </c>
      <c r="X110" s="88" t="str">
        <f>HYPERLINK("https://api.typeform.com/responses/files/3e5433edeb53e30a22b0325115766c61021b3610b1091288709f9335eed5e2fb/resume.pdf")</f>
        <v>https://api.typeform.com/responses/files/3e5433edeb53e30a22b0325115766c61021b3610b1091288709f9335eed5e2fb/resume.pdf</v>
      </c>
      <c r="Y110" s="89">
        <v>46135.25796296296</v>
      </c>
      <c r="Z110" s="83" t="s">
        <v>795</v>
      </c>
      <c r="AA110" s="90">
        <v>1.0</v>
      </c>
      <c r="AB110" s="91" t="s">
        <v>6381</v>
      </c>
      <c r="AC110" s="92" t="s">
        <v>6376</v>
      </c>
      <c r="AD110" s="112"/>
      <c r="AE110" s="93"/>
      <c r="AF110" s="53"/>
      <c r="AG110" s="20"/>
      <c r="AH110" s="20"/>
      <c r="AI110" s="20"/>
      <c r="AJ110" s="55"/>
      <c r="AK110" s="27"/>
      <c r="AL110" s="27"/>
      <c r="AM110" s="27"/>
      <c r="AN110" s="27"/>
      <c r="AO110" s="27"/>
      <c r="AP110" s="27"/>
      <c r="AQ110" s="27"/>
      <c r="AR110" s="27"/>
      <c r="AS110" s="27"/>
      <c r="AT110" s="27"/>
      <c r="AU110" s="27"/>
      <c r="AV110" s="27"/>
      <c r="AW110" s="27"/>
      <c r="AX110" s="27"/>
      <c r="AY110" s="27"/>
      <c r="AZ110" s="27"/>
      <c r="BA110" s="27"/>
      <c r="BB110" s="27"/>
    </row>
    <row r="111" ht="22.5" hidden="1" customHeight="1">
      <c r="A111" s="29" t="s">
        <v>1235</v>
      </c>
      <c r="B111" s="30">
        <v>38354.0</v>
      </c>
      <c r="C111" s="7" t="s">
        <v>1236</v>
      </c>
      <c r="D111" s="31" t="s">
        <v>1237</v>
      </c>
      <c r="E111" s="29" t="s">
        <v>82</v>
      </c>
      <c r="F111" s="29" t="s">
        <v>62</v>
      </c>
      <c r="G111" s="29" t="s">
        <v>1238</v>
      </c>
      <c r="H111" s="29" t="s">
        <v>1239</v>
      </c>
      <c r="I111" s="29" t="s">
        <v>338</v>
      </c>
      <c r="J111" s="29"/>
      <c r="K111" s="29" t="s">
        <v>219</v>
      </c>
      <c r="L111" s="29" t="s">
        <v>1240</v>
      </c>
      <c r="M111" s="33">
        <v>46635.0</v>
      </c>
      <c r="N111" s="31" t="s">
        <v>1241</v>
      </c>
      <c r="O111" s="32" t="str">
        <f>HYPERLINK("https://api.typeform.com/responses/files/b206e0a89747338c2a5b729ffc40a9da8889e0ccf3ebaf6fa079c84017dc7463/Transcript___Data_Analysis_Intern___Nguyen_Tran_Phuc_Dat.pdf")</f>
        <v>https://api.typeform.com/responses/files/b206e0a89747338c2a5b729ffc40a9da8889e0ccf3ebaf6fa079c84017dc7463/Transcript___Data_Analysis_Intern___Nguyen_Tran_Phuc_Dat.pdf</v>
      </c>
      <c r="P111" s="29" t="b">
        <v>0</v>
      </c>
      <c r="Q111" s="29" t="s">
        <v>1242</v>
      </c>
      <c r="R111" s="29" t="s">
        <v>1243</v>
      </c>
      <c r="S111" s="29" t="s">
        <v>72</v>
      </c>
      <c r="T111" s="29" t="s">
        <v>72</v>
      </c>
      <c r="U111" s="29" t="s">
        <v>1244</v>
      </c>
      <c r="V111" s="29"/>
      <c r="W111" s="29" t="s">
        <v>1245</v>
      </c>
      <c r="X111" s="32" t="str">
        <f>HYPERLINK("https://api.typeform.com/responses/files/b51f4ec9358635c435a9a5c5a2eeaa734b32ffb79377d970d22809f098c7deda/CV_Data_Analysis_Intern__Nguyen_Tran_Phuc_Dat.pdf")</f>
        <v>https://api.typeform.com/responses/files/b51f4ec9358635c435a9a5c5a2eeaa734b32ffb79377d970d22809f098c7deda/CV_Data_Analysis_Intern__Nguyen_Tran_Phuc_Dat.pdf</v>
      </c>
      <c r="Y111" s="34">
        <v>46135.46297453704</v>
      </c>
      <c r="Z111" s="29" t="s">
        <v>1246</v>
      </c>
      <c r="AA111" s="6">
        <v>1.0</v>
      </c>
      <c r="AB111" s="7" t="s">
        <v>93</v>
      </c>
      <c r="AC111" s="28" t="s">
        <v>6376</v>
      </c>
      <c r="AD111" s="20"/>
      <c r="AE111" s="53"/>
      <c r="AF111" s="53"/>
      <c r="AG111" s="20"/>
      <c r="AH111" s="20"/>
      <c r="AI111" s="20"/>
      <c r="AJ111" s="55"/>
      <c r="AK111" s="27"/>
      <c r="AL111" s="27"/>
      <c r="AM111" s="27"/>
      <c r="AN111" s="27"/>
      <c r="AO111" s="27"/>
      <c r="AP111" s="27"/>
      <c r="AQ111" s="27"/>
      <c r="AR111" s="27"/>
      <c r="AS111" s="27"/>
      <c r="AT111" s="27"/>
      <c r="AU111" s="27"/>
      <c r="AV111" s="27"/>
      <c r="AW111" s="27"/>
      <c r="AX111" s="27"/>
      <c r="AY111" s="27"/>
      <c r="AZ111" s="27"/>
      <c r="BA111" s="27"/>
      <c r="BB111" s="27"/>
    </row>
    <row r="112" ht="22.5" hidden="1" customHeight="1">
      <c r="A112" s="29" t="s">
        <v>1247</v>
      </c>
      <c r="B112" s="30">
        <v>38031.0</v>
      </c>
      <c r="C112" s="7" t="s">
        <v>1248</v>
      </c>
      <c r="D112" s="31" t="s">
        <v>1249</v>
      </c>
      <c r="E112" s="29" t="s">
        <v>127</v>
      </c>
      <c r="F112" s="29" t="s">
        <v>62</v>
      </c>
      <c r="G112" s="29" t="s">
        <v>1250</v>
      </c>
      <c r="H112" s="29" t="s">
        <v>1251</v>
      </c>
      <c r="I112" s="29" t="s">
        <v>85</v>
      </c>
      <c r="J112" s="29"/>
      <c r="K112" s="29" t="s">
        <v>67</v>
      </c>
      <c r="L112" s="29" t="s">
        <v>560</v>
      </c>
      <c r="M112" s="33">
        <v>46296.0</v>
      </c>
      <c r="N112" s="31" t="s">
        <v>613</v>
      </c>
      <c r="O112" s="32" t="str">
        <f>HYPERLINK("https://api.typeform.com/responses/files/f3eda4832cd42aefcc15cd2104adaefb78f96fefe1570de2a1173bcf0a7f15c6/Bảng_điểm_Dương_Văn_Thắng.pdf")</f>
        <v>https://api.typeform.com/responses/files/f3eda4832cd42aefcc15cd2104adaefb78f96fefe1570de2a1173bcf0a7f15c6/Bảng_điểm_Dương_Văn_Thắng.pdf</v>
      </c>
      <c r="P112" s="29" t="b">
        <v>1</v>
      </c>
      <c r="Q112" s="29" t="s">
        <v>1252</v>
      </c>
      <c r="R112" s="29" t="s">
        <v>1253</v>
      </c>
      <c r="S112" s="29" t="s">
        <v>72</v>
      </c>
      <c r="T112" s="29" t="s">
        <v>72</v>
      </c>
      <c r="U112" s="29" t="s">
        <v>269</v>
      </c>
      <c r="V112" s="29"/>
      <c r="W112" s="29"/>
      <c r="X112" s="32" t="str">
        <f>HYPERLINK("https://api.typeform.com/responses/files/04d0e28c7c2ddf19174613b7075285e7f063efbc803d6a72cf480c06efb7c35b/CV_Dương_Văn_Thắng.pdf")</f>
        <v>https://api.typeform.com/responses/files/04d0e28c7c2ddf19174613b7075285e7f063efbc803d6a72cf480c06efb7c35b/CV_Dương_Văn_Thắng.pdf</v>
      </c>
      <c r="Y112" s="34">
        <v>46135.49188657408</v>
      </c>
      <c r="Z112" s="29" t="s">
        <v>1254</v>
      </c>
      <c r="AA112" s="6">
        <v>1.0</v>
      </c>
      <c r="AB112" s="7" t="s">
        <v>109</v>
      </c>
      <c r="AC112" s="28" t="s">
        <v>6376</v>
      </c>
      <c r="AD112" s="7" t="s">
        <v>6476</v>
      </c>
      <c r="AE112" s="53"/>
      <c r="AF112" s="123"/>
      <c r="AG112" s="20"/>
      <c r="AH112" s="20"/>
      <c r="AI112" s="20"/>
      <c r="AJ112" s="55"/>
      <c r="AK112" s="27"/>
      <c r="AL112" s="27"/>
      <c r="AM112" s="27"/>
      <c r="AN112" s="27"/>
      <c r="AO112" s="27"/>
      <c r="AP112" s="27"/>
      <c r="AQ112" s="27"/>
      <c r="AR112" s="27"/>
      <c r="AS112" s="27"/>
      <c r="AT112" s="27"/>
      <c r="AU112" s="27"/>
      <c r="AV112" s="27"/>
      <c r="AW112" s="27"/>
      <c r="AX112" s="27"/>
      <c r="AY112" s="27"/>
      <c r="AZ112" s="27"/>
      <c r="BA112" s="27"/>
      <c r="BB112" s="27"/>
    </row>
    <row r="113" ht="22.5" hidden="1" customHeight="1">
      <c r="A113" s="83" t="s">
        <v>807</v>
      </c>
      <c r="B113" s="84">
        <v>38376.0</v>
      </c>
      <c r="C113" s="85" t="s">
        <v>808</v>
      </c>
      <c r="D113" s="86" t="s">
        <v>809</v>
      </c>
      <c r="E113" s="83" t="s">
        <v>62</v>
      </c>
      <c r="F113" s="83" t="s">
        <v>82</v>
      </c>
      <c r="G113" s="83" t="s">
        <v>810</v>
      </c>
      <c r="H113" s="83" t="s">
        <v>811</v>
      </c>
      <c r="I113" s="83" t="s">
        <v>65</v>
      </c>
      <c r="J113" s="83" t="s">
        <v>812</v>
      </c>
      <c r="K113" s="83" t="s">
        <v>219</v>
      </c>
      <c r="L113" s="83" t="s">
        <v>86</v>
      </c>
      <c r="M113" s="87">
        <v>46357.0</v>
      </c>
      <c r="N113" s="86" t="s">
        <v>813</v>
      </c>
      <c r="O113" s="88" t="str">
        <f>HYPERLINK("https://api.typeform.com/responses/files/7fcaa11cf3266082eb0e529d1bb8b29b128b18bee045c6eebefb260659db794e/Academic_Transcripts___AI_Engineer_Intern___Trương_Trí_Khải.pdf")</f>
        <v>https://api.typeform.com/responses/files/7fcaa11cf3266082eb0e529d1bb8b29b128b18bee045c6eebefb260659db794e/Academic_Transcripts___AI_Engineer_Intern___Trương_Trí_Khải.pdf</v>
      </c>
      <c r="P113" s="83" t="b">
        <v>0</v>
      </c>
      <c r="Q113" s="83" t="s">
        <v>814</v>
      </c>
      <c r="R113" s="83" t="s">
        <v>815</v>
      </c>
      <c r="S113" s="83" t="s">
        <v>72</v>
      </c>
      <c r="T113" s="83" t="s">
        <v>72</v>
      </c>
      <c r="U113" s="83" t="s">
        <v>269</v>
      </c>
      <c r="V113" s="83"/>
      <c r="W113" s="83"/>
      <c r="X113" s="88" t="str">
        <f>HYPERLINK("https://api.typeform.com/responses/files/9986ed293f7f1a8879e63037690e6095c8e4bb60a0abd1364d5d0db64835031e/CV___AI_Engineer_Intern___Trương_Trí_Khải.pdf")</f>
        <v>https://api.typeform.com/responses/files/9986ed293f7f1a8879e63037690e6095c8e4bb60a0abd1364d5d0db64835031e/CV___AI_Engineer_Intern___Trương_Trí_Khải.pdf</v>
      </c>
      <c r="Y113" s="89">
        <v>46135.2878125</v>
      </c>
      <c r="Z113" s="83" t="s">
        <v>816</v>
      </c>
      <c r="AA113" s="90">
        <v>1.0</v>
      </c>
      <c r="AB113" s="91" t="s">
        <v>6381</v>
      </c>
      <c r="AC113" s="92" t="s">
        <v>6376</v>
      </c>
      <c r="AD113" s="112"/>
      <c r="AE113" s="93"/>
      <c r="AF113" s="53"/>
      <c r="AG113" s="20"/>
      <c r="AH113" s="20"/>
      <c r="AI113" s="20"/>
      <c r="AJ113" s="55"/>
      <c r="AK113" s="27"/>
      <c r="AL113" s="27"/>
      <c r="AM113" s="27"/>
      <c r="AN113" s="27"/>
      <c r="AO113" s="27"/>
      <c r="AP113" s="27"/>
      <c r="AQ113" s="27"/>
      <c r="AR113" s="27"/>
      <c r="AS113" s="27"/>
      <c r="AT113" s="27"/>
      <c r="AU113" s="27"/>
      <c r="AV113" s="27"/>
      <c r="AW113" s="27"/>
      <c r="AX113" s="27"/>
      <c r="AY113" s="27"/>
      <c r="AZ113" s="27"/>
      <c r="BA113" s="27"/>
      <c r="BB113" s="27"/>
    </row>
    <row r="114" ht="22.5" hidden="1" customHeight="1">
      <c r="A114" s="83" t="s">
        <v>947</v>
      </c>
      <c r="B114" s="84">
        <v>37215.0</v>
      </c>
      <c r="C114" s="85" t="s">
        <v>948</v>
      </c>
      <c r="D114" s="86" t="s">
        <v>949</v>
      </c>
      <c r="E114" s="83" t="s">
        <v>62</v>
      </c>
      <c r="F114" s="83" t="s">
        <v>82</v>
      </c>
      <c r="G114" s="83" t="s">
        <v>950</v>
      </c>
      <c r="H114" s="83" t="s">
        <v>951</v>
      </c>
      <c r="I114" s="83" t="s">
        <v>326</v>
      </c>
      <c r="J114" s="83"/>
      <c r="K114" s="83" t="s">
        <v>103</v>
      </c>
      <c r="L114" s="83" t="s">
        <v>952</v>
      </c>
      <c r="M114" s="87">
        <v>46203.0</v>
      </c>
      <c r="N114" s="86" t="s">
        <v>727</v>
      </c>
      <c r="O114" s="88" t="str">
        <f>HYPERLINK("https://api.typeform.com/responses/files/165fbcdfb164b40d39daf9b593b24a781d230a8df9b4d54b85b2dadf34eabd82/Transcript_AI_Engineer_Intern_Đào_Thiên_Phú.pdf")</f>
        <v>https://api.typeform.com/responses/files/165fbcdfb164b40d39daf9b593b24a781d230a8df9b4d54b85b2dadf34eabd82/Transcript_AI_Engineer_Intern_Đào_Thiên_Phú.pdf</v>
      </c>
      <c r="P114" s="83" t="b">
        <v>0</v>
      </c>
      <c r="Q114" s="83" t="s">
        <v>953</v>
      </c>
      <c r="R114" s="83" t="s">
        <v>953</v>
      </c>
      <c r="S114" s="83" t="s">
        <v>72</v>
      </c>
      <c r="T114" s="83" t="s">
        <v>72</v>
      </c>
      <c r="U114" s="83" t="s">
        <v>269</v>
      </c>
      <c r="V114" s="83"/>
      <c r="W114" s="83" t="s">
        <v>954</v>
      </c>
      <c r="X114" s="88" t="str">
        <f>HYPERLINK("https://api.typeform.com/responses/files/aae55abbea7bf75350732bbe216baa464ca0009241a3fea1fb0551d4d08944d5/CV_AI_Engineer_Intern_Đào_Thiên_Phú.pdf")</f>
        <v>https://api.typeform.com/responses/files/aae55abbea7bf75350732bbe216baa464ca0009241a3fea1fb0551d4d08944d5/CV_AI_Engineer_Intern_Đào_Thiên_Phú.pdf</v>
      </c>
      <c r="Y114" s="89">
        <v>46135.336388888885</v>
      </c>
      <c r="Z114" s="83" t="s">
        <v>955</v>
      </c>
      <c r="AA114" s="90">
        <v>1.0</v>
      </c>
      <c r="AB114" s="91" t="s">
        <v>6381</v>
      </c>
      <c r="AC114" s="92" t="s">
        <v>6376</v>
      </c>
      <c r="AD114" s="112"/>
      <c r="AE114" s="93"/>
      <c r="AF114" s="53"/>
      <c r="AG114" s="20"/>
      <c r="AH114" s="20"/>
      <c r="AI114" s="20"/>
      <c r="AJ114" s="55"/>
      <c r="AK114" s="27"/>
      <c r="AL114" s="27"/>
      <c r="AM114" s="27"/>
      <c r="AN114" s="27"/>
      <c r="AO114" s="27"/>
      <c r="AP114" s="27"/>
      <c r="AQ114" s="27"/>
      <c r="AR114" s="27"/>
      <c r="AS114" s="27"/>
      <c r="AT114" s="27"/>
      <c r="AU114" s="27"/>
      <c r="AV114" s="27"/>
      <c r="AW114" s="27"/>
      <c r="AX114" s="27"/>
      <c r="AY114" s="27"/>
      <c r="AZ114" s="27"/>
      <c r="BA114" s="27"/>
      <c r="BB114" s="27"/>
    </row>
    <row r="115" ht="22.5" hidden="1" customHeight="1">
      <c r="A115" s="29" t="s">
        <v>1275</v>
      </c>
      <c r="B115" s="30">
        <v>38335.0</v>
      </c>
      <c r="C115" s="7" t="s">
        <v>1276</v>
      </c>
      <c r="D115" s="31" t="s">
        <v>1277</v>
      </c>
      <c r="E115" s="29" t="s">
        <v>82</v>
      </c>
      <c r="F115" s="29" t="s">
        <v>62</v>
      </c>
      <c r="G115" s="29" t="s">
        <v>1278</v>
      </c>
      <c r="H115" s="29" t="s">
        <v>1279</v>
      </c>
      <c r="I115" s="29" t="s">
        <v>326</v>
      </c>
      <c r="J115" s="29"/>
      <c r="K115" s="29" t="s">
        <v>67</v>
      </c>
      <c r="L115" s="29" t="s">
        <v>132</v>
      </c>
      <c r="M115" s="33">
        <v>46318.0</v>
      </c>
      <c r="N115" s="31" t="s">
        <v>1280</v>
      </c>
      <c r="O115" s="32" t="str">
        <f>HYPERLINK("https://api.typeform.com/responses/files/561fc1159a8a6412a3f1dbc31e47cda22a0c9f165e37d26e35fededdc73bdd43/Transcript___Data_Analysis_Intern___Thái_Hữu_Thọ.png")</f>
        <v>https://api.typeform.com/responses/files/561fc1159a8a6412a3f1dbc31e47cda22a0c9f165e37d26e35fededdc73bdd43/Transcript___Data_Analysis_Intern___Thái_Hữu_Thọ.png</v>
      </c>
      <c r="P115" s="29" t="b">
        <v>0</v>
      </c>
      <c r="Q115" s="29" t="s">
        <v>1281</v>
      </c>
      <c r="R115" s="29" t="s">
        <v>1282</v>
      </c>
      <c r="S115" s="29" t="s">
        <v>72</v>
      </c>
      <c r="T115" s="29" t="s">
        <v>72</v>
      </c>
      <c r="U115" s="29" t="s">
        <v>269</v>
      </c>
      <c r="V115" s="29"/>
      <c r="W115" s="29" t="s">
        <v>1283</v>
      </c>
      <c r="X115" s="32" t="str">
        <f>HYPERLINK("https://api.typeform.com/responses/files/ab110afc40f529ec549d8fbe6678499da6f7d6c4047c9b6b7b83a6c7390b401c/CV___Data_Analysis_Intern_Thái_Hữu_Thọ.pdf")</f>
        <v>https://api.typeform.com/responses/files/ab110afc40f529ec549d8fbe6678499da6f7d6c4047c9b6b7b83a6c7390b401c/CV___Data_Analysis_Intern_Thái_Hữu_Thọ.pdf</v>
      </c>
      <c r="Y115" s="34">
        <v>46135.50892361111</v>
      </c>
      <c r="Z115" s="29" t="s">
        <v>1284</v>
      </c>
      <c r="AA115" s="11">
        <v>1.0</v>
      </c>
      <c r="AB115" s="7" t="s">
        <v>93</v>
      </c>
      <c r="AC115" s="28" t="s">
        <v>6377</v>
      </c>
      <c r="AD115" s="7" t="s">
        <v>6477</v>
      </c>
      <c r="AE115" s="28" t="s">
        <v>6379</v>
      </c>
      <c r="AF115" s="54" t="str">
        <f t="shared" ref="AF115:AF120" si="15">IFERROR(
  IFS(
    AND(OR(AE115="Test",AE115="Chờ test",AE115="Test Review",AE115="Passed",AE115="Failed"), OR(E115="Game User Acquisition Intern",E115="Game Design Intern")), "Nhiên",
    AND(OR(AE115="Test",AE115="Chờ test",AE115="Test Review",AE115="Passed",AE115="Failed"), E115&lt;&gt;"Human Resources Intern", NOT(OR(E115="Game User Acquisition Intern",E115="Game Design Intern"))), "Quỳnh",
    AND(OR(AE115="Test",AE115="Chờ test",AE115="Test Review",AE115="Passed",AE115="Failed"), E115="Human Resources Intern"), "AUTO"
  ),
"")</f>
        <v>Quỳnh</v>
      </c>
      <c r="AG115" s="20"/>
      <c r="AH115" s="20" t="e">
        <v>#N/A</v>
      </c>
      <c r="AI115" s="20"/>
      <c r="AJ115" s="55"/>
      <c r="AK115" s="27"/>
      <c r="AL115" s="27"/>
      <c r="AM115" s="27"/>
      <c r="AN115" s="27"/>
      <c r="AO115" s="27"/>
      <c r="AP115" s="27"/>
      <c r="AQ115" s="27"/>
      <c r="AR115" s="27"/>
      <c r="AS115" s="27"/>
      <c r="AT115" s="27"/>
      <c r="AU115" s="27"/>
      <c r="AV115" s="27"/>
      <c r="AW115" s="27"/>
      <c r="AX115" s="27"/>
      <c r="AY115" s="27"/>
      <c r="AZ115" s="27"/>
      <c r="BA115" s="27"/>
      <c r="BB115" s="27"/>
    </row>
    <row r="116" ht="22.5" hidden="1" customHeight="1">
      <c r="A116" s="29" t="s">
        <v>1285</v>
      </c>
      <c r="B116" s="30">
        <v>38425.0</v>
      </c>
      <c r="C116" s="7" t="s">
        <v>1286</v>
      </c>
      <c r="D116" s="31" t="s">
        <v>1287</v>
      </c>
      <c r="E116" s="29" t="s">
        <v>61</v>
      </c>
      <c r="F116" s="29" t="s">
        <v>127</v>
      </c>
      <c r="G116" s="29" t="s">
        <v>1288</v>
      </c>
      <c r="H116" s="29" t="s">
        <v>1289</v>
      </c>
      <c r="I116" s="29" t="s">
        <v>326</v>
      </c>
      <c r="J116" s="29"/>
      <c r="K116" s="29" t="s">
        <v>219</v>
      </c>
      <c r="L116" s="29" t="s">
        <v>1290</v>
      </c>
      <c r="M116" s="33">
        <v>46727.0</v>
      </c>
      <c r="N116" s="31" t="s">
        <v>1291</v>
      </c>
      <c r="O116" s="32" t="str">
        <f>HYPERLINK("https://api.typeform.com/responses/files/8acae817e1ae986900dd890dafccdf7d4b623aff6f992238edd5acda50e49026/Transcript____Unity_Development_Intern___Huỳnh_Tuấn_Phong.pdf")</f>
        <v>https://api.typeform.com/responses/files/8acae817e1ae986900dd890dafccdf7d4b623aff6f992238edd5acda50e49026/Transcript____Unity_Development_Intern___Huỳnh_Tuấn_Phong.pdf</v>
      </c>
      <c r="P116" s="29" t="b">
        <v>1</v>
      </c>
      <c r="Q116" s="13" t="s">
        <v>6478</v>
      </c>
      <c r="R116" s="29" t="s">
        <v>1293</v>
      </c>
      <c r="S116" s="29" t="s">
        <v>72</v>
      </c>
      <c r="T116" s="29" t="s">
        <v>72</v>
      </c>
      <c r="U116" s="29" t="s">
        <v>269</v>
      </c>
      <c r="V116" s="29"/>
      <c r="W116" s="29" t="s">
        <v>1294</v>
      </c>
      <c r="X116" s="32" t="str">
        <f>HYPERLINK("https://api.typeform.com/responses/files/e2326b473e1be32b654514880e04d28215e5f53125da715bce15369512545631/CV___Unity_Development_Intern___Huỳnh_Tuấn_Phong.pdf")</f>
        <v>https://api.typeform.com/responses/files/e2326b473e1be32b654514880e04d28215e5f53125da715bce15369512545631/CV___Unity_Development_Intern___Huỳnh_Tuấn_Phong.pdf</v>
      </c>
      <c r="Y116" s="34">
        <v>46135.5134837963</v>
      </c>
      <c r="Z116" s="29" t="s">
        <v>1295</v>
      </c>
      <c r="AA116" s="11">
        <v>1.0</v>
      </c>
      <c r="AB116" s="7" t="s">
        <v>93</v>
      </c>
      <c r="AC116" s="28" t="s">
        <v>6377</v>
      </c>
      <c r="AD116" s="7" t="s">
        <v>6479</v>
      </c>
      <c r="AE116" s="28" t="s">
        <v>6403</v>
      </c>
      <c r="AF116" s="54" t="str">
        <f t="shared" si="15"/>
        <v>Quỳnh</v>
      </c>
      <c r="AG116" s="20"/>
      <c r="AH116" s="20"/>
      <c r="AI116" s="20"/>
      <c r="AJ116" s="55"/>
      <c r="AK116" s="27"/>
      <c r="AL116" s="27"/>
      <c r="AM116" s="27"/>
      <c r="AN116" s="27"/>
      <c r="AO116" s="27"/>
      <c r="AP116" s="27"/>
      <c r="AQ116" s="27"/>
      <c r="AR116" s="27"/>
      <c r="AS116" s="27"/>
      <c r="AT116" s="27"/>
      <c r="AU116" s="27"/>
      <c r="AV116" s="27"/>
      <c r="AW116" s="27"/>
      <c r="AX116" s="27"/>
      <c r="AY116" s="27"/>
      <c r="AZ116" s="27"/>
      <c r="BA116" s="27"/>
      <c r="BB116" s="27"/>
    </row>
    <row r="117" ht="22.5" hidden="1" customHeight="1">
      <c r="A117" s="29" t="s">
        <v>1296</v>
      </c>
      <c r="B117" s="30">
        <v>38468.0</v>
      </c>
      <c r="C117" s="7" t="s">
        <v>1297</v>
      </c>
      <c r="D117" s="31" t="s">
        <v>1298</v>
      </c>
      <c r="E117" s="29" t="s">
        <v>82</v>
      </c>
      <c r="F117" s="29" t="s">
        <v>62</v>
      </c>
      <c r="G117" s="29" t="s">
        <v>1299</v>
      </c>
      <c r="H117" s="29" t="s">
        <v>1300</v>
      </c>
      <c r="I117" s="29" t="s">
        <v>326</v>
      </c>
      <c r="J117" s="29"/>
      <c r="K117" s="29" t="s">
        <v>219</v>
      </c>
      <c r="L117" s="29" t="s">
        <v>86</v>
      </c>
      <c r="M117" s="33">
        <v>46569.0</v>
      </c>
      <c r="N117" s="31" t="s">
        <v>1301</v>
      </c>
      <c r="O117" s="32" t="str">
        <f>HYPERLINK("https://api.typeform.com/responses/files/a1b4328c0d4ac7939b300fcfa947c95ad2c62df6d5992cf44a5c9067b4343010/Transcript___Data_Analysis_Intern___Trầm_Hữu_Nhân.pdf")</f>
        <v>https://api.typeform.com/responses/files/a1b4328c0d4ac7939b300fcfa947c95ad2c62df6d5992cf44a5c9067b4343010/Transcript___Data_Analysis_Intern___Trầm_Hữu_Nhân.pdf</v>
      </c>
      <c r="P117" s="29" t="b">
        <v>1</v>
      </c>
      <c r="Q117" s="29" t="s">
        <v>1302</v>
      </c>
      <c r="R117" s="29" t="s">
        <v>1303</v>
      </c>
      <c r="S117" s="29" t="s">
        <v>72</v>
      </c>
      <c r="T117" s="29" t="s">
        <v>72</v>
      </c>
      <c r="U117" s="29" t="s">
        <v>1061</v>
      </c>
      <c r="V117" s="29"/>
      <c r="W117" s="29" t="s">
        <v>1304</v>
      </c>
      <c r="X117" s="32" t="str">
        <f>HYPERLINK("https://api.typeform.com/responses/files/661863035197d304d4272fe0afb8f8157ebef657234b0163d91d7dc79ff0bbc5/CV___Data_Analysis_Intern___Trầm_Hữu_Nhân.pdf")</f>
        <v>https://api.typeform.com/responses/files/661863035197d304d4272fe0afb8f8157ebef657234b0163d91d7dc79ff0bbc5/CV___Data_Analysis_Intern___Trầm_Hữu_Nhân.pdf</v>
      </c>
      <c r="Y117" s="34">
        <v>46135.519270833334</v>
      </c>
      <c r="Z117" s="29" t="s">
        <v>1305</v>
      </c>
      <c r="AA117" s="11">
        <v>1.0</v>
      </c>
      <c r="AB117" s="7" t="s">
        <v>93</v>
      </c>
      <c r="AC117" s="28" t="s">
        <v>6377</v>
      </c>
      <c r="AD117" s="7" t="s">
        <v>6480</v>
      </c>
      <c r="AE117" s="28" t="s">
        <v>6403</v>
      </c>
      <c r="AF117" s="54" t="str">
        <f t="shared" si="15"/>
        <v>Quỳnh</v>
      </c>
      <c r="AG117" s="20"/>
      <c r="AH117" s="20"/>
      <c r="AI117" s="20"/>
      <c r="AJ117" s="55"/>
      <c r="AK117" s="27"/>
      <c r="AL117" s="27"/>
      <c r="AM117" s="27"/>
      <c r="AN117" s="27"/>
      <c r="AO117" s="27"/>
      <c r="AP117" s="27"/>
      <c r="AQ117" s="27"/>
      <c r="AR117" s="27"/>
      <c r="AS117" s="27"/>
      <c r="AT117" s="27"/>
      <c r="AU117" s="27"/>
      <c r="AV117" s="27"/>
      <c r="AW117" s="27"/>
      <c r="AX117" s="27"/>
      <c r="AY117" s="27"/>
      <c r="AZ117" s="27"/>
      <c r="BA117" s="27"/>
      <c r="BB117" s="27"/>
    </row>
    <row r="118" ht="22.5" hidden="1" customHeight="1">
      <c r="A118" s="29" t="s">
        <v>1306</v>
      </c>
      <c r="B118" s="30">
        <v>38507.0</v>
      </c>
      <c r="C118" s="7" t="s">
        <v>1307</v>
      </c>
      <c r="D118" s="31" t="s">
        <v>1308</v>
      </c>
      <c r="E118" s="29" t="s">
        <v>774</v>
      </c>
      <c r="F118" s="29" t="s">
        <v>774</v>
      </c>
      <c r="G118" s="29" t="s">
        <v>1309</v>
      </c>
      <c r="H118" s="29" t="s">
        <v>1310</v>
      </c>
      <c r="I118" s="20" t="s">
        <v>1311</v>
      </c>
      <c r="J118" s="29"/>
      <c r="K118" s="29" t="s">
        <v>219</v>
      </c>
      <c r="L118" s="29" t="s">
        <v>1312</v>
      </c>
      <c r="M118" s="33">
        <v>46478.0</v>
      </c>
      <c r="N118" s="31" t="s">
        <v>663</v>
      </c>
      <c r="O118" s="32" t="str">
        <f>HYPERLINK("https://api.typeform.com/responses/files/c52c7584d7f69ffe90f9194148ce56e6774e22f2cd54dc0dabd042de6235f159/Transcript___Game_User_Acquisition_Intern___Đỗ_Nhật_Hạ.pdf")</f>
        <v>https://api.typeform.com/responses/files/c52c7584d7f69ffe90f9194148ce56e6774e22f2cd54dc0dabd042de6235f159/Transcript___Game_User_Acquisition_Intern___Đỗ_Nhật_Hạ.pdf</v>
      </c>
      <c r="P118" s="29" t="b">
        <v>0</v>
      </c>
      <c r="Q118" s="29" t="s">
        <v>300</v>
      </c>
      <c r="R118" s="29" t="s">
        <v>1313</v>
      </c>
      <c r="S118" s="29" t="s">
        <v>72</v>
      </c>
      <c r="T118" s="29" t="s">
        <v>72</v>
      </c>
      <c r="U118" s="29" t="s">
        <v>73</v>
      </c>
      <c r="V118" s="29"/>
      <c r="W118" s="29" t="s">
        <v>1314</v>
      </c>
      <c r="X118" s="32" t="str">
        <f>HYPERLINK("https://api.typeform.com/responses/files/6c11db3b4c640e216e7515f62cd183e2617c8aed44ace68039439e835c1b4617/Game_User_Acquisition_Intern___Đỗ_Nhật_Hạ___CV.pdf")</f>
        <v>https://api.typeform.com/responses/files/6c11db3b4c640e216e7515f62cd183e2617c8aed44ace68039439e835c1b4617/Game_User_Acquisition_Intern___Đỗ_Nhật_Hạ___CV.pdf</v>
      </c>
      <c r="Y118" s="34">
        <v>46135.51986111111</v>
      </c>
      <c r="Z118" s="29" t="s">
        <v>1315</v>
      </c>
      <c r="AA118" s="11">
        <v>1.0</v>
      </c>
      <c r="AB118" s="58" t="s">
        <v>6381</v>
      </c>
      <c r="AC118" s="28" t="s">
        <v>6377</v>
      </c>
      <c r="AD118" s="20"/>
      <c r="AE118" s="28" t="s">
        <v>6481</v>
      </c>
      <c r="AF118" s="54" t="str">
        <f t="shared" si="15"/>
        <v>Nhiên</v>
      </c>
      <c r="AG118" s="20"/>
      <c r="AH118" s="59" t="s">
        <v>6482</v>
      </c>
      <c r="AI118" s="20"/>
      <c r="AJ118" s="55"/>
      <c r="AK118" s="27"/>
      <c r="AL118" s="27"/>
      <c r="AM118" s="27"/>
      <c r="AN118" s="27"/>
      <c r="AO118" s="27"/>
      <c r="AP118" s="27"/>
      <c r="AQ118" s="27"/>
      <c r="AR118" s="27"/>
      <c r="AS118" s="27"/>
      <c r="AT118" s="27"/>
      <c r="AU118" s="27"/>
      <c r="AV118" s="27"/>
      <c r="AW118" s="27"/>
      <c r="AX118" s="27"/>
      <c r="AY118" s="27"/>
      <c r="AZ118" s="27"/>
      <c r="BA118" s="27"/>
      <c r="BB118" s="27"/>
    </row>
    <row r="119" ht="22.5" hidden="1" customHeight="1">
      <c r="A119" s="29" t="s">
        <v>1316</v>
      </c>
      <c r="B119" s="30">
        <v>38000.0</v>
      </c>
      <c r="C119" s="7" t="s">
        <v>1317</v>
      </c>
      <c r="D119" s="31" t="s">
        <v>1318</v>
      </c>
      <c r="E119" s="29" t="s">
        <v>774</v>
      </c>
      <c r="F119" s="29" t="s">
        <v>82</v>
      </c>
      <c r="G119" s="29" t="s">
        <v>1319</v>
      </c>
      <c r="H119" s="29" t="s">
        <v>1320</v>
      </c>
      <c r="I119" s="20" t="s">
        <v>842</v>
      </c>
      <c r="J119" s="29"/>
      <c r="K119" s="29" t="s">
        <v>103</v>
      </c>
      <c r="L119" s="29" t="s">
        <v>726</v>
      </c>
      <c r="M119" s="33">
        <v>46116.0</v>
      </c>
      <c r="N119" s="31" t="s">
        <v>1321</v>
      </c>
      <c r="O119" s="32" t="str">
        <f>HYPERLINK("https://api.typeform.com/responses/files/eeec9d081944778f629be8ffa2a8b6b505e1ebbb5319150a3c1cbd7a1d13b537/Transcript___Game_User_Acquisition_Intern___Trương_Việt_Hoàng.pdf")</f>
        <v>https://api.typeform.com/responses/files/eeec9d081944778f629be8ffa2a8b6b505e1ebbb5319150a3c1cbd7a1d13b537/Transcript___Game_User_Acquisition_Intern___Trương_Việt_Hoàng.pdf</v>
      </c>
      <c r="P119" s="29" t="b">
        <v>0</v>
      </c>
      <c r="Q119" s="29" t="s">
        <v>1322</v>
      </c>
      <c r="R119" s="29" t="s">
        <v>300</v>
      </c>
      <c r="S119" s="29" t="s">
        <v>72</v>
      </c>
      <c r="T119" s="29" t="s">
        <v>72</v>
      </c>
      <c r="U119" s="29" t="s">
        <v>73</v>
      </c>
      <c r="V119" s="29"/>
      <c r="W119" s="29"/>
      <c r="X119" s="32" t="str">
        <f>HYPERLINK("https://api.typeform.com/responses/files/a2a2073eec66d25db15213a06aa0cfe20345eb74097f75dcef66c8764966038c/CV___Game_User_Acquisition_Intern___Trương_Việt_Hoàng.pdf")</f>
        <v>https://api.typeform.com/responses/files/a2a2073eec66d25db15213a06aa0cfe20345eb74097f75dcef66c8764966038c/CV___Game_User_Acquisition_Intern___Trương_Việt_Hoàng.pdf</v>
      </c>
      <c r="Y119" s="34">
        <v>46135.52505787037</v>
      </c>
      <c r="Z119" s="29" t="s">
        <v>1323</v>
      </c>
      <c r="AA119" s="11">
        <v>1.0</v>
      </c>
      <c r="AB119" s="58" t="s">
        <v>6381</v>
      </c>
      <c r="AC119" s="28" t="s">
        <v>6376</v>
      </c>
      <c r="AD119" s="20"/>
      <c r="AE119" s="71"/>
      <c r="AF119" s="54" t="str">
        <f t="shared" si="15"/>
        <v/>
      </c>
      <c r="AG119" s="20"/>
      <c r="AH119" s="20"/>
      <c r="AI119" s="20"/>
      <c r="AJ119" s="55"/>
      <c r="AK119" s="27"/>
      <c r="AL119" s="27"/>
      <c r="AM119" s="27"/>
      <c r="AN119" s="27"/>
      <c r="AO119" s="27"/>
      <c r="AP119" s="27"/>
      <c r="AQ119" s="27"/>
      <c r="AR119" s="27"/>
      <c r="AS119" s="27"/>
      <c r="AT119" s="27"/>
      <c r="AU119" s="27"/>
      <c r="AV119" s="27"/>
      <c r="AW119" s="27"/>
      <c r="AX119" s="27"/>
      <c r="AY119" s="27"/>
      <c r="AZ119" s="27"/>
      <c r="BA119" s="27"/>
      <c r="BB119" s="27"/>
    </row>
    <row r="120" ht="22.5" hidden="1" customHeight="1">
      <c r="A120" s="29" t="s">
        <v>1324</v>
      </c>
      <c r="B120" s="30">
        <v>38960.0</v>
      </c>
      <c r="C120" s="7" t="s">
        <v>1325</v>
      </c>
      <c r="D120" s="31" t="s">
        <v>1326</v>
      </c>
      <c r="E120" s="29" t="s">
        <v>61</v>
      </c>
      <c r="F120" s="29" t="s">
        <v>99</v>
      </c>
      <c r="G120" s="29" t="s">
        <v>1327</v>
      </c>
      <c r="H120" s="29" t="s">
        <v>1328</v>
      </c>
      <c r="I120" s="29" t="s">
        <v>144</v>
      </c>
      <c r="J120" s="29"/>
      <c r="K120" s="29" t="s">
        <v>169</v>
      </c>
      <c r="L120" s="29" t="s">
        <v>170</v>
      </c>
      <c r="M120" s="33">
        <v>46265.0</v>
      </c>
      <c r="N120" s="31" t="s">
        <v>362</v>
      </c>
      <c r="O120" s="32" t="str">
        <f>HYPERLINK("https://api.typeform.com/responses/files/c066cc4dd02a9cecc16c6d42e4009f0c3e9c0b3585bb8a697836fbaffeb8be25/Unity_Developer_Intern_Ngô_Gia_Thịnh.xlsx")</f>
        <v>https://api.typeform.com/responses/files/c066cc4dd02a9cecc16c6d42e4009f0c3e9c0b3585bb8a697836fbaffeb8be25/Unity_Developer_Intern_Ngô_Gia_Thịnh.xlsx</v>
      </c>
      <c r="P120" s="29" t="b">
        <v>1</v>
      </c>
      <c r="Q120" s="29" t="s">
        <v>1329</v>
      </c>
      <c r="R120" s="29" t="s">
        <v>149</v>
      </c>
      <c r="S120" s="29" t="s">
        <v>72</v>
      </c>
      <c r="T120" s="29" t="s">
        <v>72</v>
      </c>
      <c r="U120" s="29" t="s">
        <v>73</v>
      </c>
      <c r="V120" s="29"/>
      <c r="W120" s="29" t="s">
        <v>1330</v>
      </c>
      <c r="X120" s="32" t="str">
        <f>HYPERLINK("https://api.typeform.com/responses/files/deb0977cd7ddb16f71d904453014dad93696f905376635add85e8b5a402ee77c/CV__Unity_Developer_Intern_Ngô_Gia_Thịnh.docx")</f>
        <v>https://api.typeform.com/responses/files/deb0977cd7ddb16f71d904453014dad93696f905376635add85e8b5a402ee77c/CV__Unity_Developer_Intern_Ngô_Gia_Thịnh.docx</v>
      </c>
      <c r="Y120" s="34">
        <v>46135.531875</v>
      </c>
      <c r="Z120" s="29" t="s">
        <v>1331</v>
      </c>
      <c r="AA120" s="11">
        <v>1.0</v>
      </c>
      <c r="AB120" s="7" t="s">
        <v>93</v>
      </c>
      <c r="AC120" s="28" t="s">
        <v>6376</v>
      </c>
      <c r="AD120" s="56" t="s">
        <v>6483</v>
      </c>
      <c r="AE120" s="28" t="s">
        <v>6376</v>
      </c>
      <c r="AF120" s="54" t="str">
        <f t="shared" si="15"/>
        <v>Quỳnh</v>
      </c>
      <c r="AG120" s="20"/>
      <c r="AH120" s="20"/>
      <c r="AI120" s="20"/>
      <c r="AJ120" s="55"/>
      <c r="AK120" s="27"/>
      <c r="AL120" s="27"/>
      <c r="AM120" s="27"/>
      <c r="AN120" s="27"/>
      <c r="AO120" s="27"/>
      <c r="AP120" s="27"/>
      <c r="AQ120" s="27"/>
      <c r="AR120" s="27"/>
      <c r="AS120" s="27"/>
      <c r="AT120" s="27"/>
      <c r="AU120" s="27"/>
      <c r="AV120" s="27"/>
      <c r="AW120" s="27"/>
      <c r="AX120" s="27"/>
      <c r="AY120" s="27"/>
      <c r="AZ120" s="27"/>
      <c r="BA120" s="27"/>
      <c r="BB120" s="27"/>
    </row>
    <row r="121">
      <c r="A121" s="27"/>
      <c r="B121" s="124"/>
      <c r="C121" s="27"/>
      <c r="D121" s="27"/>
      <c r="E121" s="27"/>
      <c r="F121" s="27"/>
      <c r="G121" s="27"/>
      <c r="H121" s="27"/>
      <c r="I121" s="27"/>
      <c r="J121" s="27"/>
      <c r="K121" s="27"/>
      <c r="L121" s="27"/>
      <c r="M121" s="27"/>
      <c r="N121" s="27"/>
      <c r="O121" s="43"/>
      <c r="P121" s="27"/>
      <c r="Q121" s="27"/>
      <c r="R121" s="43"/>
      <c r="S121" s="27"/>
      <c r="T121" s="27"/>
      <c r="U121" s="27"/>
      <c r="V121" s="27"/>
      <c r="W121" s="27"/>
      <c r="X121" s="43"/>
      <c r="Y121" s="27"/>
      <c r="Z121" s="27"/>
      <c r="AA121" s="41"/>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row>
    <row r="122">
      <c r="A122" s="27"/>
      <c r="B122" s="124"/>
      <c r="C122" s="27"/>
      <c r="D122" s="27"/>
      <c r="E122" s="27"/>
      <c r="F122" s="27"/>
      <c r="G122" s="27"/>
      <c r="H122" s="27"/>
      <c r="I122" s="27"/>
      <c r="J122" s="27"/>
      <c r="K122" s="27"/>
      <c r="L122" s="27"/>
      <c r="M122" s="27"/>
      <c r="N122" s="27"/>
      <c r="O122" s="43"/>
      <c r="P122" s="27"/>
      <c r="Q122" s="27"/>
      <c r="R122" s="43"/>
      <c r="S122" s="27"/>
      <c r="T122" s="27"/>
      <c r="U122" s="27"/>
      <c r="V122" s="27"/>
      <c r="W122" s="27"/>
      <c r="X122" s="43"/>
      <c r="Y122" s="27"/>
      <c r="Z122" s="27"/>
      <c r="AA122" s="41"/>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row>
    <row r="123">
      <c r="A123" s="27"/>
      <c r="B123" s="124"/>
      <c r="C123" s="27"/>
      <c r="D123" s="27"/>
      <c r="E123" s="27"/>
      <c r="F123" s="27"/>
      <c r="G123" s="27"/>
      <c r="H123" s="27"/>
      <c r="I123" s="27"/>
      <c r="J123" s="27"/>
      <c r="K123" s="27"/>
      <c r="L123" s="27"/>
      <c r="M123" s="27"/>
      <c r="N123" s="27"/>
      <c r="O123" s="43"/>
      <c r="P123" s="27"/>
      <c r="Q123" s="27"/>
      <c r="R123" s="43"/>
      <c r="S123" s="27"/>
      <c r="T123" s="27"/>
      <c r="U123" s="27"/>
      <c r="V123" s="27"/>
      <c r="W123" s="27"/>
      <c r="X123" s="43"/>
      <c r="Y123" s="27"/>
      <c r="Z123" s="27"/>
      <c r="AA123" s="41"/>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row>
    <row r="124">
      <c r="A124" s="27"/>
      <c r="B124" s="124"/>
      <c r="C124" s="27"/>
      <c r="D124" s="27"/>
      <c r="E124" s="27"/>
      <c r="F124" s="27"/>
      <c r="G124" s="27"/>
      <c r="H124" s="27"/>
      <c r="I124" s="27"/>
      <c r="J124" s="27"/>
      <c r="K124" s="27"/>
      <c r="L124" s="27"/>
      <c r="M124" s="27"/>
      <c r="N124" s="27"/>
      <c r="O124" s="43"/>
      <c r="P124" s="27"/>
      <c r="Q124" s="27"/>
      <c r="R124" s="43"/>
      <c r="S124" s="27"/>
      <c r="T124" s="27"/>
      <c r="U124" s="27"/>
      <c r="V124" s="27"/>
      <c r="W124" s="27"/>
      <c r="X124" s="43"/>
      <c r="Y124" s="27"/>
      <c r="Z124" s="27"/>
      <c r="AA124" s="41"/>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row>
    <row r="125">
      <c r="A125" s="27"/>
      <c r="B125" s="124"/>
      <c r="C125" s="27"/>
      <c r="D125" s="27"/>
      <c r="E125" s="27"/>
      <c r="F125" s="27"/>
      <c r="G125" s="27"/>
      <c r="H125" s="27"/>
      <c r="I125" s="27"/>
      <c r="J125" s="27"/>
      <c r="K125" s="27"/>
      <c r="L125" s="27"/>
      <c r="M125" s="27"/>
      <c r="N125" s="27"/>
      <c r="O125" s="43"/>
      <c r="P125" s="27"/>
      <c r="Q125" s="27"/>
      <c r="R125" s="43"/>
      <c r="S125" s="27"/>
      <c r="T125" s="27"/>
      <c r="U125" s="27"/>
      <c r="V125" s="27"/>
      <c r="W125" s="27"/>
      <c r="X125" s="43"/>
      <c r="Y125" s="27"/>
      <c r="Z125" s="27"/>
      <c r="AA125" s="41"/>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row>
    <row r="126">
      <c r="A126" s="27"/>
      <c r="B126" s="124"/>
      <c r="C126" s="27"/>
      <c r="D126" s="27"/>
      <c r="E126" s="27"/>
      <c r="F126" s="27"/>
      <c r="G126" s="27"/>
      <c r="H126" s="27"/>
      <c r="I126" s="27"/>
      <c r="J126" s="27"/>
      <c r="K126" s="27"/>
      <c r="L126" s="27"/>
      <c r="M126" s="27"/>
      <c r="N126" s="27"/>
      <c r="O126" s="43"/>
      <c r="P126" s="27"/>
      <c r="Q126" s="27"/>
      <c r="R126" s="43"/>
      <c r="S126" s="27"/>
      <c r="T126" s="27"/>
      <c r="U126" s="27"/>
      <c r="V126" s="27"/>
      <c r="W126" s="27"/>
      <c r="X126" s="43"/>
      <c r="Y126" s="27"/>
      <c r="Z126" s="27"/>
      <c r="AA126" s="41"/>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row>
    <row r="127">
      <c r="A127" s="27"/>
      <c r="B127" s="124"/>
      <c r="C127" s="27"/>
      <c r="D127" s="27"/>
      <c r="E127" s="27"/>
      <c r="F127" s="27"/>
      <c r="G127" s="27"/>
      <c r="H127" s="27"/>
      <c r="I127" s="27"/>
      <c r="J127" s="27"/>
      <c r="K127" s="27"/>
      <c r="L127" s="27"/>
      <c r="M127" s="27"/>
      <c r="N127" s="27"/>
      <c r="O127" s="43"/>
      <c r="P127" s="27"/>
      <c r="Q127" s="27"/>
      <c r="R127" s="43"/>
      <c r="S127" s="27"/>
      <c r="T127" s="27"/>
      <c r="U127" s="27"/>
      <c r="V127" s="27"/>
      <c r="W127" s="27"/>
      <c r="X127" s="43"/>
      <c r="Y127" s="27"/>
      <c r="Z127" s="27"/>
      <c r="AA127" s="41"/>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row>
    <row r="128">
      <c r="A128" s="27"/>
      <c r="B128" s="124"/>
      <c r="C128" s="27"/>
      <c r="D128" s="27"/>
      <c r="E128" s="27"/>
      <c r="F128" s="27"/>
      <c r="G128" s="27"/>
      <c r="H128" s="27"/>
      <c r="I128" s="27"/>
      <c r="J128" s="27"/>
      <c r="K128" s="27"/>
      <c r="L128" s="27"/>
      <c r="M128" s="27"/>
      <c r="N128" s="27"/>
      <c r="O128" s="43"/>
      <c r="P128" s="27"/>
      <c r="Q128" s="27"/>
      <c r="R128" s="43"/>
      <c r="S128" s="27"/>
      <c r="T128" s="27"/>
      <c r="U128" s="27"/>
      <c r="V128" s="27"/>
      <c r="W128" s="27"/>
      <c r="X128" s="43"/>
      <c r="Y128" s="27"/>
      <c r="Z128" s="27"/>
      <c r="AA128" s="41"/>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row>
    <row r="129">
      <c r="A129" s="27"/>
      <c r="B129" s="124"/>
      <c r="C129" s="27"/>
      <c r="D129" s="27"/>
      <c r="E129" s="27"/>
      <c r="F129" s="27"/>
      <c r="G129" s="27"/>
      <c r="H129" s="27"/>
      <c r="I129" s="27"/>
      <c r="J129" s="27"/>
      <c r="K129" s="27"/>
      <c r="L129" s="27"/>
      <c r="M129" s="27"/>
      <c r="N129" s="27"/>
      <c r="O129" s="43"/>
      <c r="P129" s="27"/>
      <c r="Q129" s="27"/>
      <c r="R129" s="43"/>
      <c r="S129" s="27"/>
      <c r="T129" s="27"/>
      <c r="U129" s="27"/>
      <c r="V129" s="27"/>
      <c r="W129" s="27"/>
      <c r="X129" s="43"/>
      <c r="Y129" s="27"/>
      <c r="Z129" s="27"/>
      <c r="AA129" s="41"/>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row>
    <row r="130">
      <c r="A130" s="27"/>
      <c r="B130" s="124"/>
      <c r="C130" s="27"/>
      <c r="D130" s="27"/>
      <c r="E130" s="27"/>
      <c r="F130" s="27"/>
      <c r="G130" s="27"/>
      <c r="H130" s="27"/>
      <c r="I130" s="27"/>
      <c r="J130" s="27"/>
      <c r="K130" s="27"/>
      <c r="L130" s="27"/>
      <c r="M130" s="27"/>
      <c r="N130" s="27"/>
      <c r="O130" s="43"/>
      <c r="P130" s="27"/>
      <c r="Q130" s="27"/>
      <c r="R130" s="43"/>
      <c r="S130" s="27"/>
      <c r="T130" s="27"/>
      <c r="U130" s="27"/>
      <c r="V130" s="27"/>
      <c r="W130" s="27"/>
      <c r="X130" s="43"/>
      <c r="Y130" s="27"/>
      <c r="Z130" s="27"/>
      <c r="AA130" s="41"/>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row>
    <row r="131">
      <c r="A131" s="27"/>
      <c r="B131" s="124"/>
      <c r="C131" s="27"/>
      <c r="D131" s="27"/>
      <c r="E131" s="27"/>
      <c r="F131" s="27"/>
      <c r="G131" s="27"/>
      <c r="H131" s="27"/>
      <c r="I131" s="27"/>
      <c r="J131" s="27"/>
      <c r="K131" s="27"/>
      <c r="L131" s="27"/>
      <c r="M131" s="27"/>
      <c r="N131" s="27"/>
      <c r="O131" s="43"/>
      <c r="P131" s="27"/>
      <c r="Q131" s="27"/>
      <c r="R131" s="43"/>
      <c r="S131" s="27"/>
      <c r="T131" s="27"/>
      <c r="U131" s="27"/>
      <c r="V131" s="27"/>
      <c r="W131" s="27"/>
      <c r="X131" s="43"/>
      <c r="Y131" s="27"/>
      <c r="Z131" s="27"/>
      <c r="AA131" s="41"/>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row>
    <row r="132">
      <c r="A132" s="27"/>
      <c r="B132" s="124"/>
      <c r="C132" s="27"/>
      <c r="D132" s="27"/>
      <c r="E132" s="27"/>
      <c r="F132" s="27"/>
      <c r="G132" s="27"/>
      <c r="H132" s="27"/>
      <c r="I132" s="27"/>
      <c r="J132" s="27"/>
      <c r="K132" s="27"/>
      <c r="L132" s="27"/>
      <c r="M132" s="27"/>
      <c r="N132" s="27"/>
      <c r="O132" s="43"/>
      <c r="P132" s="27"/>
      <c r="Q132" s="27"/>
      <c r="R132" s="43"/>
      <c r="S132" s="27"/>
      <c r="T132" s="27"/>
      <c r="U132" s="27"/>
      <c r="V132" s="27"/>
      <c r="W132" s="27"/>
      <c r="X132" s="43"/>
      <c r="Y132" s="27"/>
      <c r="Z132" s="27"/>
      <c r="AA132" s="41"/>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row>
    <row r="133">
      <c r="A133" s="27"/>
      <c r="B133" s="124"/>
      <c r="C133" s="27"/>
      <c r="D133" s="27"/>
      <c r="E133" s="27"/>
      <c r="F133" s="27"/>
      <c r="G133" s="27"/>
      <c r="H133" s="27"/>
      <c r="I133" s="27"/>
      <c r="J133" s="27"/>
      <c r="K133" s="27"/>
      <c r="L133" s="27"/>
      <c r="M133" s="27"/>
      <c r="N133" s="27"/>
      <c r="O133" s="43"/>
      <c r="P133" s="27"/>
      <c r="Q133" s="27"/>
      <c r="R133" s="43"/>
      <c r="S133" s="27"/>
      <c r="T133" s="27"/>
      <c r="U133" s="27"/>
      <c r="V133" s="27"/>
      <c r="W133" s="27"/>
      <c r="X133" s="43"/>
      <c r="Y133" s="27"/>
      <c r="Z133" s="27"/>
      <c r="AA133" s="41"/>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row>
    <row r="134">
      <c r="A134" s="27"/>
      <c r="B134" s="124"/>
      <c r="C134" s="27"/>
      <c r="D134" s="27"/>
      <c r="E134" s="27"/>
      <c r="F134" s="27"/>
      <c r="G134" s="27"/>
      <c r="H134" s="27"/>
      <c r="I134" s="27"/>
      <c r="J134" s="27"/>
      <c r="K134" s="27"/>
      <c r="L134" s="27"/>
      <c r="M134" s="27"/>
      <c r="N134" s="27"/>
      <c r="O134" s="43"/>
      <c r="P134" s="27"/>
      <c r="Q134" s="27"/>
      <c r="R134" s="43"/>
      <c r="S134" s="27"/>
      <c r="T134" s="27"/>
      <c r="U134" s="27"/>
      <c r="V134" s="27"/>
      <c r="W134" s="27"/>
      <c r="X134" s="43"/>
      <c r="Y134" s="27"/>
      <c r="Z134" s="27"/>
      <c r="AA134" s="41"/>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row>
    <row r="135">
      <c r="A135" s="27"/>
      <c r="B135" s="124"/>
      <c r="C135" s="27"/>
      <c r="D135" s="27"/>
      <c r="E135" s="27"/>
      <c r="F135" s="27"/>
      <c r="G135" s="27"/>
      <c r="H135" s="27"/>
      <c r="I135" s="27"/>
      <c r="J135" s="27"/>
      <c r="K135" s="27"/>
      <c r="L135" s="27"/>
      <c r="M135" s="27"/>
      <c r="N135" s="27"/>
      <c r="O135" s="43"/>
      <c r="P135" s="27"/>
      <c r="Q135" s="27"/>
      <c r="R135" s="43"/>
      <c r="S135" s="27"/>
      <c r="T135" s="27"/>
      <c r="U135" s="27"/>
      <c r="V135" s="27"/>
      <c r="W135" s="27"/>
      <c r="X135" s="43"/>
      <c r="Y135" s="27"/>
      <c r="Z135" s="27"/>
      <c r="AA135" s="41"/>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row>
    <row r="136">
      <c r="A136" s="27"/>
      <c r="B136" s="124"/>
      <c r="C136" s="27"/>
      <c r="D136" s="27"/>
      <c r="E136" s="27"/>
      <c r="F136" s="27"/>
      <c r="G136" s="27"/>
      <c r="H136" s="27"/>
      <c r="I136" s="27"/>
      <c r="J136" s="27"/>
      <c r="K136" s="27"/>
      <c r="L136" s="27"/>
      <c r="M136" s="27"/>
      <c r="N136" s="27"/>
      <c r="O136" s="43"/>
      <c r="P136" s="27"/>
      <c r="Q136" s="27"/>
      <c r="R136" s="43"/>
      <c r="S136" s="27"/>
      <c r="T136" s="27"/>
      <c r="U136" s="27"/>
      <c r="V136" s="27"/>
      <c r="W136" s="27"/>
      <c r="X136" s="43"/>
      <c r="Y136" s="27"/>
      <c r="Z136" s="27"/>
      <c r="AA136" s="41"/>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row>
    <row r="137">
      <c r="A137" s="27"/>
      <c r="B137" s="124"/>
      <c r="C137" s="27"/>
      <c r="D137" s="27"/>
      <c r="E137" s="27"/>
      <c r="F137" s="27"/>
      <c r="G137" s="27"/>
      <c r="H137" s="27"/>
      <c r="I137" s="27"/>
      <c r="J137" s="27"/>
      <c r="K137" s="27"/>
      <c r="L137" s="27"/>
      <c r="M137" s="27"/>
      <c r="N137" s="27"/>
      <c r="O137" s="43"/>
      <c r="P137" s="27"/>
      <c r="Q137" s="27"/>
      <c r="R137" s="43"/>
      <c r="S137" s="27"/>
      <c r="T137" s="27"/>
      <c r="U137" s="27"/>
      <c r="V137" s="27"/>
      <c r="W137" s="27"/>
      <c r="X137" s="43"/>
      <c r="Y137" s="27"/>
      <c r="Z137" s="27"/>
      <c r="AA137" s="41"/>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row>
    <row r="138">
      <c r="A138" s="27"/>
      <c r="B138" s="124"/>
      <c r="C138" s="27"/>
      <c r="D138" s="27"/>
      <c r="E138" s="27"/>
      <c r="F138" s="27"/>
      <c r="G138" s="27"/>
      <c r="H138" s="27"/>
      <c r="I138" s="27"/>
      <c r="J138" s="27"/>
      <c r="K138" s="27"/>
      <c r="L138" s="27"/>
      <c r="M138" s="27"/>
      <c r="N138" s="27"/>
      <c r="O138" s="43"/>
      <c r="P138" s="27"/>
      <c r="Q138" s="27"/>
      <c r="R138" s="43"/>
      <c r="S138" s="27"/>
      <c r="T138" s="27"/>
      <c r="U138" s="27"/>
      <c r="V138" s="27"/>
      <c r="W138" s="27"/>
      <c r="X138" s="43"/>
      <c r="Y138" s="27"/>
      <c r="Z138" s="27"/>
      <c r="AA138" s="41"/>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row>
    <row r="139">
      <c r="A139" s="27"/>
      <c r="B139" s="124"/>
      <c r="C139" s="27"/>
      <c r="D139" s="27"/>
      <c r="E139" s="27"/>
      <c r="F139" s="27"/>
      <c r="G139" s="27"/>
      <c r="H139" s="27"/>
      <c r="I139" s="27"/>
      <c r="J139" s="27"/>
      <c r="K139" s="27"/>
      <c r="L139" s="27"/>
      <c r="M139" s="27"/>
      <c r="N139" s="27"/>
      <c r="O139" s="43"/>
      <c r="P139" s="27"/>
      <c r="Q139" s="27"/>
      <c r="R139" s="43"/>
      <c r="S139" s="27"/>
      <c r="T139" s="27"/>
      <c r="U139" s="27"/>
      <c r="V139" s="27"/>
      <c r="W139" s="27"/>
      <c r="X139" s="43"/>
      <c r="Y139" s="27"/>
      <c r="Z139" s="27"/>
      <c r="AA139" s="41"/>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row>
    <row r="140">
      <c r="A140" s="27"/>
      <c r="B140" s="124"/>
      <c r="C140" s="27"/>
      <c r="D140" s="27"/>
      <c r="E140" s="27"/>
      <c r="F140" s="27"/>
      <c r="G140" s="27"/>
      <c r="H140" s="27"/>
      <c r="I140" s="27"/>
      <c r="J140" s="27"/>
      <c r="K140" s="27"/>
      <c r="L140" s="27"/>
      <c r="M140" s="27"/>
      <c r="N140" s="27"/>
      <c r="O140" s="43"/>
      <c r="P140" s="27"/>
      <c r="Q140" s="27"/>
      <c r="R140" s="43"/>
      <c r="S140" s="27"/>
      <c r="T140" s="27"/>
      <c r="U140" s="27"/>
      <c r="V140" s="27"/>
      <c r="W140" s="27"/>
      <c r="X140" s="43"/>
      <c r="Y140" s="27"/>
      <c r="Z140" s="27"/>
      <c r="AA140" s="41"/>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row>
    <row r="141">
      <c r="A141" s="27"/>
      <c r="B141" s="124"/>
      <c r="C141" s="27"/>
      <c r="D141" s="27"/>
      <c r="E141" s="27"/>
      <c r="F141" s="27"/>
      <c r="G141" s="27"/>
      <c r="H141" s="27"/>
      <c r="I141" s="27"/>
      <c r="J141" s="27"/>
      <c r="K141" s="27"/>
      <c r="L141" s="27"/>
      <c r="M141" s="27"/>
      <c r="N141" s="27"/>
      <c r="O141" s="43"/>
      <c r="P141" s="27"/>
      <c r="Q141" s="27"/>
      <c r="R141" s="43"/>
      <c r="S141" s="27"/>
      <c r="T141" s="27"/>
      <c r="U141" s="27"/>
      <c r="V141" s="27"/>
      <c r="W141" s="27"/>
      <c r="X141" s="43"/>
      <c r="Y141" s="27"/>
      <c r="Z141" s="27"/>
      <c r="AA141" s="41"/>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row>
    <row r="142">
      <c r="A142" s="27"/>
      <c r="B142" s="124"/>
      <c r="C142" s="27"/>
      <c r="D142" s="27"/>
      <c r="E142" s="27"/>
      <c r="F142" s="27"/>
      <c r="G142" s="27"/>
      <c r="H142" s="27"/>
      <c r="I142" s="27"/>
      <c r="J142" s="27"/>
      <c r="K142" s="27"/>
      <c r="L142" s="27"/>
      <c r="M142" s="27"/>
      <c r="N142" s="27"/>
      <c r="O142" s="43"/>
      <c r="P142" s="27"/>
      <c r="Q142" s="27"/>
      <c r="R142" s="43"/>
      <c r="S142" s="27"/>
      <c r="T142" s="27"/>
      <c r="U142" s="27"/>
      <c r="V142" s="27"/>
      <c r="W142" s="27"/>
      <c r="X142" s="43"/>
      <c r="Y142" s="27"/>
      <c r="Z142" s="27"/>
      <c r="AA142" s="41"/>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row>
    <row r="143">
      <c r="A143" s="27"/>
      <c r="B143" s="124"/>
      <c r="C143" s="27"/>
      <c r="D143" s="27"/>
      <c r="E143" s="27"/>
      <c r="F143" s="27"/>
      <c r="G143" s="27"/>
      <c r="H143" s="27"/>
      <c r="I143" s="27"/>
      <c r="J143" s="27"/>
      <c r="K143" s="27"/>
      <c r="L143" s="27"/>
      <c r="M143" s="27"/>
      <c r="N143" s="27"/>
      <c r="O143" s="43"/>
      <c r="P143" s="27"/>
      <c r="Q143" s="27"/>
      <c r="R143" s="43"/>
      <c r="S143" s="27"/>
      <c r="T143" s="27"/>
      <c r="U143" s="27"/>
      <c r="V143" s="27"/>
      <c r="W143" s="27"/>
      <c r="X143" s="43"/>
      <c r="Y143" s="27"/>
      <c r="Z143" s="27"/>
      <c r="AA143" s="41"/>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row>
    <row r="144">
      <c r="A144" s="27"/>
      <c r="B144" s="124"/>
      <c r="C144" s="27"/>
      <c r="D144" s="27"/>
      <c r="E144" s="27"/>
      <c r="F144" s="27"/>
      <c r="G144" s="27"/>
      <c r="H144" s="27"/>
      <c r="I144" s="27"/>
      <c r="J144" s="27"/>
      <c r="K144" s="27"/>
      <c r="L144" s="27"/>
      <c r="M144" s="27"/>
      <c r="N144" s="27"/>
      <c r="O144" s="43"/>
      <c r="P144" s="27"/>
      <c r="Q144" s="27"/>
      <c r="R144" s="43"/>
      <c r="S144" s="27"/>
      <c r="T144" s="27"/>
      <c r="U144" s="27"/>
      <c r="V144" s="27"/>
      <c r="W144" s="27"/>
      <c r="X144" s="43"/>
      <c r="Y144" s="27"/>
      <c r="Z144" s="27"/>
      <c r="AA144" s="41"/>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row>
    <row r="145">
      <c r="A145" s="27"/>
      <c r="B145" s="124"/>
      <c r="C145" s="27"/>
      <c r="D145" s="27"/>
      <c r="E145" s="27"/>
      <c r="F145" s="27"/>
      <c r="G145" s="27"/>
      <c r="H145" s="27"/>
      <c r="I145" s="27"/>
      <c r="J145" s="27"/>
      <c r="K145" s="27"/>
      <c r="L145" s="27"/>
      <c r="M145" s="27"/>
      <c r="N145" s="27"/>
      <c r="O145" s="43"/>
      <c r="P145" s="27"/>
      <c r="Q145" s="27"/>
      <c r="R145" s="43"/>
      <c r="S145" s="27"/>
      <c r="T145" s="27"/>
      <c r="U145" s="27"/>
      <c r="V145" s="27"/>
      <c r="W145" s="27"/>
      <c r="X145" s="43"/>
      <c r="Y145" s="27"/>
      <c r="Z145" s="27"/>
      <c r="AA145" s="41"/>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row>
    <row r="146">
      <c r="A146" s="27"/>
      <c r="B146" s="124"/>
      <c r="C146" s="27"/>
      <c r="D146" s="27"/>
      <c r="E146" s="27"/>
      <c r="F146" s="27"/>
      <c r="G146" s="27"/>
      <c r="H146" s="27"/>
      <c r="I146" s="27"/>
      <c r="J146" s="27"/>
      <c r="K146" s="27"/>
      <c r="L146" s="27"/>
      <c r="M146" s="27"/>
      <c r="N146" s="27"/>
      <c r="O146" s="43"/>
      <c r="P146" s="27"/>
      <c r="Q146" s="27"/>
      <c r="R146" s="43"/>
      <c r="S146" s="27"/>
      <c r="T146" s="27"/>
      <c r="U146" s="27"/>
      <c r="V146" s="27"/>
      <c r="W146" s="27"/>
      <c r="X146" s="43"/>
      <c r="Y146" s="27"/>
      <c r="Z146" s="27"/>
      <c r="AA146" s="41"/>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row>
    <row r="147">
      <c r="A147" s="27"/>
      <c r="B147" s="124"/>
      <c r="C147" s="27"/>
      <c r="D147" s="27"/>
      <c r="E147" s="27"/>
      <c r="F147" s="27"/>
      <c r="G147" s="27"/>
      <c r="H147" s="27"/>
      <c r="I147" s="27"/>
      <c r="J147" s="27"/>
      <c r="K147" s="27"/>
      <c r="L147" s="27"/>
      <c r="M147" s="27"/>
      <c r="N147" s="27"/>
      <c r="O147" s="43"/>
      <c r="P147" s="27"/>
      <c r="Q147" s="27"/>
      <c r="R147" s="43"/>
      <c r="S147" s="27"/>
      <c r="T147" s="27"/>
      <c r="U147" s="27"/>
      <c r="V147" s="27"/>
      <c r="W147" s="27"/>
      <c r="X147" s="43"/>
      <c r="Y147" s="27"/>
      <c r="Z147" s="27"/>
      <c r="AA147" s="41"/>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row>
    <row r="148">
      <c r="A148" s="27"/>
      <c r="B148" s="124"/>
      <c r="C148" s="27"/>
      <c r="D148" s="27"/>
      <c r="E148" s="27"/>
      <c r="F148" s="27"/>
      <c r="G148" s="27"/>
      <c r="H148" s="27"/>
      <c r="I148" s="27"/>
      <c r="J148" s="27"/>
      <c r="K148" s="27"/>
      <c r="L148" s="27"/>
      <c r="M148" s="27"/>
      <c r="N148" s="27"/>
      <c r="O148" s="43"/>
      <c r="P148" s="27"/>
      <c r="Q148" s="27"/>
      <c r="R148" s="43"/>
      <c r="S148" s="27"/>
      <c r="T148" s="27"/>
      <c r="U148" s="27"/>
      <c r="V148" s="27"/>
      <c r="W148" s="27"/>
      <c r="X148" s="43"/>
      <c r="Y148" s="27"/>
      <c r="Z148" s="27"/>
      <c r="AA148" s="41"/>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row>
    <row r="149">
      <c r="A149" s="27"/>
      <c r="B149" s="124"/>
      <c r="C149" s="27"/>
      <c r="D149" s="27"/>
      <c r="E149" s="27"/>
      <c r="F149" s="27"/>
      <c r="G149" s="27"/>
      <c r="H149" s="27"/>
      <c r="I149" s="27"/>
      <c r="J149" s="27"/>
      <c r="K149" s="27"/>
      <c r="L149" s="27"/>
      <c r="M149" s="27"/>
      <c r="N149" s="27"/>
      <c r="O149" s="43"/>
      <c r="P149" s="27"/>
      <c r="Q149" s="27"/>
      <c r="R149" s="43"/>
      <c r="S149" s="27"/>
      <c r="T149" s="27"/>
      <c r="U149" s="27"/>
      <c r="V149" s="27"/>
      <c r="W149" s="27"/>
      <c r="X149" s="43"/>
      <c r="Y149" s="27"/>
      <c r="Z149" s="27"/>
      <c r="AA149" s="41"/>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row>
    <row r="150">
      <c r="A150" s="27"/>
      <c r="B150" s="124"/>
      <c r="C150" s="27"/>
      <c r="D150" s="27"/>
      <c r="E150" s="27"/>
      <c r="F150" s="27"/>
      <c r="G150" s="27"/>
      <c r="H150" s="27"/>
      <c r="I150" s="27"/>
      <c r="J150" s="27"/>
      <c r="K150" s="27"/>
      <c r="L150" s="27"/>
      <c r="M150" s="27"/>
      <c r="N150" s="27"/>
      <c r="O150" s="43"/>
      <c r="P150" s="27"/>
      <c r="Q150" s="27"/>
      <c r="R150" s="43"/>
      <c r="S150" s="27"/>
      <c r="T150" s="27"/>
      <c r="U150" s="27"/>
      <c r="V150" s="27"/>
      <c r="W150" s="27"/>
      <c r="X150" s="43"/>
      <c r="Y150" s="27"/>
      <c r="Z150" s="27"/>
      <c r="AA150" s="41"/>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row>
    <row r="151">
      <c r="A151" s="27"/>
      <c r="B151" s="124"/>
      <c r="C151" s="27"/>
      <c r="D151" s="27"/>
      <c r="E151" s="27"/>
      <c r="F151" s="27"/>
      <c r="G151" s="27"/>
      <c r="H151" s="27"/>
      <c r="I151" s="27"/>
      <c r="J151" s="27"/>
      <c r="K151" s="27"/>
      <c r="L151" s="27"/>
      <c r="M151" s="27"/>
      <c r="N151" s="27"/>
      <c r="O151" s="43"/>
      <c r="P151" s="27"/>
      <c r="Q151" s="27"/>
      <c r="R151" s="43"/>
      <c r="S151" s="27"/>
      <c r="T151" s="27"/>
      <c r="U151" s="27"/>
      <c r="V151" s="27"/>
      <c r="W151" s="27"/>
      <c r="X151" s="43"/>
      <c r="Y151" s="27"/>
      <c r="Z151" s="27"/>
      <c r="AA151" s="41"/>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row>
    <row r="152">
      <c r="A152" s="27"/>
      <c r="B152" s="124"/>
      <c r="C152" s="27"/>
      <c r="D152" s="27"/>
      <c r="E152" s="27"/>
      <c r="F152" s="27"/>
      <c r="G152" s="27"/>
      <c r="H152" s="27"/>
      <c r="I152" s="27"/>
      <c r="J152" s="27"/>
      <c r="K152" s="27"/>
      <c r="L152" s="27"/>
      <c r="M152" s="27"/>
      <c r="N152" s="27"/>
      <c r="O152" s="43"/>
      <c r="P152" s="27"/>
      <c r="Q152" s="27"/>
      <c r="R152" s="43"/>
      <c r="S152" s="27"/>
      <c r="T152" s="27"/>
      <c r="U152" s="27"/>
      <c r="V152" s="27"/>
      <c r="W152" s="27"/>
      <c r="X152" s="43"/>
      <c r="Y152" s="27"/>
      <c r="Z152" s="27"/>
      <c r="AA152" s="41"/>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row>
    <row r="153">
      <c r="A153" s="27"/>
      <c r="B153" s="124"/>
      <c r="C153" s="27"/>
      <c r="D153" s="27"/>
      <c r="E153" s="27"/>
      <c r="F153" s="27"/>
      <c r="G153" s="27"/>
      <c r="H153" s="27"/>
      <c r="I153" s="27"/>
      <c r="J153" s="27"/>
      <c r="K153" s="27"/>
      <c r="L153" s="27"/>
      <c r="M153" s="27"/>
      <c r="N153" s="27"/>
      <c r="O153" s="43"/>
      <c r="P153" s="27"/>
      <c r="Q153" s="27"/>
      <c r="R153" s="43"/>
      <c r="S153" s="27"/>
      <c r="T153" s="27"/>
      <c r="U153" s="27"/>
      <c r="V153" s="27"/>
      <c r="W153" s="27"/>
      <c r="X153" s="43"/>
      <c r="Y153" s="27"/>
      <c r="Z153" s="27"/>
      <c r="AA153" s="41"/>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row>
    <row r="154">
      <c r="A154" s="27"/>
      <c r="B154" s="124"/>
      <c r="C154" s="27"/>
      <c r="D154" s="27"/>
      <c r="E154" s="27"/>
      <c r="F154" s="27"/>
      <c r="G154" s="27"/>
      <c r="H154" s="27"/>
      <c r="I154" s="27"/>
      <c r="J154" s="27"/>
      <c r="K154" s="27"/>
      <c r="L154" s="27"/>
      <c r="M154" s="27"/>
      <c r="N154" s="27"/>
      <c r="O154" s="43"/>
      <c r="P154" s="27"/>
      <c r="Q154" s="27"/>
      <c r="R154" s="43"/>
      <c r="S154" s="27"/>
      <c r="T154" s="27"/>
      <c r="U154" s="27"/>
      <c r="V154" s="27"/>
      <c r="W154" s="27"/>
      <c r="X154" s="43"/>
      <c r="Y154" s="27"/>
      <c r="Z154" s="27"/>
      <c r="AA154" s="41"/>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row>
    <row r="155">
      <c r="A155" s="27"/>
      <c r="B155" s="124"/>
      <c r="C155" s="27"/>
      <c r="D155" s="27"/>
      <c r="E155" s="27"/>
      <c r="F155" s="27"/>
      <c r="G155" s="27"/>
      <c r="H155" s="27"/>
      <c r="I155" s="27"/>
      <c r="J155" s="27"/>
      <c r="K155" s="27"/>
      <c r="L155" s="27"/>
      <c r="M155" s="27"/>
      <c r="N155" s="27"/>
      <c r="O155" s="43"/>
      <c r="P155" s="27"/>
      <c r="Q155" s="27"/>
      <c r="R155" s="43"/>
      <c r="S155" s="27"/>
      <c r="T155" s="27"/>
      <c r="U155" s="27"/>
      <c r="V155" s="27"/>
      <c r="W155" s="27"/>
      <c r="X155" s="43"/>
      <c r="Y155" s="27"/>
      <c r="Z155" s="27"/>
      <c r="AA155" s="41"/>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row>
    <row r="156">
      <c r="A156" s="27"/>
      <c r="B156" s="124"/>
      <c r="C156" s="27"/>
      <c r="D156" s="27"/>
      <c r="E156" s="27"/>
      <c r="F156" s="27"/>
      <c r="G156" s="27"/>
      <c r="H156" s="27"/>
      <c r="I156" s="27"/>
      <c r="J156" s="27"/>
      <c r="K156" s="27"/>
      <c r="L156" s="27"/>
      <c r="M156" s="27"/>
      <c r="N156" s="27"/>
      <c r="O156" s="43"/>
      <c r="P156" s="27"/>
      <c r="Q156" s="27"/>
      <c r="R156" s="43"/>
      <c r="S156" s="27"/>
      <c r="T156" s="27"/>
      <c r="U156" s="27"/>
      <c r="V156" s="27"/>
      <c r="W156" s="27"/>
      <c r="X156" s="43"/>
      <c r="Y156" s="27"/>
      <c r="Z156" s="27"/>
      <c r="AA156" s="41"/>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row>
    <row r="157">
      <c r="A157" s="27"/>
      <c r="B157" s="124"/>
      <c r="C157" s="27"/>
      <c r="D157" s="27"/>
      <c r="E157" s="27"/>
      <c r="F157" s="27"/>
      <c r="G157" s="27"/>
      <c r="H157" s="27"/>
      <c r="I157" s="27"/>
      <c r="J157" s="27"/>
      <c r="K157" s="27"/>
      <c r="L157" s="27"/>
      <c r="M157" s="27"/>
      <c r="N157" s="27"/>
      <c r="O157" s="43"/>
      <c r="P157" s="27"/>
      <c r="Q157" s="27"/>
      <c r="R157" s="43"/>
      <c r="S157" s="27"/>
      <c r="T157" s="27"/>
      <c r="U157" s="27"/>
      <c r="V157" s="27"/>
      <c r="W157" s="27"/>
      <c r="X157" s="43"/>
      <c r="Y157" s="27"/>
      <c r="Z157" s="27"/>
      <c r="AA157" s="41"/>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row>
    <row r="158">
      <c r="A158" s="27"/>
      <c r="B158" s="124"/>
      <c r="C158" s="27"/>
      <c r="D158" s="27"/>
      <c r="E158" s="27"/>
      <c r="F158" s="27"/>
      <c r="G158" s="27"/>
      <c r="H158" s="27"/>
      <c r="I158" s="27"/>
      <c r="J158" s="27"/>
      <c r="K158" s="27"/>
      <c r="L158" s="27"/>
      <c r="M158" s="27"/>
      <c r="N158" s="27"/>
      <c r="O158" s="43"/>
      <c r="P158" s="27"/>
      <c r="Q158" s="27"/>
      <c r="R158" s="43"/>
      <c r="S158" s="27"/>
      <c r="T158" s="27"/>
      <c r="U158" s="27"/>
      <c r="V158" s="27"/>
      <c r="W158" s="27"/>
      <c r="X158" s="43"/>
      <c r="Y158" s="27"/>
      <c r="Z158" s="27"/>
      <c r="AA158" s="41"/>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row>
    <row r="159">
      <c r="A159" s="27"/>
      <c r="B159" s="124"/>
      <c r="C159" s="27"/>
      <c r="D159" s="27"/>
      <c r="E159" s="27"/>
      <c r="F159" s="27"/>
      <c r="G159" s="27"/>
      <c r="H159" s="27"/>
      <c r="I159" s="27"/>
      <c r="J159" s="27"/>
      <c r="K159" s="27"/>
      <c r="L159" s="27"/>
      <c r="M159" s="27"/>
      <c r="N159" s="27"/>
      <c r="O159" s="43"/>
      <c r="P159" s="27"/>
      <c r="Q159" s="27"/>
      <c r="R159" s="43"/>
      <c r="S159" s="27"/>
      <c r="T159" s="27"/>
      <c r="U159" s="27"/>
      <c r="V159" s="27"/>
      <c r="W159" s="27"/>
      <c r="X159" s="43"/>
      <c r="Y159" s="27"/>
      <c r="Z159" s="27"/>
      <c r="AA159" s="41"/>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row>
    <row r="160">
      <c r="A160" s="27"/>
      <c r="B160" s="124"/>
      <c r="C160" s="27"/>
      <c r="D160" s="27"/>
      <c r="E160" s="27"/>
      <c r="F160" s="27"/>
      <c r="G160" s="27"/>
      <c r="H160" s="27"/>
      <c r="I160" s="27"/>
      <c r="J160" s="27"/>
      <c r="K160" s="27"/>
      <c r="L160" s="27"/>
      <c r="M160" s="27"/>
      <c r="N160" s="27"/>
      <c r="O160" s="43"/>
      <c r="P160" s="27"/>
      <c r="Q160" s="27"/>
      <c r="R160" s="43"/>
      <c r="S160" s="27"/>
      <c r="T160" s="27"/>
      <c r="U160" s="27"/>
      <c r="V160" s="27"/>
      <c r="W160" s="27"/>
      <c r="X160" s="43"/>
      <c r="Y160" s="27"/>
      <c r="Z160" s="27"/>
      <c r="AA160" s="41"/>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row>
    <row r="161">
      <c r="A161" s="27"/>
      <c r="B161" s="124"/>
      <c r="C161" s="27"/>
      <c r="D161" s="27"/>
      <c r="E161" s="27"/>
      <c r="F161" s="27"/>
      <c r="G161" s="27"/>
      <c r="H161" s="27"/>
      <c r="I161" s="27"/>
      <c r="J161" s="27"/>
      <c r="K161" s="27"/>
      <c r="L161" s="27"/>
      <c r="M161" s="27"/>
      <c r="N161" s="27"/>
      <c r="O161" s="43"/>
      <c r="P161" s="27"/>
      <c r="Q161" s="27"/>
      <c r="R161" s="43"/>
      <c r="S161" s="27"/>
      <c r="T161" s="27"/>
      <c r="U161" s="27"/>
      <c r="V161" s="27"/>
      <c r="W161" s="27"/>
      <c r="X161" s="43"/>
      <c r="Y161" s="27"/>
      <c r="Z161" s="27"/>
      <c r="AA161" s="41"/>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row>
    <row r="162">
      <c r="A162" s="27"/>
      <c r="B162" s="124"/>
      <c r="C162" s="27"/>
      <c r="D162" s="27"/>
      <c r="E162" s="27"/>
      <c r="F162" s="27"/>
      <c r="G162" s="27"/>
      <c r="H162" s="27"/>
      <c r="I162" s="27"/>
      <c r="J162" s="27"/>
      <c r="K162" s="27"/>
      <c r="L162" s="27"/>
      <c r="M162" s="27"/>
      <c r="N162" s="27"/>
      <c r="O162" s="43"/>
      <c r="P162" s="27"/>
      <c r="Q162" s="27"/>
      <c r="R162" s="43"/>
      <c r="S162" s="27"/>
      <c r="T162" s="27"/>
      <c r="U162" s="27"/>
      <c r="V162" s="27"/>
      <c r="W162" s="27"/>
      <c r="X162" s="43"/>
      <c r="Y162" s="27"/>
      <c r="Z162" s="27"/>
      <c r="AA162" s="41"/>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row>
    <row r="163">
      <c r="A163" s="27"/>
      <c r="B163" s="124"/>
      <c r="C163" s="27"/>
      <c r="D163" s="27"/>
      <c r="E163" s="27"/>
      <c r="F163" s="27"/>
      <c r="G163" s="27"/>
      <c r="H163" s="27"/>
      <c r="I163" s="27"/>
      <c r="J163" s="27"/>
      <c r="K163" s="27"/>
      <c r="L163" s="27"/>
      <c r="M163" s="27"/>
      <c r="N163" s="27"/>
      <c r="O163" s="43"/>
      <c r="P163" s="27"/>
      <c r="Q163" s="27"/>
      <c r="R163" s="43"/>
      <c r="S163" s="27"/>
      <c r="T163" s="27"/>
      <c r="U163" s="27"/>
      <c r="V163" s="27"/>
      <c r="W163" s="27"/>
      <c r="X163" s="43"/>
      <c r="Y163" s="27"/>
      <c r="Z163" s="27"/>
      <c r="AA163" s="41"/>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row>
    <row r="164">
      <c r="A164" s="27"/>
      <c r="B164" s="124"/>
      <c r="C164" s="27"/>
      <c r="D164" s="27"/>
      <c r="E164" s="27"/>
      <c r="F164" s="27"/>
      <c r="G164" s="27"/>
      <c r="H164" s="27"/>
      <c r="I164" s="27"/>
      <c r="J164" s="27"/>
      <c r="K164" s="27"/>
      <c r="L164" s="27"/>
      <c r="M164" s="27"/>
      <c r="N164" s="27"/>
      <c r="O164" s="43"/>
      <c r="P164" s="27"/>
      <c r="Q164" s="27"/>
      <c r="R164" s="43"/>
      <c r="S164" s="27"/>
      <c r="T164" s="27"/>
      <c r="U164" s="27"/>
      <c r="V164" s="27"/>
      <c r="W164" s="27"/>
      <c r="X164" s="43"/>
      <c r="Y164" s="27"/>
      <c r="Z164" s="27"/>
      <c r="AA164" s="41"/>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row>
    <row r="165">
      <c r="A165" s="27"/>
      <c r="B165" s="124"/>
      <c r="C165" s="27"/>
      <c r="D165" s="27"/>
      <c r="E165" s="27"/>
      <c r="F165" s="27"/>
      <c r="G165" s="27"/>
      <c r="H165" s="27"/>
      <c r="I165" s="27"/>
      <c r="J165" s="27"/>
      <c r="K165" s="27"/>
      <c r="L165" s="27"/>
      <c r="M165" s="27"/>
      <c r="N165" s="27"/>
      <c r="O165" s="43"/>
      <c r="P165" s="27"/>
      <c r="Q165" s="27"/>
      <c r="R165" s="43"/>
      <c r="S165" s="27"/>
      <c r="T165" s="27"/>
      <c r="U165" s="27"/>
      <c r="V165" s="27"/>
      <c r="W165" s="27"/>
      <c r="X165" s="43"/>
      <c r="Y165" s="27"/>
      <c r="Z165" s="27"/>
      <c r="AA165" s="41"/>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row>
    <row r="166">
      <c r="A166" s="27"/>
      <c r="B166" s="124"/>
      <c r="C166" s="27"/>
      <c r="D166" s="27"/>
      <c r="E166" s="27"/>
      <c r="F166" s="27"/>
      <c r="G166" s="27"/>
      <c r="H166" s="27"/>
      <c r="I166" s="27"/>
      <c r="J166" s="27"/>
      <c r="K166" s="27"/>
      <c r="L166" s="27"/>
      <c r="M166" s="27"/>
      <c r="N166" s="27"/>
      <c r="O166" s="43"/>
      <c r="P166" s="27"/>
      <c r="Q166" s="27"/>
      <c r="R166" s="43"/>
      <c r="S166" s="27"/>
      <c r="T166" s="27"/>
      <c r="U166" s="27"/>
      <c r="V166" s="27"/>
      <c r="W166" s="27"/>
      <c r="X166" s="43"/>
      <c r="Y166" s="27"/>
      <c r="Z166" s="27"/>
      <c r="AA166" s="41"/>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row>
    <row r="167">
      <c r="A167" s="27"/>
      <c r="B167" s="124"/>
      <c r="C167" s="27"/>
      <c r="D167" s="27"/>
      <c r="E167" s="27"/>
      <c r="F167" s="27"/>
      <c r="G167" s="27"/>
      <c r="H167" s="27"/>
      <c r="I167" s="27"/>
      <c r="J167" s="27"/>
      <c r="K167" s="27"/>
      <c r="L167" s="27"/>
      <c r="M167" s="27"/>
      <c r="N167" s="27"/>
      <c r="O167" s="43"/>
      <c r="P167" s="27"/>
      <c r="Q167" s="27"/>
      <c r="R167" s="43"/>
      <c r="S167" s="27"/>
      <c r="T167" s="27"/>
      <c r="U167" s="27"/>
      <c r="V167" s="27"/>
      <c r="W167" s="27"/>
      <c r="X167" s="43"/>
      <c r="Y167" s="27"/>
      <c r="Z167" s="27"/>
      <c r="AA167" s="41"/>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row>
    <row r="168">
      <c r="A168" s="27"/>
      <c r="B168" s="124"/>
      <c r="C168" s="27"/>
      <c r="D168" s="27"/>
      <c r="E168" s="27"/>
      <c r="F168" s="27"/>
      <c r="G168" s="27"/>
      <c r="H168" s="27"/>
      <c r="I168" s="27"/>
      <c r="J168" s="27"/>
      <c r="K168" s="27"/>
      <c r="L168" s="27"/>
      <c r="M168" s="27"/>
      <c r="N168" s="27"/>
      <c r="O168" s="43"/>
      <c r="P168" s="27"/>
      <c r="Q168" s="27"/>
      <c r="R168" s="43"/>
      <c r="S168" s="27"/>
      <c r="T168" s="27"/>
      <c r="U168" s="27"/>
      <c r="V168" s="27"/>
      <c r="W168" s="27"/>
      <c r="X168" s="43"/>
      <c r="Y168" s="27"/>
      <c r="Z168" s="27"/>
      <c r="AA168" s="41"/>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row>
    <row r="169">
      <c r="A169" s="27"/>
      <c r="B169" s="124"/>
      <c r="C169" s="27"/>
      <c r="D169" s="27"/>
      <c r="E169" s="27"/>
      <c r="F169" s="27"/>
      <c r="G169" s="27"/>
      <c r="H169" s="27"/>
      <c r="I169" s="27"/>
      <c r="J169" s="27"/>
      <c r="K169" s="27"/>
      <c r="L169" s="27"/>
      <c r="M169" s="27"/>
      <c r="N169" s="27"/>
      <c r="O169" s="43"/>
      <c r="P169" s="27"/>
      <c r="Q169" s="27"/>
      <c r="R169" s="43"/>
      <c r="S169" s="27"/>
      <c r="T169" s="27"/>
      <c r="U169" s="27"/>
      <c r="V169" s="27"/>
      <c r="W169" s="27"/>
      <c r="X169" s="43"/>
      <c r="Y169" s="27"/>
      <c r="Z169" s="27"/>
      <c r="AA169" s="41"/>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row>
    <row r="170">
      <c r="A170" s="27"/>
      <c r="B170" s="124"/>
      <c r="C170" s="27"/>
      <c r="D170" s="27"/>
      <c r="E170" s="27"/>
      <c r="F170" s="27"/>
      <c r="G170" s="27"/>
      <c r="H170" s="27"/>
      <c r="I170" s="27"/>
      <c r="J170" s="27"/>
      <c r="K170" s="27"/>
      <c r="L170" s="27"/>
      <c r="M170" s="27"/>
      <c r="N170" s="27"/>
      <c r="O170" s="43"/>
      <c r="P170" s="27"/>
      <c r="Q170" s="27"/>
      <c r="R170" s="43"/>
      <c r="S170" s="27"/>
      <c r="T170" s="27"/>
      <c r="U170" s="27"/>
      <c r="V170" s="27"/>
      <c r="W170" s="27"/>
      <c r="X170" s="43"/>
      <c r="Y170" s="27"/>
      <c r="Z170" s="27"/>
      <c r="AA170" s="41"/>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row>
    <row r="171">
      <c r="A171" s="27"/>
      <c r="B171" s="124"/>
      <c r="C171" s="27"/>
      <c r="D171" s="27"/>
      <c r="E171" s="27"/>
      <c r="F171" s="27"/>
      <c r="G171" s="27"/>
      <c r="H171" s="27"/>
      <c r="I171" s="27"/>
      <c r="J171" s="27"/>
      <c r="K171" s="27"/>
      <c r="L171" s="27"/>
      <c r="M171" s="27"/>
      <c r="N171" s="27"/>
      <c r="O171" s="43"/>
      <c r="P171" s="27"/>
      <c r="Q171" s="27"/>
      <c r="R171" s="43"/>
      <c r="S171" s="27"/>
      <c r="T171" s="27"/>
      <c r="U171" s="27"/>
      <c r="V171" s="27"/>
      <c r="W171" s="27"/>
      <c r="X171" s="43"/>
      <c r="Y171" s="27"/>
      <c r="Z171" s="27"/>
      <c r="AA171" s="41"/>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row>
    <row r="172">
      <c r="A172" s="27"/>
      <c r="B172" s="124"/>
      <c r="C172" s="27"/>
      <c r="D172" s="27"/>
      <c r="E172" s="27"/>
      <c r="F172" s="27"/>
      <c r="G172" s="27"/>
      <c r="H172" s="27"/>
      <c r="I172" s="27"/>
      <c r="J172" s="27"/>
      <c r="K172" s="27"/>
      <c r="L172" s="27"/>
      <c r="M172" s="27"/>
      <c r="N172" s="27"/>
      <c r="O172" s="43"/>
      <c r="P172" s="27"/>
      <c r="Q172" s="27"/>
      <c r="R172" s="43"/>
      <c r="S172" s="27"/>
      <c r="T172" s="27"/>
      <c r="U172" s="27"/>
      <c r="V172" s="27"/>
      <c r="W172" s="27"/>
      <c r="X172" s="43"/>
      <c r="Y172" s="27"/>
      <c r="Z172" s="27"/>
      <c r="AA172" s="41"/>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row>
    <row r="173">
      <c r="A173" s="27"/>
      <c r="B173" s="124"/>
      <c r="C173" s="27"/>
      <c r="D173" s="27"/>
      <c r="E173" s="27"/>
      <c r="F173" s="27"/>
      <c r="G173" s="27"/>
      <c r="H173" s="27"/>
      <c r="I173" s="27"/>
      <c r="J173" s="27"/>
      <c r="K173" s="27"/>
      <c r="L173" s="27"/>
      <c r="M173" s="27"/>
      <c r="N173" s="27"/>
      <c r="O173" s="43"/>
      <c r="P173" s="27"/>
      <c r="Q173" s="27"/>
      <c r="R173" s="43"/>
      <c r="S173" s="27"/>
      <c r="T173" s="27"/>
      <c r="U173" s="27"/>
      <c r="V173" s="27"/>
      <c r="W173" s="27"/>
      <c r="X173" s="43"/>
      <c r="Y173" s="27"/>
      <c r="Z173" s="27"/>
      <c r="AA173" s="41"/>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row>
    <row r="174">
      <c r="A174" s="27"/>
      <c r="B174" s="124"/>
      <c r="C174" s="27"/>
      <c r="D174" s="27"/>
      <c r="E174" s="27"/>
      <c r="F174" s="27"/>
      <c r="G174" s="27"/>
      <c r="H174" s="27"/>
      <c r="I174" s="27"/>
      <c r="J174" s="27"/>
      <c r="K174" s="27"/>
      <c r="L174" s="27"/>
      <c r="M174" s="27"/>
      <c r="N174" s="27"/>
      <c r="O174" s="43"/>
      <c r="P174" s="27"/>
      <c r="Q174" s="27"/>
      <c r="R174" s="43"/>
      <c r="S174" s="27"/>
      <c r="T174" s="27"/>
      <c r="U174" s="27"/>
      <c r="V174" s="27"/>
      <c r="W174" s="27"/>
      <c r="X174" s="43"/>
      <c r="Y174" s="27"/>
      <c r="Z174" s="27"/>
      <c r="AA174" s="41"/>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row>
    <row r="175">
      <c r="A175" s="27"/>
      <c r="B175" s="124"/>
      <c r="C175" s="27"/>
      <c r="D175" s="27"/>
      <c r="E175" s="27"/>
      <c r="F175" s="27"/>
      <c r="G175" s="27"/>
      <c r="H175" s="27"/>
      <c r="I175" s="27"/>
      <c r="J175" s="27"/>
      <c r="K175" s="27"/>
      <c r="L175" s="27"/>
      <c r="M175" s="27"/>
      <c r="N175" s="27"/>
      <c r="O175" s="43"/>
      <c r="P175" s="27"/>
      <c r="Q175" s="27"/>
      <c r="R175" s="43"/>
      <c r="S175" s="27"/>
      <c r="T175" s="27"/>
      <c r="U175" s="27"/>
      <c r="V175" s="27"/>
      <c r="W175" s="27"/>
      <c r="X175" s="43"/>
      <c r="Y175" s="27"/>
      <c r="Z175" s="27"/>
      <c r="AA175" s="41"/>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row>
    <row r="176">
      <c r="A176" s="27"/>
      <c r="B176" s="124"/>
      <c r="C176" s="27"/>
      <c r="D176" s="27"/>
      <c r="E176" s="27"/>
      <c r="F176" s="27"/>
      <c r="G176" s="27"/>
      <c r="H176" s="27"/>
      <c r="I176" s="27"/>
      <c r="J176" s="27"/>
      <c r="K176" s="27"/>
      <c r="L176" s="27"/>
      <c r="M176" s="27"/>
      <c r="N176" s="27"/>
      <c r="O176" s="43"/>
      <c r="P176" s="27"/>
      <c r="Q176" s="27"/>
      <c r="R176" s="43"/>
      <c r="S176" s="27"/>
      <c r="T176" s="27"/>
      <c r="U176" s="27"/>
      <c r="V176" s="27"/>
      <c r="W176" s="27"/>
      <c r="X176" s="43"/>
      <c r="Y176" s="27"/>
      <c r="Z176" s="27"/>
      <c r="AA176" s="41"/>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row>
    <row r="177">
      <c r="A177" s="27"/>
      <c r="B177" s="124"/>
      <c r="C177" s="27"/>
      <c r="D177" s="27"/>
      <c r="E177" s="27"/>
      <c r="F177" s="27"/>
      <c r="G177" s="27"/>
      <c r="H177" s="27"/>
      <c r="I177" s="27"/>
      <c r="J177" s="27"/>
      <c r="K177" s="27"/>
      <c r="L177" s="27"/>
      <c r="M177" s="27"/>
      <c r="N177" s="27"/>
      <c r="O177" s="43"/>
      <c r="P177" s="27"/>
      <c r="Q177" s="27"/>
      <c r="R177" s="43"/>
      <c r="S177" s="27"/>
      <c r="T177" s="27"/>
      <c r="U177" s="27"/>
      <c r="V177" s="27"/>
      <c r="W177" s="27"/>
      <c r="X177" s="43"/>
      <c r="Y177" s="27"/>
      <c r="Z177" s="27"/>
      <c r="AA177" s="41"/>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row>
    <row r="178">
      <c r="A178" s="27"/>
      <c r="B178" s="124"/>
      <c r="C178" s="27"/>
      <c r="D178" s="27"/>
      <c r="E178" s="27"/>
      <c r="F178" s="27"/>
      <c r="G178" s="27"/>
      <c r="H178" s="27"/>
      <c r="I178" s="27"/>
      <c r="J178" s="27"/>
      <c r="K178" s="27"/>
      <c r="L178" s="27"/>
      <c r="M178" s="27"/>
      <c r="N178" s="27"/>
      <c r="O178" s="43"/>
      <c r="P178" s="27"/>
      <c r="Q178" s="27"/>
      <c r="R178" s="43"/>
      <c r="S178" s="27"/>
      <c r="T178" s="27"/>
      <c r="U178" s="27"/>
      <c r="V178" s="27"/>
      <c r="W178" s="27"/>
      <c r="X178" s="43"/>
      <c r="Y178" s="27"/>
      <c r="Z178" s="27"/>
      <c r="AA178" s="41"/>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row>
    <row r="179">
      <c r="A179" s="27"/>
      <c r="B179" s="124"/>
      <c r="C179" s="27"/>
      <c r="D179" s="27"/>
      <c r="E179" s="27"/>
      <c r="F179" s="27"/>
      <c r="G179" s="27"/>
      <c r="H179" s="27"/>
      <c r="I179" s="27"/>
      <c r="J179" s="27"/>
      <c r="K179" s="27"/>
      <c r="L179" s="27"/>
      <c r="M179" s="27"/>
      <c r="N179" s="27"/>
      <c r="O179" s="43"/>
      <c r="P179" s="27"/>
      <c r="Q179" s="27"/>
      <c r="R179" s="43"/>
      <c r="S179" s="27"/>
      <c r="T179" s="27"/>
      <c r="U179" s="27"/>
      <c r="V179" s="27"/>
      <c r="W179" s="27"/>
      <c r="X179" s="43"/>
      <c r="Y179" s="27"/>
      <c r="Z179" s="27"/>
      <c r="AA179" s="41"/>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row>
    <row r="180">
      <c r="A180" s="27"/>
      <c r="B180" s="124"/>
      <c r="C180" s="27"/>
      <c r="D180" s="27"/>
      <c r="E180" s="27"/>
      <c r="F180" s="27"/>
      <c r="G180" s="27"/>
      <c r="H180" s="27"/>
      <c r="I180" s="27"/>
      <c r="J180" s="27"/>
      <c r="K180" s="27"/>
      <c r="L180" s="27"/>
      <c r="M180" s="27"/>
      <c r="N180" s="27"/>
      <c r="O180" s="43"/>
      <c r="P180" s="27"/>
      <c r="Q180" s="27"/>
      <c r="R180" s="43"/>
      <c r="S180" s="27"/>
      <c r="T180" s="27"/>
      <c r="U180" s="27"/>
      <c r="V180" s="27"/>
      <c r="W180" s="27"/>
      <c r="X180" s="43"/>
      <c r="Y180" s="27"/>
      <c r="Z180" s="27"/>
      <c r="AA180" s="41"/>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row>
    <row r="181">
      <c r="A181" s="27"/>
      <c r="B181" s="124"/>
      <c r="C181" s="27"/>
      <c r="D181" s="27"/>
      <c r="E181" s="27"/>
      <c r="F181" s="27"/>
      <c r="G181" s="27"/>
      <c r="H181" s="27"/>
      <c r="I181" s="27"/>
      <c r="J181" s="27"/>
      <c r="K181" s="27"/>
      <c r="L181" s="27"/>
      <c r="M181" s="27"/>
      <c r="N181" s="27"/>
      <c r="O181" s="43"/>
      <c r="P181" s="27"/>
      <c r="Q181" s="27"/>
      <c r="R181" s="43"/>
      <c r="S181" s="27"/>
      <c r="T181" s="27"/>
      <c r="U181" s="27"/>
      <c r="V181" s="27"/>
      <c r="W181" s="27"/>
      <c r="X181" s="43"/>
      <c r="Y181" s="27"/>
      <c r="Z181" s="27"/>
      <c r="AA181" s="41"/>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row>
    <row r="182">
      <c r="A182" s="27"/>
      <c r="B182" s="124"/>
      <c r="C182" s="27"/>
      <c r="D182" s="27"/>
      <c r="E182" s="27"/>
      <c r="F182" s="27"/>
      <c r="G182" s="27"/>
      <c r="H182" s="27"/>
      <c r="I182" s="27"/>
      <c r="J182" s="27"/>
      <c r="K182" s="27"/>
      <c r="L182" s="27"/>
      <c r="M182" s="27"/>
      <c r="N182" s="27"/>
      <c r="O182" s="43"/>
      <c r="P182" s="27"/>
      <c r="Q182" s="27"/>
      <c r="R182" s="43"/>
      <c r="S182" s="27"/>
      <c r="T182" s="27"/>
      <c r="U182" s="27"/>
      <c r="V182" s="27"/>
      <c r="W182" s="27"/>
      <c r="X182" s="43"/>
      <c r="Y182" s="27"/>
      <c r="Z182" s="27"/>
      <c r="AA182" s="41"/>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row>
    <row r="183">
      <c r="A183" s="27"/>
      <c r="B183" s="124"/>
      <c r="C183" s="27"/>
      <c r="D183" s="27"/>
      <c r="E183" s="27"/>
      <c r="F183" s="27"/>
      <c r="G183" s="27"/>
      <c r="H183" s="27"/>
      <c r="I183" s="27"/>
      <c r="J183" s="27"/>
      <c r="K183" s="27"/>
      <c r="L183" s="27"/>
      <c r="M183" s="27"/>
      <c r="N183" s="27"/>
      <c r="O183" s="43"/>
      <c r="P183" s="27"/>
      <c r="Q183" s="27"/>
      <c r="R183" s="43"/>
      <c r="S183" s="27"/>
      <c r="T183" s="27"/>
      <c r="U183" s="27"/>
      <c r="V183" s="27"/>
      <c r="W183" s="27"/>
      <c r="X183" s="43"/>
      <c r="Y183" s="27"/>
      <c r="Z183" s="27"/>
      <c r="AA183" s="41"/>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row>
    <row r="184">
      <c r="A184" s="27"/>
      <c r="B184" s="124"/>
      <c r="C184" s="27"/>
      <c r="D184" s="27"/>
      <c r="E184" s="27"/>
      <c r="F184" s="27"/>
      <c r="G184" s="27"/>
      <c r="H184" s="27"/>
      <c r="I184" s="27"/>
      <c r="J184" s="27"/>
      <c r="K184" s="27"/>
      <c r="L184" s="27"/>
      <c r="M184" s="27"/>
      <c r="N184" s="27"/>
      <c r="O184" s="43"/>
      <c r="P184" s="27"/>
      <c r="Q184" s="27"/>
      <c r="R184" s="43"/>
      <c r="S184" s="27"/>
      <c r="T184" s="27"/>
      <c r="U184" s="27"/>
      <c r="V184" s="27"/>
      <c r="W184" s="27"/>
      <c r="X184" s="43"/>
      <c r="Y184" s="27"/>
      <c r="Z184" s="27"/>
      <c r="AA184" s="41"/>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row>
    <row r="185">
      <c r="A185" s="27"/>
      <c r="B185" s="124"/>
      <c r="C185" s="27"/>
      <c r="D185" s="27"/>
      <c r="E185" s="27"/>
      <c r="F185" s="27"/>
      <c r="G185" s="27"/>
      <c r="H185" s="27"/>
      <c r="I185" s="27"/>
      <c r="J185" s="27"/>
      <c r="K185" s="27"/>
      <c r="L185" s="27"/>
      <c r="M185" s="27"/>
      <c r="N185" s="27"/>
      <c r="O185" s="43"/>
      <c r="P185" s="27"/>
      <c r="Q185" s="27"/>
      <c r="R185" s="43"/>
      <c r="S185" s="27"/>
      <c r="T185" s="27"/>
      <c r="U185" s="27"/>
      <c r="V185" s="27"/>
      <c r="W185" s="27"/>
      <c r="X185" s="43"/>
      <c r="Y185" s="27"/>
      <c r="Z185" s="27"/>
      <c r="AA185" s="41"/>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row>
    <row r="186">
      <c r="A186" s="27"/>
      <c r="B186" s="124"/>
      <c r="C186" s="27"/>
      <c r="D186" s="27"/>
      <c r="E186" s="27"/>
      <c r="F186" s="27"/>
      <c r="G186" s="27"/>
      <c r="H186" s="27"/>
      <c r="I186" s="27"/>
      <c r="J186" s="27"/>
      <c r="K186" s="27"/>
      <c r="L186" s="27"/>
      <c r="M186" s="27"/>
      <c r="N186" s="27"/>
      <c r="O186" s="43"/>
      <c r="P186" s="27"/>
      <c r="Q186" s="27"/>
      <c r="R186" s="43"/>
      <c r="S186" s="27"/>
      <c r="T186" s="27"/>
      <c r="U186" s="27"/>
      <c r="V186" s="27"/>
      <c r="W186" s="27"/>
      <c r="X186" s="43"/>
      <c r="Y186" s="27"/>
      <c r="Z186" s="27"/>
      <c r="AA186" s="41"/>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row>
    <row r="187">
      <c r="A187" s="27"/>
      <c r="B187" s="124"/>
      <c r="C187" s="27"/>
      <c r="D187" s="27"/>
      <c r="E187" s="27"/>
      <c r="F187" s="27"/>
      <c r="G187" s="27"/>
      <c r="H187" s="27"/>
      <c r="I187" s="27"/>
      <c r="J187" s="27"/>
      <c r="K187" s="27"/>
      <c r="L187" s="27"/>
      <c r="M187" s="27"/>
      <c r="N187" s="27"/>
      <c r="O187" s="43"/>
      <c r="P187" s="27"/>
      <c r="Q187" s="27"/>
      <c r="R187" s="43"/>
      <c r="S187" s="27"/>
      <c r="T187" s="27"/>
      <c r="U187" s="27"/>
      <c r="V187" s="27"/>
      <c r="W187" s="27"/>
      <c r="X187" s="43"/>
      <c r="Y187" s="27"/>
      <c r="Z187" s="27"/>
      <c r="AA187" s="41"/>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row>
    <row r="188">
      <c r="A188" s="27"/>
      <c r="B188" s="124"/>
      <c r="C188" s="27"/>
      <c r="D188" s="27"/>
      <c r="E188" s="27"/>
      <c r="F188" s="27"/>
      <c r="G188" s="27"/>
      <c r="H188" s="27"/>
      <c r="I188" s="27"/>
      <c r="J188" s="27"/>
      <c r="K188" s="27"/>
      <c r="L188" s="27"/>
      <c r="M188" s="27"/>
      <c r="N188" s="27"/>
      <c r="O188" s="43"/>
      <c r="P188" s="27"/>
      <c r="Q188" s="27"/>
      <c r="R188" s="43"/>
      <c r="S188" s="27"/>
      <c r="T188" s="27"/>
      <c r="U188" s="27"/>
      <c r="V188" s="27"/>
      <c r="W188" s="27"/>
      <c r="X188" s="43"/>
      <c r="Y188" s="27"/>
      <c r="Z188" s="27"/>
      <c r="AA188" s="41"/>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row>
    <row r="189">
      <c r="A189" s="27"/>
      <c r="B189" s="124"/>
      <c r="C189" s="27"/>
      <c r="D189" s="27"/>
      <c r="E189" s="27"/>
      <c r="F189" s="27"/>
      <c r="G189" s="27"/>
      <c r="H189" s="27"/>
      <c r="I189" s="27"/>
      <c r="J189" s="27"/>
      <c r="K189" s="27"/>
      <c r="L189" s="27"/>
      <c r="M189" s="27"/>
      <c r="N189" s="27"/>
      <c r="O189" s="43"/>
      <c r="P189" s="27"/>
      <c r="Q189" s="27"/>
      <c r="R189" s="43"/>
      <c r="S189" s="27"/>
      <c r="T189" s="27"/>
      <c r="U189" s="27"/>
      <c r="V189" s="27"/>
      <c r="W189" s="27"/>
      <c r="X189" s="43"/>
      <c r="Y189" s="27"/>
      <c r="Z189" s="27"/>
      <c r="AA189" s="41"/>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row>
    <row r="190">
      <c r="A190" s="27"/>
      <c r="B190" s="124"/>
      <c r="C190" s="27"/>
      <c r="D190" s="27"/>
      <c r="E190" s="27"/>
      <c r="F190" s="27"/>
      <c r="G190" s="27"/>
      <c r="H190" s="27"/>
      <c r="I190" s="27"/>
      <c r="J190" s="27"/>
      <c r="K190" s="27"/>
      <c r="L190" s="27"/>
      <c r="M190" s="27"/>
      <c r="N190" s="27"/>
      <c r="O190" s="43"/>
      <c r="P190" s="27"/>
      <c r="Q190" s="27"/>
      <c r="R190" s="43"/>
      <c r="S190" s="27"/>
      <c r="T190" s="27"/>
      <c r="U190" s="27"/>
      <c r="V190" s="27"/>
      <c r="W190" s="27"/>
      <c r="X190" s="43"/>
      <c r="Y190" s="27"/>
      <c r="Z190" s="27"/>
      <c r="AA190" s="41"/>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row>
    <row r="191">
      <c r="A191" s="27"/>
      <c r="B191" s="124"/>
      <c r="C191" s="27"/>
      <c r="D191" s="27"/>
      <c r="E191" s="27"/>
      <c r="F191" s="27"/>
      <c r="G191" s="27"/>
      <c r="H191" s="27"/>
      <c r="I191" s="27"/>
      <c r="J191" s="27"/>
      <c r="K191" s="27"/>
      <c r="L191" s="27"/>
      <c r="M191" s="27"/>
      <c r="N191" s="27"/>
      <c r="O191" s="43"/>
      <c r="P191" s="27"/>
      <c r="Q191" s="27"/>
      <c r="R191" s="43"/>
      <c r="S191" s="27"/>
      <c r="T191" s="27"/>
      <c r="U191" s="27"/>
      <c r="V191" s="27"/>
      <c r="W191" s="27"/>
      <c r="X191" s="43"/>
      <c r="Y191" s="27"/>
      <c r="Z191" s="27"/>
      <c r="AA191" s="41"/>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row>
    <row r="192">
      <c r="A192" s="27"/>
      <c r="B192" s="124"/>
      <c r="C192" s="27"/>
      <c r="D192" s="27"/>
      <c r="E192" s="27"/>
      <c r="F192" s="27"/>
      <c r="G192" s="27"/>
      <c r="H192" s="27"/>
      <c r="I192" s="27"/>
      <c r="J192" s="27"/>
      <c r="K192" s="27"/>
      <c r="L192" s="27"/>
      <c r="M192" s="27"/>
      <c r="N192" s="27"/>
      <c r="O192" s="43"/>
      <c r="P192" s="27"/>
      <c r="Q192" s="27"/>
      <c r="R192" s="43"/>
      <c r="S192" s="27"/>
      <c r="T192" s="27"/>
      <c r="U192" s="27"/>
      <c r="V192" s="27"/>
      <c r="W192" s="27"/>
      <c r="X192" s="43"/>
      <c r="Y192" s="27"/>
      <c r="Z192" s="27"/>
      <c r="AA192" s="41"/>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row>
    <row r="193">
      <c r="A193" s="27"/>
      <c r="B193" s="124"/>
      <c r="C193" s="27"/>
      <c r="D193" s="27"/>
      <c r="E193" s="27"/>
      <c r="F193" s="27"/>
      <c r="G193" s="27"/>
      <c r="H193" s="27"/>
      <c r="I193" s="27"/>
      <c r="J193" s="27"/>
      <c r="K193" s="27"/>
      <c r="L193" s="27"/>
      <c r="M193" s="27"/>
      <c r="N193" s="27"/>
      <c r="O193" s="43"/>
      <c r="P193" s="27"/>
      <c r="Q193" s="27"/>
      <c r="R193" s="43"/>
      <c r="S193" s="27"/>
      <c r="T193" s="27"/>
      <c r="U193" s="27"/>
      <c r="V193" s="27"/>
      <c r="W193" s="27"/>
      <c r="X193" s="43"/>
      <c r="Y193" s="27"/>
      <c r="Z193" s="27"/>
      <c r="AA193" s="41"/>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row>
    <row r="194">
      <c r="A194" s="27"/>
      <c r="B194" s="124"/>
      <c r="C194" s="27"/>
      <c r="D194" s="27"/>
      <c r="E194" s="27"/>
      <c r="F194" s="27"/>
      <c r="G194" s="27"/>
      <c r="H194" s="27"/>
      <c r="I194" s="27"/>
      <c r="J194" s="27"/>
      <c r="K194" s="27"/>
      <c r="L194" s="27"/>
      <c r="M194" s="27"/>
      <c r="N194" s="27"/>
      <c r="O194" s="43"/>
      <c r="P194" s="27"/>
      <c r="Q194" s="27"/>
      <c r="R194" s="43"/>
      <c r="S194" s="27"/>
      <c r="T194" s="27"/>
      <c r="U194" s="27"/>
      <c r="V194" s="27"/>
      <c r="W194" s="27"/>
      <c r="X194" s="43"/>
      <c r="Y194" s="27"/>
      <c r="Z194" s="27"/>
      <c r="AA194" s="41"/>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row>
    <row r="195">
      <c r="A195" s="27"/>
      <c r="B195" s="124"/>
      <c r="C195" s="27"/>
      <c r="D195" s="27"/>
      <c r="E195" s="27"/>
      <c r="F195" s="27"/>
      <c r="G195" s="27"/>
      <c r="H195" s="27"/>
      <c r="I195" s="27"/>
      <c r="J195" s="27"/>
      <c r="K195" s="27"/>
      <c r="L195" s="27"/>
      <c r="M195" s="27"/>
      <c r="N195" s="27"/>
      <c r="O195" s="43"/>
      <c r="P195" s="27"/>
      <c r="Q195" s="27"/>
      <c r="R195" s="43"/>
      <c r="S195" s="27"/>
      <c r="T195" s="27"/>
      <c r="U195" s="27"/>
      <c r="V195" s="27"/>
      <c r="W195" s="27"/>
      <c r="X195" s="43"/>
      <c r="Y195" s="27"/>
      <c r="Z195" s="27"/>
      <c r="AA195" s="41"/>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row>
    <row r="196">
      <c r="A196" s="27"/>
      <c r="B196" s="124"/>
      <c r="C196" s="27"/>
      <c r="D196" s="27"/>
      <c r="E196" s="27"/>
      <c r="F196" s="27"/>
      <c r="G196" s="27"/>
      <c r="H196" s="27"/>
      <c r="I196" s="27"/>
      <c r="J196" s="27"/>
      <c r="K196" s="27"/>
      <c r="L196" s="27"/>
      <c r="M196" s="27"/>
      <c r="N196" s="27"/>
      <c r="O196" s="43"/>
      <c r="P196" s="27"/>
      <c r="Q196" s="27"/>
      <c r="R196" s="43"/>
      <c r="S196" s="27"/>
      <c r="T196" s="27"/>
      <c r="U196" s="27"/>
      <c r="V196" s="27"/>
      <c r="W196" s="27"/>
      <c r="X196" s="43"/>
      <c r="Y196" s="27"/>
      <c r="Z196" s="27"/>
      <c r="AA196" s="41"/>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row>
    <row r="197">
      <c r="A197" s="27"/>
      <c r="B197" s="124"/>
      <c r="C197" s="27"/>
      <c r="D197" s="27"/>
      <c r="E197" s="27"/>
      <c r="F197" s="27"/>
      <c r="G197" s="27"/>
      <c r="H197" s="27"/>
      <c r="I197" s="27"/>
      <c r="J197" s="27"/>
      <c r="K197" s="27"/>
      <c r="L197" s="27"/>
      <c r="M197" s="27"/>
      <c r="N197" s="27"/>
      <c r="O197" s="43"/>
      <c r="P197" s="27"/>
      <c r="Q197" s="27"/>
      <c r="R197" s="43"/>
      <c r="S197" s="27"/>
      <c r="T197" s="27"/>
      <c r="U197" s="27"/>
      <c r="V197" s="27"/>
      <c r="W197" s="27"/>
      <c r="X197" s="43"/>
      <c r="Y197" s="27"/>
      <c r="Z197" s="27"/>
      <c r="AA197" s="41"/>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row>
    <row r="198">
      <c r="A198" s="27"/>
      <c r="B198" s="124"/>
      <c r="C198" s="27"/>
      <c r="D198" s="27"/>
      <c r="E198" s="27"/>
      <c r="F198" s="27"/>
      <c r="G198" s="27"/>
      <c r="H198" s="27"/>
      <c r="I198" s="27"/>
      <c r="J198" s="27"/>
      <c r="K198" s="27"/>
      <c r="L198" s="27"/>
      <c r="M198" s="27"/>
      <c r="N198" s="27"/>
      <c r="O198" s="43"/>
      <c r="P198" s="27"/>
      <c r="Q198" s="27"/>
      <c r="R198" s="43"/>
      <c r="S198" s="27"/>
      <c r="T198" s="27"/>
      <c r="U198" s="27"/>
      <c r="V198" s="27"/>
      <c r="W198" s="27"/>
      <c r="X198" s="43"/>
      <c r="Y198" s="27"/>
      <c r="Z198" s="27"/>
      <c r="AA198" s="41"/>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row>
    <row r="199">
      <c r="A199" s="27"/>
      <c r="B199" s="124"/>
      <c r="C199" s="27"/>
      <c r="D199" s="27"/>
      <c r="E199" s="27"/>
      <c r="F199" s="27"/>
      <c r="G199" s="27"/>
      <c r="H199" s="27"/>
      <c r="I199" s="27"/>
      <c r="J199" s="27"/>
      <c r="K199" s="27"/>
      <c r="L199" s="27"/>
      <c r="M199" s="27"/>
      <c r="N199" s="27"/>
      <c r="O199" s="43"/>
      <c r="P199" s="27"/>
      <c r="Q199" s="27"/>
      <c r="R199" s="43"/>
      <c r="S199" s="27"/>
      <c r="T199" s="27"/>
      <c r="U199" s="27"/>
      <c r="V199" s="27"/>
      <c r="W199" s="27"/>
      <c r="X199" s="43"/>
      <c r="Y199" s="27"/>
      <c r="Z199" s="27"/>
      <c r="AA199" s="41"/>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row>
    <row r="200">
      <c r="A200" s="27"/>
      <c r="B200" s="124"/>
      <c r="C200" s="27"/>
      <c r="D200" s="27"/>
      <c r="E200" s="27"/>
      <c r="F200" s="27"/>
      <c r="G200" s="27"/>
      <c r="H200" s="27"/>
      <c r="I200" s="27"/>
      <c r="J200" s="27"/>
      <c r="K200" s="27"/>
      <c r="L200" s="27"/>
      <c r="M200" s="27"/>
      <c r="N200" s="27"/>
      <c r="O200" s="43"/>
      <c r="P200" s="27"/>
      <c r="Q200" s="27"/>
      <c r="R200" s="43"/>
      <c r="S200" s="27"/>
      <c r="T200" s="27"/>
      <c r="U200" s="27"/>
      <c r="V200" s="27"/>
      <c r="W200" s="27"/>
      <c r="X200" s="43"/>
      <c r="Y200" s="27"/>
      <c r="Z200" s="27"/>
      <c r="AA200" s="41"/>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row>
    <row r="201">
      <c r="A201" s="27"/>
      <c r="B201" s="124"/>
      <c r="C201" s="27"/>
      <c r="D201" s="27"/>
      <c r="E201" s="27"/>
      <c r="F201" s="27"/>
      <c r="G201" s="27"/>
      <c r="H201" s="27"/>
      <c r="I201" s="27"/>
      <c r="J201" s="27"/>
      <c r="K201" s="27"/>
      <c r="L201" s="27"/>
      <c r="M201" s="27"/>
      <c r="N201" s="27"/>
      <c r="O201" s="43"/>
      <c r="P201" s="27"/>
      <c r="Q201" s="27"/>
      <c r="R201" s="43"/>
      <c r="S201" s="27"/>
      <c r="T201" s="27"/>
      <c r="U201" s="27"/>
      <c r="V201" s="27"/>
      <c r="W201" s="27"/>
      <c r="X201" s="43"/>
      <c r="Y201" s="27"/>
      <c r="Z201" s="27"/>
      <c r="AA201" s="41"/>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row>
    <row r="202">
      <c r="A202" s="27"/>
      <c r="B202" s="124"/>
      <c r="C202" s="27"/>
      <c r="D202" s="27"/>
      <c r="E202" s="27"/>
      <c r="F202" s="27"/>
      <c r="G202" s="27"/>
      <c r="H202" s="27"/>
      <c r="I202" s="27"/>
      <c r="J202" s="27"/>
      <c r="K202" s="27"/>
      <c r="L202" s="27"/>
      <c r="M202" s="27"/>
      <c r="N202" s="27"/>
      <c r="O202" s="43"/>
      <c r="P202" s="27"/>
      <c r="Q202" s="27"/>
      <c r="R202" s="43"/>
      <c r="S202" s="27"/>
      <c r="T202" s="27"/>
      <c r="U202" s="27"/>
      <c r="V202" s="27"/>
      <c r="W202" s="27"/>
      <c r="X202" s="43"/>
      <c r="Y202" s="27"/>
      <c r="Z202" s="27"/>
      <c r="AA202" s="41"/>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row>
    <row r="203">
      <c r="A203" s="27"/>
      <c r="B203" s="124"/>
      <c r="C203" s="27"/>
      <c r="D203" s="27"/>
      <c r="E203" s="27"/>
      <c r="F203" s="27"/>
      <c r="G203" s="27"/>
      <c r="H203" s="27"/>
      <c r="I203" s="27"/>
      <c r="J203" s="27"/>
      <c r="K203" s="27"/>
      <c r="L203" s="27"/>
      <c r="M203" s="27"/>
      <c r="N203" s="27"/>
      <c r="O203" s="43"/>
      <c r="P203" s="27"/>
      <c r="Q203" s="27"/>
      <c r="R203" s="43"/>
      <c r="S203" s="27"/>
      <c r="T203" s="27"/>
      <c r="U203" s="27"/>
      <c r="V203" s="27"/>
      <c r="W203" s="27"/>
      <c r="X203" s="43"/>
      <c r="Y203" s="27"/>
      <c r="Z203" s="27"/>
      <c r="AA203" s="41"/>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row>
    <row r="204">
      <c r="A204" s="27"/>
      <c r="B204" s="124"/>
      <c r="C204" s="27"/>
      <c r="D204" s="27"/>
      <c r="E204" s="27"/>
      <c r="F204" s="27"/>
      <c r="G204" s="27"/>
      <c r="H204" s="27"/>
      <c r="I204" s="27"/>
      <c r="J204" s="27"/>
      <c r="K204" s="27"/>
      <c r="L204" s="27"/>
      <c r="M204" s="27"/>
      <c r="N204" s="27"/>
      <c r="O204" s="43"/>
      <c r="P204" s="27"/>
      <c r="Q204" s="27"/>
      <c r="R204" s="43"/>
      <c r="S204" s="27"/>
      <c r="T204" s="27"/>
      <c r="U204" s="27"/>
      <c r="V204" s="27"/>
      <c r="W204" s="27"/>
      <c r="X204" s="43"/>
      <c r="Y204" s="27"/>
      <c r="Z204" s="27"/>
      <c r="AA204" s="41"/>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row>
    <row r="205">
      <c r="A205" s="27"/>
      <c r="B205" s="124"/>
      <c r="C205" s="27"/>
      <c r="D205" s="27"/>
      <c r="E205" s="27"/>
      <c r="F205" s="27"/>
      <c r="G205" s="27"/>
      <c r="H205" s="27"/>
      <c r="I205" s="27"/>
      <c r="J205" s="27"/>
      <c r="K205" s="27"/>
      <c r="L205" s="27"/>
      <c r="M205" s="27"/>
      <c r="N205" s="27"/>
      <c r="O205" s="43"/>
      <c r="P205" s="27"/>
      <c r="Q205" s="27"/>
      <c r="R205" s="43"/>
      <c r="S205" s="27"/>
      <c r="T205" s="27"/>
      <c r="U205" s="27"/>
      <c r="V205" s="27"/>
      <c r="W205" s="27"/>
      <c r="X205" s="43"/>
      <c r="Y205" s="27"/>
      <c r="Z205" s="27"/>
      <c r="AA205" s="41"/>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row>
    <row r="206">
      <c r="A206" s="27"/>
      <c r="B206" s="124"/>
      <c r="C206" s="27"/>
      <c r="D206" s="27"/>
      <c r="E206" s="27"/>
      <c r="F206" s="27"/>
      <c r="G206" s="27"/>
      <c r="H206" s="27"/>
      <c r="I206" s="27"/>
      <c r="J206" s="27"/>
      <c r="K206" s="27"/>
      <c r="L206" s="27"/>
      <c r="M206" s="27"/>
      <c r="N206" s="27"/>
      <c r="O206" s="43"/>
      <c r="P206" s="27"/>
      <c r="Q206" s="27"/>
      <c r="R206" s="43"/>
      <c r="S206" s="27"/>
      <c r="T206" s="27"/>
      <c r="U206" s="27"/>
      <c r="V206" s="27"/>
      <c r="W206" s="27"/>
      <c r="X206" s="43"/>
      <c r="Y206" s="27"/>
      <c r="Z206" s="27"/>
      <c r="AA206" s="41"/>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row>
    <row r="207">
      <c r="A207" s="27"/>
      <c r="B207" s="124"/>
      <c r="C207" s="27"/>
      <c r="D207" s="27"/>
      <c r="E207" s="27"/>
      <c r="F207" s="27"/>
      <c r="G207" s="27"/>
      <c r="H207" s="27"/>
      <c r="I207" s="27"/>
      <c r="J207" s="27"/>
      <c r="K207" s="27"/>
      <c r="L207" s="27"/>
      <c r="M207" s="27"/>
      <c r="N207" s="27"/>
      <c r="O207" s="43"/>
      <c r="P207" s="27"/>
      <c r="Q207" s="27"/>
      <c r="R207" s="43"/>
      <c r="S207" s="27"/>
      <c r="T207" s="27"/>
      <c r="U207" s="27"/>
      <c r="V207" s="27"/>
      <c r="W207" s="27"/>
      <c r="X207" s="43"/>
      <c r="Y207" s="27"/>
      <c r="Z207" s="27"/>
      <c r="AA207" s="41"/>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row>
    <row r="208">
      <c r="A208" s="27"/>
      <c r="B208" s="124"/>
      <c r="C208" s="27"/>
      <c r="D208" s="27"/>
      <c r="E208" s="27"/>
      <c r="F208" s="27"/>
      <c r="G208" s="27"/>
      <c r="H208" s="27"/>
      <c r="I208" s="27"/>
      <c r="J208" s="27"/>
      <c r="K208" s="27"/>
      <c r="L208" s="27"/>
      <c r="M208" s="27"/>
      <c r="N208" s="27"/>
      <c r="O208" s="43"/>
      <c r="P208" s="27"/>
      <c r="Q208" s="27"/>
      <c r="R208" s="43"/>
      <c r="S208" s="27"/>
      <c r="T208" s="27"/>
      <c r="U208" s="27"/>
      <c r="V208" s="27"/>
      <c r="W208" s="27"/>
      <c r="X208" s="43"/>
      <c r="Y208" s="27"/>
      <c r="Z208" s="27"/>
      <c r="AA208" s="41"/>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row>
    <row r="209">
      <c r="A209" s="27"/>
      <c r="B209" s="124"/>
      <c r="C209" s="27"/>
      <c r="D209" s="27"/>
      <c r="E209" s="27"/>
      <c r="F209" s="27"/>
      <c r="G209" s="27"/>
      <c r="H209" s="27"/>
      <c r="I209" s="27"/>
      <c r="J209" s="27"/>
      <c r="K209" s="27"/>
      <c r="L209" s="27"/>
      <c r="M209" s="27"/>
      <c r="N209" s="27"/>
      <c r="O209" s="43"/>
      <c r="P209" s="27"/>
      <c r="Q209" s="27"/>
      <c r="R209" s="43"/>
      <c r="S209" s="27"/>
      <c r="T209" s="27"/>
      <c r="U209" s="27"/>
      <c r="V209" s="27"/>
      <c r="W209" s="27"/>
      <c r="X209" s="43"/>
      <c r="Y209" s="27"/>
      <c r="Z209" s="27"/>
      <c r="AA209" s="41"/>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row>
    <row r="210">
      <c r="A210" s="27"/>
      <c r="B210" s="124"/>
      <c r="C210" s="27"/>
      <c r="D210" s="27"/>
      <c r="E210" s="27"/>
      <c r="F210" s="27"/>
      <c r="G210" s="27"/>
      <c r="H210" s="27"/>
      <c r="I210" s="27"/>
      <c r="J210" s="27"/>
      <c r="K210" s="27"/>
      <c r="L210" s="27"/>
      <c r="M210" s="27"/>
      <c r="N210" s="27"/>
      <c r="O210" s="43"/>
      <c r="P210" s="27"/>
      <c r="Q210" s="27"/>
      <c r="R210" s="43"/>
      <c r="S210" s="27"/>
      <c r="T210" s="27"/>
      <c r="U210" s="27"/>
      <c r="V210" s="27"/>
      <c r="W210" s="27"/>
      <c r="X210" s="43"/>
      <c r="Y210" s="27"/>
      <c r="Z210" s="27"/>
      <c r="AA210" s="41"/>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row>
    <row r="211">
      <c r="A211" s="27"/>
      <c r="B211" s="124"/>
      <c r="C211" s="27"/>
      <c r="D211" s="27"/>
      <c r="E211" s="27"/>
      <c r="F211" s="27"/>
      <c r="G211" s="27"/>
      <c r="H211" s="27"/>
      <c r="I211" s="27"/>
      <c r="J211" s="27"/>
      <c r="K211" s="27"/>
      <c r="L211" s="27"/>
      <c r="M211" s="27"/>
      <c r="N211" s="27"/>
      <c r="O211" s="43"/>
      <c r="P211" s="27"/>
      <c r="Q211" s="27"/>
      <c r="R211" s="43"/>
      <c r="S211" s="27"/>
      <c r="T211" s="27"/>
      <c r="U211" s="27"/>
      <c r="V211" s="27"/>
      <c r="W211" s="27"/>
      <c r="X211" s="43"/>
      <c r="Y211" s="27"/>
      <c r="Z211" s="27"/>
      <c r="AA211" s="41"/>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row>
    <row r="212">
      <c r="A212" s="27"/>
      <c r="B212" s="124"/>
      <c r="C212" s="27"/>
      <c r="D212" s="27"/>
      <c r="E212" s="27"/>
      <c r="F212" s="27"/>
      <c r="G212" s="27"/>
      <c r="H212" s="27"/>
      <c r="I212" s="27"/>
      <c r="J212" s="27"/>
      <c r="K212" s="27"/>
      <c r="L212" s="27"/>
      <c r="M212" s="27"/>
      <c r="N212" s="27"/>
      <c r="O212" s="43"/>
      <c r="P212" s="27"/>
      <c r="Q212" s="27"/>
      <c r="R212" s="43"/>
      <c r="S212" s="27"/>
      <c r="T212" s="27"/>
      <c r="U212" s="27"/>
      <c r="V212" s="27"/>
      <c r="W212" s="27"/>
      <c r="X212" s="43"/>
      <c r="Y212" s="27"/>
      <c r="Z212" s="27"/>
      <c r="AA212" s="41"/>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row>
    <row r="213">
      <c r="A213" s="27"/>
      <c r="B213" s="124"/>
      <c r="C213" s="27"/>
      <c r="D213" s="27"/>
      <c r="E213" s="27"/>
      <c r="F213" s="27"/>
      <c r="G213" s="27"/>
      <c r="H213" s="27"/>
      <c r="I213" s="27"/>
      <c r="J213" s="27"/>
      <c r="K213" s="27"/>
      <c r="L213" s="27"/>
      <c r="M213" s="27"/>
      <c r="N213" s="27"/>
      <c r="O213" s="43"/>
      <c r="P213" s="27"/>
      <c r="Q213" s="27"/>
      <c r="R213" s="43"/>
      <c r="S213" s="27"/>
      <c r="T213" s="27"/>
      <c r="U213" s="27"/>
      <c r="V213" s="27"/>
      <c r="W213" s="27"/>
      <c r="X213" s="43"/>
      <c r="Y213" s="27"/>
      <c r="Z213" s="27"/>
      <c r="AA213" s="41"/>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row>
    <row r="214">
      <c r="A214" s="27"/>
      <c r="B214" s="124"/>
      <c r="C214" s="27"/>
      <c r="D214" s="27"/>
      <c r="E214" s="27"/>
      <c r="F214" s="27"/>
      <c r="G214" s="27"/>
      <c r="H214" s="27"/>
      <c r="I214" s="27"/>
      <c r="J214" s="27"/>
      <c r="K214" s="27"/>
      <c r="L214" s="27"/>
      <c r="M214" s="27"/>
      <c r="N214" s="27"/>
      <c r="O214" s="43"/>
      <c r="P214" s="27"/>
      <c r="Q214" s="27"/>
      <c r="R214" s="43"/>
      <c r="S214" s="27"/>
      <c r="T214" s="27"/>
      <c r="U214" s="27"/>
      <c r="V214" s="27"/>
      <c r="W214" s="27"/>
      <c r="X214" s="43"/>
      <c r="Y214" s="27"/>
      <c r="Z214" s="27"/>
      <c r="AA214" s="41"/>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row>
    <row r="215">
      <c r="A215" s="27"/>
      <c r="B215" s="124"/>
      <c r="C215" s="27"/>
      <c r="D215" s="27"/>
      <c r="E215" s="27"/>
      <c r="F215" s="27"/>
      <c r="G215" s="27"/>
      <c r="H215" s="27"/>
      <c r="I215" s="27"/>
      <c r="J215" s="27"/>
      <c r="K215" s="27"/>
      <c r="L215" s="27"/>
      <c r="M215" s="27"/>
      <c r="N215" s="27"/>
      <c r="O215" s="43"/>
      <c r="P215" s="27"/>
      <c r="Q215" s="27"/>
      <c r="R215" s="43"/>
      <c r="S215" s="27"/>
      <c r="T215" s="27"/>
      <c r="U215" s="27"/>
      <c r="V215" s="27"/>
      <c r="W215" s="27"/>
      <c r="X215" s="43"/>
      <c r="Y215" s="27"/>
      <c r="Z215" s="27"/>
      <c r="AA215" s="41"/>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row>
    <row r="216">
      <c r="A216" s="27"/>
      <c r="B216" s="124"/>
      <c r="C216" s="27"/>
      <c r="D216" s="27"/>
      <c r="E216" s="27"/>
      <c r="F216" s="27"/>
      <c r="G216" s="27"/>
      <c r="H216" s="27"/>
      <c r="I216" s="27"/>
      <c r="J216" s="27"/>
      <c r="K216" s="27"/>
      <c r="L216" s="27"/>
      <c r="M216" s="27"/>
      <c r="N216" s="27"/>
      <c r="O216" s="43"/>
      <c r="P216" s="27"/>
      <c r="Q216" s="27"/>
      <c r="R216" s="43"/>
      <c r="S216" s="27"/>
      <c r="T216" s="27"/>
      <c r="U216" s="27"/>
      <c r="V216" s="27"/>
      <c r="W216" s="27"/>
      <c r="X216" s="43"/>
      <c r="Y216" s="27"/>
      <c r="Z216" s="27"/>
      <c r="AA216" s="41"/>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row>
    <row r="217">
      <c r="A217" s="27"/>
      <c r="B217" s="124"/>
      <c r="C217" s="27"/>
      <c r="D217" s="27"/>
      <c r="E217" s="27"/>
      <c r="F217" s="27"/>
      <c r="G217" s="27"/>
      <c r="H217" s="27"/>
      <c r="I217" s="27"/>
      <c r="J217" s="27"/>
      <c r="K217" s="27"/>
      <c r="L217" s="27"/>
      <c r="M217" s="27"/>
      <c r="N217" s="27"/>
      <c r="O217" s="43"/>
      <c r="P217" s="27"/>
      <c r="Q217" s="27"/>
      <c r="R217" s="43"/>
      <c r="S217" s="27"/>
      <c r="T217" s="27"/>
      <c r="U217" s="27"/>
      <c r="V217" s="27"/>
      <c r="W217" s="27"/>
      <c r="X217" s="43"/>
      <c r="Y217" s="27"/>
      <c r="Z217" s="27"/>
      <c r="AA217" s="41"/>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row>
    <row r="218">
      <c r="A218" s="27"/>
      <c r="B218" s="124"/>
      <c r="C218" s="27"/>
      <c r="D218" s="27"/>
      <c r="E218" s="27"/>
      <c r="F218" s="27"/>
      <c r="G218" s="27"/>
      <c r="H218" s="27"/>
      <c r="I218" s="27"/>
      <c r="J218" s="27"/>
      <c r="K218" s="27"/>
      <c r="L218" s="27"/>
      <c r="M218" s="27"/>
      <c r="N218" s="27"/>
      <c r="O218" s="43"/>
      <c r="P218" s="27"/>
      <c r="Q218" s="27"/>
      <c r="R218" s="43"/>
      <c r="S218" s="27"/>
      <c r="T218" s="27"/>
      <c r="U218" s="27"/>
      <c r="V218" s="27"/>
      <c r="W218" s="27"/>
      <c r="X218" s="43"/>
      <c r="Y218" s="27"/>
      <c r="Z218" s="27"/>
      <c r="AA218" s="41"/>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row>
    <row r="219">
      <c r="A219" s="27"/>
      <c r="B219" s="124"/>
      <c r="C219" s="27"/>
      <c r="D219" s="27"/>
      <c r="E219" s="27"/>
      <c r="F219" s="27"/>
      <c r="G219" s="27"/>
      <c r="H219" s="27"/>
      <c r="I219" s="27"/>
      <c r="J219" s="27"/>
      <c r="K219" s="27"/>
      <c r="L219" s="27"/>
      <c r="M219" s="27"/>
      <c r="N219" s="27"/>
      <c r="O219" s="43"/>
      <c r="P219" s="27"/>
      <c r="Q219" s="27"/>
      <c r="R219" s="43"/>
      <c r="S219" s="27"/>
      <c r="T219" s="27"/>
      <c r="U219" s="27"/>
      <c r="V219" s="27"/>
      <c r="W219" s="27"/>
      <c r="X219" s="43"/>
      <c r="Y219" s="27"/>
      <c r="Z219" s="27"/>
      <c r="AA219" s="41"/>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row>
    <row r="220">
      <c r="A220" s="27"/>
      <c r="B220" s="124"/>
      <c r="C220" s="27"/>
      <c r="D220" s="27"/>
      <c r="E220" s="27"/>
      <c r="F220" s="27"/>
      <c r="G220" s="27"/>
      <c r="H220" s="27"/>
      <c r="I220" s="27"/>
      <c r="J220" s="27"/>
      <c r="K220" s="27"/>
      <c r="L220" s="27"/>
      <c r="M220" s="27"/>
      <c r="N220" s="27"/>
      <c r="O220" s="43"/>
      <c r="P220" s="27"/>
      <c r="Q220" s="27"/>
      <c r="R220" s="43"/>
      <c r="S220" s="27"/>
      <c r="T220" s="27"/>
      <c r="U220" s="27"/>
      <c r="V220" s="27"/>
      <c r="W220" s="27"/>
      <c r="X220" s="43"/>
      <c r="Y220" s="27"/>
      <c r="Z220" s="27"/>
      <c r="AA220" s="41"/>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row>
    <row r="221">
      <c r="A221" s="27"/>
      <c r="B221" s="124"/>
      <c r="C221" s="27"/>
      <c r="D221" s="27"/>
      <c r="E221" s="27"/>
      <c r="F221" s="27"/>
      <c r="G221" s="27"/>
      <c r="H221" s="27"/>
      <c r="I221" s="27"/>
      <c r="J221" s="27"/>
      <c r="K221" s="27"/>
      <c r="L221" s="27"/>
      <c r="M221" s="27"/>
      <c r="N221" s="27"/>
      <c r="O221" s="43"/>
      <c r="P221" s="27"/>
      <c r="Q221" s="27"/>
      <c r="R221" s="43"/>
      <c r="S221" s="27"/>
      <c r="T221" s="27"/>
      <c r="U221" s="27"/>
      <c r="V221" s="27"/>
      <c r="W221" s="27"/>
      <c r="X221" s="43"/>
      <c r="Y221" s="27"/>
      <c r="Z221" s="27"/>
      <c r="AA221" s="41"/>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row>
    <row r="222">
      <c r="A222" s="27"/>
      <c r="B222" s="124"/>
      <c r="C222" s="27"/>
      <c r="D222" s="27"/>
      <c r="E222" s="27"/>
      <c r="F222" s="27"/>
      <c r="G222" s="27"/>
      <c r="H222" s="27"/>
      <c r="I222" s="27"/>
      <c r="J222" s="27"/>
      <c r="K222" s="27"/>
      <c r="L222" s="27"/>
      <c r="M222" s="27"/>
      <c r="N222" s="27"/>
      <c r="O222" s="43"/>
      <c r="P222" s="27"/>
      <c r="Q222" s="27"/>
      <c r="R222" s="43"/>
      <c r="S222" s="27"/>
      <c r="T222" s="27"/>
      <c r="U222" s="27"/>
      <c r="V222" s="27"/>
      <c r="W222" s="27"/>
      <c r="X222" s="43"/>
      <c r="Y222" s="27"/>
      <c r="Z222" s="27"/>
      <c r="AA222" s="41"/>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row>
    <row r="223">
      <c r="A223" s="27"/>
      <c r="B223" s="124"/>
      <c r="C223" s="27"/>
      <c r="D223" s="27"/>
      <c r="E223" s="27"/>
      <c r="F223" s="27"/>
      <c r="G223" s="27"/>
      <c r="H223" s="27"/>
      <c r="I223" s="27"/>
      <c r="J223" s="27"/>
      <c r="K223" s="27"/>
      <c r="L223" s="27"/>
      <c r="M223" s="27"/>
      <c r="N223" s="27"/>
      <c r="O223" s="43"/>
      <c r="P223" s="27"/>
      <c r="Q223" s="27"/>
      <c r="R223" s="43"/>
      <c r="S223" s="27"/>
      <c r="T223" s="27"/>
      <c r="U223" s="27"/>
      <c r="V223" s="27"/>
      <c r="W223" s="27"/>
      <c r="X223" s="43"/>
      <c r="Y223" s="27"/>
      <c r="Z223" s="27"/>
      <c r="AA223" s="41"/>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row>
    <row r="224">
      <c r="A224" s="27"/>
      <c r="B224" s="124"/>
      <c r="C224" s="27"/>
      <c r="D224" s="27"/>
      <c r="E224" s="27"/>
      <c r="F224" s="27"/>
      <c r="G224" s="27"/>
      <c r="H224" s="27"/>
      <c r="I224" s="27"/>
      <c r="J224" s="27"/>
      <c r="K224" s="27"/>
      <c r="L224" s="27"/>
      <c r="M224" s="27"/>
      <c r="N224" s="27"/>
      <c r="O224" s="43"/>
      <c r="P224" s="27"/>
      <c r="Q224" s="27"/>
      <c r="R224" s="43"/>
      <c r="S224" s="27"/>
      <c r="T224" s="27"/>
      <c r="U224" s="27"/>
      <c r="V224" s="27"/>
      <c r="W224" s="27"/>
      <c r="X224" s="43"/>
      <c r="Y224" s="27"/>
      <c r="Z224" s="27"/>
      <c r="AA224" s="41"/>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row>
    <row r="225">
      <c r="A225" s="27"/>
      <c r="B225" s="124"/>
      <c r="C225" s="27"/>
      <c r="D225" s="27"/>
      <c r="E225" s="27"/>
      <c r="F225" s="27"/>
      <c r="G225" s="27"/>
      <c r="H225" s="27"/>
      <c r="I225" s="27"/>
      <c r="J225" s="27"/>
      <c r="K225" s="27"/>
      <c r="L225" s="27"/>
      <c r="M225" s="27"/>
      <c r="N225" s="27"/>
      <c r="O225" s="43"/>
      <c r="P225" s="27"/>
      <c r="Q225" s="27"/>
      <c r="R225" s="43"/>
      <c r="S225" s="27"/>
      <c r="T225" s="27"/>
      <c r="U225" s="27"/>
      <c r="V225" s="27"/>
      <c r="W225" s="27"/>
      <c r="X225" s="43"/>
      <c r="Y225" s="27"/>
      <c r="Z225" s="27"/>
      <c r="AA225" s="41"/>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row>
    <row r="226">
      <c r="A226" s="27"/>
      <c r="B226" s="124"/>
      <c r="C226" s="27"/>
      <c r="D226" s="27"/>
      <c r="E226" s="27"/>
      <c r="F226" s="27"/>
      <c r="G226" s="27"/>
      <c r="H226" s="27"/>
      <c r="I226" s="27"/>
      <c r="J226" s="27"/>
      <c r="K226" s="27"/>
      <c r="L226" s="27"/>
      <c r="M226" s="27"/>
      <c r="N226" s="27"/>
      <c r="O226" s="43"/>
      <c r="P226" s="27"/>
      <c r="Q226" s="27"/>
      <c r="R226" s="43"/>
      <c r="S226" s="27"/>
      <c r="T226" s="27"/>
      <c r="U226" s="27"/>
      <c r="V226" s="27"/>
      <c r="W226" s="27"/>
      <c r="X226" s="43"/>
      <c r="Y226" s="27"/>
      <c r="Z226" s="27"/>
      <c r="AA226" s="41"/>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row>
    <row r="227">
      <c r="A227" s="27"/>
      <c r="B227" s="124"/>
      <c r="C227" s="27"/>
      <c r="D227" s="27"/>
      <c r="E227" s="27"/>
      <c r="F227" s="27"/>
      <c r="G227" s="27"/>
      <c r="H227" s="27"/>
      <c r="I227" s="27"/>
      <c r="J227" s="27"/>
      <c r="K227" s="27"/>
      <c r="L227" s="27"/>
      <c r="M227" s="27"/>
      <c r="N227" s="27"/>
      <c r="O227" s="43"/>
      <c r="P227" s="27"/>
      <c r="Q227" s="27"/>
      <c r="R227" s="43"/>
      <c r="S227" s="27"/>
      <c r="T227" s="27"/>
      <c r="U227" s="27"/>
      <c r="V227" s="27"/>
      <c r="W227" s="27"/>
      <c r="X227" s="43"/>
      <c r="Y227" s="27"/>
      <c r="Z227" s="27"/>
      <c r="AA227" s="41"/>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row>
    <row r="228">
      <c r="A228" s="27"/>
      <c r="B228" s="124"/>
      <c r="C228" s="27"/>
      <c r="D228" s="27"/>
      <c r="E228" s="27"/>
      <c r="F228" s="27"/>
      <c r="G228" s="27"/>
      <c r="H228" s="27"/>
      <c r="I228" s="27"/>
      <c r="J228" s="27"/>
      <c r="K228" s="27"/>
      <c r="L228" s="27"/>
      <c r="M228" s="27"/>
      <c r="N228" s="27"/>
      <c r="O228" s="43"/>
      <c r="P228" s="27"/>
      <c r="Q228" s="27"/>
      <c r="R228" s="43"/>
      <c r="S228" s="27"/>
      <c r="T228" s="27"/>
      <c r="U228" s="27"/>
      <c r="V228" s="27"/>
      <c r="W228" s="27"/>
      <c r="X228" s="43"/>
      <c r="Y228" s="27"/>
      <c r="Z228" s="27"/>
      <c r="AA228" s="41"/>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row>
    <row r="229">
      <c r="A229" s="27"/>
      <c r="B229" s="124"/>
      <c r="C229" s="27"/>
      <c r="D229" s="27"/>
      <c r="E229" s="27"/>
      <c r="F229" s="27"/>
      <c r="G229" s="27"/>
      <c r="H229" s="27"/>
      <c r="I229" s="27"/>
      <c r="J229" s="27"/>
      <c r="K229" s="27"/>
      <c r="L229" s="27"/>
      <c r="M229" s="27"/>
      <c r="N229" s="27"/>
      <c r="O229" s="43"/>
      <c r="P229" s="27"/>
      <c r="Q229" s="27"/>
      <c r="R229" s="43"/>
      <c r="S229" s="27"/>
      <c r="T229" s="27"/>
      <c r="U229" s="27"/>
      <c r="V229" s="27"/>
      <c r="W229" s="27"/>
      <c r="X229" s="43"/>
      <c r="Y229" s="27"/>
      <c r="Z229" s="27"/>
      <c r="AA229" s="41"/>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row>
    <row r="230">
      <c r="A230" s="27"/>
      <c r="B230" s="124"/>
      <c r="C230" s="27"/>
      <c r="D230" s="27"/>
      <c r="E230" s="27"/>
      <c r="F230" s="27"/>
      <c r="G230" s="27"/>
      <c r="H230" s="27"/>
      <c r="I230" s="27"/>
      <c r="J230" s="27"/>
      <c r="K230" s="27"/>
      <c r="L230" s="27"/>
      <c r="M230" s="27"/>
      <c r="N230" s="27"/>
      <c r="O230" s="43"/>
      <c r="P230" s="27"/>
      <c r="Q230" s="27"/>
      <c r="R230" s="43"/>
      <c r="S230" s="27"/>
      <c r="T230" s="27"/>
      <c r="U230" s="27"/>
      <c r="V230" s="27"/>
      <c r="W230" s="27"/>
      <c r="X230" s="43"/>
      <c r="Y230" s="27"/>
      <c r="Z230" s="27"/>
      <c r="AA230" s="41"/>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row>
    <row r="231">
      <c r="A231" s="27"/>
      <c r="B231" s="124"/>
      <c r="C231" s="27"/>
      <c r="D231" s="27"/>
      <c r="E231" s="27"/>
      <c r="F231" s="27"/>
      <c r="G231" s="27"/>
      <c r="H231" s="27"/>
      <c r="I231" s="27"/>
      <c r="J231" s="27"/>
      <c r="K231" s="27"/>
      <c r="L231" s="27"/>
      <c r="M231" s="27"/>
      <c r="N231" s="27"/>
      <c r="O231" s="43"/>
      <c r="P231" s="27"/>
      <c r="Q231" s="27"/>
      <c r="R231" s="43"/>
      <c r="S231" s="27"/>
      <c r="T231" s="27"/>
      <c r="U231" s="27"/>
      <c r="V231" s="27"/>
      <c r="W231" s="27"/>
      <c r="X231" s="43"/>
      <c r="Y231" s="27"/>
      <c r="Z231" s="27"/>
      <c r="AA231" s="41"/>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row>
    <row r="232">
      <c r="A232" s="27"/>
      <c r="B232" s="124"/>
      <c r="C232" s="27"/>
      <c r="D232" s="27"/>
      <c r="E232" s="27"/>
      <c r="F232" s="27"/>
      <c r="G232" s="27"/>
      <c r="H232" s="27"/>
      <c r="I232" s="27"/>
      <c r="J232" s="27"/>
      <c r="K232" s="27"/>
      <c r="L232" s="27"/>
      <c r="M232" s="27"/>
      <c r="N232" s="27"/>
      <c r="O232" s="43"/>
      <c r="P232" s="27"/>
      <c r="Q232" s="27"/>
      <c r="R232" s="43"/>
      <c r="S232" s="27"/>
      <c r="T232" s="27"/>
      <c r="U232" s="27"/>
      <c r="V232" s="27"/>
      <c r="W232" s="27"/>
      <c r="X232" s="43"/>
      <c r="Y232" s="27"/>
      <c r="Z232" s="27"/>
      <c r="AA232" s="41"/>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row>
    <row r="233">
      <c r="A233" s="27"/>
      <c r="B233" s="124"/>
      <c r="C233" s="27"/>
      <c r="D233" s="27"/>
      <c r="E233" s="27"/>
      <c r="F233" s="27"/>
      <c r="G233" s="27"/>
      <c r="H233" s="27"/>
      <c r="I233" s="27"/>
      <c r="J233" s="27"/>
      <c r="K233" s="27"/>
      <c r="L233" s="27"/>
      <c r="M233" s="27"/>
      <c r="N233" s="27"/>
      <c r="O233" s="43"/>
      <c r="P233" s="27"/>
      <c r="Q233" s="27"/>
      <c r="R233" s="43"/>
      <c r="S233" s="27"/>
      <c r="T233" s="27"/>
      <c r="U233" s="27"/>
      <c r="V233" s="27"/>
      <c r="W233" s="27"/>
      <c r="X233" s="43"/>
      <c r="Y233" s="27"/>
      <c r="Z233" s="27"/>
      <c r="AA233" s="41"/>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row>
    <row r="234">
      <c r="A234" s="27"/>
      <c r="B234" s="124"/>
      <c r="C234" s="27"/>
      <c r="D234" s="27"/>
      <c r="E234" s="27"/>
      <c r="F234" s="27"/>
      <c r="G234" s="27"/>
      <c r="H234" s="27"/>
      <c r="I234" s="27"/>
      <c r="J234" s="27"/>
      <c r="K234" s="27"/>
      <c r="L234" s="27"/>
      <c r="M234" s="27"/>
      <c r="N234" s="27"/>
      <c r="O234" s="43"/>
      <c r="P234" s="27"/>
      <c r="Q234" s="27"/>
      <c r="R234" s="43"/>
      <c r="S234" s="27"/>
      <c r="T234" s="27"/>
      <c r="U234" s="27"/>
      <c r="V234" s="27"/>
      <c r="W234" s="27"/>
      <c r="X234" s="43"/>
      <c r="Y234" s="27"/>
      <c r="Z234" s="27"/>
      <c r="AA234" s="41"/>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row>
    <row r="235">
      <c r="A235" s="27"/>
      <c r="B235" s="124"/>
      <c r="C235" s="27"/>
      <c r="D235" s="27"/>
      <c r="E235" s="27"/>
      <c r="F235" s="27"/>
      <c r="G235" s="27"/>
      <c r="H235" s="27"/>
      <c r="I235" s="27"/>
      <c r="J235" s="27"/>
      <c r="K235" s="27"/>
      <c r="L235" s="27"/>
      <c r="M235" s="27"/>
      <c r="N235" s="27"/>
      <c r="O235" s="43"/>
      <c r="P235" s="27"/>
      <c r="Q235" s="27"/>
      <c r="R235" s="43"/>
      <c r="S235" s="27"/>
      <c r="T235" s="27"/>
      <c r="U235" s="27"/>
      <c r="V235" s="27"/>
      <c r="W235" s="27"/>
      <c r="X235" s="43"/>
      <c r="Y235" s="27"/>
      <c r="Z235" s="27"/>
      <c r="AA235" s="41"/>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row>
    <row r="236">
      <c r="A236" s="27"/>
      <c r="B236" s="124"/>
      <c r="C236" s="27"/>
      <c r="D236" s="27"/>
      <c r="E236" s="27"/>
      <c r="F236" s="27"/>
      <c r="G236" s="27"/>
      <c r="H236" s="27"/>
      <c r="I236" s="27"/>
      <c r="J236" s="27"/>
      <c r="K236" s="27"/>
      <c r="L236" s="27"/>
      <c r="M236" s="27"/>
      <c r="N236" s="27"/>
      <c r="O236" s="43"/>
      <c r="P236" s="27"/>
      <c r="Q236" s="27"/>
      <c r="R236" s="43"/>
      <c r="S236" s="27"/>
      <c r="T236" s="27"/>
      <c r="U236" s="27"/>
      <c r="V236" s="27"/>
      <c r="W236" s="27"/>
      <c r="X236" s="43"/>
      <c r="Y236" s="27"/>
      <c r="Z236" s="27"/>
      <c r="AA236" s="41"/>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row>
    <row r="237">
      <c r="A237" s="27"/>
      <c r="B237" s="124"/>
      <c r="C237" s="27"/>
      <c r="D237" s="27"/>
      <c r="E237" s="27"/>
      <c r="F237" s="27"/>
      <c r="G237" s="27"/>
      <c r="H237" s="27"/>
      <c r="I237" s="27"/>
      <c r="J237" s="27"/>
      <c r="K237" s="27"/>
      <c r="L237" s="27"/>
      <c r="M237" s="27"/>
      <c r="N237" s="27"/>
      <c r="O237" s="43"/>
      <c r="P237" s="27"/>
      <c r="Q237" s="27"/>
      <c r="R237" s="43"/>
      <c r="S237" s="27"/>
      <c r="T237" s="27"/>
      <c r="U237" s="27"/>
      <c r="V237" s="27"/>
      <c r="W237" s="27"/>
      <c r="X237" s="43"/>
      <c r="Y237" s="27"/>
      <c r="Z237" s="27"/>
      <c r="AA237" s="41"/>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row>
    <row r="238">
      <c r="A238" s="27"/>
      <c r="B238" s="124"/>
      <c r="C238" s="27"/>
      <c r="D238" s="27"/>
      <c r="E238" s="27"/>
      <c r="F238" s="27"/>
      <c r="G238" s="27"/>
      <c r="H238" s="27"/>
      <c r="I238" s="27"/>
      <c r="J238" s="27"/>
      <c r="K238" s="27"/>
      <c r="L238" s="27"/>
      <c r="M238" s="27"/>
      <c r="N238" s="27"/>
      <c r="O238" s="43"/>
      <c r="P238" s="27"/>
      <c r="Q238" s="27"/>
      <c r="R238" s="43"/>
      <c r="S238" s="27"/>
      <c r="T238" s="27"/>
      <c r="U238" s="27"/>
      <c r="V238" s="27"/>
      <c r="W238" s="27"/>
      <c r="X238" s="43"/>
      <c r="Y238" s="27"/>
      <c r="Z238" s="27"/>
      <c r="AA238" s="41"/>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row>
    <row r="239">
      <c r="A239" s="27"/>
      <c r="B239" s="124"/>
      <c r="C239" s="27"/>
      <c r="D239" s="27"/>
      <c r="E239" s="27"/>
      <c r="F239" s="27"/>
      <c r="G239" s="27"/>
      <c r="H239" s="27"/>
      <c r="I239" s="27"/>
      <c r="J239" s="27"/>
      <c r="K239" s="27"/>
      <c r="L239" s="27"/>
      <c r="M239" s="27"/>
      <c r="N239" s="27"/>
      <c r="O239" s="43"/>
      <c r="P239" s="27"/>
      <c r="Q239" s="27"/>
      <c r="R239" s="43"/>
      <c r="S239" s="27"/>
      <c r="T239" s="27"/>
      <c r="U239" s="27"/>
      <c r="V239" s="27"/>
      <c r="W239" s="27"/>
      <c r="X239" s="43"/>
      <c r="Y239" s="27"/>
      <c r="Z239" s="27"/>
      <c r="AA239" s="41"/>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row>
    <row r="240">
      <c r="A240" s="27"/>
      <c r="B240" s="124"/>
      <c r="C240" s="27"/>
      <c r="D240" s="27"/>
      <c r="E240" s="27"/>
      <c r="F240" s="27"/>
      <c r="G240" s="27"/>
      <c r="H240" s="27"/>
      <c r="I240" s="27"/>
      <c r="J240" s="27"/>
      <c r="K240" s="27"/>
      <c r="L240" s="27"/>
      <c r="M240" s="27"/>
      <c r="N240" s="27"/>
      <c r="O240" s="43"/>
      <c r="P240" s="27"/>
      <c r="Q240" s="27"/>
      <c r="R240" s="43"/>
      <c r="S240" s="27"/>
      <c r="T240" s="27"/>
      <c r="U240" s="27"/>
      <c r="V240" s="27"/>
      <c r="W240" s="27"/>
      <c r="X240" s="43"/>
      <c r="Y240" s="27"/>
      <c r="Z240" s="27"/>
      <c r="AA240" s="41"/>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row>
    <row r="241">
      <c r="A241" s="27"/>
      <c r="B241" s="124"/>
      <c r="C241" s="27"/>
      <c r="D241" s="27"/>
      <c r="E241" s="27"/>
      <c r="F241" s="27"/>
      <c r="G241" s="27"/>
      <c r="H241" s="27"/>
      <c r="I241" s="27"/>
      <c r="J241" s="27"/>
      <c r="K241" s="27"/>
      <c r="L241" s="27"/>
      <c r="M241" s="27"/>
      <c r="N241" s="27"/>
      <c r="O241" s="43"/>
      <c r="P241" s="27"/>
      <c r="Q241" s="27"/>
      <c r="R241" s="43"/>
      <c r="S241" s="27"/>
      <c r="T241" s="27"/>
      <c r="U241" s="27"/>
      <c r="V241" s="27"/>
      <c r="W241" s="27"/>
      <c r="X241" s="43"/>
      <c r="Y241" s="27"/>
      <c r="Z241" s="27"/>
      <c r="AA241" s="41"/>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row>
    <row r="242">
      <c r="A242" s="27"/>
      <c r="B242" s="124"/>
      <c r="C242" s="27"/>
      <c r="D242" s="27"/>
      <c r="E242" s="27"/>
      <c r="F242" s="27"/>
      <c r="G242" s="27"/>
      <c r="H242" s="27"/>
      <c r="I242" s="27"/>
      <c r="J242" s="27"/>
      <c r="K242" s="27"/>
      <c r="L242" s="27"/>
      <c r="M242" s="27"/>
      <c r="N242" s="27"/>
      <c r="O242" s="43"/>
      <c r="P242" s="27"/>
      <c r="Q242" s="27"/>
      <c r="R242" s="43"/>
      <c r="S242" s="27"/>
      <c r="T242" s="27"/>
      <c r="U242" s="27"/>
      <c r="V242" s="27"/>
      <c r="W242" s="27"/>
      <c r="X242" s="43"/>
      <c r="Y242" s="27"/>
      <c r="Z242" s="27"/>
      <c r="AA242" s="41"/>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row>
    <row r="243">
      <c r="A243" s="27"/>
      <c r="B243" s="124"/>
      <c r="C243" s="27"/>
      <c r="D243" s="27"/>
      <c r="E243" s="27"/>
      <c r="F243" s="27"/>
      <c r="G243" s="27"/>
      <c r="H243" s="27"/>
      <c r="I243" s="27"/>
      <c r="J243" s="27"/>
      <c r="K243" s="27"/>
      <c r="L243" s="27"/>
      <c r="M243" s="27"/>
      <c r="N243" s="27"/>
      <c r="O243" s="43"/>
      <c r="P243" s="27"/>
      <c r="Q243" s="27"/>
      <c r="R243" s="43"/>
      <c r="S243" s="27"/>
      <c r="T243" s="27"/>
      <c r="U243" s="27"/>
      <c r="V243" s="27"/>
      <c r="W243" s="27"/>
      <c r="X243" s="43"/>
      <c r="Y243" s="27"/>
      <c r="Z243" s="27"/>
      <c r="AA243" s="41"/>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row>
    <row r="244">
      <c r="A244" s="27"/>
      <c r="B244" s="124"/>
      <c r="C244" s="27"/>
      <c r="D244" s="27"/>
      <c r="E244" s="27"/>
      <c r="F244" s="27"/>
      <c r="G244" s="27"/>
      <c r="H244" s="27"/>
      <c r="I244" s="27"/>
      <c r="J244" s="27"/>
      <c r="K244" s="27"/>
      <c r="L244" s="27"/>
      <c r="M244" s="27"/>
      <c r="N244" s="27"/>
      <c r="O244" s="43"/>
      <c r="P244" s="27"/>
      <c r="Q244" s="27"/>
      <c r="R244" s="43"/>
      <c r="S244" s="27"/>
      <c r="T244" s="27"/>
      <c r="U244" s="27"/>
      <c r="V244" s="27"/>
      <c r="W244" s="27"/>
      <c r="X244" s="43"/>
      <c r="Y244" s="27"/>
      <c r="Z244" s="27"/>
      <c r="AA244" s="41"/>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row>
    <row r="245">
      <c r="A245" s="27"/>
      <c r="B245" s="124"/>
      <c r="C245" s="27"/>
      <c r="D245" s="27"/>
      <c r="E245" s="27"/>
      <c r="F245" s="27"/>
      <c r="G245" s="27"/>
      <c r="H245" s="27"/>
      <c r="I245" s="27"/>
      <c r="J245" s="27"/>
      <c r="K245" s="27"/>
      <c r="L245" s="27"/>
      <c r="M245" s="27"/>
      <c r="N245" s="27"/>
      <c r="O245" s="43"/>
      <c r="P245" s="27"/>
      <c r="Q245" s="27"/>
      <c r="R245" s="43"/>
      <c r="S245" s="27"/>
      <c r="T245" s="27"/>
      <c r="U245" s="27"/>
      <c r="V245" s="27"/>
      <c r="W245" s="27"/>
      <c r="X245" s="43"/>
      <c r="Y245" s="27"/>
      <c r="Z245" s="27"/>
      <c r="AA245" s="41"/>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row>
    <row r="246">
      <c r="A246" s="27"/>
      <c r="B246" s="124"/>
      <c r="C246" s="27"/>
      <c r="D246" s="27"/>
      <c r="E246" s="27"/>
      <c r="F246" s="27"/>
      <c r="G246" s="27"/>
      <c r="H246" s="27"/>
      <c r="I246" s="27"/>
      <c r="J246" s="27"/>
      <c r="K246" s="27"/>
      <c r="L246" s="27"/>
      <c r="M246" s="27"/>
      <c r="N246" s="27"/>
      <c r="O246" s="43"/>
      <c r="P246" s="27"/>
      <c r="Q246" s="27"/>
      <c r="R246" s="43"/>
      <c r="S246" s="27"/>
      <c r="T246" s="27"/>
      <c r="U246" s="27"/>
      <c r="V246" s="27"/>
      <c r="W246" s="27"/>
      <c r="X246" s="43"/>
      <c r="Y246" s="27"/>
      <c r="Z246" s="27"/>
      <c r="AA246" s="41"/>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row>
    <row r="247">
      <c r="A247" s="27"/>
      <c r="B247" s="124"/>
      <c r="C247" s="27"/>
      <c r="D247" s="27"/>
      <c r="E247" s="27"/>
      <c r="F247" s="27"/>
      <c r="G247" s="27"/>
      <c r="H247" s="27"/>
      <c r="I247" s="27"/>
      <c r="J247" s="27"/>
      <c r="K247" s="27"/>
      <c r="L247" s="27"/>
      <c r="M247" s="27"/>
      <c r="N247" s="27"/>
      <c r="O247" s="43"/>
      <c r="P247" s="27"/>
      <c r="Q247" s="27"/>
      <c r="R247" s="43"/>
      <c r="S247" s="27"/>
      <c r="T247" s="27"/>
      <c r="U247" s="27"/>
      <c r="V247" s="27"/>
      <c r="W247" s="27"/>
      <c r="X247" s="43"/>
      <c r="Y247" s="27"/>
      <c r="Z247" s="27"/>
      <c r="AA247" s="41"/>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row>
    <row r="248">
      <c r="A248" s="27"/>
      <c r="B248" s="124"/>
      <c r="C248" s="27"/>
      <c r="D248" s="27"/>
      <c r="E248" s="27"/>
      <c r="F248" s="27"/>
      <c r="G248" s="27"/>
      <c r="H248" s="27"/>
      <c r="I248" s="27"/>
      <c r="J248" s="27"/>
      <c r="K248" s="27"/>
      <c r="L248" s="27"/>
      <c r="M248" s="27"/>
      <c r="N248" s="27"/>
      <c r="O248" s="43"/>
      <c r="P248" s="27"/>
      <c r="Q248" s="27"/>
      <c r="R248" s="43"/>
      <c r="S248" s="27"/>
      <c r="T248" s="27"/>
      <c r="U248" s="27"/>
      <c r="V248" s="27"/>
      <c r="W248" s="27"/>
      <c r="X248" s="43"/>
      <c r="Y248" s="27"/>
      <c r="Z248" s="27"/>
      <c r="AA248" s="41"/>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row>
    <row r="249">
      <c r="A249" s="27"/>
      <c r="B249" s="124"/>
      <c r="C249" s="27"/>
      <c r="D249" s="27"/>
      <c r="E249" s="27"/>
      <c r="F249" s="27"/>
      <c r="G249" s="27"/>
      <c r="H249" s="27"/>
      <c r="I249" s="27"/>
      <c r="J249" s="27"/>
      <c r="K249" s="27"/>
      <c r="L249" s="27"/>
      <c r="M249" s="27"/>
      <c r="N249" s="27"/>
      <c r="O249" s="43"/>
      <c r="P249" s="27"/>
      <c r="Q249" s="27"/>
      <c r="R249" s="43"/>
      <c r="S249" s="27"/>
      <c r="T249" s="27"/>
      <c r="U249" s="27"/>
      <c r="V249" s="27"/>
      <c r="W249" s="27"/>
      <c r="X249" s="43"/>
      <c r="Y249" s="27"/>
      <c r="Z249" s="27"/>
      <c r="AA249" s="41"/>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row>
    <row r="250">
      <c r="A250" s="27"/>
      <c r="B250" s="124"/>
      <c r="C250" s="27"/>
      <c r="D250" s="27"/>
      <c r="E250" s="27"/>
      <c r="F250" s="27"/>
      <c r="G250" s="27"/>
      <c r="H250" s="27"/>
      <c r="I250" s="27"/>
      <c r="J250" s="27"/>
      <c r="K250" s="27"/>
      <c r="L250" s="27"/>
      <c r="M250" s="27"/>
      <c r="N250" s="27"/>
      <c r="O250" s="43"/>
      <c r="P250" s="27"/>
      <c r="Q250" s="27"/>
      <c r="R250" s="43"/>
      <c r="S250" s="27"/>
      <c r="T250" s="27"/>
      <c r="U250" s="27"/>
      <c r="V250" s="27"/>
      <c r="W250" s="27"/>
      <c r="X250" s="43"/>
      <c r="Y250" s="27"/>
      <c r="Z250" s="27"/>
      <c r="AA250" s="41"/>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row>
    <row r="251">
      <c r="A251" s="27"/>
      <c r="B251" s="124"/>
      <c r="C251" s="27"/>
      <c r="D251" s="27"/>
      <c r="E251" s="27"/>
      <c r="F251" s="27"/>
      <c r="G251" s="27"/>
      <c r="H251" s="27"/>
      <c r="I251" s="27"/>
      <c r="J251" s="27"/>
      <c r="K251" s="27"/>
      <c r="L251" s="27"/>
      <c r="M251" s="27"/>
      <c r="N251" s="27"/>
      <c r="O251" s="43"/>
      <c r="P251" s="27"/>
      <c r="Q251" s="27"/>
      <c r="R251" s="43"/>
      <c r="S251" s="27"/>
      <c r="T251" s="27"/>
      <c r="U251" s="27"/>
      <c r="V251" s="27"/>
      <c r="W251" s="27"/>
      <c r="X251" s="43"/>
      <c r="Y251" s="27"/>
      <c r="Z251" s="27"/>
      <c r="AA251" s="41"/>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row>
    <row r="252">
      <c r="A252" s="27"/>
      <c r="B252" s="124"/>
      <c r="C252" s="27"/>
      <c r="D252" s="27"/>
      <c r="E252" s="27"/>
      <c r="F252" s="27"/>
      <c r="G252" s="27"/>
      <c r="H252" s="27"/>
      <c r="I252" s="27"/>
      <c r="J252" s="27"/>
      <c r="K252" s="27"/>
      <c r="L252" s="27"/>
      <c r="M252" s="27"/>
      <c r="N252" s="27"/>
      <c r="O252" s="43"/>
      <c r="P252" s="27"/>
      <c r="Q252" s="27"/>
      <c r="R252" s="43"/>
      <c r="S252" s="27"/>
      <c r="T252" s="27"/>
      <c r="U252" s="27"/>
      <c r="V252" s="27"/>
      <c r="W252" s="27"/>
      <c r="X252" s="43"/>
      <c r="Y252" s="27"/>
      <c r="Z252" s="27"/>
      <c r="AA252" s="41"/>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row>
    <row r="253">
      <c r="A253" s="27"/>
      <c r="B253" s="124"/>
      <c r="C253" s="27"/>
      <c r="D253" s="27"/>
      <c r="E253" s="27"/>
      <c r="F253" s="27"/>
      <c r="G253" s="27"/>
      <c r="H253" s="27"/>
      <c r="I253" s="27"/>
      <c r="J253" s="27"/>
      <c r="K253" s="27"/>
      <c r="L253" s="27"/>
      <c r="M253" s="27"/>
      <c r="N253" s="27"/>
      <c r="O253" s="43"/>
      <c r="P253" s="27"/>
      <c r="Q253" s="27"/>
      <c r="R253" s="43"/>
      <c r="S253" s="27"/>
      <c r="T253" s="27"/>
      <c r="U253" s="27"/>
      <c r="V253" s="27"/>
      <c r="W253" s="27"/>
      <c r="X253" s="43"/>
      <c r="Y253" s="27"/>
      <c r="Z253" s="27"/>
      <c r="AA253" s="41"/>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row>
    <row r="254">
      <c r="A254" s="27"/>
      <c r="B254" s="124"/>
      <c r="C254" s="27"/>
      <c r="D254" s="27"/>
      <c r="E254" s="27"/>
      <c r="F254" s="27"/>
      <c r="G254" s="27"/>
      <c r="H254" s="27"/>
      <c r="I254" s="27"/>
      <c r="J254" s="27"/>
      <c r="K254" s="27"/>
      <c r="L254" s="27"/>
      <c r="M254" s="27"/>
      <c r="N254" s="27"/>
      <c r="O254" s="43"/>
      <c r="P254" s="27"/>
      <c r="Q254" s="27"/>
      <c r="R254" s="43"/>
      <c r="S254" s="27"/>
      <c r="T254" s="27"/>
      <c r="U254" s="27"/>
      <c r="V254" s="27"/>
      <c r="W254" s="27"/>
      <c r="X254" s="43"/>
      <c r="Y254" s="27"/>
      <c r="Z254" s="27"/>
      <c r="AA254" s="41"/>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row>
    <row r="255">
      <c r="A255" s="27"/>
      <c r="B255" s="124"/>
      <c r="C255" s="27"/>
      <c r="D255" s="27"/>
      <c r="E255" s="27"/>
      <c r="F255" s="27"/>
      <c r="G255" s="27"/>
      <c r="H255" s="27"/>
      <c r="I255" s="27"/>
      <c r="J255" s="27"/>
      <c r="K255" s="27"/>
      <c r="L255" s="27"/>
      <c r="M255" s="27"/>
      <c r="N255" s="27"/>
      <c r="O255" s="43"/>
      <c r="P255" s="27"/>
      <c r="Q255" s="27"/>
      <c r="R255" s="43"/>
      <c r="S255" s="27"/>
      <c r="T255" s="27"/>
      <c r="U255" s="27"/>
      <c r="V255" s="27"/>
      <c r="W255" s="27"/>
      <c r="X255" s="43"/>
      <c r="Y255" s="27"/>
      <c r="Z255" s="27"/>
      <c r="AA255" s="41"/>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row>
    <row r="256">
      <c r="A256" s="27"/>
      <c r="B256" s="124"/>
      <c r="C256" s="27"/>
      <c r="D256" s="27"/>
      <c r="E256" s="27"/>
      <c r="F256" s="27"/>
      <c r="G256" s="27"/>
      <c r="H256" s="27"/>
      <c r="I256" s="27"/>
      <c r="J256" s="27"/>
      <c r="K256" s="27"/>
      <c r="L256" s="27"/>
      <c r="M256" s="27"/>
      <c r="N256" s="27"/>
      <c r="O256" s="43"/>
      <c r="P256" s="27"/>
      <c r="Q256" s="27"/>
      <c r="R256" s="43"/>
      <c r="S256" s="27"/>
      <c r="T256" s="27"/>
      <c r="U256" s="27"/>
      <c r="V256" s="27"/>
      <c r="W256" s="27"/>
      <c r="X256" s="43"/>
      <c r="Y256" s="27"/>
      <c r="Z256" s="27"/>
      <c r="AA256" s="41"/>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row>
    <row r="257">
      <c r="A257" s="27"/>
      <c r="B257" s="124"/>
      <c r="C257" s="27"/>
      <c r="D257" s="27"/>
      <c r="E257" s="27"/>
      <c r="F257" s="27"/>
      <c r="G257" s="27"/>
      <c r="H257" s="27"/>
      <c r="I257" s="27"/>
      <c r="J257" s="27"/>
      <c r="K257" s="27"/>
      <c r="L257" s="27"/>
      <c r="M257" s="27"/>
      <c r="N257" s="27"/>
      <c r="O257" s="43"/>
      <c r="P257" s="27"/>
      <c r="Q257" s="27"/>
      <c r="R257" s="43"/>
      <c r="S257" s="27"/>
      <c r="T257" s="27"/>
      <c r="U257" s="27"/>
      <c r="V257" s="27"/>
      <c r="W257" s="27"/>
      <c r="X257" s="43"/>
      <c r="Y257" s="27"/>
      <c r="Z257" s="27"/>
      <c r="AA257" s="41"/>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row>
    <row r="258">
      <c r="A258" s="27"/>
      <c r="B258" s="124"/>
      <c r="C258" s="27"/>
      <c r="D258" s="27"/>
      <c r="E258" s="27"/>
      <c r="F258" s="27"/>
      <c r="G258" s="27"/>
      <c r="H258" s="27"/>
      <c r="I258" s="27"/>
      <c r="J258" s="27"/>
      <c r="K258" s="27"/>
      <c r="L258" s="27"/>
      <c r="M258" s="27"/>
      <c r="N258" s="27"/>
      <c r="O258" s="43"/>
      <c r="P258" s="27"/>
      <c r="Q258" s="27"/>
      <c r="R258" s="43"/>
      <c r="S258" s="27"/>
      <c r="T258" s="27"/>
      <c r="U258" s="27"/>
      <c r="V258" s="27"/>
      <c r="W258" s="27"/>
      <c r="X258" s="43"/>
      <c r="Y258" s="27"/>
      <c r="Z258" s="27"/>
      <c r="AA258" s="41"/>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row>
    <row r="259">
      <c r="A259" s="27"/>
      <c r="B259" s="124"/>
      <c r="C259" s="27"/>
      <c r="D259" s="27"/>
      <c r="E259" s="27"/>
      <c r="F259" s="27"/>
      <c r="G259" s="27"/>
      <c r="H259" s="27"/>
      <c r="I259" s="27"/>
      <c r="J259" s="27"/>
      <c r="K259" s="27"/>
      <c r="L259" s="27"/>
      <c r="M259" s="27"/>
      <c r="N259" s="27"/>
      <c r="O259" s="43"/>
      <c r="P259" s="27"/>
      <c r="Q259" s="27"/>
      <c r="R259" s="43"/>
      <c r="S259" s="27"/>
      <c r="T259" s="27"/>
      <c r="U259" s="27"/>
      <c r="V259" s="27"/>
      <c r="W259" s="27"/>
      <c r="X259" s="43"/>
      <c r="Y259" s="27"/>
      <c r="Z259" s="27"/>
      <c r="AA259" s="41"/>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row>
    <row r="260">
      <c r="A260" s="27"/>
      <c r="B260" s="124"/>
      <c r="C260" s="27"/>
      <c r="D260" s="27"/>
      <c r="E260" s="27"/>
      <c r="F260" s="27"/>
      <c r="G260" s="27"/>
      <c r="H260" s="27"/>
      <c r="I260" s="27"/>
      <c r="J260" s="27"/>
      <c r="K260" s="27"/>
      <c r="L260" s="27"/>
      <c r="M260" s="27"/>
      <c r="N260" s="27"/>
      <c r="O260" s="43"/>
      <c r="P260" s="27"/>
      <c r="Q260" s="27"/>
      <c r="R260" s="43"/>
      <c r="S260" s="27"/>
      <c r="T260" s="27"/>
      <c r="U260" s="27"/>
      <c r="V260" s="27"/>
      <c r="W260" s="27"/>
      <c r="X260" s="43"/>
      <c r="Y260" s="27"/>
      <c r="Z260" s="27"/>
      <c r="AA260" s="41"/>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row>
    <row r="261">
      <c r="A261" s="27"/>
      <c r="B261" s="124"/>
      <c r="C261" s="27"/>
      <c r="D261" s="27"/>
      <c r="E261" s="27"/>
      <c r="F261" s="27"/>
      <c r="G261" s="27"/>
      <c r="H261" s="27"/>
      <c r="I261" s="27"/>
      <c r="J261" s="27"/>
      <c r="K261" s="27"/>
      <c r="L261" s="27"/>
      <c r="M261" s="27"/>
      <c r="N261" s="27"/>
      <c r="O261" s="43"/>
      <c r="P261" s="27"/>
      <c r="Q261" s="27"/>
      <c r="R261" s="43"/>
      <c r="S261" s="27"/>
      <c r="T261" s="27"/>
      <c r="U261" s="27"/>
      <c r="V261" s="27"/>
      <c r="W261" s="27"/>
      <c r="X261" s="43"/>
      <c r="Y261" s="27"/>
      <c r="Z261" s="27"/>
      <c r="AA261" s="41"/>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row>
    <row r="262">
      <c r="A262" s="27"/>
      <c r="B262" s="124"/>
      <c r="C262" s="27"/>
      <c r="D262" s="27"/>
      <c r="E262" s="27"/>
      <c r="F262" s="27"/>
      <c r="G262" s="27"/>
      <c r="H262" s="27"/>
      <c r="I262" s="27"/>
      <c r="J262" s="27"/>
      <c r="K262" s="27"/>
      <c r="L262" s="27"/>
      <c r="M262" s="27"/>
      <c r="N262" s="27"/>
      <c r="O262" s="43"/>
      <c r="P262" s="27"/>
      <c r="Q262" s="27"/>
      <c r="R262" s="43"/>
      <c r="S262" s="27"/>
      <c r="T262" s="27"/>
      <c r="U262" s="27"/>
      <c r="V262" s="27"/>
      <c r="W262" s="27"/>
      <c r="X262" s="43"/>
      <c r="Y262" s="27"/>
      <c r="Z262" s="27"/>
      <c r="AA262" s="41"/>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row>
    <row r="263">
      <c r="A263" s="27"/>
      <c r="B263" s="124"/>
      <c r="C263" s="27"/>
      <c r="D263" s="27"/>
      <c r="E263" s="27"/>
      <c r="F263" s="27"/>
      <c r="G263" s="27"/>
      <c r="H263" s="27"/>
      <c r="I263" s="27"/>
      <c r="J263" s="27"/>
      <c r="K263" s="27"/>
      <c r="L263" s="27"/>
      <c r="M263" s="27"/>
      <c r="N263" s="27"/>
      <c r="O263" s="43"/>
      <c r="P263" s="27"/>
      <c r="Q263" s="27"/>
      <c r="R263" s="43"/>
      <c r="S263" s="27"/>
      <c r="T263" s="27"/>
      <c r="U263" s="27"/>
      <c r="V263" s="27"/>
      <c r="W263" s="27"/>
      <c r="X263" s="43"/>
      <c r="Y263" s="27"/>
      <c r="Z263" s="27"/>
      <c r="AA263" s="41"/>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row>
    <row r="264">
      <c r="A264" s="27"/>
      <c r="B264" s="124"/>
      <c r="C264" s="27"/>
      <c r="D264" s="27"/>
      <c r="E264" s="27"/>
      <c r="F264" s="27"/>
      <c r="G264" s="27"/>
      <c r="H264" s="27"/>
      <c r="I264" s="27"/>
      <c r="J264" s="27"/>
      <c r="K264" s="27"/>
      <c r="L264" s="27"/>
      <c r="M264" s="27"/>
      <c r="N264" s="27"/>
      <c r="O264" s="43"/>
      <c r="P264" s="27"/>
      <c r="Q264" s="27"/>
      <c r="R264" s="43"/>
      <c r="S264" s="27"/>
      <c r="T264" s="27"/>
      <c r="U264" s="27"/>
      <c r="V264" s="27"/>
      <c r="W264" s="27"/>
      <c r="X264" s="43"/>
      <c r="Y264" s="27"/>
      <c r="Z264" s="27"/>
      <c r="AA264" s="41"/>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row>
    <row r="265">
      <c r="A265" s="27"/>
      <c r="B265" s="124"/>
      <c r="C265" s="27"/>
      <c r="D265" s="27"/>
      <c r="E265" s="27"/>
      <c r="F265" s="27"/>
      <c r="G265" s="27"/>
      <c r="H265" s="27"/>
      <c r="I265" s="27"/>
      <c r="J265" s="27"/>
      <c r="K265" s="27"/>
      <c r="L265" s="27"/>
      <c r="M265" s="27"/>
      <c r="N265" s="27"/>
      <c r="O265" s="43"/>
      <c r="P265" s="27"/>
      <c r="Q265" s="27"/>
      <c r="R265" s="43"/>
      <c r="S265" s="27"/>
      <c r="T265" s="27"/>
      <c r="U265" s="27"/>
      <c r="V265" s="27"/>
      <c r="W265" s="27"/>
      <c r="X265" s="43"/>
      <c r="Y265" s="27"/>
      <c r="Z265" s="27"/>
      <c r="AA265" s="41"/>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row>
    <row r="266">
      <c r="A266" s="27"/>
      <c r="B266" s="124"/>
      <c r="C266" s="27"/>
      <c r="D266" s="27"/>
      <c r="E266" s="27"/>
      <c r="F266" s="27"/>
      <c r="G266" s="27"/>
      <c r="H266" s="27"/>
      <c r="I266" s="27"/>
      <c r="J266" s="27"/>
      <c r="K266" s="27"/>
      <c r="L266" s="27"/>
      <c r="M266" s="27"/>
      <c r="N266" s="27"/>
      <c r="O266" s="43"/>
      <c r="P266" s="27"/>
      <c r="Q266" s="27"/>
      <c r="R266" s="43"/>
      <c r="S266" s="27"/>
      <c r="T266" s="27"/>
      <c r="U266" s="27"/>
      <c r="V266" s="27"/>
      <c r="W266" s="27"/>
      <c r="X266" s="43"/>
      <c r="Y266" s="27"/>
      <c r="Z266" s="27"/>
      <c r="AA266" s="41"/>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row>
    <row r="267">
      <c r="A267" s="27"/>
      <c r="B267" s="124"/>
      <c r="C267" s="27"/>
      <c r="D267" s="27"/>
      <c r="E267" s="27"/>
      <c r="F267" s="27"/>
      <c r="G267" s="27"/>
      <c r="H267" s="27"/>
      <c r="I267" s="27"/>
      <c r="J267" s="27"/>
      <c r="K267" s="27"/>
      <c r="L267" s="27"/>
      <c r="M267" s="27"/>
      <c r="N267" s="27"/>
      <c r="O267" s="43"/>
      <c r="P267" s="27"/>
      <c r="Q267" s="27"/>
      <c r="R267" s="43"/>
      <c r="S267" s="27"/>
      <c r="T267" s="27"/>
      <c r="U267" s="27"/>
      <c r="V267" s="27"/>
      <c r="W267" s="27"/>
      <c r="X267" s="43"/>
      <c r="Y267" s="27"/>
      <c r="Z267" s="27"/>
      <c r="AA267" s="41"/>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row>
    <row r="268">
      <c r="A268" s="27"/>
      <c r="B268" s="124"/>
      <c r="C268" s="27"/>
      <c r="D268" s="27"/>
      <c r="E268" s="27"/>
      <c r="F268" s="27"/>
      <c r="G268" s="27"/>
      <c r="H268" s="27"/>
      <c r="I268" s="27"/>
      <c r="J268" s="27"/>
      <c r="K268" s="27"/>
      <c r="L268" s="27"/>
      <c r="M268" s="27"/>
      <c r="N268" s="27"/>
      <c r="O268" s="43"/>
      <c r="P268" s="27"/>
      <c r="Q268" s="27"/>
      <c r="R268" s="43"/>
      <c r="S268" s="27"/>
      <c r="T268" s="27"/>
      <c r="U268" s="27"/>
      <c r="V268" s="27"/>
      <c r="W268" s="27"/>
      <c r="X268" s="43"/>
      <c r="Y268" s="27"/>
      <c r="Z268" s="27"/>
      <c r="AA268" s="41"/>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row>
    <row r="269">
      <c r="A269" s="27"/>
      <c r="B269" s="124"/>
      <c r="C269" s="27"/>
      <c r="D269" s="27"/>
      <c r="E269" s="27"/>
      <c r="F269" s="27"/>
      <c r="G269" s="27"/>
      <c r="H269" s="27"/>
      <c r="I269" s="27"/>
      <c r="J269" s="27"/>
      <c r="K269" s="27"/>
      <c r="L269" s="27"/>
      <c r="M269" s="27"/>
      <c r="N269" s="27"/>
      <c r="O269" s="43"/>
      <c r="P269" s="27"/>
      <c r="Q269" s="27"/>
      <c r="R269" s="43"/>
      <c r="S269" s="27"/>
      <c r="T269" s="27"/>
      <c r="U269" s="27"/>
      <c r="V269" s="27"/>
      <c r="W269" s="27"/>
      <c r="X269" s="43"/>
      <c r="Y269" s="27"/>
      <c r="Z269" s="27"/>
      <c r="AA269" s="41"/>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row>
    <row r="270">
      <c r="A270" s="27"/>
      <c r="B270" s="124"/>
      <c r="C270" s="27"/>
      <c r="D270" s="27"/>
      <c r="E270" s="27"/>
      <c r="F270" s="27"/>
      <c r="G270" s="27"/>
      <c r="H270" s="27"/>
      <c r="I270" s="27"/>
      <c r="J270" s="27"/>
      <c r="K270" s="27"/>
      <c r="L270" s="27"/>
      <c r="M270" s="27"/>
      <c r="N270" s="27"/>
      <c r="O270" s="43"/>
      <c r="P270" s="27"/>
      <c r="Q270" s="27"/>
      <c r="R270" s="43"/>
      <c r="S270" s="27"/>
      <c r="T270" s="27"/>
      <c r="U270" s="27"/>
      <c r="V270" s="27"/>
      <c r="W270" s="27"/>
      <c r="X270" s="43"/>
      <c r="Y270" s="27"/>
      <c r="Z270" s="27"/>
      <c r="AA270" s="41"/>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row>
    <row r="271">
      <c r="A271" s="27"/>
      <c r="B271" s="124"/>
      <c r="C271" s="27"/>
      <c r="D271" s="27"/>
      <c r="E271" s="27"/>
      <c r="F271" s="27"/>
      <c r="G271" s="27"/>
      <c r="H271" s="27"/>
      <c r="I271" s="27"/>
      <c r="J271" s="27"/>
      <c r="K271" s="27"/>
      <c r="L271" s="27"/>
      <c r="M271" s="27"/>
      <c r="N271" s="27"/>
      <c r="O271" s="43"/>
      <c r="P271" s="27"/>
      <c r="Q271" s="27"/>
      <c r="R271" s="43"/>
      <c r="S271" s="27"/>
      <c r="T271" s="27"/>
      <c r="U271" s="27"/>
      <c r="V271" s="27"/>
      <c r="W271" s="27"/>
      <c r="X271" s="43"/>
      <c r="Y271" s="27"/>
      <c r="Z271" s="27"/>
      <c r="AA271" s="41"/>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row>
    <row r="272">
      <c r="A272" s="27"/>
      <c r="B272" s="124"/>
      <c r="C272" s="27"/>
      <c r="D272" s="27"/>
      <c r="E272" s="27"/>
      <c r="F272" s="27"/>
      <c r="G272" s="27"/>
      <c r="H272" s="27"/>
      <c r="I272" s="27"/>
      <c r="J272" s="27"/>
      <c r="K272" s="27"/>
      <c r="L272" s="27"/>
      <c r="M272" s="27"/>
      <c r="N272" s="27"/>
      <c r="O272" s="43"/>
      <c r="P272" s="27"/>
      <c r="Q272" s="27"/>
      <c r="R272" s="43"/>
      <c r="S272" s="27"/>
      <c r="T272" s="27"/>
      <c r="U272" s="27"/>
      <c r="V272" s="27"/>
      <c r="W272" s="27"/>
      <c r="X272" s="43"/>
      <c r="Y272" s="27"/>
      <c r="Z272" s="27"/>
      <c r="AA272" s="41"/>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row>
    <row r="273">
      <c r="A273" s="27"/>
      <c r="B273" s="124"/>
      <c r="C273" s="27"/>
      <c r="D273" s="27"/>
      <c r="E273" s="27"/>
      <c r="F273" s="27"/>
      <c r="G273" s="27"/>
      <c r="H273" s="27"/>
      <c r="I273" s="27"/>
      <c r="J273" s="27"/>
      <c r="K273" s="27"/>
      <c r="L273" s="27"/>
      <c r="M273" s="27"/>
      <c r="N273" s="27"/>
      <c r="O273" s="43"/>
      <c r="P273" s="27"/>
      <c r="Q273" s="27"/>
      <c r="R273" s="43"/>
      <c r="S273" s="27"/>
      <c r="T273" s="27"/>
      <c r="U273" s="27"/>
      <c r="V273" s="27"/>
      <c r="W273" s="27"/>
      <c r="X273" s="43"/>
      <c r="Y273" s="27"/>
      <c r="Z273" s="27"/>
      <c r="AA273" s="41"/>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row>
    <row r="274">
      <c r="A274" s="27"/>
      <c r="B274" s="124"/>
      <c r="C274" s="27"/>
      <c r="D274" s="27"/>
      <c r="E274" s="27"/>
      <c r="F274" s="27"/>
      <c r="G274" s="27"/>
      <c r="H274" s="27"/>
      <c r="I274" s="27"/>
      <c r="J274" s="27"/>
      <c r="K274" s="27"/>
      <c r="L274" s="27"/>
      <c r="M274" s="27"/>
      <c r="N274" s="27"/>
      <c r="O274" s="43"/>
      <c r="P274" s="27"/>
      <c r="Q274" s="27"/>
      <c r="R274" s="43"/>
      <c r="S274" s="27"/>
      <c r="T274" s="27"/>
      <c r="U274" s="27"/>
      <c r="V274" s="27"/>
      <c r="W274" s="27"/>
      <c r="X274" s="43"/>
      <c r="Y274" s="27"/>
      <c r="Z274" s="27"/>
      <c r="AA274" s="41"/>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row>
    <row r="275">
      <c r="A275" s="27"/>
      <c r="B275" s="124"/>
      <c r="C275" s="27"/>
      <c r="D275" s="27"/>
      <c r="E275" s="27"/>
      <c r="F275" s="27"/>
      <c r="G275" s="27"/>
      <c r="H275" s="27"/>
      <c r="I275" s="27"/>
      <c r="J275" s="27"/>
      <c r="K275" s="27"/>
      <c r="L275" s="27"/>
      <c r="M275" s="27"/>
      <c r="N275" s="27"/>
      <c r="O275" s="43"/>
      <c r="P275" s="27"/>
      <c r="Q275" s="27"/>
      <c r="R275" s="43"/>
      <c r="S275" s="27"/>
      <c r="T275" s="27"/>
      <c r="U275" s="27"/>
      <c r="V275" s="27"/>
      <c r="W275" s="27"/>
      <c r="X275" s="43"/>
      <c r="Y275" s="27"/>
      <c r="Z275" s="27"/>
      <c r="AA275" s="41"/>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row>
    <row r="276">
      <c r="A276" s="27"/>
      <c r="B276" s="124"/>
      <c r="C276" s="27"/>
      <c r="D276" s="27"/>
      <c r="E276" s="27"/>
      <c r="F276" s="27"/>
      <c r="G276" s="27"/>
      <c r="H276" s="27"/>
      <c r="I276" s="27"/>
      <c r="J276" s="27"/>
      <c r="K276" s="27"/>
      <c r="L276" s="27"/>
      <c r="M276" s="27"/>
      <c r="N276" s="27"/>
      <c r="O276" s="43"/>
      <c r="P276" s="27"/>
      <c r="Q276" s="27"/>
      <c r="R276" s="43"/>
      <c r="S276" s="27"/>
      <c r="T276" s="27"/>
      <c r="U276" s="27"/>
      <c r="V276" s="27"/>
      <c r="W276" s="27"/>
      <c r="X276" s="43"/>
      <c r="Y276" s="27"/>
      <c r="Z276" s="27"/>
      <c r="AA276" s="41"/>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row>
    <row r="277">
      <c r="A277" s="27"/>
      <c r="B277" s="124"/>
      <c r="C277" s="27"/>
      <c r="D277" s="27"/>
      <c r="E277" s="27"/>
      <c r="F277" s="27"/>
      <c r="G277" s="27"/>
      <c r="H277" s="27"/>
      <c r="I277" s="27"/>
      <c r="J277" s="27"/>
      <c r="K277" s="27"/>
      <c r="L277" s="27"/>
      <c r="M277" s="27"/>
      <c r="N277" s="27"/>
      <c r="O277" s="43"/>
      <c r="P277" s="27"/>
      <c r="Q277" s="27"/>
      <c r="R277" s="43"/>
      <c r="S277" s="27"/>
      <c r="T277" s="27"/>
      <c r="U277" s="27"/>
      <c r="V277" s="27"/>
      <c r="W277" s="27"/>
      <c r="X277" s="43"/>
      <c r="Y277" s="27"/>
      <c r="Z277" s="27"/>
      <c r="AA277" s="41"/>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row>
    <row r="278">
      <c r="A278" s="27"/>
      <c r="B278" s="124"/>
      <c r="C278" s="27"/>
      <c r="D278" s="27"/>
      <c r="E278" s="27"/>
      <c r="F278" s="27"/>
      <c r="G278" s="27"/>
      <c r="H278" s="27"/>
      <c r="I278" s="27"/>
      <c r="J278" s="27"/>
      <c r="K278" s="27"/>
      <c r="L278" s="27"/>
      <c r="M278" s="27"/>
      <c r="N278" s="27"/>
      <c r="O278" s="43"/>
      <c r="P278" s="27"/>
      <c r="Q278" s="27"/>
      <c r="R278" s="43"/>
      <c r="S278" s="27"/>
      <c r="T278" s="27"/>
      <c r="U278" s="27"/>
      <c r="V278" s="27"/>
      <c r="W278" s="27"/>
      <c r="X278" s="43"/>
      <c r="Y278" s="27"/>
      <c r="Z278" s="27"/>
      <c r="AA278" s="41"/>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row>
    <row r="279">
      <c r="A279" s="27"/>
      <c r="B279" s="124"/>
      <c r="C279" s="27"/>
      <c r="D279" s="27"/>
      <c r="E279" s="27"/>
      <c r="F279" s="27"/>
      <c r="G279" s="27"/>
      <c r="H279" s="27"/>
      <c r="I279" s="27"/>
      <c r="J279" s="27"/>
      <c r="K279" s="27"/>
      <c r="L279" s="27"/>
      <c r="M279" s="27"/>
      <c r="N279" s="27"/>
      <c r="O279" s="43"/>
      <c r="P279" s="27"/>
      <c r="Q279" s="27"/>
      <c r="R279" s="43"/>
      <c r="S279" s="27"/>
      <c r="T279" s="27"/>
      <c r="U279" s="27"/>
      <c r="V279" s="27"/>
      <c r="W279" s="27"/>
      <c r="X279" s="43"/>
      <c r="Y279" s="27"/>
      <c r="Z279" s="27"/>
      <c r="AA279" s="41"/>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row>
    <row r="280">
      <c r="A280" s="27"/>
      <c r="B280" s="124"/>
      <c r="C280" s="27"/>
      <c r="D280" s="27"/>
      <c r="E280" s="27"/>
      <c r="F280" s="27"/>
      <c r="G280" s="27"/>
      <c r="H280" s="27"/>
      <c r="I280" s="27"/>
      <c r="J280" s="27"/>
      <c r="K280" s="27"/>
      <c r="L280" s="27"/>
      <c r="M280" s="27"/>
      <c r="N280" s="27"/>
      <c r="O280" s="43"/>
      <c r="P280" s="27"/>
      <c r="Q280" s="27"/>
      <c r="R280" s="43"/>
      <c r="S280" s="27"/>
      <c r="T280" s="27"/>
      <c r="U280" s="27"/>
      <c r="V280" s="27"/>
      <c r="W280" s="27"/>
      <c r="X280" s="43"/>
      <c r="Y280" s="27"/>
      <c r="Z280" s="27"/>
      <c r="AA280" s="41"/>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row>
    <row r="281">
      <c r="A281" s="27"/>
      <c r="B281" s="124"/>
      <c r="C281" s="27"/>
      <c r="D281" s="27"/>
      <c r="E281" s="27"/>
      <c r="F281" s="27"/>
      <c r="G281" s="27"/>
      <c r="H281" s="27"/>
      <c r="I281" s="27"/>
      <c r="J281" s="27"/>
      <c r="K281" s="27"/>
      <c r="L281" s="27"/>
      <c r="M281" s="27"/>
      <c r="N281" s="27"/>
      <c r="O281" s="43"/>
      <c r="P281" s="27"/>
      <c r="Q281" s="27"/>
      <c r="R281" s="43"/>
      <c r="S281" s="27"/>
      <c r="T281" s="27"/>
      <c r="U281" s="27"/>
      <c r="V281" s="27"/>
      <c r="W281" s="27"/>
      <c r="X281" s="43"/>
      <c r="Y281" s="27"/>
      <c r="Z281" s="27"/>
      <c r="AA281" s="41"/>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row>
    <row r="282">
      <c r="A282" s="27"/>
      <c r="B282" s="124"/>
      <c r="C282" s="27"/>
      <c r="D282" s="27"/>
      <c r="E282" s="27"/>
      <c r="F282" s="27"/>
      <c r="G282" s="27"/>
      <c r="H282" s="27"/>
      <c r="I282" s="27"/>
      <c r="J282" s="27"/>
      <c r="K282" s="27"/>
      <c r="L282" s="27"/>
      <c r="M282" s="27"/>
      <c r="N282" s="27"/>
      <c r="O282" s="43"/>
      <c r="P282" s="27"/>
      <c r="Q282" s="27"/>
      <c r="R282" s="43"/>
      <c r="S282" s="27"/>
      <c r="T282" s="27"/>
      <c r="U282" s="27"/>
      <c r="V282" s="27"/>
      <c r="W282" s="27"/>
      <c r="X282" s="43"/>
      <c r="Y282" s="27"/>
      <c r="Z282" s="27"/>
      <c r="AA282" s="41"/>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row>
    <row r="283">
      <c r="A283" s="27"/>
      <c r="B283" s="124"/>
      <c r="C283" s="27"/>
      <c r="D283" s="27"/>
      <c r="E283" s="27"/>
      <c r="F283" s="27"/>
      <c r="G283" s="27"/>
      <c r="H283" s="27"/>
      <c r="I283" s="27"/>
      <c r="J283" s="27"/>
      <c r="K283" s="27"/>
      <c r="L283" s="27"/>
      <c r="M283" s="27"/>
      <c r="N283" s="27"/>
      <c r="O283" s="43"/>
      <c r="P283" s="27"/>
      <c r="Q283" s="27"/>
      <c r="R283" s="43"/>
      <c r="S283" s="27"/>
      <c r="T283" s="27"/>
      <c r="U283" s="27"/>
      <c r="V283" s="27"/>
      <c r="W283" s="27"/>
      <c r="X283" s="43"/>
      <c r="Y283" s="27"/>
      <c r="Z283" s="27"/>
      <c r="AA283" s="41"/>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row>
    <row r="284">
      <c r="A284" s="27"/>
      <c r="B284" s="124"/>
      <c r="C284" s="27"/>
      <c r="D284" s="27"/>
      <c r="E284" s="27"/>
      <c r="F284" s="27"/>
      <c r="G284" s="27"/>
      <c r="H284" s="27"/>
      <c r="I284" s="27"/>
      <c r="J284" s="27"/>
      <c r="K284" s="27"/>
      <c r="L284" s="27"/>
      <c r="M284" s="27"/>
      <c r="N284" s="27"/>
      <c r="O284" s="43"/>
      <c r="P284" s="27"/>
      <c r="Q284" s="27"/>
      <c r="R284" s="43"/>
      <c r="S284" s="27"/>
      <c r="T284" s="27"/>
      <c r="U284" s="27"/>
      <c r="V284" s="27"/>
      <c r="W284" s="27"/>
      <c r="X284" s="43"/>
      <c r="Y284" s="27"/>
      <c r="Z284" s="27"/>
      <c r="AA284" s="41"/>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row>
    <row r="285">
      <c r="A285" s="27"/>
      <c r="B285" s="124"/>
      <c r="C285" s="27"/>
      <c r="D285" s="27"/>
      <c r="E285" s="27"/>
      <c r="F285" s="27"/>
      <c r="G285" s="27"/>
      <c r="H285" s="27"/>
      <c r="I285" s="27"/>
      <c r="J285" s="27"/>
      <c r="K285" s="27"/>
      <c r="L285" s="27"/>
      <c r="M285" s="27"/>
      <c r="N285" s="27"/>
      <c r="O285" s="43"/>
      <c r="P285" s="27"/>
      <c r="Q285" s="27"/>
      <c r="R285" s="43"/>
      <c r="S285" s="27"/>
      <c r="T285" s="27"/>
      <c r="U285" s="27"/>
      <c r="V285" s="27"/>
      <c r="W285" s="27"/>
      <c r="X285" s="43"/>
      <c r="Y285" s="27"/>
      <c r="Z285" s="27"/>
      <c r="AA285" s="41"/>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row>
    <row r="286">
      <c r="A286" s="27"/>
      <c r="B286" s="124"/>
      <c r="C286" s="27"/>
      <c r="D286" s="27"/>
      <c r="E286" s="27"/>
      <c r="F286" s="27"/>
      <c r="G286" s="27"/>
      <c r="H286" s="27"/>
      <c r="I286" s="27"/>
      <c r="J286" s="27"/>
      <c r="K286" s="27"/>
      <c r="L286" s="27"/>
      <c r="M286" s="27"/>
      <c r="N286" s="27"/>
      <c r="O286" s="43"/>
      <c r="P286" s="27"/>
      <c r="Q286" s="27"/>
      <c r="R286" s="43"/>
      <c r="S286" s="27"/>
      <c r="T286" s="27"/>
      <c r="U286" s="27"/>
      <c r="V286" s="27"/>
      <c r="W286" s="27"/>
      <c r="X286" s="43"/>
      <c r="Y286" s="27"/>
      <c r="Z286" s="27"/>
      <c r="AA286" s="41"/>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row>
    <row r="287">
      <c r="A287" s="27"/>
      <c r="B287" s="124"/>
      <c r="C287" s="27"/>
      <c r="D287" s="27"/>
      <c r="E287" s="27"/>
      <c r="F287" s="27"/>
      <c r="G287" s="27"/>
      <c r="H287" s="27"/>
      <c r="I287" s="27"/>
      <c r="J287" s="27"/>
      <c r="K287" s="27"/>
      <c r="L287" s="27"/>
      <c r="M287" s="27"/>
      <c r="N287" s="27"/>
      <c r="O287" s="43"/>
      <c r="P287" s="27"/>
      <c r="Q287" s="27"/>
      <c r="R287" s="43"/>
      <c r="S287" s="27"/>
      <c r="T287" s="27"/>
      <c r="U287" s="27"/>
      <c r="V287" s="27"/>
      <c r="W287" s="27"/>
      <c r="X287" s="43"/>
      <c r="Y287" s="27"/>
      <c r="Z287" s="27"/>
      <c r="AA287" s="41"/>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row>
    <row r="288">
      <c r="A288" s="27"/>
      <c r="B288" s="124"/>
      <c r="C288" s="27"/>
      <c r="D288" s="27"/>
      <c r="E288" s="27"/>
      <c r="F288" s="27"/>
      <c r="G288" s="27"/>
      <c r="H288" s="27"/>
      <c r="I288" s="27"/>
      <c r="J288" s="27"/>
      <c r="K288" s="27"/>
      <c r="L288" s="27"/>
      <c r="M288" s="27"/>
      <c r="N288" s="27"/>
      <c r="O288" s="43"/>
      <c r="P288" s="27"/>
      <c r="Q288" s="27"/>
      <c r="R288" s="43"/>
      <c r="S288" s="27"/>
      <c r="T288" s="27"/>
      <c r="U288" s="27"/>
      <c r="V288" s="27"/>
      <c r="W288" s="27"/>
      <c r="X288" s="43"/>
      <c r="Y288" s="27"/>
      <c r="Z288" s="27"/>
      <c r="AA288" s="41"/>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row>
    <row r="289">
      <c r="A289" s="27"/>
      <c r="B289" s="124"/>
      <c r="C289" s="27"/>
      <c r="D289" s="27"/>
      <c r="E289" s="27"/>
      <c r="F289" s="27"/>
      <c r="G289" s="27"/>
      <c r="H289" s="27"/>
      <c r="I289" s="27"/>
      <c r="J289" s="27"/>
      <c r="K289" s="27"/>
      <c r="L289" s="27"/>
      <c r="M289" s="27"/>
      <c r="N289" s="27"/>
      <c r="O289" s="43"/>
      <c r="P289" s="27"/>
      <c r="Q289" s="27"/>
      <c r="R289" s="43"/>
      <c r="S289" s="27"/>
      <c r="T289" s="27"/>
      <c r="U289" s="27"/>
      <c r="V289" s="27"/>
      <c r="W289" s="27"/>
      <c r="X289" s="43"/>
      <c r="Y289" s="27"/>
      <c r="Z289" s="27"/>
      <c r="AA289" s="41"/>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row>
    <row r="290">
      <c r="A290" s="27"/>
      <c r="B290" s="124"/>
      <c r="C290" s="27"/>
      <c r="D290" s="27"/>
      <c r="E290" s="27"/>
      <c r="F290" s="27"/>
      <c r="G290" s="27"/>
      <c r="H290" s="27"/>
      <c r="I290" s="27"/>
      <c r="J290" s="27"/>
      <c r="K290" s="27"/>
      <c r="L290" s="27"/>
      <c r="M290" s="27"/>
      <c r="N290" s="27"/>
      <c r="O290" s="43"/>
      <c r="P290" s="27"/>
      <c r="Q290" s="27"/>
      <c r="R290" s="43"/>
      <c r="S290" s="27"/>
      <c r="T290" s="27"/>
      <c r="U290" s="27"/>
      <c r="V290" s="27"/>
      <c r="W290" s="27"/>
      <c r="X290" s="43"/>
      <c r="Y290" s="27"/>
      <c r="Z290" s="27"/>
      <c r="AA290" s="41"/>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row>
    <row r="291">
      <c r="A291" s="27"/>
      <c r="B291" s="124"/>
      <c r="C291" s="27"/>
      <c r="D291" s="27"/>
      <c r="E291" s="27"/>
      <c r="F291" s="27"/>
      <c r="G291" s="27"/>
      <c r="H291" s="27"/>
      <c r="I291" s="27"/>
      <c r="J291" s="27"/>
      <c r="K291" s="27"/>
      <c r="L291" s="27"/>
      <c r="M291" s="27"/>
      <c r="N291" s="27"/>
      <c r="O291" s="43"/>
      <c r="P291" s="27"/>
      <c r="Q291" s="27"/>
      <c r="R291" s="43"/>
      <c r="S291" s="27"/>
      <c r="T291" s="27"/>
      <c r="U291" s="27"/>
      <c r="V291" s="27"/>
      <c r="W291" s="27"/>
      <c r="X291" s="43"/>
      <c r="Y291" s="27"/>
      <c r="Z291" s="27"/>
      <c r="AA291" s="41"/>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row>
    <row r="292">
      <c r="A292" s="27"/>
      <c r="B292" s="124"/>
      <c r="C292" s="27"/>
      <c r="D292" s="27"/>
      <c r="E292" s="27"/>
      <c r="F292" s="27"/>
      <c r="G292" s="27"/>
      <c r="H292" s="27"/>
      <c r="I292" s="27"/>
      <c r="J292" s="27"/>
      <c r="K292" s="27"/>
      <c r="L292" s="27"/>
      <c r="M292" s="27"/>
      <c r="N292" s="27"/>
      <c r="O292" s="43"/>
      <c r="P292" s="27"/>
      <c r="Q292" s="27"/>
      <c r="R292" s="43"/>
      <c r="S292" s="27"/>
      <c r="T292" s="27"/>
      <c r="U292" s="27"/>
      <c r="V292" s="27"/>
      <c r="W292" s="27"/>
      <c r="X292" s="43"/>
      <c r="Y292" s="27"/>
      <c r="Z292" s="27"/>
      <c r="AA292" s="41"/>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row>
    <row r="293">
      <c r="A293" s="27"/>
      <c r="B293" s="124"/>
      <c r="C293" s="27"/>
      <c r="D293" s="27"/>
      <c r="E293" s="27"/>
      <c r="F293" s="27"/>
      <c r="G293" s="27"/>
      <c r="H293" s="27"/>
      <c r="I293" s="27"/>
      <c r="J293" s="27"/>
      <c r="K293" s="27"/>
      <c r="L293" s="27"/>
      <c r="M293" s="27"/>
      <c r="N293" s="27"/>
      <c r="O293" s="43"/>
      <c r="P293" s="27"/>
      <c r="Q293" s="27"/>
      <c r="R293" s="43"/>
      <c r="S293" s="27"/>
      <c r="T293" s="27"/>
      <c r="U293" s="27"/>
      <c r="V293" s="27"/>
      <c r="W293" s="27"/>
      <c r="X293" s="43"/>
      <c r="Y293" s="27"/>
      <c r="Z293" s="27"/>
      <c r="AA293" s="41"/>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row>
    <row r="294">
      <c r="A294" s="27"/>
      <c r="B294" s="124"/>
      <c r="C294" s="27"/>
      <c r="D294" s="27"/>
      <c r="E294" s="27"/>
      <c r="F294" s="27"/>
      <c r="G294" s="27"/>
      <c r="H294" s="27"/>
      <c r="I294" s="27"/>
      <c r="J294" s="27"/>
      <c r="K294" s="27"/>
      <c r="L294" s="27"/>
      <c r="M294" s="27"/>
      <c r="N294" s="27"/>
      <c r="O294" s="43"/>
      <c r="P294" s="27"/>
      <c r="Q294" s="27"/>
      <c r="R294" s="43"/>
      <c r="S294" s="27"/>
      <c r="T294" s="27"/>
      <c r="U294" s="27"/>
      <c r="V294" s="27"/>
      <c r="W294" s="27"/>
      <c r="X294" s="43"/>
      <c r="Y294" s="27"/>
      <c r="Z294" s="27"/>
      <c r="AA294" s="41"/>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row>
    <row r="295">
      <c r="A295" s="27"/>
      <c r="B295" s="124"/>
      <c r="C295" s="27"/>
      <c r="D295" s="27"/>
      <c r="E295" s="27"/>
      <c r="F295" s="27"/>
      <c r="G295" s="27"/>
      <c r="H295" s="27"/>
      <c r="I295" s="27"/>
      <c r="J295" s="27"/>
      <c r="K295" s="27"/>
      <c r="L295" s="27"/>
      <c r="M295" s="27"/>
      <c r="N295" s="27"/>
      <c r="O295" s="43"/>
      <c r="P295" s="27"/>
      <c r="Q295" s="27"/>
      <c r="R295" s="43"/>
      <c r="S295" s="27"/>
      <c r="T295" s="27"/>
      <c r="U295" s="27"/>
      <c r="V295" s="27"/>
      <c r="W295" s="27"/>
      <c r="X295" s="43"/>
      <c r="Y295" s="27"/>
      <c r="Z295" s="27"/>
      <c r="AA295" s="41"/>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row>
    <row r="296">
      <c r="A296" s="27"/>
      <c r="B296" s="124"/>
      <c r="C296" s="27"/>
      <c r="D296" s="27"/>
      <c r="E296" s="27"/>
      <c r="F296" s="27"/>
      <c r="G296" s="27"/>
      <c r="H296" s="27"/>
      <c r="I296" s="27"/>
      <c r="J296" s="27"/>
      <c r="K296" s="27"/>
      <c r="L296" s="27"/>
      <c r="M296" s="27"/>
      <c r="N296" s="27"/>
      <c r="O296" s="43"/>
      <c r="P296" s="27"/>
      <c r="Q296" s="27"/>
      <c r="R296" s="43"/>
      <c r="S296" s="27"/>
      <c r="T296" s="27"/>
      <c r="U296" s="27"/>
      <c r="V296" s="27"/>
      <c r="W296" s="27"/>
      <c r="X296" s="43"/>
      <c r="Y296" s="27"/>
      <c r="Z296" s="27"/>
      <c r="AA296" s="41"/>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row>
    <row r="297">
      <c r="A297" s="27"/>
      <c r="B297" s="124"/>
      <c r="C297" s="27"/>
      <c r="D297" s="27"/>
      <c r="E297" s="27"/>
      <c r="F297" s="27"/>
      <c r="G297" s="27"/>
      <c r="H297" s="27"/>
      <c r="I297" s="27"/>
      <c r="J297" s="27"/>
      <c r="K297" s="27"/>
      <c r="L297" s="27"/>
      <c r="M297" s="27"/>
      <c r="N297" s="27"/>
      <c r="O297" s="43"/>
      <c r="P297" s="27"/>
      <c r="Q297" s="27"/>
      <c r="R297" s="43"/>
      <c r="S297" s="27"/>
      <c r="T297" s="27"/>
      <c r="U297" s="27"/>
      <c r="V297" s="27"/>
      <c r="W297" s="27"/>
      <c r="X297" s="43"/>
      <c r="Y297" s="27"/>
      <c r="Z297" s="27"/>
      <c r="AA297" s="41"/>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row>
    <row r="298">
      <c r="A298" s="27"/>
      <c r="B298" s="124"/>
      <c r="C298" s="27"/>
      <c r="D298" s="27"/>
      <c r="E298" s="27"/>
      <c r="F298" s="27"/>
      <c r="G298" s="27"/>
      <c r="H298" s="27"/>
      <c r="I298" s="27"/>
      <c r="J298" s="27"/>
      <c r="K298" s="27"/>
      <c r="L298" s="27"/>
      <c r="M298" s="27"/>
      <c r="N298" s="27"/>
      <c r="O298" s="43"/>
      <c r="P298" s="27"/>
      <c r="Q298" s="27"/>
      <c r="R298" s="43"/>
      <c r="S298" s="27"/>
      <c r="T298" s="27"/>
      <c r="U298" s="27"/>
      <c r="V298" s="27"/>
      <c r="W298" s="27"/>
      <c r="X298" s="43"/>
      <c r="Y298" s="27"/>
      <c r="Z298" s="27"/>
      <c r="AA298" s="41"/>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row>
    <row r="299">
      <c r="A299" s="27"/>
      <c r="B299" s="124"/>
      <c r="C299" s="27"/>
      <c r="D299" s="27"/>
      <c r="E299" s="27"/>
      <c r="F299" s="27"/>
      <c r="G299" s="27"/>
      <c r="H299" s="27"/>
      <c r="I299" s="27"/>
      <c r="J299" s="27"/>
      <c r="K299" s="27"/>
      <c r="L299" s="27"/>
      <c r="M299" s="27"/>
      <c r="N299" s="27"/>
      <c r="O299" s="43"/>
      <c r="P299" s="27"/>
      <c r="Q299" s="27"/>
      <c r="R299" s="43"/>
      <c r="S299" s="27"/>
      <c r="T299" s="27"/>
      <c r="U299" s="27"/>
      <c r="V299" s="27"/>
      <c r="W299" s="27"/>
      <c r="X299" s="43"/>
      <c r="Y299" s="27"/>
      <c r="Z299" s="27"/>
      <c r="AA299" s="41"/>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row>
    <row r="300">
      <c r="A300" s="27"/>
      <c r="B300" s="124"/>
      <c r="C300" s="27"/>
      <c r="D300" s="27"/>
      <c r="E300" s="27"/>
      <c r="F300" s="27"/>
      <c r="G300" s="27"/>
      <c r="H300" s="27"/>
      <c r="I300" s="27"/>
      <c r="J300" s="27"/>
      <c r="K300" s="27"/>
      <c r="L300" s="27"/>
      <c r="M300" s="27"/>
      <c r="N300" s="27"/>
      <c r="O300" s="43"/>
      <c r="P300" s="27"/>
      <c r="Q300" s="27"/>
      <c r="R300" s="43"/>
      <c r="S300" s="27"/>
      <c r="T300" s="27"/>
      <c r="U300" s="27"/>
      <c r="V300" s="27"/>
      <c r="W300" s="27"/>
      <c r="X300" s="43"/>
      <c r="Y300" s="27"/>
      <c r="Z300" s="27"/>
      <c r="AA300" s="41"/>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row>
    <row r="301">
      <c r="A301" s="27"/>
      <c r="B301" s="124"/>
      <c r="C301" s="27"/>
      <c r="D301" s="27"/>
      <c r="E301" s="27"/>
      <c r="F301" s="27"/>
      <c r="G301" s="27"/>
      <c r="H301" s="27"/>
      <c r="I301" s="27"/>
      <c r="J301" s="27"/>
      <c r="K301" s="27"/>
      <c r="L301" s="27"/>
      <c r="M301" s="27"/>
      <c r="N301" s="27"/>
      <c r="O301" s="43"/>
      <c r="P301" s="27"/>
      <c r="Q301" s="27"/>
      <c r="R301" s="43"/>
      <c r="S301" s="27"/>
      <c r="T301" s="27"/>
      <c r="U301" s="27"/>
      <c r="V301" s="27"/>
      <c r="W301" s="27"/>
      <c r="X301" s="43"/>
      <c r="Y301" s="27"/>
      <c r="Z301" s="27"/>
      <c r="AA301" s="41"/>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row>
    <row r="302">
      <c r="A302" s="27"/>
      <c r="B302" s="124"/>
      <c r="C302" s="27"/>
      <c r="D302" s="27"/>
      <c r="E302" s="27"/>
      <c r="F302" s="27"/>
      <c r="G302" s="27"/>
      <c r="H302" s="27"/>
      <c r="I302" s="27"/>
      <c r="J302" s="27"/>
      <c r="K302" s="27"/>
      <c r="L302" s="27"/>
      <c r="M302" s="27"/>
      <c r="N302" s="27"/>
      <c r="O302" s="43"/>
      <c r="P302" s="27"/>
      <c r="Q302" s="27"/>
      <c r="R302" s="43"/>
      <c r="S302" s="27"/>
      <c r="T302" s="27"/>
      <c r="U302" s="27"/>
      <c r="V302" s="27"/>
      <c r="W302" s="27"/>
      <c r="X302" s="43"/>
      <c r="Y302" s="27"/>
      <c r="Z302" s="27"/>
      <c r="AA302" s="41"/>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row>
    <row r="303">
      <c r="A303" s="27"/>
      <c r="B303" s="124"/>
      <c r="C303" s="27"/>
      <c r="D303" s="27"/>
      <c r="E303" s="27"/>
      <c r="F303" s="27"/>
      <c r="G303" s="27"/>
      <c r="H303" s="27"/>
      <c r="I303" s="27"/>
      <c r="J303" s="27"/>
      <c r="K303" s="27"/>
      <c r="L303" s="27"/>
      <c r="M303" s="27"/>
      <c r="N303" s="27"/>
      <c r="O303" s="43"/>
      <c r="P303" s="27"/>
      <c r="Q303" s="27"/>
      <c r="R303" s="43"/>
      <c r="S303" s="27"/>
      <c r="T303" s="27"/>
      <c r="U303" s="27"/>
      <c r="V303" s="27"/>
      <c r="W303" s="27"/>
      <c r="X303" s="43"/>
      <c r="Y303" s="27"/>
      <c r="Z303" s="27"/>
      <c r="AA303" s="41"/>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row>
    <row r="304">
      <c r="A304" s="27"/>
      <c r="B304" s="124"/>
      <c r="C304" s="27"/>
      <c r="D304" s="27"/>
      <c r="E304" s="27"/>
      <c r="F304" s="27"/>
      <c r="G304" s="27"/>
      <c r="H304" s="27"/>
      <c r="I304" s="27"/>
      <c r="J304" s="27"/>
      <c r="K304" s="27"/>
      <c r="L304" s="27"/>
      <c r="M304" s="27"/>
      <c r="N304" s="27"/>
      <c r="O304" s="43"/>
      <c r="P304" s="27"/>
      <c r="Q304" s="27"/>
      <c r="R304" s="43"/>
      <c r="S304" s="27"/>
      <c r="T304" s="27"/>
      <c r="U304" s="27"/>
      <c r="V304" s="27"/>
      <c r="W304" s="27"/>
      <c r="X304" s="43"/>
      <c r="Y304" s="27"/>
      <c r="Z304" s="27"/>
      <c r="AA304" s="41"/>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row>
    <row r="305">
      <c r="A305" s="27"/>
      <c r="B305" s="124"/>
      <c r="C305" s="27"/>
      <c r="D305" s="27"/>
      <c r="E305" s="27"/>
      <c r="F305" s="27"/>
      <c r="G305" s="27"/>
      <c r="H305" s="27"/>
      <c r="I305" s="27"/>
      <c r="J305" s="27"/>
      <c r="K305" s="27"/>
      <c r="L305" s="27"/>
      <c r="M305" s="27"/>
      <c r="N305" s="27"/>
      <c r="O305" s="43"/>
      <c r="P305" s="27"/>
      <c r="Q305" s="27"/>
      <c r="R305" s="43"/>
      <c r="S305" s="27"/>
      <c r="T305" s="27"/>
      <c r="U305" s="27"/>
      <c r="V305" s="27"/>
      <c r="W305" s="27"/>
      <c r="X305" s="43"/>
      <c r="Y305" s="27"/>
      <c r="Z305" s="27"/>
      <c r="AA305" s="41"/>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row>
    <row r="306">
      <c r="A306" s="27"/>
      <c r="B306" s="124"/>
      <c r="C306" s="27"/>
      <c r="D306" s="27"/>
      <c r="E306" s="27"/>
      <c r="F306" s="27"/>
      <c r="G306" s="27"/>
      <c r="H306" s="27"/>
      <c r="I306" s="27"/>
      <c r="J306" s="27"/>
      <c r="K306" s="27"/>
      <c r="L306" s="27"/>
      <c r="M306" s="27"/>
      <c r="N306" s="27"/>
      <c r="O306" s="43"/>
      <c r="P306" s="27"/>
      <c r="Q306" s="27"/>
      <c r="R306" s="43"/>
      <c r="S306" s="27"/>
      <c r="T306" s="27"/>
      <c r="U306" s="27"/>
      <c r="V306" s="27"/>
      <c r="W306" s="27"/>
      <c r="X306" s="43"/>
      <c r="Y306" s="27"/>
      <c r="Z306" s="27"/>
      <c r="AA306" s="41"/>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row>
    <row r="307">
      <c r="A307" s="27"/>
      <c r="B307" s="124"/>
      <c r="C307" s="27"/>
      <c r="D307" s="27"/>
      <c r="E307" s="27"/>
      <c r="F307" s="27"/>
      <c r="G307" s="27"/>
      <c r="H307" s="27"/>
      <c r="I307" s="27"/>
      <c r="J307" s="27"/>
      <c r="K307" s="27"/>
      <c r="L307" s="27"/>
      <c r="M307" s="27"/>
      <c r="N307" s="27"/>
      <c r="O307" s="43"/>
      <c r="P307" s="27"/>
      <c r="Q307" s="27"/>
      <c r="R307" s="43"/>
      <c r="S307" s="27"/>
      <c r="T307" s="27"/>
      <c r="U307" s="27"/>
      <c r="V307" s="27"/>
      <c r="W307" s="27"/>
      <c r="X307" s="43"/>
      <c r="Y307" s="27"/>
      <c r="Z307" s="27"/>
      <c r="AA307" s="41"/>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row>
    <row r="308">
      <c r="A308" s="27"/>
      <c r="B308" s="124"/>
      <c r="C308" s="27"/>
      <c r="D308" s="27"/>
      <c r="E308" s="27"/>
      <c r="F308" s="27"/>
      <c r="G308" s="27"/>
      <c r="H308" s="27"/>
      <c r="I308" s="27"/>
      <c r="J308" s="27"/>
      <c r="K308" s="27"/>
      <c r="L308" s="27"/>
      <c r="M308" s="27"/>
      <c r="N308" s="27"/>
      <c r="O308" s="43"/>
      <c r="P308" s="27"/>
      <c r="Q308" s="27"/>
      <c r="R308" s="43"/>
      <c r="S308" s="27"/>
      <c r="T308" s="27"/>
      <c r="U308" s="27"/>
      <c r="V308" s="27"/>
      <c r="W308" s="27"/>
      <c r="X308" s="43"/>
      <c r="Y308" s="27"/>
      <c r="Z308" s="27"/>
      <c r="AA308" s="41"/>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row>
    <row r="309">
      <c r="A309" s="27"/>
      <c r="B309" s="124"/>
      <c r="C309" s="27"/>
      <c r="D309" s="27"/>
      <c r="E309" s="27"/>
      <c r="F309" s="27"/>
      <c r="G309" s="27"/>
      <c r="H309" s="27"/>
      <c r="I309" s="27"/>
      <c r="J309" s="27"/>
      <c r="K309" s="27"/>
      <c r="L309" s="27"/>
      <c r="M309" s="27"/>
      <c r="N309" s="27"/>
      <c r="O309" s="43"/>
      <c r="P309" s="27"/>
      <c r="Q309" s="27"/>
      <c r="R309" s="43"/>
      <c r="S309" s="27"/>
      <c r="T309" s="27"/>
      <c r="U309" s="27"/>
      <c r="V309" s="27"/>
      <c r="W309" s="27"/>
      <c r="X309" s="43"/>
      <c r="Y309" s="27"/>
      <c r="Z309" s="27"/>
      <c r="AA309" s="41"/>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row>
    <row r="310">
      <c r="A310" s="27"/>
      <c r="B310" s="124"/>
      <c r="C310" s="27"/>
      <c r="D310" s="27"/>
      <c r="E310" s="27"/>
      <c r="F310" s="27"/>
      <c r="G310" s="27"/>
      <c r="H310" s="27"/>
      <c r="I310" s="27"/>
      <c r="J310" s="27"/>
      <c r="K310" s="27"/>
      <c r="L310" s="27"/>
      <c r="M310" s="27"/>
      <c r="N310" s="27"/>
      <c r="O310" s="43"/>
      <c r="P310" s="27"/>
      <c r="Q310" s="27"/>
      <c r="R310" s="43"/>
      <c r="S310" s="27"/>
      <c r="T310" s="27"/>
      <c r="U310" s="27"/>
      <c r="V310" s="27"/>
      <c r="W310" s="27"/>
      <c r="X310" s="43"/>
      <c r="Y310" s="27"/>
      <c r="Z310" s="27"/>
      <c r="AA310" s="41"/>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row>
    <row r="311">
      <c r="A311" s="27"/>
      <c r="B311" s="124"/>
      <c r="C311" s="27"/>
      <c r="D311" s="27"/>
      <c r="E311" s="27"/>
      <c r="F311" s="27"/>
      <c r="G311" s="27"/>
      <c r="H311" s="27"/>
      <c r="I311" s="27"/>
      <c r="J311" s="27"/>
      <c r="K311" s="27"/>
      <c r="L311" s="27"/>
      <c r="M311" s="27"/>
      <c r="N311" s="27"/>
      <c r="O311" s="43"/>
      <c r="P311" s="27"/>
      <c r="Q311" s="27"/>
      <c r="R311" s="43"/>
      <c r="S311" s="27"/>
      <c r="T311" s="27"/>
      <c r="U311" s="27"/>
      <c r="V311" s="27"/>
      <c r="W311" s="27"/>
      <c r="X311" s="43"/>
      <c r="Y311" s="27"/>
      <c r="Z311" s="27"/>
      <c r="AA311" s="41"/>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row>
    <row r="312">
      <c r="A312" s="27"/>
      <c r="B312" s="124"/>
      <c r="C312" s="27"/>
      <c r="D312" s="27"/>
      <c r="E312" s="27"/>
      <c r="F312" s="27"/>
      <c r="G312" s="27"/>
      <c r="H312" s="27"/>
      <c r="I312" s="27"/>
      <c r="J312" s="27"/>
      <c r="K312" s="27"/>
      <c r="L312" s="27"/>
      <c r="M312" s="27"/>
      <c r="N312" s="27"/>
      <c r="O312" s="43"/>
      <c r="P312" s="27"/>
      <c r="Q312" s="27"/>
      <c r="R312" s="43"/>
      <c r="S312" s="27"/>
      <c r="T312" s="27"/>
      <c r="U312" s="27"/>
      <c r="V312" s="27"/>
      <c r="W312" s="27"/>
      <c r="X312" s="43"/>
      <c r="Y312" s="27"/>
      <c r="Z312" s="27"/>
      <c r="AA312" s="41"/>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row>
    <row r="313">
      <c r="A313" s="27"/>
      <c r="B313" s="124"/>
      <c r="C313" s="27"/>
      <c r="D313" s="27"/>
      <c r="E313" s="27"/>
      <c r="F313" s="27"/>
      <c r="G313" s="27"/>
      <c r="H313" s="27"/>
      <c r="I313" s="27"/>
      <c r="J313" s="27"/>
      <c r="K313" s="27"/>
      <c r="L313" s="27"/>
      <c r="M313" s="27"/>
      <c r="N313" s="27"/>
      <c r="O313" s="43"/>
      <c r="P313" s="27"/>
      <c r="Q313" s="27"/>
      <c r="R313" s="43"/>
      <c r="S313" s="27"/>
      <c r="T313" s="27"/>
      <c r="U313" s="27"/>
      <c r="V313" s="27"/>
      <c r="W313" s="27"/>
      <c r="X313" s="43"/>
      <c r="Y313" s="27"/>
      <c r="Z313" s="27"/>
      <c r="AA313" s="41"/>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row>
    <row r="314">
      <c r="A314" s="27"/>
      <c r="B314" s="124"/>
      <c r="C314" s="27"/>
      <c r="D314" s="27"/>
      <c r="E314" s="27"/>
      <c r="F314" s="27"/>
      <c r="G314" s="27"/>
      <c r="H314" s="27"/>
      <c r="I314" s="27"/>
      <c r="J314" s="27"/>
      <c r="K314" s="27"/>
      <c r="L314" s="27"/>
      <c r="M314" s="27"/>
      <c r="N314" s="27"/>
      <c r="O314" s="43"/>
      <c r="P314" s="27"/>
      <c r="Q314" s="27"/>
      <c r="R314" s="43"/>
      <c r="S314" s="27"/>
      <c r="T314" s="27"/>
      <c r="U314" s="27"/>
      <c r="V314" s="27"/>
      <c r="W314" s="27"/>
      <c r="X314" s="43"/>
      <c r="Y314" s="27"/>
      <c r="Z314" s="27"/>
      <c r="AA314" s="41"/>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row>
    <row r="315">
      <c r="A315" s="27"/>
      <c r="B315" s="124"/>
      <c r="C315" s="27"/>
      <c r="D315" s="27"/>
      <c r="E315" s="27"/>
      <c r="F315" s="27"/>
      <c r="G315" s="27"/>
      <c r="H315" s="27"/>
      <c r="I315" s="27"/>
      <c r="J315" s="27"/>
      <c r="K315" s="27"/>
      <c r="L315" s="27"/>
      <c r="M315" s="27"/>
      <c r="N315" s="27"/>
      <c r="O315" s="43"/>
      <c r="P315" s="27"/>
      <c r="Q315" s="27"/>
      <c r="R315" s="43"/>
      <c r="S315" s="27"/>
      <c r="T315" s="27"/>
      <c r="U315" s="27"/>
      <c r="V315" s="27"/>
      <c r="W315" s="27"/>
      <c r="X315" s="43"/>
      <c r="Y315" s="27"/>
      <c r="Z315" s="27"/>
      <c r="AA315" s="41"/>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row>
    <row r="316">
      <c r="A316" s="27"/>
      <c r="B316" s="124"/>
      <c r="C316" s="27"/>
      <c r="D316" s="27"/>
      <c r="E316" s="27"/>
      <c r="F316" s="27"/>
      <c r="G316" s="27"/>
      <c r="H316" s="27"/>
      <c r="I316" s="27"/>
      <c r="J316" s="27"/>
      <c r="K316" s="27"/>
      <c r="L316" s="27"/>
      <c r="M316" s="27"/>
      <c r="N316" s="27"/>
      <c r="O316" s="43"/>
      <c r="P316" s="27"/>
      <c r="Q316" s="27"/>
      <c r="R316" s="43"/>
      <c r="S316" s="27"/>
      <c r="T316" s="27"/>
      <c r="U316" s="27"/>
      <c r="V316" s="27"/>
      <c r="W316" s="27"/>
      <c r="X316" s="43"/>
      <c r="Y316" s="27"/>
      <c r="Z316" s="27"/>
      <c r="AA316" s="41"/>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row>
    <row r="317">
      <c r="A317" s="27"/>
      <c r="B317" s="124"/>
      <c r="C317" s="27"/>
      <c r="D317" s="27"/>
      <c r="E317" s="27"/>
      <c r="F317" s="27"/>
      <c r="G317" s="27"/>
      <c r="H317" s="27"/>
      <c r="I317" s="27"/>
      <c r="J317" s="27"/>
      <c r="K317" s="27"/>
      <c r="L317" s="27"/>
      <c r="M317" s="27"/>
      <c r="N317" s="27"/>
      <c r="O317" s="43"/>
      <c r="P317" s="27"/>
      <c r="Q317" s="27"/>
      <c r="R317" s="43"/>
      <c r="S317" s="27"/>
      <c r="T317" s="27"/>
      <c r="U317" s="27"/>
      <c r="V317" s="27"/>
      <c r="W317" s="27"/>
      <c r="X317" s="43"/>
      <c r="Y317" s="27"/>
      <c r="Z317" s="27"/>
      <c r="AA317" s="41"/>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row>
    <row r="318">
      <c r="A318" s="27"/>
      <c r="B318" s="124"/>
      <c r="C318" s="27"/>
      <c r="D318" s="27"/>
      <c r="E318" s="27"/>
      <c r="F318" s="27"/>
      <c r="G318" s="27"/>
      <c r="H318" s="27"/>
      <c r="I318" s="27"/>
      <c r="J318" s="27"/>
      <c r="K318" s="27"/>
      <c r="L318" s="27"/>
      <c r="M318" s="27"/>
      <c r="N318" s="27"/>
      <c r="O318" s="43"/>
      <c r="P318" s="27"/>
      <c r="Q318" s="27"/>
      <c r="R318" s="43"/>
      <c r="S318" s="27"/>
      <c r="T318" s="27"/>
      <c r="U318" s="27"/>
      <c r="V318" s="27"/>
      <c r="W318" s="27"/>
      <c r="X318" s="43"/>
      <c r="Y318" s="27"/>
      <c r="Z318" s="27"/>
      <c r="AA318" s="41"/>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row>
    <row r="319">
      <c r="A319" s="27"/>
      <c r="B319" s="124"/>
      <c r="C319" s="27"/>
      <c r="D319" s="27"/>
      <c r="E319" s="27"/>
      <c r="F319" s="27"/>
      <c r="G319" s="27"/>
      <c r="H319" s="27"/>
      <c r="I319" s="27"/>
      <c r="J319" s="27"/>
      <c r="K319" s="27"/>
      <c r="L319" s="27"/>
      <c r="M319" s="27"/>
      <c r="N319" s="27"/>
      <c r="O319" s="43"/>
      <c r="P319" s="27"/>
      <c r="Q319" s="27"/>
      <c r="R319" s="43"/>
      <c r="S319" s="27"/>
      <c r="T319" s="27"/>
      <c r="U319" s="27"/>
      <c r="V319" s="27"/>
      <c r="W319" s="27"/>
      <c r="X319" s="43"/>
      <c r="Y319" s="27"/>
      <c r="Z319" s="27"/>
      <c r="AA319" s="41"/>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row>
    <row r="320">
      <c r="A320" s="27"/>
      <c r="B320" s="124"/>
      <c r="C320" s="27"/>
      <c r="D320" s="27"/>
      <c r="E320" s="27"/>
      <c r="F320" s="27"/>
      <c r="G320" s="27"/>
      <c r="H320" s="27"/>
      <c r="I320" s="27"/>
      <c r="J320" s="27"/>
      <c r="K320" s="27"/>
      <c r="L320" s="27"/>
      <c r="M320" s="27"/>
      <c r="N320" s="27"/>
      <c r="O320" s="43"/>
      <c r="P320" s="27"/>
      <c r="Q320" s="27"/>
      <c r="R320" s="43"/>
      <c r="S320" s="27"/>
      <c r="T320" s="27"/>
      <c r="U320" s="27"/>
      <c r="V320" s="27"/>
      <c r="W320" s="27"/>
      <c r="X320" s="43"/>
      <c r="Y320" s="27"/>
      <c r="Z320" s="27"/>
      <c r="AA320" s="41"/>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row>
    <row r="321">
      <c r="A321" s="27"/>
      <c r="B321" s="124"/>
      <c r="C321" s="27"/>
      <c r="D321" s="27"/>
      <c r="E321" s="27"/>
      <c r="F321" s="27"/>
      <c r="G321" s="27"/>
      <c r="H321" s="27"/>
      <c r="I321" s="27"/>
      <c r="J321" s="27"/>
      <c r="K321" s="27"/>
      <c r="L321" s="27"/>
      <c r="M321" s="27"/>
      <c r="N321" s="27"/>
      <c r="O321" s="43"/>
      <c r="P321" s="27"/>
      <c r="Q321" s="27"/>
      <c r="R321" s="43"/>
      <c r="S321" s="27"/>
      <c r="T321" s="27"/>
      <c r="U321" s="27"/>
      <c r="V321" s="27"/>
      <c r="W321" s="27"/>
      <c r="X321" s="43"/>
      <c r="Y321" s="27"/>
      <c r="Z321" s="27"/>
      <c r="AA321" s="41"/>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row>
    <row r="322">
      <c r="A322" s="27"/>
      <c r="B322" s="124"/>
      <c r="C322" s="27"/>
      <c r="D322" s="27"/>
      <c r="E322" s="27"/>
      <c r="F322" s="27"/>
      <c r="G322" s="27"/>
      <c r="H322" s="27"/>
      <c r="I322" s="27"/>
      <c r="J322" s="27"/>
      <c r="K322" s="27"/>
      <c r="L322" s="27"/>
      <c r="M322" s="27"/>
      <c r="N322" s="27"/>
      <c r="O322" s="43"/>
      <c r="P322" s="27"/>
      <c r="Q322" s="27"/>
      <c r="R322" s="43"/>
      <c r="S322" s="27"/>
      <c r="T322" s="27"/>
      <c r="U322" s="27"/>
      <c r="V322" s="27"/>
      <c r="W322" s="27"/>
      <c r="X322" s="43"/>
      <c r="Y322" s="27"/>
      <c r="Z322" s="27"/>
      <c r="AA322" s="41"/>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row>
    <row r="323">
      <c r="A323" s="27"/>
      <c r="B323" s="124"/>
      <c r="C323" s="27"/>
      <c r="D323" s="27"/>
      <c r="E323" s="27"/>
      <c r="F323" s="27"/>
      <c r="G323" s="27"/>
      <c r="H323" s="27"/>
      <c r="I323" s="27"/>
      <c r="J323" s="27"/>
      <c r="K323" s="27"/>
      <c r="L323" s="27"/>
      <c r="M323" s="27"/>
      <c r="N323" s="27"/>
      <c r="O323" s="43"/>
      <c r="P323" s="27"/>
      <c r="Q323" s="27"/>
      <c r="R323" s="43"/>
      <c r="S323" s="27"/>
      <c r="T323" s="27"/>
      <c r="U323" s="27"/>
      <c r="V323" s="27"/>
      <c r="W323" s="27"/>
      <c r="X323" s="43"/>
      <c r="Y323" s="27"/>
      <c r="Z323" s="27"/>
      <c r="AA323" s="41"/>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row>
    <row r="324">
      <c r="A324" s="27"/>
      <c r="B324" s="124"/>
      <c r="C324" s="27"/>
      <c r="D324" s="27"/>
      <c r="E324" s="27"/>
      <c r="F324" s="27"/>
      <c r="G324" s="27"/>
      <c r="H324" s="27"/>
      <c r="I324" s="27"/>
      <c r="J324" s="27"/>
      <c r="K324" s="27"/>
      <c r="L324" s="27"/>
      <c r="M324" s="27"/>
      <c r="N324" s="27"/>
      <c r="O324" s="43"/>
      <c r="P324" s="27"/>
      <c r="Q324" s="27"/>
      <c r="R324" s="43"/>
      <c r="S324" s="27"/>
      <c r="T324" s="27"/>
      <c r="U324" s="27"/>
      <c r="V324" s="27"/>
      <c r="W324" s="27"/>
      <c r="X324" s="43"/>
      <c r="Y324" s="27"/>
      <c r="Z324" s="27"/>
      <c r="AA324" s="41"/>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row>
    <row r="325">
      <c r="A325" s="27"/>
      <c r="B325" s="124"/>
      <c r="C325" s="27"/>
      <c r="D325" s="27"/>
      <c r="E325" s="27"/>
      <c r="F325" s="27"/>
      <c r="G325" s="27"/>
      <c r="H325" s="27"/>
      <c r="I325" s="27"/>
      <c r="J325" s="27"/>
      <c r="K325" s="27"/>
      <c r="L325" s="27"/>
      <c r="M325" s="27"/>
      <c r="N325" s="27"/>
      <c r="O325" s="43"/>
      <c r="P325" s="27"/>
      <c r="Q325" s="27"/>
      <c r="R325" s="43"/>
      <c r="S325" s="27"/>
      <c r="T325" s="27"/>
      <c r="U325" s="27"/>
      <c r="V325" s="27"/>
      <c r="W325" s="27"/>
      <c r="X325" s="43"/>
      <c r="Y325" s="27"/>
      <c r="Z325" s="27"/>
      <c r="AA325" s="41"/>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row>
    <row r="326">
      <c r="A326" s="27"/>
      <c r="B326" s="124"/>
      <c r="C326" s="27"/>
      <c r="D326" s="27"/>
      <c r="E326" s="27"/>
      <c r="F326" s="27"/>
      <c r="G326" s="27"/>
      <c r="H326" s="27"/>
      <c r="I326" s="27"/>
      <c r="J326" s="27"/>
      <c r="K326" s="27"/>
      <c r="L326" s="27"/>
      <c r="M326" s="27"/>
      <c r="N326" s="27"/>
      <c r="O326" s="43"/>
      <c r="P326" s="27"/>
      <c r="Q326" s="27"/>
      <c r="R326" s="43"/>
      <c r="S326" s="27"/>
      <c r="T326" s="27"/>
      <c r="U326" s="27"/>
      <c r="V326" s="27"/>
      <c r="W326" s="27"/>
      <c r="X326" s="43"/>
      <c r="Y326" s="27"/>
      <c r="Z326" s="27"/>
      <c r="AA326" s="41"/>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row>
    <row r="327">
      <c r="A327" s="27"/>
      <c r="B327" s="124"/>
      <c r="C327" s="27"/>
      <c r="D327" s="27"/>
      <c r="E327" s="27"/>
      <c r="F327" s="27"/>
      <c r="G327" s="27"/>
      <c r="H327" s="27"/>
      <c r="I327" s="27"/>
      <c r="J327" s="27"/>
      <c r="K327" s="27"/>
      <c r="L327" s="27"/>
      <c r="M327" s="27"/>
      <c r="N327" s="27"/>
      <c r="O327" s="43"/>
      <c r="P327" s="27"/>
      <c r="Q327" s="27"/>
      <c r="R327" s="43"/>
      <c r="S327" s="27"/>
      <c r="T327" s="27"/>
      <c r="U327" s="27"/>
      <c r="V327" s="27"/>
      <c r="W327" s="27"/>
      <c r="X327" s="43"/>
      <c r="Y327" s="27"/>
      <c r="Z327" s="27"/>
      <c r="AA327" s="41"/>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row>
    <row r="328">
      <c r="A328" s="27"/>
      <c r="B328" s="124"/>
      <c r="C328" s="27"/>
      <c r="D328" s="27"/>
      <c r="E328" s="27"/>
      <c r="F328" s="27"/>
      <c r="G328" s="27"/>
      <c r="H328" s="27"/>
      <c r="I328" s="27"/>
      <c r="J328" s="27"/>
      <c r="K328" s="27"/>
      <c r="L328" s="27"/>
      <c r="M328" s="27"/>
      <c r="N328" s="27"/>
      <c r="O328" s="43"/>
      <c r="P328" s="27"/>
      <c r="Q328" s="27"/>
      <c r="R328" s="43"/>
      <c r="S328" s="27"/>
      <c r="T328" s="27"/>
      <c r="U328" s="27"/>
      <c r="V328" s="27"/>
      <c r="W328" s="27"/>
      <c r="X328" s="43"/>
      <c r="Y328" s="27"/>
      <c r="Z328" s="27"/>
      <c r="AA328" s="41"/>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row>
    <row r="329">
      <c r="A329" s="27"/>
      <c r="B329" s="124"/>
      <c r="C329" s="27"/>
      <c r="D329" s="27"/>
      <c r="E329" s="27"/>
      <c r="F329" s="27"/>
      <c r="G329" s="27"/>
      <c r="H329" s="27"/>
      <c r="I329" s="27"/>
      <c r="J329" s="27"/>
      <c r="K329" s="27"/>
      <c r="L329" s="27"/>
      <c r="M329" s="27"/>
      <c r="N329" s="27"/>
      <c r="O329" s="43"/>
      <c r="P329" s="27"/>
      <c r="Q329" s="27"/>
      <c r="R329" s="43"/>
      <c r="S329" s="27"/>
      <c r="T329" s="27"/>
      <c r="U329" s="27"/>
      <c r="V329" s="27"/>
      <c r="W329" s="27"/>
      <c r="X329" s="43"/>
      <c r="Y329" s="27"/>
      <c r="Z329" s="27"/>
      <c r="AA329" s="41"/>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row>
    <row r="330">
      <c r="A330" s="27"/>
      <c r="B330" s="124"/>
      <c r="C330" s="27"/>
      <c r="D330" s="27"/>
      <c r="E330" s="27"/>
      <c r="F330" s="27"/>
      <c r="G330" s="27"/>
      <c r="H330" s="27"/>
      <c r="I330" s="27"/>
      <c r="J330" s="27"/>
      <c r="K330" s="27"/>
      <c r="L330" s="27"/>
      <c r="M330" s="27"/>
      <c r="N330" s="27"/>
      <c r="O330" s="43"/>
      <c r="P330" s="27"/>
      <c r="Q330" s="27"/>
      <c r="R330" s="43"/>
      <c r="S330" s="27"/>
      <c r="T330" s="27"/>
      <c r="U330" s="27"/>
      <c r="V330" s="27"/>
      <c r="W330" s="27"/>
      <c r="X330" s="43"/>
      <c r="Y330" s="27"/>
      <c r="Z330" s="27"/>
      <c r="AA330" s="41"/>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row>
    <row r="331">
      <c r="A331" s="27"/>
      <c r="B331" s="124"/>
      <c r="C331" s="27"/>
      <c r="D331" s="27"/>
      <c r="E331" s="27"/>
      <c r="F331" s="27"/>
      <c r="G331" s="27"/>
      <c r="H331" s="27"/>
      <c r="I331" s="27"/>
      <c r="J331" s="27"/>
      <c r="K331" s="27"/>
      <c r="L331" s="27"/>
      <c r="M331" s="27"/>
      <c r="N331" s="27"/>
      <c r="O331" s="43"/>
      <c r="P331" s="27"/>
      <c r="Q331" s="27"/>
      <c r="R331" s="43"/>
      <c r="S331" s="27"/>
      <c r="T331" s="27"/>
      <c r="U331" s="27"/>
      <c r="V331" s="27"/>
      <c r="W331" s="27"/>
      <c r="X331" s="43"/>
      <c r="Y331" s="27"/>
      <c r="Z331" s="27"/>
      <c r="AA331" s="41"/>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row>
    <row r="332">
      <c r="A332" s="27"/>
      <c r="B332" s="124"/>
      <c r="C332" s="27"/>
      <c r="D332" s="27"/>
      <c r="E332" s="27"/>
      <c r="F332" s="27"/>
      <c r="G332" s="27"/>
      <c r="H332" s="27"/>
      <c r="I332" s="27"/>
      <c r="J332" s="27"/>
      <c r="K332" s="27"/>
      <c r="L332" s="27"/>
      <c r="M332" s="27"/>
      <c r="N332" s="27"/>
      <c r="O332" s="43"/>
      <c r="P332" s="27"/>
      <c r="Q332" s="27"/>
      <c r="R332" s="43"/>
      <c r="S332" s="27"/>
      <c r="T332" s="27"/>
      <c r="U332" s="27"/>
      <c r="V332" s="27"/>
      <c r="W332" s="27"/>
      <c r="X332" s="43"/>
      <c r="Y332" s="27"/>
      <c r="Z332" s="27"/>
      <c r="AA332" s="41"/>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row>
    <row r="333">
      <c r="A333" s="27"/>
      <c r="B333" s="124"/>
      <c r="C333" s="27"/>
      <c r="D333" s="27"/>
      <c r="E333" s="27"/>
      <c r="F333" s="27"/>
      <c r="G333" s="27"/>
      <c r="H333" s="27"/>
      <c r="I333" s="27"/>
      <c r="J333" s="27"/>
      <c r="K333" s="27"/>
      <c r="L333" s="27"/>
      <c r="M333" s="27"/>
      <c r="N333" s="27"/>
      <c r="O333" s="43"/>
      <c r="P333" s="27"/>
      <c r="Q333" s="27"/>
      <c r="R333" s="43"/>
      <c r="S333" s="27"/>
      <c r="T333" s="27"/>
      <c r="U333" s="27"/>
      <c r="V333" s="27"/>
      <c r="W333" s="27"/>
      <c r="X333" s="43"/>
      <c r="Y333" s="27"/>
      <c r="Z333" s="27"/>
      <c r="AA333" s="41"/>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row>
    <row r="334">
      <c r="A334" s="27"/>
      <c r="B334" s="124"/>
      <c r="C334" s="27"/>
      <c r="D334" s="27"/>
      <c r="E334" s="27"/>
      <c r="F334" s="27"/>
      <c r="G334" s="27"/>
      <c r="H334" s="27"/>
      <c r="I334" s="27"/>
      <c r="J334" s="27"/>
      <c r="K334" s="27"/>
      <c r="L334" s="27"/>
      <c r="M334" s="27"/>
      <c r="N334" s="27"/>
      <c r="O334" s="43"/>
      <c r="P334" s="27"/>
      <c r="Q334" s="27"/>
      <c r="R334" s="43"/>
      <c r="S334" s="27"/>
      <c r="T334" s="27"/>
      <c r="U334" s="27"/>
      <c r="V334" s="27"/>
      <c r="W334" s="27"/>
      <c r="X334" s="43"/>
      <c r="Y334" s="27"/>
      <c r="Z334" s="27"/>
      <c r="AA334" s="41"/>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row>
    <row r="335">
      <c r="A335" s="27"/>
      <c r="B335" s="124"/>
      <c r="C335" s="27"/>
      <c r="D335" s="27"/>
      <c r="E335" s="27"/>
      <c r="F335" s="27"/>
      <c r="G335" s="27"/>
      <c r="H335" s="27"/>
      <c r="I335" s="27"/>
      <c r="J335" s="27"/>
      <c r="K335" s="27"/>
      <c r="L335" s="27"/>
      <c r="M335" s="27"/>
      <c r="N335" s="27"/>
      <c r="O335" s="43"/>
      <c r="P335" s="27"/>
      <c r="Q335" s="27"/>
      <c r="R335" s="43"/>
      <c r="S335" s="27"/>
      <c r="T335" s="27"/>
      <c r="U335" s="27"/>
      <c r="V335" s="27"/>
      <c r="W335" s="27"/>
      <c r="X335" s="43"/>
      <c r="Y335" s="27"/>
      <c r="Z335" s="27"/>
      <c r="AA335" s="41"/>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row>
    <row r="336">
      <c r="A336" s="27"/>
      <c r="B336" s="124"/>
      <c r="C336" s="27"/>
      <c r="D336" s="27"/>
      <c r="E336" s="27"/>
      <c r="F336" s="27"/>
      <c r="G336" s="27"/>
      <c r="H336" s="27"/>
      <c r="I336" s="27"/>
      <c r="J336" s="27"/>
      <c r="K336" s="27"/>
      <c r="L336" s="27"/>
      <c r="M336" s="27"/>
      <c r="N336" s="27"/>
      <c r="O336" s="43"/>
      <c r="P336" s="27"/>
      <c r="Q336" s="27"/>
      <c r="R336" s="43"/>
      <c r="S336" s="27"/>
      <c r="T336" s="27"/>
      <c r="U336" s="27"/>
      <c r="V336" s="27"/>
      <c r="W336" s="27"/>
      <c r="X336" s="43"/>
      <c r="Y336" s="27"/>
      <c r="Z336" s="27"/>
      <c r="AA336" s="41"/>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row>
    <row r="337">
      <c r="A337" s="27"/>
      <c r="B337" s="124"/>
      <c r="C337" s="27"/>
      <c r="D337" s="27"/>
      <c r="E337" s="27"/>
      <c r="F337" s="27"/>
      <c r="G337" s="27"/>
      <c r="H337" s="27"/>
      <c r="I337" s="27"/>
      <c r="J337" s="27"/>
      <c r="K337" s="27"/>
      <c r="L337" s="27"/>
      <c r="M337" s="27"/>
      <c r="N337" s="27"/>
      <c r="O337" s="43"/>
      <c r="P337" s="27"/>
      <c r="Q337" s="27"/>
      <c r="R337" s="43"/>
      <c r="S337" s="27"/>
      <c r="T337" s="27"/>
      <c r="U337" s="27"/>
      <c r="V337" s="27"/>
      <c r="W337" s="27"/>
      <c r="X337" s="43"/>
      <c r="Y337" s="27"/>
      <c r="Z337" s="27"/>
      <c r="AA337" s="41"/>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row>
    <row r="338">
      <c r="A338" s="27"/>
      <c r="B338" s="124"/>
      <c r="C338" s="27"/>
      <c r="D338" s="27"/>
      <c r="E338" s="27"/>
      <c r="F338" s="27"/>
      <c r="G338" s="27"/>
      <c r="H338" s="27"/>
      <c r="I338" s="27"/>
      <c r="J338" s="27"/>
      <c r="K338" s="27"/>
      <c r="L338" s="27"/>
      <c r="M338" s="27"/>
      <c r="N338" s="27"/>
      <c r="O338" s="43"/>
      <c r="P338" s="27"/>
      <c r="Q338" s="27"/>
      <c r="R338" s="43"/>
      <c r="S338" s="27"/>
      <c r="T338" s="27"/>
      <c r="U338" s="27"/>
      <c r="V338" s="27"/>
      <c r="W338" s="27"/>
      <c r="X338" s="43"/>
      <c r="Y338" s="27"/>
      <c r="Z338" s="27"/>
      <c r="AA338" s="41"/>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row>
    <row r="339">
      <c r="A339" s="27"/>
      <c r="B339" s="124"/>
      <c r="C339" s="27"/>
      <c r="D339" s="27"/>
      <c r="E339" s="27"/>
      <c r="F339" s="27"/>
      <c r="G339" s="27"/>
      <c r="H339" s="27"/>
      <c r="I339" s="27"/>
      <c r="J339" s="27"/>
      <c r="K339" s="27"/>
      <c r="L339" s="27"/>
      <c r="M339" s="27"/>
      <c r="N339" s="27"/>
      <c r="O339" s="43"/>
      <c r="P339" s="27"/>
      <c r="Q339" s="27"/>
      <c r="R339" s="43"/>
      <c r="S339" s="27"/>
      <c r="T339" s="27"/>
      <c r="U339" s="27"/>
      <c r="V339" s="27"/>
      <c r="W339" s="27"/>
      <c r="X339" s="43"/>
      <c r="Y339" s="27"/>
      <c r="Z339" s="27"/>
      <c r="AA339" s="41"/>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row>
    <row r="340">
      <c r="A340" s="27"/>
      <c r="B340" s="124"/>
      <c r="C340" s="27"/>
      <c r="D340" s="27"/>
      <c r="E340" s="27"/>
      <c r="F340" s="27"/>
      <c r="G340" s="27"/>
      <c r="H340" s="27"/>
      <c r="I340" s="27"/>
      <c r="J340" s="27"/>
      <c r="K340" s="27"/>
      <c r="L340" s="27"/>
      <c r="M340" s="27"/>
      <c r="N340" s="27"/>
      <c r="O340" s="43"/>
      <c r="P340" s="27"/>
      <c r="Q340" s="27"/>
      <c r="R340" s="43"/>
      <c r="S340" s="27"/>
      <c r="T340" s="27"/>
      <c r="U340" s="27"/>
      <c r="V340" s="27"/>
      <c r="W340" s="27"/>
      <c r="X340" s="43"/>
      <c r="Y340" s="27"/>
      <c r="Z340" s="27"/>
      <c r="AA340" s="41"/>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row>
    <row r="341">
      <c r="A341" s="27"/>
      <c r="B341" s="124"/>
      <c r="C341" s="27"/>
      <c r="D341" s="27"/>
      <c r="E341" s="27"/>
      <c r="F341" s="27"/>
      <c r="G341" s="27"/>
      <c r="H341" s="27"/>
      <c r="I341" s="27"/>
      <c r="J341" s="27"/>
      <c r="K341" s="27"/>
      <c r="L341" s="27"/>
      <c r="M341" s="27"/>
      <c r="N341" s="27"/>
      <c r="O341" s="43"/>
      <c r="P341" s="27"/>
      <c r="Q341" s="27"/>
      <c r="R341" s="43"/>
      <c r="S341" s="27"/>
      <c r="T341" s="27"/>
      <c r="U341" s="27"/>
      <c r="V341" s="27"/>
      <c r="W341" s="27"/>
      <c r="X341" s="43"/>
      <c r="Y341" s="27"/>
      <c r="Z341" s="27"/>
      <c r="AA341" s="41"/>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row>
    <row r="342">
      <c r="A342" s="27"/>
      <c r="B342" s="124"/>
      <c r="C342" s="27"/>
      <c r="D342" s="27"/>
      <c r="E342" s="27"/>
      <c r="F342" s="27"/>
      <c r="G342" s="27"/>
      <c r="H342" s="27"/>
      <c r="I342" s="27"/>
      <c r="J342" s="27"/>
      <c r="K342" s="27"/>
      <c r="L342" s="27"/>
      <c r="M342" s="27"/>
      <c r="N342" s="27"/>
      <c r="O342" s="43"/>
      <c r="P342" s="27"/>
      <c r="Q342" s="27"/>
      <c r="R342" s="43"/>
      <c r="S342" s="27"/>
      <c r="T342" s="27"/>
      <c r="U342" s="27"/>
      <c r="V342" s="27"/>
      <c r="W342" s="27"/>
      <c r="X342" s="43"/>
      <c r="Y342" s="27"/>
      <c r="Z342" s="27"/>
      <c r="AA342" s="41"/>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row>
    <row r="343">
      <c r="A343" s="27"/>
      <c r="B343" s="124"/>
      <c r="C343" s="27"/>
      <c r="D343" s="27"/>
      <c r="E343" s="27"/>
      <c r="F343" s="27"/>
      <c r="G343" s="27"/>
      <c r="H343" s="27"/>
      <c r="I343" s="27"/>
      <c r="J343" s="27"/>
      <c r="K343" s="27"/>
      <c r="L343" s="27"/>
      <c r="M343" s="27"/>
      <c r="N343" s="27"/>
      <c r="O343" s="43"/>
      <c r="P343" s="27"/>
      <c r="Q343" s="27"/>
      <c r="R343" s="43"/>
      <c r="S343" s="27"/>
      <c r="T343" s="27"/>
      <c r="U343" s="27"/>
      <c r="V343" s="27"/>
      <c r="W343" s="27"/>
      <c r="X343" s="43"/>
      <c r="Y343" s="27"/>
      <c r="Z343" s="27"/>
      <c r="AA343" s="41"/>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row>
    <row r="344">
      <c r="A344" s="27"/>
      <c r="B344" s="124"/>
      <c r="C344" s="27"/>
      <c r="D344" s="27"/>
      <c r="E344" s="27"/>
      <c r="F344" s="27"/>
      <c r="G344" s="27"/>
      <c r="H344" s="27"/>
      <c r="I344" s="27"/>
      <c r="J344" s="27"/>
      <c r="K344" s="27"/>
      <c r="L344" s="27"/>
      <c r="M344" s="27"/>
      <c r="N344" s="27"/>
      <c r="O344" s="43"/>
      <c r="P344" s="27"/>
      <c r="Q344" s="27"/>
      <c r="R344" s="43"/>
      <c r="S344" s="27"/>
      <c r="T344" s="27"/>
      <c r="U344" s="27"/>
      <c r="V344" s="27"/>
      <c r="W344" s="27"/>
      <c r="X344" s="43"/>
      <c r="Y344" s="27"/>
      <c r="Z344" s="27"/>
      <c r="AA344" s="41"/>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row>
    <row r="345">
      <c r="A345" s="27"/>
      <c r="B345" s="124"/>
      <c r="C345" s="27"/>
      <c r="D345" s="27"/>
      <c r="E345" s="27"/>
      <c r="F345" s="27"/>
      <c r="G345" s="27"/>
      <c r="H345" s="27"/>
      <c r="I345" s="27"/>
      <c r="J345" s="27"/>
      <c r="K345" s="27"/>
      <c r="L345" s="27"/>
      <c r="M345" s="27"/>
      <c r="N345" s="27"/>
      <c r="O345" s="43"/>
      <c r="P345" s="27"/>
      <c r="Q345" s="27"/>
      <c r="R345" s="43"/>
      <c r="S345" s="27"/>
      <c r="T345" s="27"/>
      <c r="U345" s="27"/>
      <c r="V345" s="27"/>
      <c r="W345" s="27"/>
      <c r="X345" s="43"/>
      <c r="Y345" s="27"/>
      <c r="Z345" s="27"/>
      <c r="AA345" s="41"/>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row>
    <row r="346">
      <c r="A346" s="27"/>
      <c r="B346" s="124"/>
      <c r="C346" s="27"/>
      <c r="D346" s="27"/>
      <c r="E346" s="27"/>
      <c r="F346" s="27"/>
      <c r="G346" s="27"/>
      <c r="H346" s="27"/>
      <c r="I346" s="27"/>
      <c r="J346" s="27"/>
      <c r="K346" s="27"/>
      <c r="L346" s="27"/>
      <c r="M346" s="27"/>
      <c r="N346" s="27"/>
      <c r="O346" s="43"/>
      <c r="P346" s="27"/>
      <c r="Q346" s="27"/>
      <c r="R346" s="43"/>
      <c r="S346" s="27"/>
      <c r="T346" s="27"/>
      <c r="U346" s="27"/>
      <c r="V346" s="27"/>
      <c r="W346" s="27"/>
      <c r="X346" s="43"/>
      <c r="Y346" s="27"/>
      <c r="Z346" s="27"/>
      <c r="AA346" s="41"/>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row>
    <row r="347">
      <c r="A347" s="27"/>
      <c r="B347" s="124"/>
      <c r="C347" s="27"/>
      <c r="D347" s="27"/>
      <c r="E347" s="27"/>
      <c r="F347" s="27"/>
      <c r="G347" s="27"/>
      <c r="H347" s="27"/>
      <c r="I347" s="27"/>
      <c r="J347" s="27"/>
      <c r="K347" s="27"/>
      <c r="L347" s="27"/>
      <c r="M347" s="27"/>
      <c r="N347" s="27"/>
      <c r="O347" s="43"/>
      <c r="P347" s="27"/>
      <c r="Q347" s="27"/>
      <c r="R347" s="43"/>
      <c r="S347" s="27"/>
      <c r="T347" s="27"/>
      <c r="U347" s="27"/>
      <c r="V347" s="27"/>
      <c r="W347" s="27"/>
      <c r="X347" s="43"/>
      <c r="Y347" s="27"/>
      <c r="Z347" s="27"/>
      <c r="AA347" s="41"/>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row>
    <row r="348">
      <c r="A348" s="27"/>
      <c r="B348" s="124"/>
      <c r="C348" s="27"/>
      <c r="D348" s="27"/>
      <c r="E348" s="27"/>
      <c r="F348" s="27"/>
      <c r="G348" s="27"/>
      <c r="H348" s="27"/>
      <c r="I348" s="27"/>
      <c r="J348" s="27"/>
      <c r="K348" s="27"/>
      <c r="L348" s="27"/>
      <c r="M348" s="27"/>
      <c r="N348" s="27"/>
      <c r="O348" s="43"/>
      <c r="P348" s="27"/>
      <c r="Q348" s="27"/>
      <c r="R348" s="43"/>
      <c r="S348" s="27"/>
      <c r="T348" s="27"/>
      <c r="U348" s="27"/>
      <c r="V348" s="27"/>
      <c r="W348" s="27"/>
      <c r="X348" s="43"/>
      <c r="Y348" s="27"/>
      <c r="Z348" s="27"/>
      <c r="AA348" s="41"/>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row>
    <row r="349">
      <c r="A349" s="27"/>
      <c r="B349" s="124"/>
      <c r="C349" s="27"/>
      <c r="D349" s="27"/>
      <c r="E349" s="27"/>
      <c r="F349" s="27"/>
      <c r="G349" s="27"/>
      <c r="H349" s="27"/>
      <c r="I349" s="27"/>
      <c r="J349" s="27"/>
      <c r="K349" s="27"/>
      <c r="L349" s="27"/>
      <c r="M349" s="27"/>
      <c r="N349" s="27"/>
      <c r="O349" s="43"/>
      <c r="P349" s="27"/>
      <c r="Q349" s="27"/>
      <c r="R349" s="43"/>
      <c r="S349" s="27"/>
      <c r="T349" s="27"/>
      <c r="U349" s="27"/>
      <c r="V349" s="27"/>
      <c r="W349" s="27"/>
      <c r="X349" s="43"/>
      <c r="Y349" s="27"/>
      <c r="Z349" s="27"/>
      <c r="AA349" s="41"/>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row>
    <row r="350">
      <c r="A350" s="27"/>
      <c r="B350" s="124"/>
      <c r="C350" s="27"/>
      <c r="D350" s="27"/>
      <c r="E350" s="27"/>
      <c r="F350" s="27"/>
      <c r="G350" s="27"/>
      <c r="H350" s="27"/>
      <c r="I350" s="27"/>
      <c r="J350" s="27"/>
      <c r="K350" s="27"/>
      <c r="L350" s="27"/>
      <c r="M350" s="27"/>
      <c r="N350" s="27"/>
      <c r="O350" s="43"/>
      <c r="P350" s="27"/>
      <c r="Q350" s="27"/>
      <c r="R350" s="43"/>
      <c r="S350" s="27"/>
      <c r="T350" s="27"/>
      <c r="U350" s="27"/>
      <c r="V350" s="27"/>
      <c r="W350" s="27"/>
      <c r="X350" s="43"/>
      <c r="Y350" s="27"/>
      <c r="Z350" s="27"/>
      <c r="AA350" s="41"/>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row>
    <row r="351">
      <c r="A351" s="27"/>
      <c r="B351" s="124"/>
      <c r="C351" s="27"/>
      <c r="D351" s="27"/>
      <c r="E351" s="27"/>
      <c r="F351" s="27"/>
      <c r="G351" s="27"/>
      <c r="H351" s="27"/>
      <c r="I351" s="27"/>
      <c r="J351" s="27"/>
      <c r="K351" s="27"/>
      <c r="L351" s="27"/>
      <c r="M351" s="27"/>
      <c r="N351" s="27"/>
      <c r="O351" s="43"/>
      <c r="P351" s="27"/>
      <c r="Q351" s="27"/>
      <c r="R351" s="43"/>
      <c r="S351" s="27"/>
      <c r="T351" s="27"/>
      <c r="U351" s="27"/>
      <c r="V351" s="27"/>
      <c r="W351" s="27"/>
      <c r="X351" s="43"/>
      <c r="Y351" s="27"/>
      <c r="Z351" s="27"/>
      <c r="AA351" s="41"/>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row>
    <row r="352">
      <c r="A352" s="27"/>
      <c r="B352" s="124"/>
      <c r="C352" s="27"/>
      <c r="D352" s="27"/>
      <c r="E352" s="27"/>
      <c r="F352" s="27"/>
      <c r="G352" s="27"/>
      <c r="H352" s="27"/>
      <c r="I352" s="27"/>
      <c r="J352" s="27"/>
      <c r="K352" s="27"/>
      <c r="L352" s="27"/>
      <c r="M352" s="27"/>
      <c r="N352" s="27"/>
      <c r="O352" s="43"/>
      <c r="P352" s="27"/>
      <c r="Q352" s="27"/>
      <c r="R352" s="43"/>
      <c r="S352" s="27"/>
      <c r="T352" s="27"/>
      <c r="U352" s="27"/>
      <c r="V352" s="27"/>
      <c r="W352" s="27"/>
      <c r="X352" s="43"/>
      <c r="Y352" s="27"/>
      <c r="Z352" s="27"/>
      <c r="AA352" s="41"/>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row>
    <row r="353">
      <c r="A353" s="27"/>
      <c r="B353" s="124"/>
      <c r="C353" s="27"/>
      <c r="D353" s="27"/>
      <c r="E353" s="27"/>
      <c r="F353" s="27"/>
      <c r="G353" s="27"/>
      <c r="H353" s="27"/>
      <c r="I353" s="27"/>
      <c r="J353" s="27"/>
      <c r="K353" s="27"/>
      <c r="L353" s="27"/>
      <c r="M353" s="27"/>
      <c r="N353" s="27"/>
      <c r="O353" s="43"/>
      <c r="P353" s="27"/>
      <c r="Q353" s="27"/>
      <c r="R353" s="43"/>
      <c r="S353" s="27"/>
      <c r="T353" s="27"/>
      <c r="U353" s="27"/>
      <c r="V353" s="27"/>
      <c r="W353" s="27"/>
      <c r="X353" s="43"/>
      <c r="Y353" s="27"/>
      <c r="Z353" s="27"/>
      <c r="AA353" s="41"/>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row>
    <row r="354">
      <c r="A354" s="27"/>
      <c r="B354" s="124"/>
      <c r="C354" s="27"/>
      <c r="D354" s="27"/>
      <c r="E354" s="27"/>
      <c r="F354" s="27"/>
      <c r="G354" s="27"/>
      <c r="H354" s="27"/>
      <c r="I354" s="27"/>
      <c r="J354" s="27"/>
      <c r="K354" s="27"/>
      <c r="L354" s="27"/>
      <c r="M354" s="27"/>
      <c r="N354" s="27"/>
      <c r="O354" s="43"/>
      <c r="P354" s="27"/>
      <c r="Q354" s="27"/>
      <c r="R354" s="43"/>
      <c r="S354" s="27"/>
      <c r="T354" s="27"/>
      <c r="U354" s="27"/>
      <c r="V354" s="27"/>
      <c r="W354" s="27"/>
      <c r="X354" s="43"/>
      <c r="Y354" s="27"/>
      <c r="Z354" s="27"/>
      <c r="AA354" s="41"/>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row>
    <row r="355">
      <c r="A355" s="27"/>
      <c r="B355" s="124"/>
      <c r="C355" s="27"/>
      <c r="D355" s="27"/>
      <c r="E355" s="27"/>
      <c r="F355" s="27"/>
      <c r="G355" s="27"/>
      <c r="H355" s="27"/>
      <c r="I355" s="27"/>
      <c r="J355" s="27"/>
      <c r="K355" s="27"/>
      <c r="L355" s="27"/>
      <c r="M355" s="27"/>
      <c r="N355" s="27"/>
      <c r="O355" s="43"/>
      <c r="P355" s="27"/>
      <c r="Q355" s="27"/>
      <c r="R355" s="43"/>
      <c r="S355" s="27"/>
      <c r="T355" s="27"/>
      <c r="U355" s="27"/>
      <c r="V355" s="27"/>
      <c r="W355" s="27"/>
      <c r="X355" s="43"/>
      <c r="Y355" s="27"/>
      <c r="Z355" s="27"/>
      <c r="AA355" s="41"/>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row>
    <row r="356">
      <c r="A356" s="27"/>
      <c r="B356" s="124"/>
      <c r="C356" s="27"/>
      <c r="D356" s="27"/>
      <c r="E356" s="27"/>
      <c r="F356" s="27"/>
      <c r="G356" s="27"/>
      <c r="H356" s="27"/>
      <c r="I356" s="27"/>
      <c r="J356" s="27"/>
      <c r="K356" s="27"/>
      <c r="L356" s="27"/>
      <c r="M356" s="27"/>
      <c r="N356" s="27"/>
      <c r="O356" s="43"/>
      <c r="P356" s="27"/>
      <c r="Q356" s="27"/>
      <c r="R356" s="43"/>
      <c r="S356" s="27"/>
      <c r="T356" s="27"/>
      <c r="U356" s="27"/>
      <c r="V356" s="27"/>
      <c r="W356" s="27"/>
      <c r="X356" s="43"/>
      <c r="Y356" s="27"/>
      <c r="Z356" s="27"/>
      <c r="AA356" s="41"/>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row>
    <row r="357">
      <c r="A357" s="27"/>
      <c r="B357" s="124"/>
      <c r="C357" s="27"/>
      <c r="D357" s="27"/>
      <c r="E357" s="27"/>
      <c r="F357" s="27"/>
      <c r="G357" s="27"/>
      <c r="H357" s="27"/>
      <c r="I357" s="27"/>
      <c r="J357" s="27"/>
      <c r="K357" s="27"/>
      <c r="L357" s="27"/>
      <c r="M357" s="27"/>
      <c r="N357" s="27"/>
      <c r="O357" s="43"/>
      <c r="P357" s="27"/>
      <c r="Q357" s="27"/>
      <c r="R357" s="43"/>
      <c r="S357" s="27"/>
      <c r="T357" s="27"/>
      <c r="U357" s="27"/>
      <c r="V357" s="27"/>
      <c r="W357" s="27"/>
      <c r="X357" s="43"/>
      <c r="Y357" s="27"/>
      <c r="Z357" s="27"/>
      <c r="AA357" s="41"/>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row>
    <row r="358">
      <c r="A358" s="27"/>
      <c r="B358" s="124"/>
      <c r="C358" s="27"/>
      <c r="D358" s="27"/>
      <c r="E358" s="27"/>
      <c r="F358" s="27"/>
      <c r="G358" s="27"/>
      <c r="H358" s="27"/>
      <c r="I358" s="27"/>
      <c r="J358" s="27"/>
      <c r="K358" s="27"/>
      <c r="L358" s="27"/>
      <c r="M358" s="27"/>
      <c r="N358" s="27"/>
      <c r="O358" s="43"/>
      <c r="P358" s="27"/>
      <c r="Q358" s="27"/>
      <c r="R358" s="43"/>
      <c r="S358" s="27"/>
      <c r="T358" s="27"/>
      <c r="U358" s="27"/>
      <c r="V358" s="27"/>
      <c r="W358" s="27"/>
      <c r="X358" s="43"/>
      <c r="Y358" s="27"/>
      <c r="Z358" s="27"/>
      <c r="AA358" s="41"/>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row>
    <row r="359">
      <c r="A359" s="27"/>
      <c r="B359" s="124"/>
      <c r="C359" s="27"/>
      <c r="D359" s="27"/>
      <c r="E359" s="27"/>
      <c r="F359" s="27"/>
      <c r="G359" s="27"/>
      <c r="H359" s="27"/>
      <c r="I359" s="27"/>
      <c r="J359" s="27"/>
      <c r="K359" s="27"/>
      <c r="L359" s="27"/>
      <c r="M359" s="27"/>
      <c r="N359" s="27"/>
      <c r="O359" s="43"/>
      <c r="P359" s="27"/>
      <c r="Q359" s="27"/>
      <c r="R359" s="43"/>
      <c r="S359" s="27"/>
      <c r="T359" s="27"/>
      <c r="U359" s="27"/>
      <c r="V359" s="27"/>
      <c r="W359" s="27"/>
      <c r="X359" s="43"/>
      <c r="Y359" s="27"/>
      <c r="Z359" s="27"/>
      <c r="AA359" s="41"/>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row>
    <row r="360">
      <c r="A360" s="27"/>
      <c r="B360" s="124"/>
      <c r="C360" s="27"/>
      <c r="D360" s="27"/>
      <c r="E360" s="27"/>
      <c r="F360" s="27"/>
      <c r="G360" s="27"/>
      <c r="H360" s="27"/>
      <c r="I360" s="27"/>
      <c r="J360" s="27"/>
      <c r="K360" s="27"/>
      <c r="L360" s="27"/>
      <c r="M360" s="27"/>
      <c r="N360" s="27"/>
      <c r="O360" s="43"/>
      <c r="P360" s="27"/>
      <c r="Q360" s="27"/>
      <c r="R360" s="43"/>
      <c r="S360" s="27"/>
      <c r="T360" s="27"/>
      <c r="U360" s="27"/>
      <c r="V360" s="27"/>
      <c r="W360" s="27"/>
      <c r="X360" s="43"/>
      <c r="Y360" s="27"/>
      <c r="Z360" s="27"/>
      <c r="AA360" s="41"/>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row>
    <row r="361">
      <c r="A361" s="27"/>
      <c r="B361" s="124"/>
      <c r="C361" s="27"/>
      <c r="D361" s="27"/>
      <c r="E361" s="27"/>
      <c r="F361" s="27"/>
      <c r="G361" s="27"/>
      <c r="H361" s="27"/>
      <c r="I361" s="27"/>
      <c r="J361" s="27"/>
      <c r="K361" s="27"/>
      <c r="L361" s="27"/>
      <c r="M361" s="27"/>
      <c r="N361" s="27"/>
      <c r="O361" s="43"/>
      <c r="P361" s="27"/>
      <c r="Q361" s="27"/>
      <c r="R361" s="43"/>
      <c r="S361" s="27"/>
      <c r="T361" s="27"/>
      <c r="U361" s="27"/>
      <c r="V361" s="27"/>
      <c r="W361" s="27"/>
      <c r="X361" s="43"/>
      <c r="Y361" s="27"/>
      <c r="Z361" s="27"/>
      <c r="AA361" s="41"/>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row>
    <row r="362">
      <c r="A362" s="27"/>
      <c r="B362" s="124"/>
      <c r="C362" s="27"/>
      <c r="D362" s="27"/>
      <c r="E362" s="27"/>
      <c r="F362" s="27"/>
      <c r="G362" s="27"/>
      <c r="H362" s="27"/>
      <c r="I362" s="27"/>
      <c r="J362" s="27"/>
      <c r="K362" s="27"/>
      <c r="L362" s="27"/>
      <c r="M362" s="27"/>
      <c r="N362" s="27"/>
      <c r="O362" s="43"/>
      <c r="P362" s="27"/>
      <c r="Q362" s="27"/>
      <c r="R362" s="43"/>
      <c r="S362" s="27"/>
      <c r="T362" s="27"/>
      <c r="U362" s="27"/>
      <c r="V362" s="27"/>
      <c r="W362" s="27"/>
      <c r="X362" s="43"/>
      <c r="Y362" s="27"/>
      <c r="Z362" s="27"/>
      <c r="AA362" s="41"/>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row>
    <row r="363">
      <c r="A363" s="27"/>
      <c r="B363" s="124"/>
      <c r="C363" s="27"/>
      <c r="D363" s="27"/>
      <c r="E363" s="27"/>
      <c r="F363" s="27"/>
      <c r="G363" s="27"/>
      <c r="H363" s="27"/>
      <c r="I363" s="27"/>
      <c r="J363" s="27"/>
      <c r="K363" s="27"/>
      <c r="L363" s="27"/>
      <c r="M363" s="27"/>
      <c r="N363" s="27"/>
      <c r="O363" s="43"/>
      <c r="P363" s="27"/>
      <c r="Q363" s="27"/>
      <c r="R363" s="43"/>
      <c r="S363" s="27"/>
      <c r="T363" s="27"/>
      <c r="U363" s="27"/>
      <c r="V363" s="27"/>
      <c r="W363" s="27"/>
      <c r="X363" s="43"/>
      <c r="Y363" s="27"/>
      <c r="Z363" s="27"/>
      <c r="AA363" s="41"/>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row>
    <row r="364">
      <c r="A364" s="27"/>
      <c r="B364" s="124"/>
      <c r="C364" s="27"/>
      <c r="D364" s="27"/>
      <c r="E364" s="27"/>
      <c r="F364" s="27"/>
      <c r="G364" s="27"/>
      <c r="H364" s="27"/>
      <c r="I364" s="27"/>
      <c r="J364" s="27"/>
      <c r="K364" s="27"/>
      <c r="L364" s="27"/>
      <c r="M364" s="27"/>
      <c r="N364" s="27"/>
      <c r="O364" s="43"/>
      <c r="P364" s="27"/>
      <c r="Q364" s="27"/>
      <c r="R364" s="43"/>
      <c r="S364" s="27"/>
      <c r="T364" s="27"/>
      <c r="U364" s="27"/>
      <c r="V364" s="27"/>
      <c r="W364" s="27"/>
      <c r="X364" s="43"/>
      <c r="Y364" s="27"/>
      <c r="Z364" s="27"/>
      <c r="AA364" s="41"/>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row>
    <row r="365">
      <c r="A365" s="27"/>
      <c r="B365" s="124"/>
      <c r="C365" s="27"/>
      <c r="D365" s="27"/>
      <c r="E365" s="27"/>
      <c r="F365" s="27"/>
      <c r="G365" s="27"/>
      <c r="H365" s="27"/>
      <c r="I365" s="27"/>
      <c r="J365" s="27"/>
      <c r="K365" s="27"/>
      <c r="L365" s="27"/>
      <c r="M365" s="27"/>
      <c r="N365" s="27"/>
      <c r="O365" s="43"/>
      <c r="P365" s="27"/>
      <c r="Q365" s="27"/>
      <c r="R365" s="43"/>
      <c r="S365" s="27"/>
      <c r="T365" s="27"/>
      <c r="U365" s="27"/>
      <c r="V365" s="27"/>
      <c r="W365" s="27"/>
      <c r="X365" s="43"/>
      <c r="Y365" s="27"/>
      <c r="Z365" s="27"/>
      <c r="AA365" s="41"/>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row>
    <row r="366">
      <c r="A366" s="27"/>
      <c r="B366" s="124"/>
      <c r="C366" s="27"/>
      <c r="D366" s="27"/>
      <c r="E366" s="27"/>
      <c r="F366" s="27"/>
      <c r="G366" s="27"/>
      <c r="H366" s="27"/>
      <c r="I366" s="27"/>
      <c r="J366" s="27"/>
      <c r="K366" s="27"/>
      <c r="L366" s="27"/>
      <c r="M366" s="27"/>
      <c r="N366" s="27"/>
      <c r="O366" s="43"/>
      <c r="P366" s="27"/>
      <c r="Q366" s="27"/>
      <c r="R366" s="43"/>
      <c r="S366" s="27"/>
      <c r="T366" s="27"/>
      <c r="U366" s="27"/>
      <c r="V366" s="27"/>
      <c r="W366" s="27"/>
      <c r="X366" s="43"/>
      <c r="Y366" s="27"/>
      <c r="Z366" s="27"/>
      <c r="AA366" s="41"/>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row>
    <row r="367">
      <c r="A367" s="27"/>
      <c r="B367" s="124"/>
      <c r="C367" s="27"/>
      <c r="D367" s="27"/>
      <c r="E367" s="27"/>
      <c r="F367" s="27"/>
      <c r="G367" s="27"/>
      <c r="H367" s="27"/>
      <c r="I367" s="27"/>
      <c r="J367" s="27"/>
      <c r="K367" s="27"/>
      <c r="L367" s="27"/>
      <c r="M367" s="27"/>
      <c r="N367" s="27"/>
      <c r="O367" s="43"/>
      <c r="P367" s="27"/>
      <c r="Q367" s="27"/>
      <c r="R367" s="43"/>
      <c r="S367" s="27"/>
      <c r="T367" s="27"/>
      <c r="U367" s="27"/>
      <c r="V367" s="27"/>
      <c r="W367" s="27"/>
      <c r="X367" s="43"/>
      <c r="Y367" s="27"/>
      <c r="Z367" s="27"/>
      <c r="AA367" s="41"/>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row>
    <row r="368">
      <c r="A368" s="27"/>
      <c r="B368" s="124"/>
      <c r="C368" s="27"/>
      <c r="D368" s="27"/>
      <c r="E368" s="27"/>
      <c r="F368" s="27"/>
      <c r="G368" s="27"/>
      <c r="H368" s="27"/>
      <c r="I368" s="27"/>
      <c r="J368" s="27"/>
      <c r="K368" s="27"/>
      <c r="L368" s="27"/>
      <c r="M368" s="27"/>
      <c r="N368" s="27"/>
      <c r="O368" s="43"/>
      <c r="P368" s="27"/>
      <c r="Q368" s="27"/>
      <c r="R368" s="43"/>
      <c r="S368" s="27"/>
      <c r="T368" s="27"/>
      <c r="U368" s="27"/>
      <c r="V368" s="27"/>
      <c r="W368" s="27"/>
      <c r="X368" s="43"/>
      <c r="Y368" s="27"/>
      <c r="Z368" s="27"/>
      <c r="AA368" s="41"/>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row>
    <row r="369">
      <c r="A369" s="27"/>
      <c r="B369" s="124"/>
      <c r="C369" s="27"/>
      <c r="D369" s="27"/>
      <c r="E369" s="27"/>
      <c r="F369" s="27"/>
      <c r="G369" s="27"/>
      <c r="H369" s="27"/>
      <c r="I369" s="27"/>
      <c r="J369" s="27"/>
      <c r="K369" s="27"/>
      <c r="L369" s="27"/>
      <c r="M369" s="27"/>
      <c r="N369" s="27"/>
      <c r="O369" s="43"/>
      <c r="P369" s="27"/>
      <c r="Q369" s="27"/>
      <c r="R369" s="43"/>
      <c r="S369" s="27"/>
      <c r="T369" s="27"/>
      <c r="U369" s="27"/>
      <c r="V369" s="27"/>
      <c r="W369" s="27"/>
      <c r="X369" s="43"/>
      <c r="Y369" s="27"/>
      <c r="Z369" s="27"/>
      <c r="AA369" s="41"/>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row>
    <row r="370">
      <c r="A370" s="27"/>
      <c r="B370" s="124"/>
      <c r="C370" s="27"/>
      <c r="D370" s="27"/>
      <c r="E370" s="27"/>
      <c r="F370" s="27"/>
      <c r="G370" s="27"/>
      <c r="H370" s="27"/>
      <c r="I370" s="27"/>
      <c r="J370" s="27"/>
      <c r="K370" s="27"/>
      <c r="L370" s="27"/>
      <c r="M370" s="27"/>
      <c r="N370" s="27"/>
      <c r="O370" s="43"/>
      <c r="P370" s="27"/>
      <c r="Q370" s="27"/>
      <c r="R370" s="43"/>
      <c r="S370" s="27"/>
      <c r="T370" s="27"/>
      <c r="U370" s="27"/>
      <c r="V370" s="27"/>
      <c r="W370" s="27"/>
      <c r="X370" s="43"/>
      <c r="Y370" s="27"/>
      <c r="Z370" s="27"/>
      <c r="AA370" s="41"/>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row>
    <row r="371">
      <c r="A371" s="27"/>
      <c r="B371" s="124"/>
      <c r="C371" s="27"/>
      <c r="D371" s="27"/>
      <c r="E371" s="27"/>
      <c r="F371" s="27"/>
      <c r="G371" s="27"/>
      <c r="H371" s="27"/>
      <c r="I371" s="27"/>
      <c r="J371" s="27"/>
      <c r="K371" s="27"/>
      <c r="L371" s="27"/>
      <c r="M371" s="27"/>
      <c r="N371" s="27"/>
      <c r="O371" s="43"/>
      <c r="P371" s="27"/>
      <c r="Q371" s="27"/>
      <c r="R371" s="43"/>
      <c r="S371" s="27"/>
      <c r="T371" s="27"/>
      <c r="U371" s="27"/>
      <c r="V371" s="27"/>
      <c r="W371" s="27"/>
      <c r="X371" s="43"/>
      <c r="Y371" s="27"/>
      <c r="Z371" s="27"/>
      <c r="AA371" s="41"/>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row>
    <row r="372">
      <c r="A372" s="27"/>
      <c r="B372" s="124"/>
      <c r="C372" s="27"/>
      <c r="D372" s="27"/>
      <c r="E372" s="27"/>
      <c r="F372" s="27"/>
      <c r="G372" s="27"/>
      <c r="H372" s="27"/>
      <c r="I372" s="27"/>
      <c r="J372" s="27"/>
      <c r="K372" s="27"/>
      <c r="L372" s="27"/>
      <c r="M372" s="27"/>
      <c r="N372" s="27"/>
      <c r="O372" s="43"/>
      <c r="P372" s="27"/>
      <c r="Q372" s="27"/>
      <c r="R372" s="43"/>
      <c r="S372" s="27"/>
      <c r="T372" s="27"/>
      <c r="U372" s="27"/>
      <c r="V372" s="27"/>
      <c r="W372" s="27"/>
      <c r="X372" s="43"/>
      <c r="Y372" s="27"/>
      <c r="Z372" s="27"/>
      <c r="AA372" s="41"/>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row>
    <row r="373">
      <c r="A373" s="27"/>
      <c r="B373" s="124"/>
      <c r="C373" s="27"/>
      <c r="D373" s="27"/>
      <c r="E373" s="27"/>
      <c r="F373" s="27"/>
      <c r="G373" s="27"/>
      <c r="H373" s="27"/>
      <c r="I373" s="27"/>
      <c r="J373" s="27"/>
      <c r="K373" s="27"/>
      <c r="L373" s="27"/>
      <c r="M373" s="27"/>
      <c r="N373" s="27"/>
      <c r="O373" s="43"/>
      <c r="P373" s="27"/>
      <c r="Q373" s="27"/>
      <c r="R373" s="43"/>
      <c r="S373" s="27"/>
      <c r="T373" s="27"/>
      <c r="U373" s="27"/>
      <c r="V373" s="27"/>
      <c r="W373" s="27"/>
      <c r="X373" s="43"/>
      <c r="Y373" s="27"/>
      <c r="Z373" s="27"/>
      <c r="AA373" s="41"/>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row>
    <row r="374">
      <c r="A374" s="27"/>
      <c r="B374" s="124"/>
      <c r="C374" s="27"/>
      <c r="D374" s="27"/>
      <c r="E374" s="27"/>
      <c r="F374" s="27"/>
      <c r="G374" s="27"/>
      <c r="H374" s="27"/>
      <c r="I374" s="27"/>
      <c r="J374" s="27"/>
      <c r="K374" s="27"/>
      <c r="L374" s="27"/>
      <c r="M374" s="27"/>
      <c r="N374" s="27"/>
      <c r="O374" s="43"/>
      <c r="P374" s="27"/>
      <c r="Q374" s="27"/>
      <c r="R374" s="43"/>
      <c r="S374" s="27"/>
      <c r="T374" s="27"/>
      <c r="U374" s="27"/>
      <c r="V374" s="27"/>
      <c r="W374" s="27"/>
      <c r="X374" s="43"/>
      <c r="Y374" s="27"/>
      <c r="Z374" s="27"/>
      <c r="AA374" s="41"/>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row>
    <row r="375">
      <c r="A375" s="27"/>
      <c r="B375" s="124"/>
      <c r="C375" s="27"/>
      <c r="D375" s="27"/>
      <c r="E375" s="27"/>
      <c r="F375" s="27"/>
      <c r="G375" s="27"/>
      <c r="H375" s="27"/>
      <c r="I375" s="27"/>
      <c r="J375" s="27"/>
      <c r="K375" s="27"/>
      <c r="L375" s="27"/>
      <c r="M375" s="27"/>
      <c r="N375" s="27"/>
      <c r="O375" s="43"/>
      <c r="P375" s="27"/>
      <c r="Q375" s="27"/>
      <c r="R375" s="43"/>
      <c r="S375" s="27"/>
      <c r="T375" s="27"/>
      <c r="U375" s="27"/>
      <c r="V375" s="27"/>
      <c r="W375" s="27"/>
      <c r="X375" s="43"/>
      <c r="Y375" s="27"/>
      <c r="Z375" s="27"/>
      <c r="AA375" s="41"/>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row>
    <row r="376">
      <c r="A376" s="27"/>
      <c r="B376" s="124"/>
      <c r="C376" s="27"/>
      <c r="D376" s="27"/>
      <c r="E376" s="27"/>
      <c r="F376" s="27"/>
      <c r="G376" s="27"/>
      <c r="H376" s="27"/>
      <c r="I376" s="27"/>
      <c r="J376" s="27"/>
      <c r="K376" s="27"/>
      <c r="L376" s="27"/>
      <c r="M376" s="27"/>
      <c r="N376" s="27"/>
      <c r="O376" s="43"/>
      <c r="P376" s="27"/>
      <c r="Q376" s="27"/>
      <c r="R376" s="43"/>
      <c r="S376" s="27"/>
      <c r="T376" s="27"/>
      <c r="U376" s="27"/>
      <c r="V376" s="27"/>
      <c r="W376" s="27"/>
      <c r="X376" s="43"/>
      <c r="Y376" s="27"/>
      <c r="Z376" s="27"/>
      <c r="AA376" s="41"/>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row>
    <row r="377">
      <c r="A377" s="27"/>
      <c r="B377" s="124"/>
      <c r="C377" s="27"/>
      <c r="D377" s="27"/>
      <c r="E377" s="27"/>
      <c r="F377" s="27"/>
      <c r="G377" s="27"/>
      <c r="H377" s="27"/>
      <c r="I377" s="27"/>
      <c r="J377" s="27"/>
      <c r="K377" s="27"/>
      <c r="L377" s="27"/>
      <c r="M377" s="27"/>
      <c r="N377" s="27"/>
      <c r="O377" s="43"/>
      <c r="P377" s="27"/>
      <c r="Q377" s="27"/>
      <c r="R377" s="43"/>
      <c r="S377" s="27"/>
      <c r="T377" s="27"/>
      <c r="U377" s="27"/>
      <c r="V377" s="27"/>
      <c r="W377" s="27"/>
      <c r="X377" s="43"/>
      <c r="Y377" s="27"/>
      <c r="Z377" s="27"/>
      <c r="AA377" s="41"/>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row>
    <row r="378">
      <c r="A378" s="27"/>
      <c r="B378" s="124"/>
      <c r="C378" s="27"/>
      <c r="D378" s="27"/>
      <c r="E378" s="27"/>
      <c r="F378" s="27"/>
      <c r="G378" s="27"/>
      <c r="H378" s="27"/>
      <c r="I378" s="27"/>
      <c r="J378" s="27"/>
      <c r="K378" s="27"/>
      <c r="L378" s="27"/>
      <c r="M378" s="27"/>
      <c r="N378" s="27"/>
      <c r="O378" s="43"/>
      <c r="P378" s="27"/>
      <c r="Q378" s="27"/>
      <c r="R378" s="43"/>
      <c r="S378" s="27"/>
      <c r="T378" s="27"/>
      <c r="U378" s="27"/>
      <c r="V378" s="27"/>
      <c r="W378" s="27"/>
      <c r="X378" s="43"/>
      <c r="Y378" s="27"/>
      <c r="Z378" s="27"/>
      <c r="AA378" s="41"/>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row>
    <row r="379">
      <c r="A379" s="27"/>
      <c r="B379" s="124"/>
      <c r="C379" s="27"/>
      <c r="D379" s="27"/>
      <c r="E379" s="27"/>
      <c r="F379" s="27"/>
      <c r="G379" s="27"/>
      <c r="H379" s="27"/>
      <c r="I379" s="27"/>
      <c r="J379" s="27"/>
      <c r="K379" s="27"/>
      <c r="L379" s="27"/>
      <c r="M379" s="27"/>
      <c r="N379" s="27"/>
      <c r="O379" s="43"/>
      <c r="P379" s="27"/>
      <c r="Q379" s="27"/>
      <c r="R379" s="43"/>
      <c r="S379" s="27"/>
      <c r="T379" s="27"/>
      <c r="U379" s="27"/>
      <c r="V379" s="27"/>
      <c r="W379" s="27"/>
      <c r="X379" s="43"/>
      <c r="Y379" s="27"/>
      <c r="Z379" s="27"/>
      <c r="AA379" s="41"/>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row>
    <row r="380">
      <c r="A380" s="27"/>
      <c r="B380" s="124"/>
      <c r="C380" s="27"/>
      <c r="D380" s="27"/>
      <c r="E380" s="27"/>
      <c r="F380" s="27"/>
      <c r="G380" s="27"/>
      <c r="H380" s="27"/>
      <c r="I380" s="27"/>
      <c r="J380" s="27"/>
      <c r="K380" s="27"/>
      <c r="L380" s="27"/>
      <c r="M380" s="27"/>
      <c r="N380" s="27"/>
      <c r="O380" s="43"/>
      <c r="P380" s="27"/>
      <c r="Q380" s="27"/>
      <c r="R380" s="43"/>
      <c r="S380" s="27"/>
      <c r="T380" s="27"/>
      <c r="U380" s="27"/>
      <c r="V380" s="27"/>
      <c r="W380" s="27"/>
      <c r="X380" s="43"/>
      <c r="Y380" s="27"/>
      <c r="Z380" s="27"/>
      <c r="AA380" s="41"/>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row>
    <row r="381">
      <c r="A381" s="27"/>
      <c r="B381" s="124"/>
      <c r="C381" s="27"/>
      <c r="D381" s="27"/>
      <c r="E381" s="27"/>
      <c r="F381" s="27"/>
      <c r="G381" s="27"/>
      <c r="H381" s="27"/>
      <c r="I381" s="27"/>
      <c r="J381" s="27"/>
      <c r="K381" s="27"/>
      <c r="L381" s="27"/>
      <c r="M381" s="27"/>
      <c r="N381" s="27"/>
      <c r="O381" s="43"/>
      <c r="P381" s="27"/>
      <c r="Q381" s="27"/>
      <c r="R381" s="43"/>
      <c r="S381" s="27"/>
      <c r="T381" s="27"/>
      <c r="U381" s="27"/>
      <c r="V381" s="27"/>
      <c r="W381" s="27"/>
      <c r="X381" s="43"/>
      <c r="Y381" s="27"/>
      <c r="Z381" s="27"/>
      <c r="AA381" s="41"/>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row>
    <row r="382">
      <c r="A382" s="27"/>
      <c r="B382" s="124"/>
      <c r="C382" s="27"/>
      <c r="D382" s="27"/>
      <c r="E382" s="27"/>
      <c r="F382" s="27"/>
      <c r="G382" s="27"/>
      <c r="H382" s="27"/>
      <c r="I382" s="27"/>
      <c r="J382" s="27"/>
      <c r="K382" s="27"/>
      <c r="L382" s="27"/>
      <c r="M382" s="27"/>
      <c r="N382" s="27"/>
      <c r="O382" s="43"/>
      <c r="P382" s="27"/>
      <c r="Q382" s="27"/>
      <c r="R382" s="43"/>
      <c r="S382" s="27"/>
      <c r="T382" s="27"/>
      <c r="U382" s="27"/>
      <c r="V382" s="27"/>
      <c r="W382" s="27"/>
      <c r="X382" s="43"/>
      <c r="Y382" s="27"/>
      <c r="Z382" s="27"/>
      <c r="AA382" s="41"/>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row>
    <row r="383">
      <c r="A383" s="27"/>
      <c r="B383" s="124"/>
      <c r="C383" s="27"/>
      <c r="D383" s="27"/>
      <c r="E383" s="27"/>
      <c r="F383" s="27"/>
      <c r="G383" s="27"/>
      <c r="H383" s="27"/>
      <c r="I383" s="27"/>
      <c r="J383" s="27"/>
      <c r="K383" s="27"/>
      <c r="L383" s="27"/>
      <c r="M383" s="27"/>
      <c r="N383" s="27"/>
      <c r="O383" s="43"/>
      <c r="P383" s="27"/>
      <c r="Q383" s="27"/>
      <c r="R383" s="43"/>
      <c r="S383" s="27"/>
      <c r="T383" s="27"/>
      <c r="U383" s="27"/>
      <c r="V383" s="27"/>
      <c r="W383" s="27"/>
      <c r="X383" s="43"/>
      <c r="Y383" s="27"/>
      <c r="Z383" s="27"/>
      <c r="AA383" s="41"/>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row>
    <row r="384">
      <c r="A384" s="27"/>
      <c r="B384" s="124"/>
      <c r="C384" s="27"/>
      <c r="D384" s="27"/>
      <c r="E384" s="27"/>
      <c r="F384" s="27"/>
      <c r="G384" s="27"/>
      <c r="H384" s="27"/>
      <c r="I384" s="27"/>
      <c r="J384" s="27"/>
      <c r="K384" s="27"/>
      <c r="L384" s="27"/>
      <c r="M384" s="27"/>
      <c r="N384" s="27"/>
      <c r="O384" s="43"/>
      <c r="P384" s="27"/>
      <c r="Q384" s="27"/>
      <c r="R384" s="43"/>
      <c r="S384" s="27"/>
      <c r="T384" s="27"/>
      <c r="U384" s="27"/>
      <c r="V384" s="27"/>
      <c r="W384" s="27"/>
      <c r="X384" s="43"/>
      <c r="Y384" s="27"/>
      <c r="Z384" s="27"/>
      <c r="AA384" s="41"/>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row>
    <row r="385">
      <c r="A385" s="27"/>
      <c r="B385" s="124"/>
      <c r="C385" s="27"/>
      <c r="D385" s="27"/>
      <c r="E385" s="27"/>
      <c r="F385" s="27"/>
      <c r="G385" s="27"/>
      <c r="H385" s="27"/>
      <c r="I385" s="27"/>
      <c r="J385" s="27"/>
      <c r="K385" s="27"/>
      <c r="L385" s="27"/>
      <c r="M385" s="27"/>
      <c r="N385" s="27"/>
      <c r="O385" s="43"/>
      <c r="P385" s="27"/>
      <c r="Q385" s="27"/>
      <c r="R385" s="43"/>
      <c r="S385" s="27"/>
      <c r="T385" s="27"/>
      <c r="U385" s="27"/>
      <c r="V385" s="27"/>
      <c r="W385" s="27"/>
      <c r="X385" s="43"/>
      <c r="Y385" s="27"/>
      <c r="Z385" s="27"/>
      <c r="AA385" s="41"/>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row>
    <row r="386">
      <c r="A386" s="27"/>
      <c r="B386" s="124"/>
      <c r="C386" s="27"/>
      <c r="D386" s="27"/>
      <c r="E386" s="27"/>
      <c r="F386" s="27"/>
      <c r="G386" s="27"/>
      <c r="H386" s="27"/>
      <c r="I386" s="27"/>
      <c r="J386" s="27"/>
      <c r="K386" s="27"/>
      <c r="L386" s="27"/>
      <c r="M386" s="27"/>
      <c r="N386" s="27"/>
      <c r="O386" s="43"/>
      <c r="P386" s="27"/>
      <c r="Q386" s="27"/>
      <c r="R386" s="43"/>
      <c r="S386" s="27"/>
      <c r="T386" s="27"/>
      <c r="U386" s="27"/>
      <c r="V386" s="27"/>
      <c r="W386" s="27"/>
      <c r="X386" s="43"/>
      <c r="Y386" s="27"/>
      <c r="Z386" s="27"/>
      <c r="AA386" s="41"/>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row>
    <row r="387">
      <c r="A387" s="27"/>
      <c r="B387" s="124"/>
      <c r="C387" s="27"/>
      <c r="D387" s="27"/>
      <c r="E387" s="27"/>
      <c r="F387" s="27"/>
      <c r="G387" s="27"/>
      <c r="H387" s="27"/>
      <c r="I387" s="27"/>
      <c r="J387" s="27"/>
      <c r="K387" s="27"/>
      <c r="L387" s="27"/>
      <c r="M387" s="27"/>
      <c r="N387" s="27"/>
      <c r="O387" s="43"/>
      <c r="P387" s="27"/>
      <c r="Q387" s="27"/>
      <c r="R387" s="43"/>
      <c r="S387" s="27"/>
      <c r="T387" s="27"/>
      <c r="U387" s="27"/>
      <c r="V387" s="27"/>
      <c r="W387" s="27"/>
      <c r="X387" s="43"/>
      <c r="Y387" s="27"/>
      <c r="Z387" s="27"/>
      <c r="AA387" s="41"/>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row>
    <row r="388">
      <c r="A388" s="27"/>
      <c r="B388" s="124"/>
      <c r="C388" s="27"/>
      <c r="D388" s="27"/>
      <c r="E388" s="27"/>
      <c r="F388" s="27"/>
      <c r="G388" s="27"/>
      <c r="H388" s="27"/>
      <c r="I388" s="27"/>
      <c r="J388" s="27"/>
      <c r="K388" s="27"/>
      <c r="L388" s="27"/>
      <c r="M388" s="27"/>
      <c r="N388" s="27"/>
      <c r="O388" s="43"/>
      <c r="P388" s="27"/>
      <c r="Q388" s="27"/>
      <c r="R388" s="43"/>
      <c r="S388" s="27"/>
      <c r="T388" s="27"/>
      <c r="U388" s="27"/>
      <c r="V388" s="27"/>
      <c r="W388" s="27"/>
      <c r="X388" s="43"/>
      <c r="Y388" s="27"/>
      <c r="Z388" s="27"/>
      <c r="AA388" s="41"/>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row>
    <row r="389">
      <c r="A389" s="27"/>
      <c r="B389" s="124"/>
      <c r="C389" s="27"/>
      <c r="D389" s="27"/>
      <c r="E389" s="27"/>
      <c r="F389" s="27"/>
      <c r="G389" s="27"/>
      <c r="H389" s="27"/>
      <c r="I389" s="27"/>
      <c r="J389" s="27"/>
      <c r="K389" s="27"/>
      <c r="L389" s="27"/>
      <c r="M389" s="27"/>
      <c r="N389" s="27"/>
      <c r="O389" s="43"/>
      <c r="P389" s="27"/>
      <c r="Q389" s="27"/>
      <c r="R389" s="43"/>
      <c r="S389" s="27"/>
      <c r="T389" s="27"/>
      <c r="U389" s="27"/>
      <c r="V389" s="27"/>
      <c r="W389" s="27"/>
      <c r="X389" s="43"/>
      <c r="Y389" s="27"/>
      <c r="Z389" s="27"/>
      <c r="AA389" s="41"/>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row>
    <row r="390">
      <c r="A390" s="27"/>
      <c r="B390" s="124"/>
      <c r="C390" s="27"/>
      <c r="D390" s="27"/>
      <c r="E390" s="27"/>
      <c r="F390" s="27"/>
      <c r="G390" s="27"/>
      <c r="H390" s="27"/>
      <c r="I390" s="27"/>
      <c r="J390" s="27"/>
      <c r="K390" s="27"/>
      <c r="L390" s="27"/>
      <c r="M390" s="27"/>
      <c r="N390" s="27"/>
      <c r="O390" s="43"/>
      <c r="P390" s="27"/>
      <c r="Q390" s="27"/>
      <c r="R390" s="43"/>
      <c r="S390" s="27"/>
      <c r="T390" s="27"/>
      <c r="U390" s="27"/>
      <c r="V390" s="27"/>
      <c r="W390" s="27"/>
      <c r="X390" s="43"/>
      <c r="Y390" s="27"/>
      <c r="Z390" s="27"/>
      <c r="AA390" s="41"/>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row>
    <row r="391">
      <c r="A391" s="27"/>
      <c r="B391" s="124"/>
      <c r="C391" s="27"/>
      <c r="D391" s="27"/>
      <c r="E391" s="27"/>
      <c r="F391" s="27"/>
      <c r="G391" s="27"/>
      <c r="H391" s="27"/>
      <c r="I391" s="27"/>
      <c r="J391" s="27"/>
      <c r="K391" s="27"/>
      <c r="L391" s="27"/>
      <c r="M391" s="27"/>
      <c r="N391" s="27"/>
      <c r="O391" s="43"/>
      <c r="P391" s="27"/>
      <c r="Q391" s="27"/>
      <c r="R391" s="43"/>
      <c r="S391" s="27"/>
      <c r="T391" s="27"/>
      <c r="U391" s="27"/>
      <c r="V391" s="27"/>
      <c r="W391" s="27"/>
      <c r="X391" s="43"/>
      <c r="Y391" s="27"/>
      <c r="Z391" s="27"/>
      <c r="AA391" s="41"/>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row>
    <row r="392">
      <c r="A392" s="27"/>
      <c r="B392" s="124"/>
      <c r="C392" s="27"/>
      <c r="D392" s="27"/>
      <c r="E392" s="27"/>
      <c r="F392" s="27"/>
      <c r="G392" s="27"/>
      <c r="H392" s="27"/>
      <c r="I392" s="27"/>
      <c r="J392" s="27"/>
      <c r="K392" s="27"/>
      <c r="L392" s="27"/>
      <c r="M392" s="27"/>
      <c r="N392" s="27"/>
      <c r="O392" s="43"/>
      <c r="P392" s="27"/>
      <c r="Q392" s="27"/>
      <c r="R392" s="43"/>
      <c r="S392" s="27"/>
      <c r="T392" s="27"/>
      <c r="U392" s="27"/>
      <c r="V392" s="27"/>
      <c r="W392" s="27"/>
      <c r="X392" s="43"/>
      <c r="Y392" s="27"/>
      <c r="Z392" s="27"/>
      <c r="AA392" s="41"/>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row>
    <row r="393">
      <c r="A393" s="27"/>
      <c r="B393" s="124"/>
      <c r="C393" s="27"/>
      <c r="D393" s="27"/>
      <c r="E393" s="27"/>
      <c r="F393" s="27"/>
      <c r="G393" s="27"/>
      <c r="H393" s="27"/>
      <c r="I393" s="27"/>
      <c r="J393" s="27"/>
      <c r="K393" s="27"/>
      <c r="L393" s="27"/>
      <c r="M393" s="27"/>
      <c r="N393" s="27"/>
      <c r="O393" s="43"/>
      <c r="P393" s="27"/>
      <c r="Q393" s="27"/>
      <c r="R393" s="43"/>
      <c r="S393" s="27"/>
      <c r="T393" s="27"/>
      <c r="U393" s="27"/>
      <c r="V393" s="27"/>
      <c r="W393" s="27"/>
      <c r="X393" s="43"/>
      <c r="Y393" s="27"/>
      <c r="Z393" s="27"/>
      <c r="AA393" s="41"/>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row>
    <row r="394">
      <c r="A394" s="27"/>
      <c r="B394" s="124"/>
      <c r="C394" s="27"/>
      <c r="D394" s="27"/>
      <c r="E394" s="27"/>
      <c r="F394" s="27"/>
      <c r="G394" s="27"/>
      <c r="H394" s="27"/>
      <c r="I394" s="27"/>
      <c r="J394" s="27"/>
      <c r="K394" s="27"/>
      <c r="L394" s="27"/>
      <c r="M394" s="27"/>
      <c r="N394" s="27"/>
      <c r="O394" s="43"/>
      <c r="P394" s="27"/>
      <c r="Q394" s="27"/>
      <c r="R394" s="43"/>
      <c r="S394" s="27"/>
      <c r="T394" s="27"/>
      <c r="U394" s="27"/>
      <c r="V394" s="27"/>
      <c r="W394" s="27"/>
      <c r="X394" s="43"/>
      <c r="Y394" s="27"/>
      <c r="Z394" s="27"/>
      <c r="AA394" s="41"/>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row>
    <row r="395">
      <c r="A395" s="27"/>
      <c r="B395" s="124"/>
      <c r="C395" s="27"/>
      <c r="D395" s="27"/>
      <c r="E395" s="27"/>
      <c r="F395" s="27"/>
      <c r="G395" s="27"/>
      <c r="H395" s="27"/>
      <c r="I395" s="27"/>
      <c r="J395" s="27"/>
      <c r="K395" s="27"/>
      <c r="L395" s="27"/>
      <c r="M395" s="27"/>
      <c r="N395" s="27"/>
      <c r="O395" s="43"/>
      <c r="P395" s="27"/>
      <c r="Q395" s="27"/>
      <c r="R395" s="43"/>
      <c r="S395" s="27"/>
      <c r="T395" s="27"/>
      <c r="U395" s="27"/>
      <c r="V395" s="27"/>
      <c r="W395" s="27"/>
      <c r="X395" s="43"/>
      <c r="Y395" s="27"/>
      <c r="Z395" s="27"/>
      <c r="AA395" s="41"/>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row>
    <row r="396">
      <c r="A396" s="27"/>
      <c r="B396" s="124"/>
      <c r="C396" s="27"/>
      <c r="D396" s="27"/>
      <c r="E396" s="27"/>
      <c r="F396" s="27"/>
      <c r="G396" s="27"/>
      <c r="H396" s="27"/>
      <c r="I396" s="27"/>
      <c r="J396" s="27"/>
      <c r="K396" s="27"/>
      <c r="L396" s="27"/>
      <c r="M396" s="27"/>
      <c r="N396" s="27"/>
      <c r="O396" s="43"/>
      <c r="P396" s="27"/>
      <c r="Q396" s="27"/>
      <c r="R396" s="43"/>
      <c r="S396" s="27"/>
      <c r="T396" s="27"/>
      <c r="U396" s="27"/>
      <c r="V396" s="27"/>
      <c r="W396" s="27"/>
      <c r="X396" s="43"/>
      <c r="Y396" s="27"/>
      <c r="Z396" s="27"/>
      <c r="AA396" s="41"/>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row>
    <row r="397">
      <c r="A397" s="27"/>
      <c r="B397" s="124"/>
      <c r="C397" s="27"/>
      <c r="D397" s="27"/>
      <c r="E397" s="27"/>
      <c r="F397" s="27"/>
      <c r="G397" s="27"/>
      <c r="H397" s="27"/>
      <c r="I397" s="27"/>
      <c r="J397" s="27"/>
      <c r="K397" s="27"/>
      <c r="L397" s="27"/>
      <c r="M397" s="27"/>
      <c r="N397" s="27"/>
      <c r="O397" s="43"/>
      <c r="P397" s="27"/>
      <c r="Q397" s="27"/>
      <c r="R397" s="43"/>
      <c r="S397" s="27"/>
      <c r="T397" s="27"/>
      <c r="U397" s="27"/>
      <c r="V397" s="27"/>
      <c r="W397" s="27"/>
      <c r="X397" s="43"/>
      <c r="Y397" s="27"/>
      <c r="Z397" s="27"/>
      <c r="AA397" s="41"/>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row>
    <row r="398">
      <c r="A398" s="27"/>
      <c r="B398" s="124"/>
      <c r="C398" s="27"/>
      <c r="D398" s="27"/>
      <c r="E398" s="27"/>
      <c r="F398" s="27"/>
      <c r="G398" s="27"/>
      <c r="H398" s="27"/>
      <c r="I398" s="27"/>
      <c r="J398" s="27"/>
      <c r="K398" s="27"/>
      <c r="L398" s="27"/>
      <c r="M398" s="27"/>
      <c r="N398" s="27"/>
      <c r="O398" s="43"/>
      <c r="P398" s="27"/>
      <c r="Q398" s="27"/>
      <c r="R398" s="43"/>
      <c r="S398" s="27"/>
      <c r="T398" s="27"/>
      <c r="U398" s="27"/>
      <c r="V398" s="27"/>
      <c r="W398" s="27"/>
      <c r="X398" s="43"/>
      <c r="Y398" s="27"/>
      <c r="Z398" s="27"/>
      <c r="AA398" s="41"/>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row>
    <row r="399">
      <c r="A399" s="27"/>
      <c r="B399" s="124"/>
      <c r="C399" s="27"/>
      <c r="D399" s="27"/>
      <c r="E399" s="27"/>
      <c r="F399" s="27"/>
      <c r="G399" s="27"/>
      <c r="H399" s="27"/>
      <c r="I399" s="27"/>
      <c r="J399" s="27"/>
      <c r="K399" s="27"/>
      <c r="L399" s="27"/>
      <c r="M399" s="27"/>
      <c r="N399" s="27"/>
      <c r="O399" s="43"/>
      <c r="P399" s="27"/>
      <c r="Q399" s="27"/>
      <c r="R399" s="43"/>
      <c r="S399" s="27"/>
      <c r="T399" s="27"/>
      <c r="U399" s="27"/>
      <c r="V399" s="27"/>
      <c r="W399" s="27"/>
      <c r="X399" s="43"/>
      <c r="Y399" s="27"/>
      <c r="Z399" s="27"/>
      <c r="AA399" s="41"/>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row>
    <row r="400">
      <c r="A400" s="27"/>
      <c r="B400" s="124"/>
      <c r="C400" s="27"/>
      <c r="D400" s="27"/>
      <c r="E400" s="27"/>
      <c r="F400" s="27"/>
      <c r="G400" s="27"/>
      <c r="H400" s="27"/>
      <c r="I400" s="27"/>
      <c r="J400" s="27"/>
      <c r="K400" s="27"/>
      <c r="L400" s="27"/>
      <c r="M400" s="27"/>
      <c r="N400" s="27"/>
      <c r="O400" s="43"/>
      <c r="P400" s="27"/>
      <c r="Q400" s="27"/>
      <c r="R400" s="43"/>
      <c r="S400" s="27"/>
      <c r="T400" s="27"/>
      <c r="U400" s="27"/>
      <c r="V400" s="27"/>
      <c r="W400" s="27"/>
      <c r="X400" s="43"/>
      <c r="Y400" s="27"/>
      <c r="Z400" s="27"/>
      <c r="AA400" s="41"/>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row>
    <row r="401">
      <c r="A401" s="27"/>
      <c r="B401" s="124"/>
      <c r="C401" s="27"/>
      <c r="D401" s="27"/>
      <c r="E401" s="27"/>
      <c r="F401" s="27"/>
      <c r="G401" s="27"/>
      <c r="H401" s="27"/>
      <c r="I401" s="27"/>
      <c r="J401" s="27"/>
      <c r="K401" s="27"/>
      <c r="L401" s="27"/>
      <c r="M401" s="27"/>
      <c r="N401" s="27"/>
      <c r="O401" s="43"/>
      <c r="P401" s="27"/>
      <c r="Q401" s="27"/>
      <c r="R401" s="43"/>
      <c r="S401" s="27"/>
      <c r="T401" s="27"/>
      <c r="U401" s="27"/>
      <c r="V401" s="27"/>
      <c r="W401" s="27"/>
      <c r="X401" s="43"/>
      <c r="Y401" s="27"/>
      <c r="Z401" s="27"/>
      <c r="AA401" s="41"/>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row>
    <row r="402">
      <c r="A402" s="27"/>
      <c r="B402" s="124"/>
      <c r="C402" s="27"/>
      <c r="D402" s="27"/>
      <c r="E402" s="27"/>
      <c r="F402" s="27"/>
      <c r="G402" s="27"/>
      <c r="H402" s="27"/>
      <c r="I402" s="27"/>
      <c r="J402" s="27"/>
      <c r="K402" s="27"/>
      <c r="L402" s="27"/>
      <c r="M402" s="27"/>
      <c r="N402" s="27"/>
      <c r="O402" s="43"/>
      <c r="P402" s="27"/>
      <c r="Q402" s="27"/>
      <c r="R402" s="43"/>
      <c r="S402" s="27"/>
      <c r="T402" s="27"/>
      <c r="U402" s="27"/>
      <c r="V402" s="27"/>
      <c r="W402" s="27"/>
      <c r="X402" s="43"/>
      <c r="Y402" s="27"/>
      <c r="Z402" s="27"/>
      <c r="AA402" s="41"/>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row>
    <row r="403">
      <c r="A403" s="27"/>
      <c r="B403" s="124"/>
      <c r="C403" s="27"/>
      <c r="D403" s="27"/>
      <c r="E403" s="27"/>
      <c r="F403" s="27"/>
      <c r="G403" s="27"/>
      <c r="H403" s="27"/>
      <c r="I403" s="27"/>
      <c r="J403" s="27"/>
      <c r="K403" s="27"/>
      <c r="L403" s="27"/>
      <c r="M403" s="27"/>
      <c r="N403" s="27"/>
      <c r="O403" s="43"/>
      <c r="P403" s="27"/>
      <c r="Q403" s="27"/>
      <c r="R403" s="43"/>
      <c r="S403" s="27"/>
      <c r="T403" s="27"/>
      <c r="U403" s="27"/>
      <c r="V403" s="27"/>
      <c r="W403" s="27"/>
      <c r="X403" s="43"/>
      <c r="Y403" s="27"/>
      <c r="Z403" s="27"/>
      <c r="AA403" s="41"/>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row>
    <row r="404">
      <c r="A404" s="27"/>
      <c r="B404" s="124"/>
      <c r="C404" s="27"/>
      <c r="D404" s="27"/>
      <c r="E404" s="27"/>
      <c r="F404" s="27"/>
      <c r="G404" s="27"/>
      <c r="H404" s="27"/>
      <c r="I404" s="27"/>
      <c r="J404" s="27"/>
      <c r="K404" s="27"/>
      <c r="L404" s="27"/>
      <c r="M404" s="27"/>
      <c r="N404" s="27"/>
      <c r="O404" s="43"/>
      <c r="P404" s="27"/>
      <c r="Q404" s="27"/>
      <c r="R404" s="43"/>
      <c r="S404" s="27"/>
      <c r="T404" s="27"/>
      <c r="U404" s="27"/>
      <c r="V404" s="27"/>
      <c r="W404" s="27"/>
      <c r="X404" s="43"/>
      <c r="Y404" s="27"/>
      <c r="Z404" s="27"/>
      <c r="AA404" s="41"/>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row>
    <row r="405">
      <c r="A405" s="27"/>
      <c r="B405" s="124"/>
      <c r="C405" s="27"/>
      <c r="D405" s="27"/>
      <c r="E405" s="27"/>
      <c r="F405" s="27"/>
      <c r="G405" s="27"/>
      <c r="H405" s="27"/>
      <c r="I405" s="27"/>
      <c r="J405" s="27"/>
      <c r="K405" s="27"/>
      <c r="L405" s="27"/>
      <c r="M405" s="27"/>
      <c r="N405" s="27"/>
      <c r="O405" s="43"/>
      <c r="P405" s="27"/>
      <c r="Q405" s="27"/>
      <c r="R405" s="43"/>
      <c r="S405" s="27"/>
      <c r="T405" s="27"/>
      <c r="U405" s="27"/>
      <c r="V405" s="27"/>
      <c r="W405" s="27"/>
      <c r="X405" s="43"/>
      <c r="Y405" s="27"/>
      <c r="Z405" s="27"/>
      <c r="AA405" s="41"/>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row>
    <row r="406">
      <c r="A406" s="27"/>
      <c r="B406" s="124"/>
      <c r="C406" s="27"/>
      <c r="D406" s="27"/>
      <c r="E406" s="27"/>
      <c r="F406" s="27"/>
      <c r="G406" s="27"/>
      <c r="H406" s="27"/>
      <c r="I406" s="27"/>
      <c r="J406" s="27"/>
      <c r="K406" s="27"/>
      <c r="L406" s="27"/>
      <c r="M406" s="27"/>
      <c r="N406" s="27"/>
      <c r="O406" s="43"/>
      <c r="P406" s="27"/>
      <c r="Q406" s="27"/>
      <c r="R406" s="43"/>
      <c r="S406" s="27"/>
      <c r="T406" s="27"/>
      <c r="U406" s="27"/>
      <c r="V406" s="27"/>
      <c r="W406" s="27"/>
      <c r="X406" s="43"/>
      <c r="Y406" s="27"/>
      <c r="Z406" s="27"/>
      <c r="AA406" s="41"/>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row>
    <row r="407">
      <c r="A407" s="27"/>
      <c r="B407" s="124"/>
      <c r="C407" s="27"/>
      <c r="D407" s="27"/>
      <c r="E407" s="27"/>
      <c r="F407" s="27"/>
      <c r="G407" s="27"/>
      <c r="H407" s="27"/>
      <c r="I407" s="27"/>
      <c r="J407" s="27"/>
      <c r="K407" s="27"/>
      <c r="L407" s="27"/>
      <c r="M407" s="27"/>
      <c r="N407" s="27"/>
      <c r="O407" s="43"/>
      <c r="P407" s="27"/>
      <c r="Q407" s="27"/>
      <c r="R407" s="43"/>
      <c r="S407" s="27"/>
      <c r="T407" s="27"/>
      <c r="U407" s="27"/>
      <c r="V407" s="27"/>
      <c r="W407" s="27"/>
      <c r="X407" s="43"/>
      <c r="Y407" s="27"/>
      <c r="Z407" s="27"/>
      <c r="AA407" s="41"/>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row>
    <row r="408">
      <c r="A408" s="27"/>
      <c r="B408" s="124"/>
      <c r="C408" s="27"/>
      <c r="D408" s="27"/>
      <c r="E408" s="27"/>
      <c r="F408" s="27"/>
      <c r="G408" s="27"/>
      <c r="H408" s="27"/>
      <c r="I408" s="27"/>
      <c r="J408" s="27"/>
      <c r="K408" s="27"/>
      <c r="L408" s="27"/>
      <c r="M408" s="27"/>
      <c r="N408" s="27"/>
      <c r="O408" s="43"/>
      <c r="P408" s="27"/>
      <c r="Q408" s="27"/>
      <c r="R408" s="43"/>
      <c r="S408" s="27"/>
      <c r="T408" s="27"/>
      <c r="U408" s="27"/>
      <c r="V408" s="27"/>
      <c r="W408" s="27"/>
      <c r="X408" s="43"/>
      <c r="Y408" s="27"/>
      <c r="Z408" s="27"/>
      <c r="AA408" s="41"/>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row>
    <row r="409">
      <c r="A409" s="27"/>
      <c r="B409" s="124"/>
      <c r="C409" s="27"/>
      <c r="D409" s="27"/>
      <c r="E409" s="27"/>
      <c r="F409" s="27"/>
      <c r="G409" s="27"/>
      <c r="H409" s="27"/>
      <c r="I409" s="27"/>
      <c r="J409" s="27"/>
      <c r="K409" s="27"/>
      <c r="L409" s="27"/>
      <c r="M409" s="27"/>
      <c r="N409" s="27"/>
      <c r="O409" s="43"/>
      <c r="P409" s="27"/>
      <c r="Q409" s="27"/>
      <c r="R409" s="43"/>
      <c r="S409" s="27"/>
      <c r="T409" s="27"/>
      <c r="U409" s="27"/>
      <c r="V409" s="27"/>
      <c r="W409" s="27"/>
      <c r="X409" s="43"/>
      <c r="Y409" s="27"/>
      <c r="Z409" s="27"/>
      <c r="AA409" s="41"/>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row>
    <row r="410">
      <c r="A410" s="27"/>
      <c r="B410" s="124"/>
      <c r="C410" s="27"/>
      <c r="D410" s="27"/>
      <c r="E410" s="27"/>
      <c r="F410" s="27"/>
      <c r="G410" s="27"/>
      <c r="H410" s="27"/>
      <c r="I410" s="27"/>
      <c r="J410" s="27"/>
      <c r="K410" s="27"/>
      <c r="L410" s="27"/>
      <c r="M410" s="27"/>
      <c r="N410" s="27"/>
      <c r="O410" s="43"/>
      <c r="P410" s="27"/>
      <c r="Q410" s="27"/>
      <c r="R410" s="43"/>
      <c r="S410" s="27"/>
      <c r="T410" s="27"/>
      <c r="U410" s="27"/>
      <c r="V410" s="27"/>
      <c r="W410" s="27"/>
      <c r="X410" s="43"/>
      <c r="Y410" s="27"/>
      <c r="Z410" s="27"/>
      <c r="AA410" s="41"/>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row>
    <row r="411">
      <c r="A411" s="27"/>
      <c r="B411" s="124"/>
      <c r="C411" s="27"/>
      <c r="D411" s="27"/>
      <c r="E411" s="27"/>
      <c r="F411" s="27"/>
      <c r="G411" s="27"/>
      <c r="H411" s="27"/>
      <c r="I411" s="27"/>
      <c r="J411" s="27"/>
      <c r="K411" s="27"/>
      <c r="L411" s="27"/>
      <c r="M411" s="27"/>
      <c r="N411" s="27"/>
      <c r="O411" s="43"/>
      <c r="P411" s="27"/>
      <c r="Q411" s="27"/>
      <c r="R411" s="43"/>
      <c r="S411" s="27"/>
      <c r="T411" s="27"/>
      <c r="U411" s="27"/>
      <c r="V411" s="27"/>
      <c r="W411" s="27"/>
      <c r="X411" s="43"/>
      <c r="Y411" s="27"/>
      <c r="Z411" s="27"/>
      <c r="AA411" s="41"/>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row>
    <row r="412">
      <c r="A412" s="27"/>
      <c r="B412" s="124"/>
      <c r="C412" s="27"/>
      <c r="D412" s="27"/>
      <c r="E412" s="27"/>
      <c r="F412" s="27"/>
      <c r="G412" s="27"/>
      <c r="H412" s="27"/>
      <c r="I412" s="27"/>
      <c r="J412" s="27"/>
      <c r="K412" s="27"/>
      <c r="L412" s="27"/>
      <c r="M412" s="27"/>
      <c r="N412" s="27"/>
      <c r="O412" s="43"/>
      <c r="P412" s="27"/>
      <c r="Q412" s="27"/>
      <c r="R412" s="43"/>
      <c r="S412" s="27"/>
      <c r="T412" s="27"/>
      <c r="U412" s="27"/>
      <c r="V412" s="27"/>
      <c r="W412" s="27"/>
      <c r="X412" s="43"/>
      <c r="Y412" s="27"/>
      <c r="Z412" s="27"/>
      <c r="AA412" s="41"/>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row>
    <row r="413">
      <c r="A413" s="27"/>
      <c r="B413" s="124"/>
      <c r="C413" s="27"/>
      <c r="D413" s="27"/>
      <c r="E413" s="27"/>
      <c r="F413" s="27"/>
      <c r="G413" s="27"/>
      <c r="H413" s="27"/>
      <c r="I413" s="27"/>
      <c r="J413" s="27"/>
      <c r="K413" s="27"/>
      <c r="L413" s="27"/>
      <c r="M413" s="27"/>
      <c r="N413" s="27"/>
      <c r="O413" s="43"/>
      <c r="P413" s="27"/>
      <c r="Q413" s="27"/>
      <c r="R413" s="43"/>
      <c r="S413" s="27"/>
      <c r="T413" s="27"/>
      <c r="U413" s="27"/>
      <c r="V413" s="27"/>
      <c r="W413" s="27"/>
      <c r="X413" s="43"/>
      <c r="Y413" s="27"/>
      <c r="Z413" s="27"/>
      <c r="AA413" s="41"/>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row>
    <row r="414">
      <c r="A414" s="27"/>
      <c r="B414" s="124"/>
      <c r="C414" s="27"/>
      <c r="D414" s="27"/>
      <c r="E414" s="27"/>
      <c r="F414" s="27"/>
      <c r="G414" s="27"/>
      <c r="H414" s="27"/>
      <c r="I414" s="27"/>
      <c r="J414" s="27"/>
      <c r="K414" s="27"/>
      <c r="L414" s="27"/>
      <c r="M414" s="27"/>
      <c r="N414" s="27"/>
      <c r="O414" s="43"/>
      <c r="P414" s="27"/>
      <c r="Q414" s="27"/>
      <c r="R414" s="43"/>
      <c r="S414" s="27"/>
      <c r="T414" s="27"/>
      <c r="U414" s="27"/>
      <c r="V414" s="27"/>
      <c r="W414" s="27"/>
      <c r="X414" s="43"/>
      <c r="Y414" s="27"/>
      <c r="Z414" s="27"/>
      <c r="AA414" s="41"/>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row>
    <row r="415">
      <c r="A415" s="27"/>
      <c r="B415" s="124"/>
      <c r="C415" s="27"/>
      <c r="D415" s="27"/>
      <c r="E415" s="27"/>
      <c r="F415" s="27"/>
      <c r="G415" s="27"/>
      <c r="H415" s="27"/>
      <c r="I415" s="27"/>
      <c r="J415" s="27"/>
      <c r="K415" s="27"/>
      <c r="L415" s="27"/>
      <c r="M415" s="27"/>
      <c r="N415" s="27"/>
      <c r="O415" s="43"/>
      <c r="P415" s="27"/>
      <c r="Q415" s="27"/>
      <c r="R415" s="43"/>
      <c r="S415" s="27"/>
      <c r="T415" s="27"/>
      <c r="U415" s="27"/>
      <c r="V415" s="27"/>
      <c r="W415" s="27"/>
      <c r="X415" s="43"/>
      <c r="Y415" s="27"/>
      <c r="Z415" s="27"/>
      <c r="AA415" s="41"/>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row>
    <row r="416">
      <c r="A416" s="27"/>
      <c r="B416" s="124"/>
      <c r="C416" s="27"/>
      <c r="D416" s="27"/>
      <c r="E416" s="27"/>
      <c r="F416" s="27"/>
      <c r="G416" s="27"/>
      <c r="H416" s="27"/>
      <c r="I416" s="27"/>
      <c r="J416" s="27"/>
      <c r="K416" s="27"/>
      <c r="L416" s="27"/>
      <c r="M416" s="27"/>
      <c r="N416" s="27"/>
      <c r="O416" s="43"/>
      <c r="P416" s="27"/>
      <c r="Q416" s="27"/>
      <c r="R416" s="43"/>
      <c r="S416" s="27"/>
      <c r="T416" s="27"/>
      <c r="U416" s="27"/>
      <c r="V416" s="27"/>
      <c r="W416" s="27"/>
      <c r="X416" s="43"/>
      <c r="Y416" s="27"/>
      <c r="Z416" s="27"/>
      <c r="AA416" s="41"/>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row>
    <row r="417">
      <c r="A417" s="27"/>
      <c r="B417" s="124"/>
      <c r="C417" s="27"/>
      <c r="D417" s="27"/>
      <c r="E417" s="27"/>
      <c r="F417" s="27"/>
      <c r="G417" s="27"/>
      <c r="H417" s="27"/>
      <c r="I417" s="27"/>
      <c r="J417" s="27"/>
      <c r="K417" s="27"/>
      <c r="L417" s="27"/>
      <c r="M417" s="27"/>
      <c r="N417" s="27"/>
      <c r="O417" s="43"/>
      <c r="P417" s="27"/>
      <c r="Q417" s="27"/>
      <c r="R417" s="43"/>
      <c r="S417" s="27"/>
      <c r="T417" s="27"/>
      <c r="U417" s="27"/>
      <c r="V417" s="27"/>
      <c r="W417" s="27"/>
      <c r="X417" s="43"/>
      <c r="Y417" s="27"/>
      <c r="Z417" s="27"/>
      <c r="AA417" s="41"/>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row>
    <row r="418">
      <c r="A418" s="27"/>
      <c r="B418" s="124"/>
      <c r="C418" s="27"/>
      <c r="D418" s="27"/>
      <c r="E418" s="27"/>
      <c r="F418" s="27"/>
      <c r="G418" s="27"/>
      <c r="H418" s="27"/>
      <c r="I418" s="27"/>
      <c r="J418" s="27"/>
      <c r="K418" s="27"/>
      <c r="L418" s="27"/>
      <c r="M418" s="27"/>
      <c r="N418" s="27"/>
      <c r="O418" s="43"/>
      <c r="P418" s="27"/>
      <c r="Q418" s="27"/>
      <c r="R418" s="43"/>
      <c r="S418" s="27"/>
      <c r="T418" s="27"/>
      <c r="U418" s="27"/>
      <c r="V418" s="27"/>
      <c r="W418" s="27"/>
      <c r="X418" s="43"/>
      <c r="Y418" s="27"/>
      <c r="Z418" s="27"/>
      <c r="AA418" s="41"/>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row>
    <row r="419">
      <c r="A419" s="27"/>
      <c r="B419" s="124"/>
      <c r="C419" s="27"/>
      <c r="D419" s="27"/>
      <c r="E419" s="27"/>
      <c r="F419" s="27"/>
      <c r="G419" s="27"/>
      <c r="H419" s="27"/>
      <c r="I419" s="27"/>
      <c r="J419" s="27"/>
      <c r="K419" s="27"/>
      <c r="L419" s="27"/>
      <c r="M419" s="27"/>
      <c r="N419" s="27"/>
      <c r="O419" s="43"/>
      <c r="P419" s="27"/>
      <c r="Q419" s="27"/>
      <c r="R419" s="43"/>
      <c r="S419" s="27"/>
      <c r="T419" s="27"/>
      <c r="U419" s="27"/>
      <c r="V419" s="27"/>
      <c r="W419" s="27"/>
      <c r="X419" s="43"/>
      <c r="Y419" s="27"/>
      <c r="Z419" s="27"/>
      <c r="AA419" s="41"/>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row>
    <row r="420">
      <c r="A420" s="27"/>
      <c r="B420" s="124"/>
      <c r="C420" s="27"/>
      <c r="D420" s="27"/>
      <c r="E420" s="27"/>
      <c r="F420" s="27"/>
      <c r="G420" s="27"/>
      <c r="H420" s="27"/>
      <c r="I420" s="27"/>
      <c r="J420" s="27"/>
      <c r="K420" s="27"/>
      <c r="L420" s="27"/>
      <c r="M420" s="27"/>
      <c r="N420" s="27"/>
      <c r="O420" s="43"/>
      <c r="P420" s="27"/>
      <c r="Q420" s="27"/>
      <c r="R420" s="43"/>
      <c r="S420" s="27"/>
      <c r="T420" s="27"/>
      <c r="U420" s="27"/>
      <c r="V420" s="27"/>
      <c r="W420" s="27"/>
      <c r="X420" s="43"/>
      <c r="Y420" s="27"/>
      <c r="Z420" s="27"/>
      <c r="AA420" s="41"/>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row>
    <row r="421">
      <c r="A421" s="27"/>
      <c r="B421" s="124"/>
      <c r="C421" s="27"/>
      <c r="D421" s="27"/>
      <c r="E421" s="27"/>
      <c r="F421" s="27"/>
      <c r="G421" s="27"/>
      <c r="H421" s="27"/>
      <c r="I421" s="27"/>
      <c r="J421" s="27"/>
      <c r="K421" s="27"/>
      <c r="L421" s="27"/>
      <c r="M421" s="27"/>
      <c r="N421" s="27"/>
      <c r="O421" s="43"/>
      <c r="P421" s="27"/>
      <c r="Q421" s="27"/>
      <c r="R421" s="43"/>
      <c r="S421" s="27"/>
      <c r="T421" s="27"/>
      <c r="U421" s="27"/>
      <c r="V421" s="27"/>
      <c r="W421" s="27"/>
      <c r="X421" s="43"/>
      <c r="Y421" s="27"/>
      <c r="Z421" s="27"/>
      <c r="AA421" s="41"/>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row>
    <row r="422">
      <c r="A422" s="27"/>
      <c r="B422" s="124"/>
      <c r="C422" s="27"/>
      <c r="D422" s="27"/>
      <c r="E422" s="27"/>
      <c r="F422" s="27"/>
      <c r="G422" s="27"/>
      <c r="H422" s="27"/>
      <c r="I422" s="27"/>
      <c r="J422" s="27"/>
      <c r="K422" s="27"/>
      <c r="L422" s="27"/>
      <c r="M422" s="27"/>
      <c r="N422" s="27"/>
      <c r="O422" s="43"/>
      <c r="P422" s="27"/>
      <c r="Q422" s="27"/>
      <c r="R422" s="43"/>
      <c r="S422" s="27"/>
      <c r="T422" s="27"/>
      <c r="U422" s="27"/>
      <c r="V422" s="27"/>
      <c r="W422" s="27"/>
      <c r="X422" s="43"/>
      <c r="Y422" s="27"/>
      <c r="Z422" s="27"/>
      <c r="AA422" s="41"/>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row>
    <row r="423">
      <c r="A423" s="27"/>
      <c r="B423" s="124"/>
      <c r="C423" s="27"/>
      <c r="D423" s="27"/>
      <c r="E423" s="27"/>
      <c r="F423" s="27"/>
      <c r="G423" s="27"/>
      <c r="H423" s="27"/>
      <c r="I423" s="27"/>
      <c r="J423" s="27"/>
      <c r="K423" s="27"/>
      <c r="L423" s="27"/>
      <c r="M423" s="27"/>
      <c r="N423" s="27"/>
      <c r="O423" s="43"/>
      <c r="P423" s="27"/>
      <c r="Q423" s="27"/>
      <c r="R423" s="43"/>
      <c r="S423" s="27"/>
      <c r="T423" s="27"/>
      <c r="U423" s="27"/>
      <c r="V423" s="27"/>
      <c r="W423" s="27"/>
      <c r="X423" s="43"/>
      <c r="Y423" s="27"/>
      <c r="Z423" s="27"/>
      <c r="AA423" s="41"/>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row>
    <row r="424">
      <c r="A424" s="27"/>
      <c r="B424" s="124"/>
      <c r="C424" s="27"/>
      <c r="D424" s="27"/>
      <c r="E424" s="27"/>
      <c r="F424" s="27"/>
      <c r="G424" s="27"/>
      <c r="H424" s="27"/>
      <c r="I424" s="27"/>
      <c r="J424" s="27"/>
      <c r="K424" s="27"/>
      <c r="L424" s="27"/>
      <c r="M424" s="27"/>
      <c r="N424" s="27"/>
      <c r="O424" s="43"/>
      <c r="P424" s="27"/>
      <c r="Q424" s="27"/>
      <c r="R424" s="43"/>
      <c r="S424" s="27"/>
      <c r="T424" s="27"/>
      <c r="U424" s="27"/>
      <c r="V424" s="27"/>
      <c r="W424" s="27"/>
      <c r="X424" s="43"/>
      <c r="Y424" s="27"/>
      <c r="Z424" s="27"/>
      <c r="AA424" s="41"/>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row>
    <row r="425">
      <c r="A425" s="27"/>
      <c r="B425" s="124"/>
      <c r="C425" s="27"/>
      <c r="D425" s="27"/>
      <c r="E425" s="27"/>
      <c r="F425" s="27"/>
      <c r="G425" s="27"/>
      <c r="H425" s="27"/>
      <c r="I425" s="27"/>
      <c r="J425" s="27"/>
      <c r="K425" s="27"/>
      <c r="L425" s="27"/>
      <c r="M425" s="27"/>
      <c r="N425" s="27"/>
      <c r="O425" s="43"/>
      <c r="P425" s="27"/>
      <c r="Q425" s="27"/>
      <c r="R425" s="43"/>
      <c r="S425" s="27"/>
      <c r="T425" s="27"/>
      <c r="U425" s="27"/>
      <c r="V425" s="27"/>
      <c r="W425" s="27"/>
      <c r="X425" s="43"/>
      <c r="Y425" s="27"/>
      <c r="Z425" s="27"/>
      <c r="AA425" s="41"/>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row>
    <row r="426">
      <c r="A426" s="27"/>
      <c r="B426" s="124"/>
      <c r="C426" s="27"/>
      <c r="D426" s="27"/>
      <c r="E426" s="27"/>
      <c r="F426" s="27"/>
      <c r="G426" s="27"/>
      <c r="H426" s="27"/>
      <c r="I426" s="27"/>
      <c r="J426" s="27"/>
      <c r="K426" s="27"/>
      <c r="L426" s="27"/>
      <c r="M426" s="27"/>
      <c r="N426" s="27"/>
      <c r="O426" s="43"/>
      <c r="P426" s="27"/>
      <c r="Q426" s="27"/>
      <c r="R426" s="43"/>
      <c r="S426" s="27"/>
      <c r="T426" s="27"/>
      <c r="U426" s="27"/>
      <c r="V426" s="27"/>
      <c r="W426" s="27"/>
      <c r="X426" s="43"/>
      <c r="Y426" s="27"/>
      <c r="Z426" s="27"/>
      <c r="AA426" s="41"/>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row>
    <row r="427">
      <c r="A427" s="27"/>
      <c r="B427" s="124"/>
      <c r="C427" s="27"/>
      <c r="D427" s="27"/>
      <c r="E427" s="27"/>
      <c r="F427" s="27"/>
      <c r="G427" s="27"/>
      <c r="H427" s="27"/>
      <c r="I427" s="27"/>
      <c r="J427" s="27"/>
      <c r="K427" s="27"/>
      <c r="L427" s="27"/>
      <c r="M427" s="27"/>
      <c r="N427" s="27"/>
      <c r="O427" s="43"/>
      <c r="P427" s="27"/>
      <c r="Q427" s="27"/>
      <c r="R427" s="43"/>
      <c r="S427" s="27"/>
      <c r="T427" s="27"/>
      <c r="U427" s="27"/>
      <c r="V427" s="27"/>
      <c r="W427" s="27"/>
      <c r="X427" s="43"/>
      <c r="Y427" s="27"/>
      <c r="Z427" s="27"/>
      <c r="AA427" s="41"/>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row>
    <row r="428">
      <c r="A428" s="27"/>
      <c r="B428" s="124"/>
      <c r="C428" s="27"/>
      <c r="D428" s="27"/>
      <c r="E428" s="27"/>
      <c r="F428" s="27"/>
      <c r="G428" s="27"/>
      <c r="H428" s="27"/>
      <c r="I428" s="27"/>
      <c r="J428" s="27"/>
      <c r="K428" s="27"/>
      <c r="L428" s="27"/>
      <c r="M428" s="27"/>
      <c r="N428" s="27"/>
      <c r="O428" s="43"/>
      <c r="P428" s="27"/>
      <c r="Q428" s="27"/>
      <c r="R428" s="43"/>
      <c r="S428" s="27"/>
      <c r="T428" s="27"/>
      <c r="U428" s="27"/>
      <c r="V428" s="27"/>
      <c r="W428" s="27"/>
      <c r="X428" s="43"/>
      <c r="Y428" s="27"/>
      <c r="Z428" s="27"/>
      <c r="AA428" s="41"/>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row>
    <row r="429">
      <c r="A429" s="27"/>
      <c r="B429" s="124"/>
      <c r="C429" s="27"/>
      <c r="D429" s="27"/>
      <c r="E429" s="27"/>
      <c r="F429" s="27"/>
      <c r="G429" s="27"/>
      <c r="H429" s="27"/>
      <c r="I429" s="27"/>
      <c r="J429" s="27"/>
      <c r="K429" s="27"/>
      <c r="L429" s="27"/>
      <c r="M429" s="27"/>
      <c r="N429" s="27"/>
      <c r="O429" s="43"/>
      <c r="P429" s="27"/>
      <c r="Q429" s="27"/>
      <c r="R429" s="43"/>
      <c r="S429" s="27"/>
      <c r="T429" s="27"/>
      <c r="U429" s="27"/>
      <c r="V429" s="27"/>
      <c r="W429" s="27"/>
      <c r="X429" s="43"/>
      <c r="Y429" s="27"/>
      <c r="Z429" s="27"/>
      <c r="AA429" s="41"/>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row>
    <row r="430">
      <c r="A430" s="27"/>
      <c r="B430" s="124"/>
      <c r="C430" s="27"/>
      <c r="D430" s="27"/>
      <c r="E430" s="27"/>
      <c r="F430" s="27"/>
      <c r="G430" s="27"/>
      <c r="H430" s="27"/>
      <c r="I430" s="27"/>
      <c r="J430" s="27"/>
      <c r="K430" s="27"/>
      <c r="L430" s="27"/>
      <c r="M430" s="27"/>
      <c r="N430" s="27"/>
      <c r="O430" s="43"/>
      <c r="P430" s="27"/>
      <c r="Q430" s="27"/>
      <c r="R430" s="43"/>
      <c r="S430" s="27"/>
      <c r="T430" s="27"/>
      <c r="U430" s="27"/>
      <c r="V430" s="27"/>
      <c r="W430" s="27"/>
      <c r="X430" s="43"/>
      <c r="Y430" s="27"/>
      <c r="Z430" s="27"/>
      <c r="AA430" s="41"/>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row>
    <row r="431">
      <c r="A431" s="27"/>
      <c r="B431" s="124"/>
      <c r="C431" s="27"/>
      <c r="D431" s="27"/>
      <c r="E431" s="27"/>
      <c r="F431" s="27"/>
      <c r="G431" s="27"/>
      <c r="H431" s="27"/>
      <c r="I431" s="27"/>
      <c r="J431" s="27"/>
      <c r="K431" s="27"/>
      <c r="L431" s="27"/>
      <c r="M431" s="27"/>
      <c r="N431" s="27"/>
      <c r="O431" s="43"/>
      <c r="P431" s="27"/>
      <c r="Q431" s="27"/>
      <c r="R431" s="43"/>
      <c r="S431" s="27"/>
      <c r="T431" s="27"/>
      <c r="U431" s="27"/>
      <c r="V431" s="27"/>
      <c r="W431" s="27"/>
      <c r="X431" s="43"/>
      <c r="Y431" s="27"/>
      <c r="Z431" s="27"/>
      <c r="AA431" s="41"/>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row>
    <row r="432">
      <c r="A432" s="27"/>
      <c r="B432" s="124"/>
      <c r="C432" s="27"/>
      <c r="D432" s="27"/>
      <c r="E432" s="27"/>
      <c r="F432" s="27"/>
      <c r="G432" s="27"/>
      <c r="H432" s="27"/>
      <c r="I432" s="27"/>
      <c r="J432" s="27"/>
      <c r="K432" s="27"/>
      <c r="L432" s="27"/>
      <c r="M432" s="27"/>
      <c r="N432" s="27"/>
      <c r="O432" s="43"/>
      <c r="P432" s="27"/>
      <c r="Q432" s="27"/>
      <c r="R432" s="43"/>
      <c r="S432" s="27"/>
      <c r="T432" s="27"/>
      <c r="U432" s="27"/>
      <c r="V432" s="27"/>
      <c r="W432" s="27"/>
      <c r="X432" s="43"/>
      <c r="Y432" s="27"/>
      <c r="Z432" s="27"/>
      <c r="AA432" s="41"/>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row>
    <row r="433">
      <c r="A433" s="27"/>
      <c r="B433" s="124"/>
      <c r="C433" s="27"/>
      <c r="D433" s="27"/>
      <c r="E433" s="27"/>
      <c r="F433" s="27"/>
      <c r="G433" s="27"/>
      <c r="H433" s="27"/>
      <c r="I433" s="27"/>
      <c r="J433" s="27"/>
      <c r="K433" s="27"/>
      <c r="L433" s="27"/>
      <c r="M433" s="27"/>
      <c r="N433" s="27"/>
      <c r="O433" s="43"/>
      <c r="P433" s="27"/>
      <c r="Q433" s="27"/>
      <c r="R433" s="43"/>
      <c r="S433" s="27"/>
      <c r="T433" s="27"/>
      <c r="U433" s="27"/>
      <c r="V433" s="27"/>
      <c r="W433" s="27"/>
      <c r="X433" s="43"/>
      <c r="Y433" s="27"/>
      <c r="Z433" s="27"/>
      <c r="AA433" s="41"/>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row>
    <row r="434">
      <c r="A434" s="27"/>
      <c r="B434" s="124"/>
      <c r="C434" s="27"/>
      <c r="D434" s="27"/>
      <c r="E434" s="27"/>
      <c r="F434" s="27"/>
      <c r="G434" s="27"/>
      <c r="H434" s="27"/>
      <c r="I434" s="27"/>
      <c r="J434" s="27"/>
      <c r="K434" s="27"/>
      <c r="L434" s="27"/>
      <c r="M434" s="27"/>
      <c r="N434" s="27"/>
      <c r="O434" s="43"/>
      <c r="P434" s="27"/>
      <c r="Q434" s="27"/>
      <c r="R434" s="43"/>
      <c r="S434" s="27"/>
      <c r="T434" s="27"/>
      <c r="U434" s="27"/>
      <c r="V434" s="27"/>
      <c r="W434" s="27"/>
      <c r="X434" s="43"/>
      <c r="Y434" s="27"/>
      <c r="Z434" s="27"/>
      <c r="AA434" s="41"/>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row>
    <row r="435">
      <c r="A435" s="27"/>
      <c r="B435" s="124"/>
      <c r="C435" s="27"/>
      <c r="D435" s="27"/>
      <c r="E435" s="27"/>
      <c r="F435" s="27"/>
      <c r="G435" s="27"/>
      <c r="H435" s="27"/>
      <c r="I435" s="27"/>
      <c r="J435" s="27"/>
      <c r="K435" s="27"/>
      <c r="L435" s="27"/>
      <c r="M435" s="27"/>
      <c r="N435" s="27"/>
      <c r="O435" s="43"/>
      <c r="P435" s="27"/>
      <c r="Q435" s="27"/>
      <c r="R435" s="43"/>
      <c r="S435" s="27"/>
      <c r="T435" s="27"/>
      <c r="U435" s="27"/>
      <c r="V435" s="27"/>
      <c r="W435" s="27"/>
      <c r="X435" s="43"/>
      <c r="Y435" s="27"/>
      <c r="Z435" s="27"/>
      <c r="AA435" s="41"/>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row>
    <row r="436">
      <c r="A436" s="27"/>
      <c r="B436" s="124"/>
      <c r="C436" s="27"/>
      <c r="D436" s="27"/>
      <c r="E436" s="27"/>
      <c r="F436" s="27"/>
      <c r="G436" s="27"/>
      <c r="H436" s="27"/>
      <c r="I436" s="27"/>
      <c r="J436" s="27"/>
      <c r="K436" s="27"/>
      <c r="L436" s="27"/>
      <c r="M436" s="27"/>
      <c r="N436" s="27"/>
      <c r="O436" s="43"/>
      <c r="P436" s="27"/>
      <c r="Q436" s="27"/>
      <c r="R436" s="43"/>
      <c r="S436" s="27"/>
      <c r="T436" s="27"/>
      <c r="U436" s="27"/>
      <c r="V436" s="27"/>
      <c r="W436" s="27"/>
      <c r="X436" s="43"/>
      <c r="Y436" s="27"/>
      <c r="Z436" s="27"/>
      <c r="AA436" s="41"/>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row>
    <row r="437">
      <c r="A437" s="27"/>
      <c r="B437" s="124"/>
      <c r="C437" s="27"/>
      <c r="D437" s="27"/>
      <c r="E437" s="27"/>
      <c r="F437" s="27"/>
      <c r="G437" s="27"/>
      <c r="H437" s="27"/>
      <c r="I437" s="27"/>
      <c r="J437" s="27"/>
      <c r="K437" s="27"/>
      <c r="L437" s="27"/>
      <c r="M437" s="27"/>
      <c r="N437" s="27"/>
      <c r="O437" s="43"/>
      <c r="P437" s="27"/>
      <c r="Q437" s="27"/>
      <c r="R437" s="43"/>
      <c r="S437" s="27"/>
      <c r="T437" s="27"/>
      <c r="U437" s="27"/>
      <c r="V437" s="27"/>
      <c r="W437" s="27"/>
      <c r="X437" s="43"/>
      <c r="Y437" s="27"/>
      <c r="Z437" s="27"/>
      <c r="AA437" s="41"/>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row>
    <row r="438">
      <c r="A438" s="27"/>
      <c r="B438" s="124"/>
      <c r="C438" s="27"/>
      <c r="D438" s="27"/>
      <c r="E438" s="27"/>
      <c r="F438" s="27"/>
      <c r="G438" s="27"/>
      <c r="H438" s="27"/>
      <c r="I438" s="27"/>
      <c r="J438" s="27"/>
      <c r="K438" s="27"/>
      <c r="L438" s="27"/>
      <c r="M438" s="27"/>
      <c r="N438" s="27"/>
      <c r="O438" s="43"/>
      <c r="P438" s="27"/>
      <c r="Q438" s="27"/>
      <c r="R438" s="43"/>
      <c r="S438" s="27"/>
      <c r="T438" s="27"/>
      <c r="U438" s="27"/>
      <c r="V438" s="27"/>
      <c r="W438" s="27"/>
      <c r="X438" s="43"/>
      <c r="Y438" s="27"/>
      <c r="Z438" s="27"/>
      <c r="AA438" s="41"/>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row>
    <row r="439">
      <c r="A439" s="27"/>
      <c r="B439" s="124"/>
      <c r="C439" s="27"/>
      <c r="D439" s="27"/>
      <c r="E439" s="27"/>
      <c r="F439" s="27"/>
      <c r="G439" s="27"/>
      <c r="H439" s="27"/>
      <c r="I439" s="27"/>
      <c r="J439" s="27"/>
      <c r="K439" s="27"/>
      <c r="L439" s="27"/>
      <c r="M439" s="27"/>
      <c r="N439" s="27"/>
      <c r="O439" s="43"/>
      <c r="P439" s="27"/>
      <c r="Q439" s="27"/>
      <c r="R439" s="43"/>
      <c r="S439" s="27"/>
      <c r="T439" s="27"/>
      <c r="U439" s="27"/>
      <c r="V439" s="27"/>
      <c r="W439" s="27"/>
      <c r="X439" s="43"/>
      <c r="Y439" s="27"/>
      <c r="Z439" s="27"/>
      <c r="AA439" s="41"/>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row>
    <row r="440">
      <c r="A440" s="27"/>
      <c r="B440" s="124"/>
      <c r="C440" s="27"/>
      <c r="D440" s="27"/>
      <c r="E440" s="27"/>
      <c r="F440" s="27"/>
      <c r="G440" s="27"/>
      <c r="H440" s="27"/>
      <c r="I440" s="27"/>
      <c r="J440" s="27"/>
      <c r="K440" s="27"/>
      <c r="L440" s="27"/>
      <c r="M440" s="27"/>
      <c r="N440" s="27"/>
      <c r="O440" s="43"/>
      <c r="P440" s="27"/>
      <c r="Q440" s="27"/>
      <c r="R440" s="43"/>
      <c r="S440" s="27"/>
      <c r="T440" s="27"/>
      <c r="U440" s="27"/>
      <c r="V440" s="27"/>
      <c r="W440" s="27"/>
      <c r="X440" s="43"/>
      <c r="Y440" s="27"/>
      <c r="Z440" s="27"/>
      <c r="AA440" s="41"/>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row>
    <row r="441">
      <c r="A441" s="27"/>
      <c r="B441" s="124"/>
      <c r="C441" s="27"/>
      <c r="D441" s="27"/>
      <c r="E441" s="27"/>
      <c r="F441" s="27"/>
      <c r="G441" s="27"/>
      <c r="H441" s="27"/>
      <c r="I441" s="27"/>
      <c r="J441" s="27"/>
      <c r="K441" s="27"/>
      <c r="L441" s="27"/>
      <c r="M441" s="27"/>
      <c r="N441" s="27"/>
      <c r="O441" s="43"/>
      <c r="P441" s="27"/>
      <c r="Q441" s="27"/>
      <c r="R441" s="43"/>
      <c r="S441" s="27"/>
      <c r="T441" s="27"/>
      <c r="U441" s="27"/>
      <c r="V441" s="27"/>
      <c r="W441" s="27"/>
      <c r="X441" s="43"/>
      <c r="Y441" s="27"/>
      <c r="Z441" s="27"/>
      <c r="AA441" s="41"/>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row>
    <row r="442">
      <c r="A442" s="27"/>
      <c r="B442" s="124"/>
      <c r="C442" s="27"/>
      <c r="D442" s="27"/>
      <c r="E442" s="27"/>
      <c r="F442" s="27"/>
      <c r="G442" s="27"/>
      <c r="H442" s="27"/>
      <c r="I442" s="27"/>
      <c r="J442" s="27"/>
      <c r="K442" s="27"/>
      <c r="L442" s="27"/>
      <c r="M442" s="27"/>
      <c r="N442" s="27"/>
      <c r="O442" s="43"/>
      <c r="P442" s="27"/>
      <c r="Q442" s="27"/>
      <c r="R442" s="43"/>
      <c r="S442" s="27"/>
      <c r="T442" s="27"/>
      <c r="U442" s="27"/>
      <c r="V442" s="27"/>
      <c r="W442" s="27"/>
      <c r="X442" s="43"/>
      <c r="Y442" s="27"/>
      <c r="Z442" s="27"/>
      <c r="AA442" s="41"/>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row>
    <row r="443">
      <c r="A443" s="27"/>
      <c r="B443" s="124"/>
      <c r="C443" s="27"/>
      <c r="D443" s="27"/>
      <c r="E443" s="27"/>
      <c r="F443" s="27"/>
      <c r="G443" s="27"/>
      <c r="H443" s="27"/>
      <c r="I443" s="27"/>
      <c r="J443" s="27"/>
      <c r="K443" s="27"/>
      <c r="L443" s="27"/>
      <c r="M443" s="27"/>
      <c r="N443" s="27"/>
      <c r="O443" s="43"/>
      <c r="P443" s="27"/>
      <c r="Q443" s="27"/>
      <c r="R443" s="43"/>
      <c r="S443" s="27"/>
      <c r="T443" s="27"/>
      <c r="U443" s="27"/>
      <c r="V443" s="27"/>
      <c r="W443" s="27"/>
      <c r="X443" s="43"/>
      <c r="Y443" s="27"/>
      <c r="Z443" s="27"/>
      <c r="AA443" s="41"/>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row>
    <row r="444">
      <c r="A444" s="27"/>
      <c r="B444" s="124"/>
      <c r="C444" s="27"/>
      <c r="D444" s="27"/>
      <c r="E444" s="27"/>
      <c r="F444" s="27"/>
      <c r="G444" s="27"/>
      <c r="H444" s="27"/>
      <c r="I444" s="27"/>
      <c r="J444" s="27"/>
      <c r="K444" s="27"/>
      <c r="L444" s="27"/>
      <c r="M444" s="27"/>
      <c r="N444" s="27"/>
      <c r="O444" s="43"/>
      <c r="P444" s="27"/>
      <c r="Q444" s="27"/>
      <c r="R444" s="43"/>
      <c r="S444" s="27"/>
      <c r="T444" s="27"/>
      <c r="U444" s="27"/>
      <c r="V444" s="27"/>
      <c r="W444" s="27"/>
      <c r="X444" s="43"/>
      <c r="Y444" s="27"/>
      <c r="Z444" s="27"/>
      <c r="AA444" s="41"/>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row>
    <row r="445">
      <c r="A445" s="27"/>
      <c r="B445" s="124"/>
      <c r="C445" s="27"/>
      <c r="D445" s="27"/>
      <c r="E445" s="27"/>
      <c r="F445" s="27"/>
      <c r="G445" s="27"/>
      <c r="H445" s="27"/>
      <c r="I445" s="27"/>
      <c r="J445" s="27"/>
      <c r="K445" s="27"/>
      <c r="L445" s="27"/>
      <c r="M445" s="27"/>
      <c r="N445" s="27"/>
      <c r="O445" s="43"/>
      <c r="P445" s="27"/>
      <c r="Q445" s="27"/>
      <c r="R445" s="43"/>
      <c r="S445" s="27"/>
      <c r="T445" s="27"/>
      <c r="U445" s="27"/>
      <c r="V445" s="27"/>
      <c r="W445" s="27"/>
      <c r="X445" s="43"/>
      <c r="Y445" s="27"/>
      <c r="Z445" s="27"/>
      <c r="AA445" s="41"/>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row>
    <row r="446">
      <c r="A446" s="27"/>
      <c r="B446" s="124"/>
      <c r="C446" s="27"/>
      <c r="D446" s="27"/>
      <c r="E446" s="27"/>
      <c r="F446" s="27"/>
      <c r="G446" s="27"/>
      <c r="H446" s="27"/>
      <c r="I446" s="27"/>
      <c r="J446" s="27"/>
      <c r="K446" s="27"/>
      <c r="L446" s="27"/>
      <c r="M446" s="27"/>
      <c r="N446" s="27"/>
      <c r="O446" s="43"/>
      <c r="P446" s="27"/>
      <c r="Q446" s="27"/>
      <c r="R446" s="43"/>
      <c r="S446" s="27"/>
      <c r="T446" s="27"/>
      <c r="U446" s="27"/>
      <c r="V446" s="27"/>
      <c r="W446" s="27"/>
      <c r="X446" s="43"/>
      <c r="Y446" s="27"/>
      <c r="Z446" s="27"/>
      <c r="AA446" s="41"/>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row>
    <row r="447">
      <c r="A447" s="27"/>
      <c r="B447" s="124"/>
      <c r="C447" s="27"/>
      <c r="D447" s="27"/>
      <c r="E447" s="27"/>
      <c r="F447" s="27"/>
      <c r="G447" s="27"/>
      <c r="H447" s="27"/>
      <c r="I447" s="27"/>
      <c r="J447" s="27"/>
      <c r="K447" s="27"/>
      <c r="L447" s="27"/>
      <c r="M447" s="27"/>
      <c r="N447" s="27"/>
      <c r="O447" s="43"/>
      <c r="P447" s="27"/>
      <c r="Q447" s="27"/>
      <c r="R447" s="43"/>
      <c r="S447" s="27"/>
      <c r="T447" s="27"/>
      <c r="U447" s="27"/>
      <c r="V447" s="27"/>
      <c r="W447" s="27"/>
      <c r="X447" s="43"/>
      <c r="Y447" s="27"/>
      <c r="Z447" s="27"/>
      <c r="AA447" s="41"/>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row>
    <row r="448">
      <c r="A448" s="27"/>
      <c r="B448" s="124"/>
      <c r="C448" s="27"/>
      <c r="D448" s="27"/>
      <c r="E448" s="27"/>
      <c r="F448" s="27"/>
      <c r="G448" s="27"/>
      <c r="H448" s="27"/>
      <c r="I448" s="27"/>
      <c r="J448" s="27"/>
      <c r="K448" s="27"/>
      <c r="L448" s="27"/>
      <c r="M448" s="27"/>
      <c r="N448" s="27"/>
      <c r="O448" s="43"/>
      <c r="P448" s="27"/>
      <c r="Q448" s="27"/>
      <c r="R448" s="43"/>
      <c r="S448" s="27"/>
      <c r="T448" s="27"/>
      <c r="U448" s="27"/>
      <c r="V448" s="27"/>
      <c r="W448" s="27"/>
      <c r="X448" s="43"/>
      <c r="Y448" s="27"/>
      <c r="Z448" s="27"/>
      <c r="AA448" s="41"/>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row>
    <row r="449">
      <c r="A449" s="27"/>
      <c r="B449" s="124"/>
      <c r="C449" s="27"/>
      <c r="D449" s="27"/>
      <c r="E449" s="27"/>
      <c r="F449" s="27"/>
      <c r="G449" s="27"/>
      <c r="H449" s="27"/>
      <c r="I449" s="27"/>
      <c r="J449" s="27"/>
      <c r="K449" s="27"/>
      <c r="L449" s="27"/>
      <c r="M449" s="27"/>
      <c r="N449" s="27"/>
      <c r="O449" s="43"/>
      <c r="P449" s="27"/>
      <c r="Q449" s="27"/>
      <c r="R449" s="43"/>
      <c r="S449" s="27"/>
      <c r="T449" s="27"/>
      <c r="U449" s="27"/>
      <c r="V449" s="27"/>
      <c r="W449" s="27"/>
      <c r="X449" s="43"/>
      <c r="Y449" s="27"/>
      <c r="Z449" s="27"/>
      <c r="AA449" s="41"/>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row>
    <row r="450">
      <c r="A450" s="27"/>
      <c r="B450" s="124"/>
      <c r="C450" s="27"/>
      <c r="D450" s="27"/>
      <c r="E450" s="27"/>
      <c r="F450" s="27"/>
      <c r="G450" s="27"/>
      <c r="H450" s="27"/>
      <c r="I450" s="27"/>
      <c r="J450" s="27"/>
      <c r="K450" s="27"/>
      <c r="L450" s="27"/>
      <c r="M450" s="27"/>
      <c r="N450" s="27"/>
      <c r="O450" s="43"/>
      <c r="P450" s="27"/>
      <c r="Q450" s="27"/>
      <c r="R450" s="43"/>
      <c r="S450" s="27"/>
      <c r="T450" s="27"/>
      <c r="U450" s="27"/>
      <c r="V450" s="27"/>
      <c r="W450" s="27"/>
      <c r="X450" s="43"/>
      <c r="Y450" s="27"/>
      <c r="Z450" s="27"/>
      <c r="AA450" s="41"/>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row>
    <row r="451">
      <c r="A451" s="27"/>
      <c r="B451" s="124"/>
      <c r="C451" s="27"/>
      <c r="D451" s="27"/>
      <c r="E451" s="27"/>
      <c r="F451" s="27"/>
      <c r="G451" s="27"/>
      <c r="H451" s="27"/>
      <c r="I451" s="27"/>
      <c r="J451" s="27"/>
      <c r="K451" s="27"/>
      <c r="L451" s="27"/>
      <c r="M451" s="27"/>
      <c r="N451" s="27"/>
      <c r="O451" s="43"/>
      <c r="P451" s="27"/>
      <c r="Q451" s="27"/>
      <c r="R451" s="43"/>
      <c r="S451" s="27"/>
      <c r="T451" s="27"/>
      <c r="U451" s="27"/>
      <c r="V451" s="27"/>
      <c r="W451" s="27"/>
      <c r="X451" s="43"/>
      <c r="Y451" s="27"/>
      <c r="Z451" s="27"/>
      <c r="AA451" s="41"/>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row>
    <row r="452">
      <c r="A452" s="27"/>
      <c r="B452" s="124"/>
      <c r="C452" s="27"/>
      <c r="D452" s="27"/>
      <c r="E452" s="27"/>
      <c r="F452" s="27"/>
      <c r="G452" s="27"/>
      <c r="H452" s="27"/>
      <c r="I452" s="27"/>
      <c r="J452" s="27"/>
      <c r="K452" s="27"/>
      <c r="L452" s="27"/>
      <c r="M452" s="27"/>
      <c r="N452" s="27"/>
      <c r="O452" s="43"/>
      <c r="P452" s="27"/>
      <c r="Q452" s="27"/>
      <c r="R452" s="43"/>
      <c r="S452" s="27"/>
      <c r="T452" s="27"/>
      <c r="U452" s="27"/>
      <c r="V452" s="27"/>
      <c r="W452" s="27"/>
      <c r="X452" s="43"/>
      <c r="Y452" s="27"/>
      <c r="Z452" s="27"/>
      <c r="AA452" s="41"/>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row>
    <row r="453">
      <c r="A453" s="27"/>
      <c r="B453" s="124"/>
      <c r="C453" s="27"/>
      <c r="D453" s="27"/>
      <c r="E453" s="27"/>
      <c r="F453" s="27"/>
      <c r="G453" s="27"/>
      <c r="H453" s="27"/>
      <c r="I453" s="27"/>
      <c r="J453" s="27"/>
      <c r="K453" s="27"/>
      <c r="L453" s="27"/>
      <c r="M453" s="27"/>
      <c r="N453" s="27"/>
      <c r="O453" s="43"/>
      <c r="P453" s="27"/>
      <c r="Q453" s="27"/>
      <c r="R453" s="43"/>
      <c r="S453" s="27"/>
      <c r="T453" s="27"/>
      <c r="U453" s="27"/>
      <c r="V453" s="27"/>
      <c r="W453" s="27"/>
      <c r="X453" s="43"/>
      <c r="Y453" s="27"/>
      <c r="Z453" s="27"/>
      <c r="AA453" s="41"/>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row>
    <row r="454">
      <c r="A454" s="27"/>
      <c r="B454" s="124"/>
      <c r="C454" s="27"/>
      <c r="D454" s="27"/>
      <c r="E454" s="27"/>
      <c r="F454" s="27"/>
      <c r="G454" s="27"/>
      <c r="H454" s="27"/>
      <c r="I454" s="27"/>
      <c r="J454" s="27"/>
      <c r="K454" s="27"/>
      <c r="L454" s="27"/>
      <c r="M454" s="27"/>
      <c r="N454" s="27"/>
      <c r="O454" s="43"/>
      <c r="P454" s="27"/>
      <c r="Q454" s="27"/>
      <c r="R454" s="43"/>
      <c r="S454" s="27"/>
      <c r="T454" s="27"/>
      <c r="U454" s="27"/>
      <c r="V454" s="27"/>
      <c r="W454" s="27"/>
      <c r="X454" s="43"/>
      <c r="Y454" s="27"/>
      <c r="Z454" s="27"/>
      <c r="AA454" s="41"/>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row>
    <row r="455">
      <c r="A455" s="27"/>
      <c r="B455" s="124"/>
      <c r="C455" s="27"/>
      <c r="D455" s="27"/>
      <c r="E455" s="27"/>
      <c r="F455" s="27"/>
      <c r="G455" s="27"/>
      <c r="H455" s="27"/>
      <c r="I455" s="27"/>
      <c r="J455" s="27"/>
      <c r="K455" s="27"/>
      <c r="L455" s="27"/>
      <c r="M455" s="27"/>
      <c r="N455" s="27"/>
      <c r="O455" s="43"/>
      <c r="P455" s="27"/>
      <c r="Q455" s="27"/>
      <c r="R455" s="43"/>
      <c r="S455" s="27"/>
      <c r="T455" s="27"/>
      <c r="U455" s="27"/>
      <c r="V455" s="27"/>
      <c r="W455" s="27"/>
      <c r="X455" s="43"/>
      <c r="Y455" s="27"/>
      <c r="Z455" s="27"/>
      <c r="AA455" s="41"/>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row>
    <row r="456">
      <c r="A456" s="27"/>
      <c r="B456" s="124"/>
      <c r="C456" s="27"/>
      <c r="D456" s="27"/>
      <c r="E456" s="27"/>
      <c r="F456" s="27"/>
      <c r="G456" s="27"/>
      <c r="H456" s="27"/>
      <c r="I456" s="27"/>
      <c r="J456" s="27"/>
      <c r="K456" s="27"/>
      <c r="L456" s="27"/>
      <c r="M456" s="27"/>
      <c r="N456" s="27"/>
      <c r="O456" s="43"/>
      <c r="P456" s="27"/>
      <c r="Q456" s="27"/>
      <c r="R456" s="43"/>
      <c r="S456" s="27"/>
      <c r="T456" s="27"/>
      <c r="U456" s="27"/>
      <c r="V456" s="27"/>
      <c r="W456" s="27"/>
      <c r="X456" s="43"/>
      <c r="Y456" s="27"/>
      <c r="Z456" s="27"/>
      <c r="AA456" s="41"/>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row>
    <row r="457">
      <c r="A457" s="27"/>
      <c r="B457" s="124"/>
      <c r="C457" s="27"/>
      <c r="D457" s="27"/>
      <c r="E457" s="27"/>
      <c r="F457" s="27"/>
      <c r="G457" s="27"/>
      <c r="H457" s="27"/>
      <c r="I457" s="27"/>
      <c r="J457" s="27"/>
      <c r="K457" s="27"/>
      <c r="L457" s="27"/>
      <c r="M457" s="27"/>
      <c r="N457" s="27"/>
      <c r="O457" s="43"/>
      <c r="P457" s="27"/>
      <c r="Q457" s="27"/>
      <c r="R457" s="43"/>
      <c r="S457" s="27"/>
      <c r="T457" s="27"/>
      <c r="U457" s="27"/>
      <c r="V457" s="27"/>
      <c r="W457" s="27"/>
      <c r="X457" s="43"/>
      <c r="Y457" s="27"/>
      <c r="Z457" s="27"/>
      <c r="AA457" s="41"/>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row>
    <row r="458">
      <c r="A458" s="27"/>
      <c r="B458" s="124"/>
      <c r="C458" s="27"/>
      <c r="D458" s="27"/>
      <c r="E458" s="27"/>
      <c r="F458" s="27"/>
      <c r="G458" s="27"/>
      <c r="H458" s="27"/>
      <c r="I458" s="27"/>
      <c r="J458" s="27"/>
      <c r="K458" s="27"/>
      <c r="L458" s="27"/>
      <c r="M458" s="27"/>
      <c r="N458" s="27"/>
      <c r="O458" s="43"/>
      <c r="P458" s="27"/>
      <c r="Q458" s="27"/>
      <c r="R458" s="43"/>
      <c r="S458" s="27"/>
      <c r="T458" s="27"/>
      <c r="U458" s="27"/>
      <c r="V458" s="27"/>
      <c r="W458" s="27"/>
      <c r="X458" s="43"/>
      <c r="Y458" s="27"/>
      <c r="Z458" s="27"/>
      <c r="AA458" s="41"/>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row>
    <row r="459">
      <c r="A459" s="27"/>
      <c r="B459" s="124"/>
      <c r="C459" s="27"/>
      <c r="D459" s="27"/>
      <c r="E459" s="27"/>
      <c r="F459" s="27"/>
      <c r="G459" s="27"/>
      <c r="H459" s="27"/>
      <c r="I459" s="27"/>
      <c r="J459" s="27"/>
      <c r="K459" s="27"/>
      <c r="L459" s="27"/>
      <c r="M459" s="27"/>
      <c r="N459" s="27"/>
      <c r="O459" s="43"/>
      <c r="P459" s="27"/>
      <c r="Q459" s="27"/>
      <c r="R459" s="43"/>
      <c r="S459" s="27"/>
      <c r="T459" s="27"/>
      <c r="U459" s="27"/>
      <c r="V459" s="27"/>
      <c r="W459" s="27"/>
      <c r="X459" s="43"/>
      <c r="Y459" s="27"/>
      <c r="Z459" s="27"/>
      <c r="AA459" s="41"/>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row>
    <row r="460">
      <c r="A460" s="27"/>
      <c r="B460" s="124"/>
      <c r="C460" s="27"/>
      <c r="D460" s="27"/>
      <c r="E460" s="27"/>
      <c r="F460" s="27"/>
      <c r="G460" s="27"/>
      <c r="H460" s="27"/>
      <c r="I460" s="27"/>
      <c r="J460" s="27"/>
      <c r="K460" s="27"/>
      <c r="L460" s="27"/>
      <c r="M460" s="27"/>
      <c r="N460" s="27"/>
      <c r="O460" s="43"/>
      <c r="P460" s="27"/>
      <c r="Q460" s="27"/>
      <c r="R460" s="43"/>
      <c r="S460" s="27"/>
      <c r="T460" s="27"/>
      <c r="U460" s="27"/>
      <c r="V460" s="27"/>
      <c r="W460" s="27"/>
      <c r="X460" s="43"/>
      <c r="Y460" s="27"/>
      <c r="Z460" s="27"/>
      <c r="AA460" s="41"/>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row>
    <row r="461">
      <c r="A461" s="27"/>
      <c r="B461" s="124"/>
      <c r="C461" s="27"/>
      <c r="D461" s="27"/>
      <c r="E461" s="27"/>
      <c r="F461" s="27"/>
      <c r="G461" s="27"/>
      <c r="H461" s="27"/>
      <c r="I461" s="27"/>
      <c r="J461" s="27"/>
      <c r="K461" s="27"/>
      <c r="L461" s="27"/>
      <c r="M461" s="27"/>
      <c r="N461" s="27"/>
      <c r="O461" s="43"/>
      <c r="P461" s="27"/>
      <c r="Q461" s="27"/>
      <c r="R461" s="43"/>
      <c r="S461" s="27"/>
      <c r="T461" s="27"/>
      <c r="U461" s="27"/>
      <c r="V461" s="27"/>
      <c r="W461" s="27"/>
      <c r="X461" s="43"/>
      <c r="Y461" s="27"/>
      <c r="Z461" s="27"/>
      <c r="AA461" s="41"/>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row>
    <row r="462">
      <c r="A462" s="27"/>
      <c r="B462" s="124"/>
      <c r="C462" s="27"/>
      <c r="D462" s="27"/>
      <c r="E462" s="27"/>
      <c r="F462" s="27"/>
      <c r="G462" s="27"/>
      <c r="H462" s="27"/>
      <c r="I462" s="27"/>
      <c r="J462" s="27"/>
      <c r="K462" s="27"/>
      <c r="L462" s="27"/>
      <c r="M462" s="27"/>
      <c r="N462" s="27"/>
      <c r="O462" s="43"/>
      <c r="P462" s="27"/>
      <c r="Q462" s="27"/>
      <c r="R462" s="43"/>
      <c r="S462" s="27"/>
      <c r="T462" s="27"/>
      <c r="U462" s="27"/>
      <c r="V462" s="27"/>
      <c r="W462" s="27"/>
      <c r="X462" s="43"/>
      <c r="Y462" s="27"/>
      <c r="Z462" s="27"/>
      <c r="AA462" s="41"/>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c r="AY462" s="27"/>
      <c r="AZ462" s="27"/>
      <c r="BA462" s="27"/>
      <c r="BB462" s="27"/>
    </row>
    <row r="463">
      <c r="A463" s="27"/>
      <c r="B463" s="124"/>
      <c r="C463" s="27"/>
      <c r="D463" s="27"/>
      <c r="E463" s="27"/>
      <c r="F463" s="27"/>
      <c r="G463" s="27"/>
      <c r="H463" s="27"/>
      <c r="I463" s="27"/>
      <c r="J463" s="27"/>
      <c r="K463" s="27"/>
      <c r="L463" s="27"/>
      <c r="M463" s="27"/>
      <c r="N463" s="27"/>
      <c r="O463" s="43"/>
      <c r="P463" s="27"/>
      <c r="Q463" s="27"/>
      <c r="R463" s="43"/>
      <c r="S463" s="27"/>
      <c r="T463" s="27"/>
      <c r="U463" s="27"/>
      <c r="V463" s="27"/>
      <c r="W463" s="27"/>
      <c r="X463" s="43"/>
      <c r="Y463" s="27"/>
      <c r="Z463" s="27"/>
      <c r="AA463" s="41"/>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c r="AZ463" s="27"/>
      <c r="BA463" s="27"/>
      <c r="BB463" s="27"/>
    </row>
    <row r="464">
      <c r="A464" s="27"/>
      <c r="B464" s="124"/>
      <c r="C464" s="27"/>
      <c r="D464" s="27"/>
      <c r="E464" s="27"/>
      <c r="F464" s="27"/>
      <c r="G464" s="27"/>
      <c r="H464" s="27"/>
      <c r="I464" s="27"/>
      <c r="J464" s="27"/>
      <c r="K464" s="27"/>
      <c r="L464" s="27"/>
      <c r="M464" s="27"/>
      <c r="N464" s="27"/>
      <c r="O464" s="43"/>
      <c r="P464" s="27"/>
      <c r="Q464" s="27"/>
      <c r="R464" s="43"/>
      <c r="S464" s="27"/>
      <c r="T464" s="27"/>
      <c r="U464" s="27"/>
      <c r="V464" s="27"/>
      <c r="W464" s="27"/>
      <c r="X464" s="43"/>
      <c r="Y464" s="27"/>
      <c r="Z464" s="27"/>
      <c r="AA464" s="41"/>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row>
    <row r="465">
      <c r="A465" s="27"/>
      <c r="B465" s="124"/>
      <c r="C465" s="27"/>
      <c r="D465" s="27"/>
      <c r="E465" s="27"/>
      <c r="F465" s="27"/>
      <c r="G465" s="27"/>
      <c r="H465" s="27"/>
      <c r="I465" s="27"/>
      <c r="J465" s="27"/>
      <c r="K465" s="27"/>
      <c r="L465" s="27"/>
      <c r="M465" s="27"/>
      <c r="N465" s="27"/>
      <c r="O465" s="43"/>
      <c r="P465" s="27"/>
      <c r="Q465" s="27"/>
      <c r="R465" s="43"/>
      <c r="S465" s="27"/>
      <c r="T465" s="27"/>
      <c r="U465" s="27"/>
      <c r="V465" s="27"/>
      <c r="W465" s="27"/>
      <c r="X465" s="43"/>
      <c r="Y465" s="27"/>
      <c r="Z465" s="27"/>
      <c r="AA465" s="41"/>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c r="AZ465" s="27"/>
      <c r="BA465" s="27"/>
      <c r="BB465" s="27"/>
    </row>
    <row r="466">
      <c r="A466" s="27"/>
      <c r="B466" s="124"/>
      <c r="C466" s="27"/>
      <c r="D466" s="27"/>
      <c r="E466" s="27"/>
      <c r="F466" s="27"/>
      <c r="G466" s="27"/>
      <c r="H466" s="27"/>
      <c r="I466" s="27"/>
      <c r="J466" s="27"/>
      <c r="K466" s="27"/>
      <c r="L466" s="27"/>
      <c r="M466" s="27"/>
      <c r="N466" s="27"/>
      <c r="O466" s="43"/>
      <c r="P466" s="27"/>
      <c r="Q466" s="27"/>
      <c r="R466" s="43"/>
      <c r="S466" s="27"/>
      <c r="T466" s="27"/>
      <c r="U466" s="27"/>
      <c r="V466" s="27"/>
      <c r="W466" s="27"/>
      <c r="X466" s="43"/>
      <c r="Y466" s="27"/>
      <c r="Z466" s="27"/>
      <c r="AA466" s="41"/>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c r="AY466" s="27"/>
      <c r="AZ466" s="27"/>
      <c r="BA466" s="27"/>
      <c r="BB466" s="27"/>
    </row>
    <row r="467">
      <c r="A467" s="27"/>
      <c r="B467" s="124"/>
      <c r="C467" s="27"/>
      <c r="D467" s="27"/>
      <c r="E467" s="27"/>
      <c r="F467" s="27"/>
      <c r="G467" s="27"/>
      <c r="H467" s="27"/>
      <c r="I467" s="27"/>
      <c r="J467" s="27"/>
      <c r="K467" s="27"/>
      <c r="L467" s="27"/>
      <c r="M467" s="27"/>
      <c r="N467" s="27"/>
      <c r="O467" s="43"/>
      <c r="P467" s="27"/>
      <c r="Q467" s="27"/>
      <c r="R467" s="43"/>
      <c r="S467" s="27"/>
      <c r="T467" s="27"/>
      <c r="U467" s="27"/>
      <c r="V467" s="27"/>
      <c r="W467" s="27"/>
      <c r="X467" s="43"/>
      <c r="Y467" s="27"/>
      <c r="Z467" s="27"/>
      <c r="AA467" s="41"/>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row>
    <row r="468">
      <c r="A468" s="27"/>
      <c r="B468" s="124"/>
      <c r="C468" s="27"/>
      <c r="D468" s="27"/>
      <c r="E468" s="27"/>
      <c r="F468" s="27"/>
      <c r="G468" s="27"/>
      <c r="H468" s="27"/>
      <c r="I468" s="27"/>
      <c r="J468" s="27"/>
      <c r="K468" s="27"/>
      <c r="L468" s="27"/>
      <c r="M468" s="27"/>
      <c r="N468" s="27"/>
      <c r="O468" s="43"/>
      <c r="P468" s="27"/>
      <c r="Q468" s="27"/>
      <c r="R468" s="43"/>
      <c r="S468" s="27"/>
      <c r="T468" s="27"/>
      <c r="U468" s="27"/>
      <c r="V468" s="27"/>
      <c r="W468" s="27"/>
      <c r="X468" s="43"/>
      <c r="Y468" s="27"/>
      <c r="Z468" s="27"/>
      <c r="AA468" s="41"/>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c r="AY468" s="27"/>
      <c r="AZ468" s="27"/>
      <c r="BA468" s="27"/>
      <c r="BB468" s="27"/>
    </row>
    <row r="469">
      <c r="A469" s="27"/>
      <c r="B469" s="124"/>
      <c r="C469" s="27"/>
      <c r="D469" s="27"/>
      <c r="E469" s="27"/>
      <c r="F469" s="27"/>
      <c r="G469" s="27"/>
      <c r="H469" s="27"/>
      <c r="I469" s="27"/>
      <c r="J469" s="27"/>
      <c r="K469" s="27"/>
      <c r="L469" s="27"/>
      <c r="M469" s="27"/>
      <c r="N469" s="27"/>
      <c r="O469" s="43"/>
      <c r="P469" s="27"/>
      <c r="Q469" s="27"/>
      <c r="R469" s="43"/>
      <c r="S469" s="27"/>
      <c r="T469" s="27"/>
      <c r="U469" s="27"/>
      <c r="V469" s="27"/>
      <c r="W469" s="27"/>
      <c r="X469" s="43"/>
      <c r="Y469" s="27"/>
      <c r="Z469" s="27"/>
      <c r="AA469" s="41"/>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c r="AZ469" s="27"/>
      <c r="BA469" s="27"/>
      <c r="BB469" s="27"/>
    </row>
    <row r="470">
      <c r="A470" s="27"/>
      <c r="B470" s="124"/>
      <c r="C470" s="27"/>
      <c r="D470" s="27"/>
      <c r="E470" s="27"/>
      <c r="F470" s="27"/>
      <c r="G470" s="27"/>
      <c r="H470" s="27"/>
      <c r="I470" s="27"/>
      <c r="J470" s="27"/>
      <c r="K470" s="27"/>
      <c r="L470" s="27"/>
      <c r="M470" s="27"/>
      <c r="N470" s="27"/>
      <c r="O470" s="43"/>
      <c r="P470" s="27"/>
      <c r="Q470" s="27"/>
      <c r="R470" s="43"/>
      <c r="S470" s="27"/>
      <c r="T470" s="27"/>
      <c r="U470" s="27"/>
      <c r="V470" s="27"/>
      <c r="W470" s="27"/>
      <c r="X470" s="43"/>
      <c r="Y470" s="27"/>
      <c r="Z470" s="27"/>
      <c r="AA470" s="41"/>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row>
    <row r="471">
      <c r="A471" s="27"/>
      <c r="B471" s="124"/>
      <c r="C471" s="27"/>
      <c r="D471" s="27"/>
      <c r="E471" s="27"/>
      <c r="F471" s="27"/>
      <c r="G471" s="27"/>
      <c r="H471" s="27"/>
      <c r="I471" s="27"/>
      <c r="J471" s="27"/>
      <c r="K471" s="27"/>
      <c r="L471" s="27"/>
      <c r="M471" s="27"/>
      <c r="N471" s="27"/>
      <c r="O471" s="43"/>
      <c r="P471" s="27"/>
      <c r="Q471" s="27"/>
      <c r="R471" s="43"/>
      <c r="S471" s="27"/>
      <c r="T471" s="27"/>
      <c r="U471" s="27"/>
      <c r="V471" s="27"/>
      <c r="W471" s="27"/>
      <c r="X471" s="43"/>
      <c r="Y471" s="27"/>
      <c r="Z471" s="27"/>
      <c r="AA471" s="41"/>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c r="AZ471" s="27"/>
      <c r="BA471" s="27"/>
      <c r="BB471" s="27"/>
    </row>
    <row r="472">
      <c r="A472" s="27"/>
      <c r="B472" s="124"/>
      <c r="C472" s="27"/>
      <c r="D472" s="27"/>
      <c r="E472" s="27"/>
      <c r="F472" s="27"/>
      <c r="G472" s="27"/>
      <c r="H472" s="27"/>
      <c r="I472" s="27"/>
      <c r="J472" s="27"/>
      <c r="K472" s="27"/>
      <c r="L472" s="27"/>
      <c r="M472" s="27"/>
      <c r="N472" s="27"/>
      <c r="O472" s="43"/>
      <c r="P472" s="27"/>
      <c r="Q472" s="27"/>
      <c r="R472" s="43"/>
      <c r="S472" s="27"/>
      <c r="T472" s="27"/>
      <c r="U472" s="27"/>
      <c r="V472" s="27"/>
      <c r="W472" s="27"/>
      <c r="X472" s="43"/>
      <c r="Y472" s="27"/>
      <c r="Z472" s="27"/>
      <c r="AA472" s="41"/>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c r="AY472" s="27"/>
      <c r="AZ472" s="27"/>
      <c r="BA472" s="27"/>
      <c r="BB472" s="27"/>
    </row>
    <row r="473">
      <c r="A473" s="27"/>
      <c r="B473" s="124"/>
      <c r="C473" s="27"/>
      <c r="D473" s="27"/>
      <c r="E473" s="27"/>
      <c r="F473" s="27"/>
      <c r="G473" s="27"/>
      <c r="H473" s="27"/>
      <c r="I473" s="27"/>
      <c r="J473" s="27"/>
      <c r="K473" s="27"/>
      <c r="L473" s="27"/>
      <c r="M473" s="27"/>
      <c r="N473" s="27"/>
      <c r="O473" s="43"/>
      <c r="P473" s="27"/>
      <c r="Q473" s="27"/>
      <c r="R473" s="43"/>
      <c r="S473" s="27"/>
      <c r="T473" s="27"/>
      <c r="U473" s="27"/>
      <c r="V473" s="27"/>
      <c r="W473" s="27"/>
      <c r="X473" s="43"/>
      <c r="Y473" s="27"/>
      <c r="Z473" s="27"/>
      <c r="AA473" s="41"/>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row>
    <row r="474">
      <c r="A474" s="27"/>
      <c r="B474" s="124"/>
      <c r="C474" s="27"/>
      <c r="D474" s="27"/>
      <c r="E474" s="27"/>
      <c r="F474" s="27"/>
      <c r="G474" s="27"/>
      <c r="H474" s="27"/>
      <c r="I474" s="27"/>
      <c r="J474" s="27"/>
      <c r="K474" s="27"/>
      <c r="L474" s="27"/>
      <c r="M474" s="27"/>
      <c r="N474" s="27"/>
      <c r="O474" s="43"/>
      <c r="P474" s="27"/>
      <c r="Q474" s="27"/>
      <c r="R474" s="43"/>
      <c r="S474" s="27"/>
      <c r="T474" s="27"/>
      <c r="U474" s="27"/>
      <c r="V474" s="27"/>
      <c r="W474" s="27"/>
      <c r="X474" s="43"/>
      <c r="Y474" s="27"/>
      <c r="Z474" s="27"/>
      <c r="AA474" s="41"/>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c r="AY474" s="27"/>
      <c r="AZ474" s="27"/>
      <c r="BA474" s="27"/>
      <c r="BB474" s="27"/>
    </row>
    <row r="475">
      <c r="A475" s="27"/>
      <c r="B475" s="124"/>
      <c r="C475" s="27"/>
      <c r="D475" s="27"/>
      <c r="E475" s="27"/>
      <c r="F475" s="27"/>
      <c r="G475" s="27"/>
      <c r="H475" s="27"/>
      <c r="I475" s="27"/>
      <c r="J475" s="27"/>
      <c r="K475" s="27"/>
      <c r="L475" s="27"/>
      <c r="M475" s="27"/>
      <c r="N475" s="27"/>
      <c r="O475" s="43"/>
      <c r="P475" s="27"/>
      <c r="Q475" s="27"/>
      <c r="R475" s="43"/>
      <c r="S475" s="27"/>
      <c r="T475" s="27"/>
      <c r="U475" s="27"/>
      <c r="V475" s="27"/>
      <c r="W475" s="27"/>
      <c r="X475" s="43"/>
      <c r="Y475" s="27"/>
      <c r="Z475" s="27"/>
      <c r="AA475" s="41"/>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c r="AZ475" s="27"/>
      <c r="BA475" s="27"/>
      <c r="BB475" s="27"/>
    </row>
    <row r="476">
      <c r="A476" s="27"/>
      <c r="B476" s="124"/>
      <c r="C476" s="27"/>
      <c r="D476" s="27"/>
      <c r="E476" s="27"/>
      <c r="F476" s="27"/>
      <c r="G476" s="27"/>
      <c r="H476" s="27"/>
      <c r="I476" s="27"/>
      <c r="J476" s="27"/>
      <c r="K476" s="27"/>
      <c r="L476" s="27"/>
      <c r="M476" s="27"/>
      <c r="N476" s="27"/>
      <c r="O476" s="43"/>
      <c r="P476" s="27"/>
      <c r="Q476" s="27"/>
      <c r="R476" s="43"/>
      <c r="S476" s="27"/>
      <c r="T476" s="27"/>
      <c r="U476" s="27"/>
      <c r="V476" s="27"/>
      <c r="W476" s="27"/>
      <c r="X476" s="43"/>
      <c r="Y476" s="27"/>
      <c r="Z476" s="27"/>
      <c r="AA476" s="41"/>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row>
    <row r="477">
      <c r="A477" s="27"/>
      <c r="B477" s="124"/>
      <c r="C477" s="27"/>
      <c r="D477" s="27"/>
      <c r="E477" s="27"/>
      <c r="F477" s="27"/>
      <c r="G477" s="27"/>
      <c r="H477" s="27"/>
      <c r="I477" s="27"/>
      <c r="J477" s="27"/>
      <c r="K477" s="27"/>
      <c r="L477" s="27"/>
      <c r="M477" s="27"/>
      <c r="N477" s="27"/>
      <c r="O477" s="43"/>
      <c r="P477" s="27"/>
      <c r="Q477" s="27"/>
      <c r="R477" s="43"/>
      <c r="S477" s="27"/>
      <c r="T477" s="27"/>
      <c r="U477" s="27"/>
      <c r="V477" s="27"/>
      <c r="W477" s="27"/>
      <c r="X477" s="43"/>
      <c r="Y477" s="27"/>
      <c r="Z477" s="27"/>
      <c r="AA477" s="41"/>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c r="AZ477" s="27"/>
      <c r="BA477" s="27"/>
      <c r="BB477" s="27"/>
    </row>
    <row r="478">
      <c r="A478" s="27"/>
      <c r="B478" s="124"/>
      <c r="C478" s="27"/>
      <c r="D478" s="27"/>
      <c r="E478" s="27"/>
      <c r="F478" s="27"/>
      <c r="G478" s="27"/>
      <c r="H478" s="27"/>
      <c r="I478" s="27"/>
      <c r="J478" s="27"/>
      <c r="K478" s="27"/>
      <c r="L478" s="27"/>
      <c r="M478" s="27"/>
      <c r="N478" s="27"/>
      <c r="O478" s="43"/>
      <c r="P478" s="27"/>
      <c r="Q478" s="27"/>
      <c r="R478" s="43"/>
      <c r="S478" s="27"/>
      <c r="T478" s="27"/>
      <c r="U478" s="27"/>
      <c r="V478" s="27"/>
      <c r="W478" s="27"/>
      <c r="X478" s="43"/>
      <c r="Y478" s="27"/>
      <c r="Z478" s="27"/>
      <c r="AA478" s="41"/>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c r="AY478" s="27"/>
      <c r="AZ478" s="27"/>
      <c r="BA478" s="27"/>
      <c r="BB478" s="27"/>
    </row>
    <row r="479">
      <c r="A479" s="27"/>
      <c r="B479" s="124"/>
      <c r="C479" s="27"/>
      <c r="D479" s="27"/>
      <c r="E479" s="27"/>
      <c r="F479" s="27"/>
      <c r="G479" s="27"/>
      <c r="H479" s="27"/>
      <c r="I479" s="27"/>
      <c r="J479" s="27"/>
      <c r="K479" s="27"/>
      <c r="L479" s="27"/>
      <c r="M479" s="27"/>
      <c r="N479" s="27"/>
      <c r="O479" s="43"/>
      <c r="P479" s="27"/>
      <c r="Q479" s="27"/>
      <c r="R479" s="43"/>
      <c r="S479" s="27"/>
      <c r="T479" s="27"/>
      <c r="U479" s="27"/>
      <c r="V479" s="27"/>
      <c r="W479" s="27"/>
      <c r="X479" s="43"/>
      <c r="Y479" s="27"/>
      <c r="Z479" s="27"/>
      <c r="AA479" s="41"/>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row>
    <row r="480">
      <c r="A480" s="27"/>
      <c r="B480" s="124"/>
      <c r="C480" s="27"/>
      <c r="D480" s="27"/>
      <c r="E480" s="27"/>
      <c r="F480" s="27"/>
      <c r="G480" s="27"/>
      <c r="H480" s="27"/>
      <c r="I480" s="27"/>
      <c r="J480" s="27"/>
      <c r="K480" s="27"/>
      <c r="L480" s="27"/>
      <c r="M480" s="27"/>
      <c r="N480" s="27"/>
      <c r="O480" s="43"/>
      <c r="P480" s="27"/>
      <c r="Q480" s="27"/>
      <c r="R480" s="43"/>
      <c r="S480" s="27"/>
      <c r="T480" s="27"/>
      <c r="U480" s="27"/>
      <c r="V480" s="27"/>
      <c r="W480" s="27"/>
      <c r="X480" s="43"/>
      <c r="Y480" s="27"/>
      <c r="Z480" s="27"/>
      <c r="AA480" s="41"/>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c r="AY480" s="27"/>
      <c r="AZ480" s="27"/>
      <c r="BA480" s="27"/>
      <c r="BB480" s="27"/>
    </row>
    <row r="481">
      <c r="A481" s="27"/>
      <c r="B481" s="124"/>
      <c r="C481" s="27"/>
      <c r="D481" s="27"/>
      <c r="E481" s="27"/>
      <c r="F481" s="27"/>
      <c r="G481" s="27"/>
      <c r="H481" s="27"/>
      <c r="I481" s="27"/>
      <c r="J481" s="27"/>
      <c r="K481" s="27"/>
      <c r="L481" s="27"/>
      <c r="M481" s="27"/>
      <c r="N481" s="27"/>
      <c r="O481" s="43"/>
      <c r="P481" s="27"/>
      <c r="Q481" s="27"/>
      <c r="R481" s="43"/>
      <c r="S481" s="27"/>
      <c r="T481" s="27"/>
      <c r="U481" s="27"/>
      <c r="V481" s="27"/>
      <c r="W481" s="27"/>
      <c r="X481" s="43"/>
      <c r="Y481" s="27"/>
      <c r="Z481" s="27"/>
      <c r="AA481" s="41"/>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c r="AZ481" s="27"/>
      <c r="BA481" s="27"/>
      <c r="BB481" s="27"/>
    </row>
    <row r="482">
      <c r="A482" s="27"/>
      <c r="B482" s="124"/>
      <c r="C482" s="27"/>
      <c r="D482" s="27"/>
      <c r="E482" s="27"/>
      <c r="F482" s="27"/>
      <c r="G482" s="27"/>
      <c r="H482" s="27"/>
      <c r="I482" s="27"/>
      <c r="J482" s="27"/>
      <c r="K482" s="27"/>
      <c r="L482" s="27"/>
      <c r="M482" s="27"/>
      <c r="N482" s="27"/>
      <c r="O482" s="43"/>
      <c r="P482" s="27"/>
      <c r="Q482" s="27"/>
      <c r="R482" s="43"/>
      <c r="S482" s="27"/>
      <c r="T482" s="27"/>
      <c r="U482" s="27"/>
      <c r="V482" s="27"/>
      <c r="W482" s="27"/>
      <c r="X482" s="43"/>
      <c r="Y482" s="27"/>
      <c r="Z482" s="27"/>
      <c r="AA482" s="41"/>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row>
    <row r="483">
      <c r="A483" s="27"/>
      <c r="B483" s="124"/>
      <c r="C483" s="27"/>
      <c r="D483" s="27"/>
      <c r="E483" s="27"/>
      <c r="F483" s="27"/>
      <c r="G483" s="27"/>
      <c r="H483" s="27"/>
      <c r="I483" s="27"/>
      <c r="J483" s="27"/>
      <c r="K483" s="27"/>
      <c r="L483" s="27"/>
      <c r="M483" s="27"/>
      <c r="N483" s="27"/>
      <c r="O483" s="43"/>
      <c r="P483" s="27"/>
      <c r="Q483" s="27"/>
      <c r="R483" s="43"/>
      <c r="S483" s="27"/>
      <c r="T483" s="27"/>
      <c r="U483" s="27"/>
      <c r="V483" s="27"/>
      <c r="W483" s="27"/>
      <c r="X483" s="43"/>
      <c r="Y483" s="27"/>
      <c r="Z483" s="27"/>
      <c r="AA483" s="41"/>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c r="AZ483" s="27"/>
      <c r="BA483" s="27"/>
      <c r="BB483" s="27"/>
    </row>
    <row r="484">
      <c r="A484" s="27"/>
      <c r="B484" s="124"/>
      <c r="C484" s="27"/>
      <c r="D484" s="27"/>
      <c r="E484" s="27"/>
      <c r="F484" s="27"/>
      <c r="G484" s="27"/>
      <c r="H484" s="27"/>
      <c r="I484" s="27"/>
      <c r="J484" s="27"/>
      <c r="K484" s="27"/>
      <c r="L484" s="27"/>
      <c r="M484" s="27"/>
      <c r="N484" s="27"/>
      <c r="O484" s="43"/>
      <c r="P484" s="27"/>
      <c r="Q484" s="27"/>
      <c r="R484" s="43"/>
      <c r="S484" s="27"/>
      <c r="T484" s="27"/>
      <c r="U484" s="27"/>
      <c r="V484" s="27"/>
      <c r="W484" s="27"/>
      <c r="X484" s="43"/>
      <c r="Y484" s="27"/>
      <c r="Z484" s="27"/>
      <c r="AA484" s="41"/>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c r="AY484" s="27"/>
      <c r="AZ484" s="27"/>
      <c r="BA484" s="27"/>
      <c r="BB484" s="27"/>
    </row>
    <row r="485">
      <c r="A485" s="27"/>
      <c r="B485" s="124"/>
      <c r="C485" s="27"/>
      <c r="D485" s="27"/>
      <c r="E485" s="27"/>
      <c r="F485" s="27"/>
      <c r="G485" s="27"/>
      <c r="H485" s="27"/>
      <c r="I485" s="27"/>
      <c r="J485" s="27"/>
      <c r="K485" s="27"/>
      <c r="L485" s="27"/>
      <c r="M485" s="27"/>
      <c r="N485" s="27"/>
      <c r="O485" s="43"/>
      <c r="P485" s="27"/>
      <c r="Q485" s="27"/>
      <c r="R485" s="43"/>
      <c r="S485" s="27"/>
      <c r="T485" s="27"/>
      <c r="U485" s="27"/>
      <c r="V485" s="27"/>
      <c r="W485" s="27"/>
      <c r="X485" s="43"/>
      <c r="Y485" s="27"/>
      <c r="Z485" s="27"/>
      <c r="AA485" s="41"/>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row>
    <row r="486">
      <c r="A486" s="27"/>
      <c r="B486" s="124"/>
      <c r="C486" s="27"/>
      <c r="D486" s="27"/>
      <c r="E486" s="27"/>
      <c r="F486" s="27"/>
      <c r="G486" s="27"/>
      <c r="H486" s="27"/>
      <c r="I486" s="27"/>
      <c r="J486" s="27"/>
      <c r="K486" s="27"/>
      <c r="L486" s="27"/>
      <c r="M486" s="27"/>
      <c r="N486" s="27"/>
      <c r="O486" s="43"/>
      <c r="P486" s="27"/>
      <c r="Q486" s="27"/>
      <c r="R486" s="43"/>
      <c r="S486" s="27"/>
      <c r="T486" s="27"/>
      <c r="U486" s="27"/>
      <c r="V486" s="27"/>
      <c r="W486" s="27"/>
      <c r="X486" s="43"/>
      <c r="Y486" s="27"/>
      <c r="Z486" s="27"/>
      <c r="AA486" s="41"/>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c r="AY486" s="27"/>
      <c r="AZ486" s="27"/>
      <c r="BA486" s="27"/>
      <c r="BB486" s="27"/>
    </row>
    <row r="487">
      <c r="A487" s="27"/>
      <c r="B487" s="124"/>
      <c r="C487" s="27"/>
      <c r="D487" s="27"/>
      <c r="E487" s="27"/>
      <c r="F487" s="27"/>
      <c r="G487" s="27"/>
      <c r="H487" s="27"/>
      <c r="I487" s="27"/>
      <c r="J487" s="27"/>
      <c r="K487" s="27"/>
      <c r="L487" s="27"/>
      <c r="M487" s="27"/>
      <c r="N487" s="27"/>
      <c r="O487" s="43"/>
      <c r="P487" s="27"/>
      <c r="Q487" s="27"/>
      <c r="R487" s="43"/>
      <c r="S487" s="27"/>
      <c r="T487" s="27"/>
      <c r="U487" s="27"/>
      <c r="V487" s="27"/>
      <c r="W487" s="27"/>
      <c r="X487" s="43"/>
      <c r="Y487" s="27"/>
      <c r="Z487" s="27"/>
      <c r="AA487" s="41"/>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c r="AZ487" s="27"/>
      <c r="BA487" s="27"/>
      <c r="BB487" s="27"/>
    </row>
    <row r="488">
      <c r="A488" s="27"/>
      <c r="B488" s="124"/>
      <c r="C488" s="27"/>
      <c r="D488" s="27"/>
      <c r="E488" s="27"/>
      <c r="F488" s="27"/>
      <c r="G488" s="27"/>
      <c r="H488" s="27"/>
      <c r="I488" s="27"/>
      <c r="J488" s="27"/>
      <c r="K488" s="27"/>
      <c r="L488" s="27"/>
      <c r="M488" s="27"/>
      <c r="N488" s="27"/>
      <c r="O488" s="43"/>
      <c r="P488" s="27"/>
      <c r="Q488" s="27"/>
      <c r="R488" s="43"/>
      <c r="S488" s="27"/>
      <c r="T488" s="27"/>
      <c r="U488" s="27"/>
      <c r="V488" s="27"/>
      <c r="W488" s="27"/>
      <c r="X488" s="43"/>
      <c r="Y488" s="27"/>
      <c r="Z488" s="27"/>
      <c r="AA488" s="41"/>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row>
    <row r="489">
      <c r="A489" s="27"/>
      <c r="B489" s="124"/>
      <c r="C489" s="27"/>
      <c r="D489" s="27"/>
      <c r="E489" s="27"/>
      <c r="F489" s="27"/>
      <c r="G489" s="27"/>
      <c r="H489" s="27"/>
      <c r="I489" s="27"/>
      <c r="J489" s="27"/>
      <c r="K489" s="27"/>
      <c r="L489" s="27"/>
      <c r="M489" s="27"/>
      <c r="N489" s="27"/>
      <c r="O489" s="43"/>
      <c r="P489" s="27"/>
      <c r="Q489" s="27"/>
      <c r="R489" s="43"/>
      <c r="S489" s="27"/>
      <c r="T489" s="27"/>
      <c r="U489" s="27"/>
      <c r="V489" s="27"/>
      <c r="W489" s="27"/>
      <c r="X489" s="43"/>
      <c r="Y489" s="27"/>
      <c r="Z489" s="27"/>
      <c r="AA489" s="41"/>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c r="AZ489" s="27"/>
      <c r="BA489" s="27"/>
      <c r="BB489" s="27"/>
    </row>
    <row r="490">
      <c r="A490" s="27"/>
      <c r="B490" s="124"/>
      <c r="C490" s="27"/>
      <c r="D490" s="27"/>
      <c r="E490" s="27"/>
      <c r="F490" s="27"/>
      <c r="G490" s="27"/>
      <c r="H490" s="27"/>
      <c r="I490" s="27"/>
      <c r="J490" s="27"/>
      <c r="K490" s="27"/>
      <c r="L490" s="27"/>
      <c r="M490" s="27"/>
      <c r="N490" s="27"/>
      <c r="O490" s="43"/>
      <c r="P490" s="27"/>
      <c r="Q490" s="27"/>
      <c r="R490" s="43"/>
      <c r="S490" s="27"/>
      <c r="T490" s="27"/>
      <c r="U490" s="27"/>
      <c r="V490" s="27"/>
      <c r="W490" s="27"/>
      <c r="X490" s="43"/>
      <c r="Y490" s="27"/>
      <c r="Z490" s="27"/>
      <c r="AA490" s="41"/>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c r="AY490" s="27"/>
      <c r="AZ490" s="27"/>
      <c r="BA490" s="27"/>
      <c r="BB490" s="27"/>
    </row>
    <row r="491">
      <c r="A491" s="27"/>
      <c r="B491" s="124"/>
      <c r="C491" s="27"/>
      <c r="D491" s="27"/>
      <c r="E491" s="27"/>
      <c r="F491" s="27"/>
      <c r="G491" s="27"/>
      <c r="H491" s="27"/>
      <c r="I491" s="27"/>
      <c r="J491" s="27"/>
      <c r="K491" s="27"/>
      <c r="L491" s="27"/>
      <c r="M491" s="27"/>
      <c r="N491" s="27"/>
      <c r="O491" s="43"/>
      <c r="P491" s="27"/>
      <c r="Q491" s="27"/>
      <c r="R491" s="43"/>
      <c r="S491" s="27"/>
      <c r="T491" s="27"/>
      <c r="U491" s="27"/>
      <c r="V491" s="27"/>
      <c r="W491" s="27"/>
      <c r="X491" s="43"/>
      <c r="Y491" s="27"/>
      <c r="Z491" s="27"/>
      <c r="AA491" s="41"/>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row>
    <row r="492">
      <c r="A492" s="27"/>
      <c r="B492" s="124"/>
      <c r="C492" s="27"/>
      <c r="D492" s="27"/>
      <c r="E492" s="27"/>
      <c r="F492" s="27"/>
      <c r="G492" s="27"/>
      <c r="H492" s="27"/>
      <c r="I492" s="27"/>
      <c r="J492" s="27"/>
      <c r="K492" s="27"/>
      <c r="L492" s="27"/>
      <c r="M492" s="27"/>
      <c r="N492" s="27"/>
      <c r="O492" s="43"/>
      <c r="P492" s="27"/>
      <c r="Q492" s="27"/>
      <c r="R492" s="43"/>
      <c r="S492" s="27"/>
      <c r="T492" s="27"/>
      <c r="U492" s="27"/>
      <c r="V492" s="27"/>
      <c r="W492" s="27"/>
      <c r="X492" s="43"/>
      <c r="Y492" s="27"/>
      <c r="Z492" s="27"/>
      <c r="AA492" s="41"/>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c r="AY492" s="27"/>
      <c r="AZ492" s="27"/>
      <c r="BA492" s="27"/>
      <c r="BB492" s="27"/>
    </row>
    <row r="493">
      <c r="A493" s="27"/>
      <c r="B493" s="124"/>
      <c r="C493" s="27"/>
      <c r="D493" s="27"/>
      <c r="E493" s="27"/>
      <c r="F493" s="27"/>
      <c r="G493" s="27"/>
      <c r="H493" s="27"/>
      <c r="I493" s="27"/>
      <c r="J493" s="27"/>
      <c r="K493" s="27"/>
      <c r="L493" s="27"/>
      <c r="M493" s="27"/>
      <c r="N493" s="27"/>
      <c r="O493" s="43"/>
      <c r="P493" s="27"/>
      <c r="Q493" s="27"/>
      <c r="R493" s="43"/>
      <c r="S493" s="27"/>
      <c r="T493" s="27"/>
      <c r="U493" s="27"/>
      <c r="V493" s="27"/>
      <c r="W493" s="27"/>
      <c r="X493" s="43"/>
      <c r="Y493" s="27"/>
      <c r="Z493" s="27"/>
      <c r="AA493" s="41"/>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c r="AZ493" s="27"/>
      <c r="BA493" s="27"/>
      <c r="BB493" s="27"/>
    </row>
    <row r="494">
      <c r="A494" s="27"/>
      <c r="B494" s="124"/>
      <c r="C494" s="27"/>
      <c r="D494" s="27"/>
      <c r="E494" s="27"/>
      <c r="F494" s="27"/>
      <c r="G494" s="27"/>
      <c r="H494" s="27"/>
      <c r="I494" s="27"/>
      <c r="J494" s="27"/>
      <c r="K494" s="27"/>
      <c r="L494" s="27"/>
      <c r="M494" s="27"/>
      <c r="N494" s="27"/>
      <c r="O494" s="43"/>
      <c r="P494" s="27"/>
      <c r="Q494" s="27"/>
      <c r="R494" s="43"/>
      <c r="S494" s="27"/>
      <c r="T494" s="27"/>
      <c r="U494" s="27"/>
      <c r="V494" s="27"/>
      <c r="W494" s="27"/>
      <c r="X494" s="43"/>
      <c r="Y494" s="27"/>
      <c r="Z494" s="27"/>
      <c r="AA494" s="41"/>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row>
    <row r="495">
      <c r="A495" s="27"/>
      <c r="B495" s="124"/>
      <c r="C495" s="27"/>
      <c r="D495" s="27"/>
      <c r="E495" s="27"/>
      <c r="F495" s="27"/>
      <c r="G495" s="27"/>
      <c r="H495" s="27"/>
      <c r="I495" s="27"/>
      <c r="J495" s="27"/>
      <c r="K495" s="27"/>
      <c r="L495" s="27"/>
      <c r="M495" s="27"/>
      <c r="N495" s="27"/>
      <c r="O495" s="43"/>
      <c r="P495" s="27"/>
      <c r="Q495" s="27"/>
      <c r="R495" s="43"/>
      <c r="S495" s="27"/>
      <c r="T495" s="27"/>
      <c r="U495" s="27"/>
      <c r="V495" s="27"/>
      <c r="W495" s="27"/>
      <c r="X495" s="43"/>
      <c r="Y495" s="27"/>
      <c r="Z495" s="27"/>
      <c r="AA495" s="41"/>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c r="AZ495" s="27"/>
      <c r="BA495" s="27"/>
      <c r="BB495" s="27"/>
    </row>
    <row r="496">
      <c r="A496" s="27"/>
      <c r="B496" s="124"/>
      <c r="C496" s="27"/>
      <c r="D496" s="27"/>
      <c r="E496" s="27"/>
      <c r="F496" s="27"/>
      <c r="G496" s="27"/>
      <c r="H496" s="27"/>
      <c r="I496" s="27"/>
      <c r="J496" s="27"/>
      <c r="K496" s="27"/>
      <c r="L496" s="27"/>
      <c r="M496" s="27"/>
      <c r="N496" s="27"/>
      <c r="O496" s="43"/>
      <c r="P496" s="27"/>
      <c r="Q496" s="27"/>
      <c r="R496" s="43"/>
      <c r="S496" s="27"/>
      <c r="T496" s="27"/>
      <c r="U496" s="27"/>
      <c r="V496" s="27"/>
      <c r="W496" s="27"/>
      <c r="X496" s="43"/>
      <c r="Y496" s="27"/>
      <c r="Z496" s="27"/>
      <c r="AA496" s="41"/>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row>
    <row r="497">
      <c r="A497" s="27"/>
      <c r="B497" s="124"/>
      <c r="C497" s="27"/>
      <c r="D497" s="27"/>
      <c r="E497" s="27"/>
      <c r="F497" s="27"/>
      <c r="G497" s="27"/>
      <c r="H497" s="27"/>
      <c r="I497" s="27"/>
      <c r="J497" s="27"/>
      <c r="K497" s="27"/>
      <c r="L497" s="27"/>
      <c r="M497" s="27"/>
      <c r="N497" s="27"/>
      <c r="O497" s="43"/>
      <c r="P497" s="27"/>
      <c r="Q497" s="27"/>
      <c r="R497" s="43"/>
      <c r="S497" s="27"/>
      <c r="T497" s="27"/>
      <c r="U497" s="27"/>
      <c r="V497" s="27"/>
      <c r="W497" s="27"/>
      <c r="X497" s="43"/>
      <c r="Y497" s="27"/>
      <c r="Z497" s="27"/>
      <c r="AA497" s="41"/>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row>
    <row r="498">
      <c r="A498" s="27"/>
      <c r="B498" s="124"/>
      <c r="C498" s="27"/>
      <c r="D498" s="27"/>
      <c r="E498" s="27"/>
      <c r="F498" s="27"/>
      <c r="G498" s="27"/>
      <c r="H498" s="27"/>
      <c r="I498" s="27"/>
      <c r="J498" s="27"/>
      <c r="K498" s="27"/>
      <c r="L498" s="27"/>
      <c r="M498" s="27"/>
      <c r="N498" s="27"/>
      <c r="O498" s="43"/>
      <c r="P498" s="27"/>
      <c r="Q498" s="27"/>
      <c r="R498" s="43"/>
      <c r="S498" s="27"/>
      <c r="T498" s="27"/>
      <c r="U498" s="27"/>
      <c r="V498" s="27"/>
      <c r="W498" s="27"/>
      <c r="X498" s="43"/>
      <c r="Y498" s="27"/>
      <c r="Z498" s="27"/>
      <c r="AA498" s="41"/>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c r="AY498" s="27"/>
      <c r="AZ498" s="27"/>
      <c r="BA498" s="27"/>
      <c r="BB498" s="27"/>
    </row>
    <row r="499">
      <c r="A499" s="27"/>
      <c r="B499" s="124"/>
      <c r="C499" s="27"/>
      <c r="D499" s="27"/>
      <c r="E499" s="27"/>
      <c r="F499" s="27"/>
      <c r="G499" s="27"/>
      <c r="H499" s="27"/>
      <c r="I499" s="27"/>
      <c r="J499" s="27"/>
      <c r="K499" s="27"/>
      <c r="L499" s="27"/>
      <c r="M499" s="27"/>
      <c r="N499" s="27"/>
      <c r="O499" s="43"/>
      <c r="P499" s="27"/>
      <c r="Q499" s="27"/>
      <c r="R499" s="43"/>
      <c r="S499" s="27"/>
      <c r="T499" s="27"/>
      <c r="U499" s="27"/>
      <c r="V499" s="27"/>
      <c r="W499" s="27"/>
      <c r="X499" s="43"/>
      <c r="Y499" s="27"/>
      <c r="Z499" s="27"/>
      <c r="AA499" s="41"/>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row>
    <row r="500">
      <c r="A500" s="27"/>
      <c r="B500" s="124"/>
      <c r="C500" s="27"/>
      <c r="D500" s="27"/>
      <c r="E500" s="27"/>
      <c r="F500" s="27"/>
      <c r="G500" s="27"/>
      <c r="H500" s="27"/>
      <c r="I500" s="27"/>
      <c r="J500" s="27"/>
      <c r="K500" s="27"/>
      <c r="L500" s="27"/>
      <c r="M500" s="27"/>
      <c r="N500" s="27"/>
      <c r="O500" s="43"/>
      <c r="P500" s="27"/>
      <c r="Q500" s="27"/>
      <c r="R500" s="43"/>
      <c r="S500" s="27"/>
      <c r="T500" s="27"/>
      <c r="U500" s="27"/>
      <c r="V500" s="27"/>
      <c r="W500" s="27"/>
      <c r="X500" s="43"/>
      <c r="Y500" s="27"/>
      <c r="Z500" s="27"/>
      <c r="AA500" s="41"/>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row>
    <row r="501">
      <c r="A501" s="27"/>
      <c r="B501" s="124"/>
      <c r="C501" s="27"/>
      <c r="D501" s="27"/>
      <c r="E501" s="27"/>
      <c r="F501" s="27"/>
      <c r="G501" s="27"/>
      <c r="H501" s="27"/>
      <c r="I501" s="27"/>
      <c r="J501" s="27"/>
      <c r="K501" s="27"/>
      <c r="L501" s="27"/>
      <c r="M501" s="27"/>
      <c r="N501" s="27"/>
      <c r="O501" s="43"/>
      <c r="P501" s="27"/>
      <c r="Q501" s="27"/>
      <c r="R501" s="43"/>
      <c r="S501" s="27"/>
      <c r="T501" s="27"/>
      <c r="U501" s="27"/>
      <c r="V501" s="27"/>
      <c r="W501" s="27"/>
      <c r="X501" s="43"/>
      <c r="Y501" s="27"/>
      <c r="Z501" s="27"/>
      <c r="AA501" s="41"/>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c r="AZ501" s="27"/>
      <c r="BA501" s="27"/>
      <c r="BB501" s="27"/>
    </row>
    <row r="502">
      <c r="A502" s="27"/>
      <c r="B502" s="124"/>
      <c r="C502" s="27"/>
      <c r="D502" s="27"/>
      <c r="E502" s="27"/>
      <c r="F502" s="27"/>
      <c r="G502" s="27"/>
      <c r="H502" s="27"/>
      <c r="I502" s="27"/>
      <c r="J502" s="27"/>
      <c r="K502" s="27"/>
      <c r="L502" s="27"/>
      <c r="M502" s="27"/>
      <c r="N502" s="27"/>
      <c r="O502" s="43"/>
      <c r="P502" s="27"/>
      <c r="Q502" s="27"/>
      <c r="R502" s="43"/>
      <c r="S502" s="27"/>
      <c r="T502" s="27"/>
      <c r="U502" s="27"/>
      <c r="V502" s="27"/>
      <c r="W502" s="27"/>
      <c r="X502" s="43"/>
      <c r="Y502" s="27"/>
      <c r="Z502" s="27"/>
      <c r="AA502" s="41"/>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row>
    <row r="503">
      <c r="A503" s="27"/>
      <c r="B503" s="124"/>
      <c r="C503" s="27"/>
      <c r="D503" s="27"/>
      <c r="E503" s="27"/>
      <c r="F503" s="27"/>
      <c r="G503" s="27"/>
      <c r="H503" s="27"/>
      <c r="I503" s="27"/>
      <c r="J503" s="27"/>
      <c r="K503" s="27"/>
      <c r="L503" s="27"/>
      <c r="M503" s="27"/>
      <c r="N503" s="27"/>
      <c r="O503" s="43"/>
      <c r="P503" s="27"/>
      <c r="Q503" s="27"/>
      <c r="R503" s="43"/>
      <c r="S503" s="27"/>
      <c r="T503" s="27"/>
      <c r="U503" s="27"/>
      <c r="V503" s="27"/>
      <c r="W503" s="27"/>
      <c r="X503" s="43"/>
      <c r="Y503" s="27"/>
      <c r="Z503" s="27"/>
      <c r="AA503" s="41"/>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row>
    <row r="504">
      <c r="A504" s="27"/>
      <c r="B504" s="124"/>
      <c r="C504" s="27"/>
      <c r="D504" s="27"/>
      <c r="E504" s="27"/>
      <c r="F504" s="27"/>
      <c r="G504" s="27"/>
      <c r="H504" s="27"/>
      <c r="I504" s="27"/>
      <c r="J504" s="27"/>
      <c r="K504" s="27"/>
      <c r="L504" s="27"/>
      <c r="M504" s="27"/>
      <c r="N504" s="27"/>
      <c r="O504" s="43"/>
      <c r="P504" s="27"/>
      <c r="Q504" s="27"/>
      <c r="R504" s="43"/>
      <c r="S504" s="27"/>
      <c r="T504" s="27"/>
      <c r="U504" s="27"/>
      <c r="V504" s="27"/>
      <c r="W504" s="27"/>
      <c r="X504" s="43"/>
      <c r="Y504" s="27"/>
      <c r="Z504" s="27"/>
      <c r="AA504" s="41"/>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row>
    <row r="505">
      <c r="A505" s="27"/>
      <c r="B505" s="124"/>
      <c r="C505" s="27"/>
      <c r="D505" s="27"/>
      <c r="E505" s="27"/>
      <c r="F505" s="27"/>
      <c r="G505" s="27"/>
      <c r="H505" s="27"/>
      <c r="I505" s="27"/>
      <c r="J505" s="27"/>
      <c r="K505" s="27"/>
      <c r="L505" s="27"/>
      <c r="M505" s="27"/>
      <c r="N505" s="27"/>
      <c r="O505" s="43"/>
      <c r="P505" s="27"/>
      <c r="Q505" s="27"/>
      <c r="R505" s="43"/>
      <c r="S505" s="27"/>
      <c r="T505" s="27"/>
      <c r="U505" s="27"/>
      <c r="V505" s="27"/>
      <c r="W505" s="27"/>
      <c r="X505" s="43"/>
      <c r="Y505" s="27"/>
      <c r="Z505" s="27"/>
      <c r="AA505" s="41"/>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c r="AZ505" s="27"/>
      <c r="BA505" s="27"/>
      <c r="BB505" s="27"/>
    </row>
    <row r="506">
      <c r="A506" s="27"/>
      <c r="B506" s="124"/>
      <c r="C506" s="27"/>
      <c r="D506" s="27"/>
      <c r="E506" s="27"/>
      <c r="F506" s="27"/>
      <c r="G506" s="27"/>
      <c r="H506" s="27"/>
      <c r="I506" s="27"/>
      <c r="J506" s="27"/>
      <c r="K506" s="27"/>
      <c r="L506" s="27"/>
      <c r="M506" s="27"/>
      <c r="N506" s="27"/>
      <c r="O506" s="43"/>
      <c r="P506" s="27"/>
      <c r="Q506" s="27"/>
      <c r="R506" s="43"/>
      <c r="S506" s="27"/>
      <c r="T506" s="27"/>
      <c r="U506" s="27"/>
      <c r="V506" s="27"/>
      <c r="W506" s="27"/>
      <c r="X506" s="43"/>
      <c r="Y506" s="27"/>
      <c r="Z506" s="27"/>
      <c r="AA506" s="41"/>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row>
    <row r="507">
      <c r="A507" s="27"/>
      <c r="B507" s="124"/>
      <c r="C507" s="27"/>
      <c r="D507" s="27"/>
      <c r="E507" s="27"/>
      <c r="F507" s="27"/>
      <c r="G507" s="27"/>
      <c r="H507" s="27"/>
      <c r="I507" s="27"/>
      <c r="J507" s="27"/>
      <c r="K507" s="27"/>
      <c r="L507" s="27"/>
      <c r="M507" s="27"/>
      <c r="N507" s="27"/>
      <c r="O507" s="43"/>
      <c r="P507" s="27"/>
      <c r="Q507" s="27"/>
      <c r="R507" s="43"/>
      <c r="S507" s="27"/>
      <c r="T507" s="27"/>
      <c r="U507" s="27"/>
      <c r="V507" s="27"/>
      <c r="W507" s="27"/>
      <c r="X507" s="43"/>
      <c r="Y507" s="27"/>
      <c r="Z507" s="27"/>
      <c r="AA507" s="41"/>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c r="AZ507" s="27"/>
      <c r="BA507" s="27"/>
      <c r="BB507" s="27"/>
    </row>
    <row r="508">
      <c r="A508" s="27"/>
      <c r="B508" s="124"/>
      <c r="C508" s="27"/>
      <c r="D508" s="27"/>
      <c r="E508" s="27"/>
      <c r="F508" s="27"/>
      <c r="G508" s="27"/>
      <c r="H508" s="27"/>
      <c r="I508" s="27"/>
      <c r="J508" s="27"/>
      <c r="K508" s="27"/>
      <c r="L508" s="27"/>
      <c r="M508" s="27"/>
      <c r="N508" s="27"/>
      <c r="O508" s="43"/>
      <c r="P508" s="27"/>
      <c r="Q508" s="27"/>
      <c r="R508" s="43"/>
      <c r="S508" s="27"/>
      <c r="T508" s="27"/>
      <c r="U508" s="27"/>
      <c r="V508" s="27"/>
      <c r="W508" s="27"/>
      <c r="X508" s="43"/>
      <c r="Y508" s="27"/>
      <c r="Z508" s="27"/>
      <c r="AA508" s="41"/>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c r="AY508" s="27"/>
      <c r="AZ508" s="27"/>
      <c r="BA508" s="27"/>
      <c r="BB508" s="27"/>
    </row>
    <row r="509">
      <c r="A509" s="27"/>
      <c r="B509" s="124"/>
      <c r="C509" s="27"/>
      <c r="D509" s="27"/>
      <c r="E509" s="27"/>
      <c r="F509" s="27"/>
      <c r="G509" s="27"/>
      <c r="H509" s="27"/>
      <c r="I509" s="27"/>
      <c r="J509" s="27"/>
      <c r="K509" s="27"/>
      <c r="L509" s="27"/>
      <c r="M509" s="27"/>
      <c r="N509" s="27"/>
      <c r="O509" s="43"/>
      <c r="P509" s="27"/>
      <c r="Q509" s="27"/>
      <c r="R509" s="43"/>
      <c r="S509" s="27"/>
      <c r="T509" s="27"/>
      <c r="U509" s="27"/>
      <c r="V509" s="27"/>
      <c r="W509" s="27"/>
      <c r="X509" s="43"/>
      <c r="Y509" s="27"/>
      <c r="Z509" s="27"/>
      <c r="AA509" s="41"/>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c r="AZ509" s="27"/>
      <c r="BA509" s="27"/>
      <c r="BB509" s="27"/>
    </row>
    <row r="510">
      <c r="A510" s="27"/>
      <c r="B510" s="124"/>
      <c r="C510" s="27"/>
      <c r="D510" s="27"/>
      <c r="E510" s="27"/>
      <c r="F510" s="27"/>
      <c r="G510" s="27"/>
      <c r="H510" s="27"/>
      <c r="I510" s="27"/>
      <c r="J510" s="27"/>
      <c r="K510" s="27"/>
      <c r="L510" s="27"/>
      <c r="M510" s="27"/>
      <c r="N510" s="27"/>
      <c r="O510" s="43"/>
      <c r="P510" s="27"/>
      <c r="Q510" s="27"/>
      <c r="R510" s="43"/>
      <c r="S510" s="27"/>
      <c r="T510" s="27"/>
      <c r="U510" s="27"/>
      <c r="V510" s="27"/>
      <c r="W510" s="27"/>
      <c r="X510" s="43"/>
      <c r="Y510" s="27"/>
      <c r="Z510" s="27"/>
      <c r="AA510" s="41"/>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c r="AY510" s="27"/>
      <c r="AZ510" s="27"/>
      <c r="BA510" s="27"/>
      <c r="BB510" s="27"/>
    </row>
    <row r="511">
      <c r="A511" s="27"/>
      <c r="B511" s="124"/>
      <c r="C511" s="27"/>
      <c r="D511" s="27"/>
      <c r="E511" s="27"/>
      <c r="F511" s="27"/>
      <c r="G511" s="27"/>
      <c r="H511" s="27"/>
      <c r="I511" s="27"/>
      <c r="J511" s="27"/>
      <c r="K511" s="27"/>
      <c r="L511" s="27"/>
      <c r="M511" s="27"/>
      <c r="N511" s="27"/>
      <c r="O511" s="43"/>
      <c r="P511" s="27"/>
      <c r="Q511" s="27"/>
      <c r="R511" s="43"/>
      <c r="S511" s="27"/>
      <c r="T511" s="27"/>
      <c r="U511" s="27"/>
      <c r="V511" s="27"/>
      <c r="W511" s="27"/>
      <c r="X511" s="43"/>
      <c r="Y511" s="27"/>
      <c r="Z511" s="27"/>
      <c r="AA511" s="41"/>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c r="AZ511" s="27"/>
      <c r="BA511" s="27"/>
      <c r="BB511" s="27"/>
    </row>
    <row r="512">
      <c r="A512" s="27"/>
      <c r="B512" s="124"/>
      <c r="C512" s="27"/>
      <c r="D512" s="27"/>
      <c r="E512" s="27"/>
      <c r="F512" s="27"/>
      <c r="G512" s="27"/>
      <c r="H512" s="27"/>
      <c r="I512" s="27"/>
      <c r="J512" s="27"/>
      <c r="K512" s="27"/>
      <c r="L512" s="27"/>
      <c r="M512" s="27"/>
      <c r="N512" s="27"/>
      <c r="O512" s="43"/>
      <c r="P512" s="27"/>
      <c r="Q512" s="27"/>
      <c r="R512" s="43"/>
      <c r="S512" s="27"/>
      <c r="T512" s="27"/>
      <c r="U512" s="27"/>
      <c r="V512" s="27"/>
      <c r="W512" s="27"/>
      <c r="X512" s="43"/>
      <c r="Y512" s="27"/>
      <c r="Z512" s="27"/>
      <c r="AA512" s="41"/>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c r="AY512" s="27"/>
      <c r="AZ512" s="27"/>
      <c r="BA512" s="27"/>
      <c r="BB512" s="27"/>
    </row>
    <row r="513">
      <c r="A513" s="27"/>
      <c r="B513" s="124"/>
      <c r="C513" s="27"/>
      <c r="D513" s="27"/>
      <c r="E513" s="27"/>
      <c r="F513" s="27"/>
      <c r="G513" s="27"/>
      <c r="H513" s="27"/>
      <c r="I513" s="27"/>
      <c r="J513" s="27"/>
      <c r="K513" s="27"/>
      <c r="L513" s="27"/>
      <c r="M513" s="27"/>
      <c r="N513" s="27"/>
      <c r="O513" s="43"/>
      <c r="P513" s="27"/>
      <c r="Q513" s="27"/>
      <c r="R513" s="43"/>
      <c r="S513" s="27"/>
      <c r="T513" s="27"/>
      <c r="U513" s="27"/>
      <c r="V513" s="27"/>
      <c r="W513" s="27"/>
      <c r="X513" s="43"/>
      <c r="Y513" s="27"/>
      <c r="Z513" s="27"/>
      <c r="AA513" s="41"/>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c r="AZ513" s="27"/>
      <c r="BA513" s="27"/>
      <c r="BB513" s="27"/>
    </row>
    <row r="514">
      <c r="A514" s="27"/>
      <c r="B514" s="124"/>
      <c r="C514" s="27"/>
      <c r="D514" s="27"/>
      <c r="E514" s="27"/>
      <c r="F514" s="27"/>
      <c r="G514" s="27"/>
      <c r="H514" s="27"/>
      <c r="I514" s="27"/>
      <c r="J514" s="27"/>
      <c r="K514" s="27"/>
      <c r="L514" s="27"/>
      <c r="M514" s="27"/>
      <c r="N514" s="27"/>
      <c r="O514" s="43"/>
      <c r="P514" s="27"/>
      <c r="Q514" s="27"/>
      <c r="R514" s="43"/>
      <c r="S514" s="27"/>
      <c r="T514" s="27"/>
      <c r="U514" s="27"/>
      <c r="V514" s="27"/>
      <c r="W514" s="27"/>
      <c r="X514" s="43"/>
      <c r="Y514" s="27"/>
      <c r="Z514" s="27"/>
      <c r="AA514" s="41"/>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c r="AY514" s="27"/>
      <c r="AZ514" s="27"/>
      <c r="BA514" s="27"/>
      <c r="BB514" s="27"/>
    </row>
    <row r="515">
      <c r="A515" s="27"/>
      <c r="B515" s="124"/>
      <c r="C515" s="27"/>
      <c r="D515" s="27"/>
      <c r="E515" s="27"/>
      <c r="F515" s="27"/>
      <c r="G515" s="27"/>
      <c r="H515" s="27"/>
      <c r="I515" s="27"/>
      <c r="J515" s="27"/>
      <c r="K515" s="27"/>
      <c r="L515" s="27"/>
      <c r="M515" s="27"/>
      <c r="N515" s="27"/>
      <c r="O515" s="43"/>
      <c r="P515" s="27"/>
      <c r="Q515" s="27"/>
      <c r="R515" s="43"/>
      <c r="S515" s="27"/>
      <c r="T515" s="27"/>
      <c r="U515" s="27"/>
      <c r="V515" s="27"/>
      <c r="W515" s="27"/>
      <c r="X515" s="43"/>
      <c r="Y515" s="27"/>
      <c r="Z515" s="27"/>
      <c r="AA515" s="41"/>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c r="AZ515" s="27"/>
      <c r="BA515" s="27"/>
      <c r="BB515" s="27"/>
    </row>
    <row r="516">
      <c r="A516" s="27"/>
      <c r="B516" s="124"/>
      <c r="C516" s="27"/>
      <c r="D516" s="27"/>
      <c r="E516" s="27"/>
      <c r="F516" s="27"/>
      <c r="G516" s="27"/>
      <c r="H516" s="27"/>
      <c r="I516" s="27"/>
      <c r="J516" s="27"/>
      <c r="K516" s="27"/>
      <c r="L516" s="27"/>
      <c r="M516" s="27"/>
      <c r="N516" s="27"/>
      <c r="O516" s="43"/>
      <c r="P516" s="27"/>
      <c r="Q516" s="27"/>
      <c r="R516" s="43"/>
      <c r="S516" s="27"/>
      <c r="T516" s="27"/>
      <c r="U516" s="27"/>
      <c r="V516" s="27"/>
      <c r="W516" s="27"/>
      <c r="X516" s="43"/>
      <c r="Y516" s="27"/>
      <c r="Z516" s="27"/>
      <c r="AA516" s="41"/>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c r="AY516" s="27"/>
      <c r="AZ516" s="27"/>
      <c r="BA516" s="27"/>
      <c r="BB516" s="27"/>
    </row>
    <row r="517">
      <c r="A517" s="27"/>
      <c r="B517" s="124"/>
      <c r="C517" s="27"/>
      <c r="D517" s="27"/>
      <c r="E517" s="27"/>
      <c r="F517" s="27"/>
      <c r="G517" s="27"/>
      <c r="H517" s="27"/>
      <c r="I517" s="27"/>
      <c r="J517" s="27"/>
      <c r="K517" s="27"/>
      <c r="L517" s="27"/>
      <c r="M517" s="27"/>
      <c r="N517" s="27"/>
      <c r="O517" s="43"/>
      <c r="P517" s="27"/>
      <c r="Q517" s="27"/>
      <c r="R517" s="43"/>
      <c r="S517" s="27"/>
      <c r="T517" s="27"/>
      <c r="U517" s="27"/>
      <c r="V517" s="27"/>
      <c r="W517" s="27"/>
      <c r="X517" s="43"/>
      <c r="Y517" s="27"/>
      <c r="Z517" s="27"/>
      <c r="AA517" s="41"/>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c r="AZ517" s="27"/>
      <c r="BA517" s="27"/>
      <c r="BB517" s="27"/>
    </row>
    <row r="518">
      <c r="A518" s="27"/>
      <c r="B518" s="124"/>
      <c r="C518" s="27"/>
      <c r="D518" s="27"/>
      <c r="E518" s="27"/>
      <c r="F518" s="27"/>
      <c r="G518" s="27"/>
      <c r="H518" s="27"/>
      <c r="I518" s="27"/>
      <c r="J518" s="27"/>
      <c r="K518" s="27"/>
      <c r="L518" s="27"/>
      <c r="M518" s="27"/>
      <c r="N518" s="27"/>
      <c r="O518" s="43"/>
      <c r="P518" s="27"/>
      <c r="Q518" s="27"/>
      <c r="R518" s="43"/>
      <c r="S518" s="27"/>
      <c r="T518" s="27"/>
      <c r="U518" s="27"/>
      <c r="V518" s="27"/>
      <c r="W518" s="27"/>
      <c r="X518" s="43"/>
      <c r="Y518" s="27"/>
      <c r="Z518" s="27"/>
      <c r="AA518" s="41"/>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c r="AY518" s="27"/>
      <c r="AZ518" s="27"/>
      <c r="BA518" s="27"/>
      <c r="BB518" s="27"/>
    </row>
    <row r="519">
      <c r="A519" s="27"/>
      <c r="B519" s="124"/>
      <c r="C519" s="27"/>
      <c r="D519" s="27"/>
      <c r="E519" s="27"/>
      <c r="F519" s="27"/>
      <c r="G519" s="27"/>
      <c r="H519" s="27"/>
      <c r="I519" s="27"/>
      <c r="J519" s="27"/>
      <c r="K519" s="27"/>
      <c r="L519" s="27"/>
      <c r="M519" s="27"/>
      <c r="N519" s="27"/>
      <c r="O519" s="43"/>
      <c r="P519" s="27"/>
      <c r="Q519" s="27"/>
      <c r="R519" s="43"/>
      <c r="S519" s="27"/>
      <c r="T519" s="27"/>
      <c r="U519" s="27"/>
      <c r="V519" s="27"/>
      <c r="W519" s="27"/>
      <c r="X519" s="43"/>
      <c r="Y519" s="27"/>
      <c r="Z519" s="27"/>
      <c r="AA519" s="41"/>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row>
    <row r="520">
      <c r="A520" s="27"/>
      <c r="B520" s="124"/>
      <c r="C520" s="27"/>
      <c r="D520" s="27"/>
      <c r="E520" s="27"/>
      <c r="F520" s="27"/>
      <c r="G520" s="27"/>
      <c r="H520" s="27"/>
      <c r="I520" s="27"/>
      <c r="J520" s="27"/>
      <c r="K520" s="27"/>
      <c r="L520" s="27"/>
      <c r="M520" s="27"/>
      <c r="N520" s="27"/>
      <c r="O520" s="43"/>
      <c r="P520" s="27"/>
      <c r="Q520" s="27"/>
      <c r="R520" s="43"/>
      <c r="S520" s="27"/>
      <c r="T520" s="27"/>
      <c r="U520" s="27"/>
      <c r="V520" s="27"/>
      <c r="W520" s="27"/>
      <c r="X520" s="43"/>
      <c r="Y520" s="27"/>
      <c r="Z520" s="27"/>
      <c r="AA520" s="41"/>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row>
    <row r="521">
      <c r="A521" s="27"/>
      <c r="B521" s="124"/>
      <c r="C521" s="27"/>
      <c r="D521" s="27"/>
      <c r="E521" s="27"/>
      <c r="F521" s="27"/>
      <c r="G521" s="27"/>
      <c r="H521" s="27"/>
      <c r="I521" s="27"/>
      <c r="J521" s="27"/>
      <c r="K521" s="27"/>
      <c r="L521" s="27"/>
      <c r="M521" s="27"/>
      <c r="N521" s="27"/>
      <c r="O521" s="43"/>
      <c r="P521" s="27"/>
      <c r="Q521" s="27"/>
      <c r="R521" s="43"/>
      <c r="S521" s="27"/>
      <c r="T521" s="27"/>
      <c r="U521" s="27"/>
      <c r="V521" s="27"/>
      <c r="W521" s="27"/>
      <c r="X521" s="43"/>
      <c r="Y521" s="27"/>
      <c r="Z521" s="27"/>
      <c r="AA521" s="41"/>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row>
    <row r="522">
      <c r="A522" s="27"/>
      <c r="B522" s="124"/>
      <c r="C522" s="27"/>
      <c r="D522" s="27"/>
      <c r="E522" s="27"/>
      <c r="F522" s="27"/>
      <c r="G522" s="27"/>
      <c r="H522" s="27"/>
      <c r="I522" s="27"/>
      <c r="J522" s="27"/>
      <c r="K522" s="27"/>
      <c r="L522" s="27"/>
      <c r="M522" s="27"/>
      <c r="N522" s="27"/>
      <c r="O522" s="43"/>
      <c r="P522" s="27"/>
      <c r="Q522" s="27"/>
      <c r="R522" s="43"/>
      <c r="S522" s="27"/>
      <c r="T522" s="27"/>
      <c r="U522" s="27"/>
      <c r="V522" s="27"/>
      <c r="W522" s="27"/>
      <c r="X522" s="43"/>
      <c r="Y522" s="27"/>
      <c r="Z522" s="27"/>
      <c r="AA522" s="41"/>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row>
    <row r="523">
      <c r="A523" s="27"/>
      <c r="B523" s="124"/>
      <c r="C523" s="27"/>
      <c r="D523" s="27"/>
      <c r="E523" s="27"/>
      <c r="F523" s="27"/>
      <c r="G523" s="27"/>
      <c r="H523" s="27"/>
      <c r="I523" s="27"/>
      <c r="J523" s="27"/>
      <c r="K523" s="27"/>
      <c r="L523" s="27"/>
      <c r="M523" s="27"/>
      <c r="N523" s="27"/>
      <c r="O523" s="43"/>
      <c r="P523" s="27"/>
      <c r="Q523" s="27"/>
      <c r="R523" s="43"/>
      <c r="S523" s="27"/>
      <c r="T523" s="27"/>
      <c r="U523" s="27"/>
      <c r="V523" s="27"/>
      <c r="W523" s="27"/>
      <c r="X523" s="43"/>
      <c r="Y523" s="27"/>
      <c r="Z523" s="27"/>
      <c r="AA523" s="41"/>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row>
    <row r="524">
      <c r="A524" s="27"/>
      <c r="B524" s="124"/>
      <c r="C524" s="27"/>
      <c r="D524" s="27"/>
      <c r="E524" s="27"/>
      <c r="F524" s="27"/>
      <c r="G524" s="27"/>
      <c r="H524" s="27"/>
      <c r="I524" s="27"/>
      <c r="J524" s="27"/>
      <c r="K524" s="27"/>
      <c r="L524" s="27"/>
      <c r="M524" s="27"/>
      <c r="N524" s="27"/>
      <c r="O524" s="43"/>
      <c r="P524" s="27"/>
      <c r="Q524" s="27"/>
      <c r="R524" s="43"/>
      <c r="S524" s="27"/>
      <c r="T524" s="27"/>
      <c r="U524" s="27"/>
      <c r="V524" s="27"/>
      <c r="W524" s="27"/>
      <c r="X524" s="43"/>
      <c r="Y524" s="27"/>
      <c r="Z524" s="27"/>
      <c r="AA524" s="41"/>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row>
    <row r="525">
      <c r="A525" s="27"/>
      <c r="B525" s="124"/>
      <c r="C525" s="27"/>
      <c r="D525" s="27"/>
      <c r="E525" s="27"/>
      <c r="F525" s="27"/>
      <c r="G525" s="27"/>
      <c r="H525" s="27"/>
      <c r="I525" s="27"/>
      <c r="J525" s="27"/>
      <c r="K525" s="27"/>
      <c r="L525" s="27"/>
      <c r="M525" s="27"/>
      <c r="N525" s="27"/>
      <c r="O525" s="43"/>
      <c r="P525" s="27"/>
      <c r="Q525" s="27"/>
      <c r="R525" s="43"/>
      <c r="S525" s="27"/>
      <c r="T525" s="27"/>
      <c r="U525" s="27"/>
      <c r="V525" s="27"/>
      <c r="W525" s="27"/>
      <c r="X525" s="43"/>
      <c r="Y525" s="27"/>
      <c r="Z525" s="27"/>
      <c r="AA525" s="41"/>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row>
    <row r="526">
      <c r="A526" s="27"/>
      <c r="B526" s="124"/>
      <c r="C526" s="27"/>
      <c r="D526" s="27"/>
      <c r="E526" s="27"/>
      <c r="F526" s="27"/>
      <c r="G526" s="27"/>
      <c r="H526" s="27"/>
      <c r="I526" s="27"/>
      <c r="J526" s="27"/>
      <c r="K526" s="27"/>
      <c r="L526" s="27"/>
      <c r="M526" s="27"/>
      <c r="N526" s="27"/>
      <c r="O526" s="43"/>
      <c r="P526" s="27"/>
      <c r="Q526" s="27"/>
      <c r="R526" s="43"/>
      <c r="S526" s="27"/>
      <c r="T526" s="27"/>
      <c r="U526" s="27"/>
      <c r="V526" s="27"/>
      <c r="W526" s="27"/>
      <c r="X526" s="43"/>
      <c r="Y526" s="27"/>
      <c r="Z526" s="27"/>
      <c r="AA526" s="41"/>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row>
    <row r="527">
      <c r="A527" s="27"/>
      <c r="B527" s="124"/>
      <c r="C527" s="27"/>
      <c r="D527" s="27"/>
      <c r="E527" s="27"/>
      <c r="F527" s="27"/>
      <c r="G527" s="27"/>
      <c r="H527" s="27"/>
      <c r="I527" s="27"/>
      <c r="J527" s="27"/>
      <c r="K527" s="27"/>
      <c r="L527" s="27"/>
      <c r="M527" s="27"/>
      <c r="N527" s="27"/>
      <c r="O527" s="43"/>
      <c r="P527" s="27"/>
      <c r="Q527" s="27"/>
      <c r="R527" s="43"/>
      <c r="S527" s="27"/>
      <c r="T527" s="27"/>
      <c r="U527" s="27"/>
      <c r="V527" s="27"/>
      <c r="W527" s="27"/>
      <c r="X527" s="43"/>
      <c r="Y527" s="27"/>
      <c r="Z527" s="27"/>
      <c r="AA527" s="41"/>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row>
    <row r="528">
      <c r="A528" s="27"/>
      <c r="B528" s="124"/>
      <c r="C528" s="27"/>
      <c r="D528" s="27"/>
      <c r="E528" s="27"/>
      <c r="F528" s="27"/>
      <c r="G528" s="27"/>
      <c r="H528" s="27"/>
      <c r="I528" s="27"/>
      <c r="J528" s="27"/>
      <c r="K528" s="27"/>
      <c r="L528" s="27"/>
      <c r="M528" s="27"/>
      <c r="N528" s="27"/>
      <c r="O528" s="43"/>
      <c r="P528" s="27"/>
      <c r="Q528" s="27"/>
      <c r="R528" s="43"/>
      <c r="S528" s="27"/>
      <c r="T528" s="27"/>
      <c r="U528" s="27"/>
      <c r="V528" s="27"/>
      <c r="W528" s="27"/>
      <c r="X528" s="43"/>
      <c r="Y528" s="27"/>
      <c r="Z528" s="27"/>
      <c r="AA528" s="41"/>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row>
    <row r="529">
      <c r="A529" s="27"/>
      <c r="B529" s="124"/>
      <c r="C529" s="27"/>
      <c r="D529" s="27"/>
      <c r="E529" s="27"/>
      <c r="F529" s="27"/>
      <c r="G529" s="27"/>
      <c r="H529" s="27"/>
      <c r="I529" s="27"/>
      <c r="J529" s="27"/>
      <c r="K529" s="27"/>
      <c r="L529" s="27"/>
      <c r="M529" s="27"/>
      <c r="N529" s="27"/>
      <c r="O529" s="43"/>
      <c r="P529" s="27"/>
      <c r="Q529" s="27"/>
      <c r="R529" s="43"/>
      <c r="S529" s="27"/>
      <c r="T529" s="27"/>
      <c r="U529" s="27"/>
      <c r="V529" s="27"/>
      <c r="W529" s="27"/>
      <c r="X529" s="43"/>
      <c r="Y529" s="27"/>
      <c r="Z529" s="27"/>
      <c r="AA529" s="41"/>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row>
    <row r="530">
      <c r="A530" s="27"/>
      <c r="B530" s="124"/>
      <c r="C530" s="27"/>
      <c r="D530" s="27"/>
      <c r="E530" s="27"/>
      <c r="F530" s="27"/>
      <c r="G530" s="27"/>
      <c r="H530" s="27"/>
      <c r="I530" s="27"/>
      <c r="J530" s="27"/>
      <c r="K530" s="27"/>
      <c r="L530" s="27"/>
      <c r="M530" s="27"/>
      <c r="N530" s="27"/>
      <c r="O530" s="43"/>
      <c r="P530" s="27"/>
      <c r="Q530" s="27"/>
      <c r="R530" s="43"/>
      <c r="S530" s="27"/>
      <c r="T530" s="27"/>
      <c r="U530" s="27"/>
      <c r="V530" s="27"/>
      <c r="W530" s="27"/>
      <c r="X530" s="43"/>
      <c r="Y530" s="27"/>
      <c r="Z530" s="27"/>
      <c r="AA530" s="41"/>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row>
    <row r="531">
      <c r="A531" s="27"/>
      <c r="B531" s="124"/>
      <c r="C531" s="27"/>
      <c r="D531" s="27"/>
      <c r="E531" s="27"/>
      <c r="F531" s="27"/>
      <c r="G531" s="27"/>
      <c r="H531" s="27"/>
      <c r="I531" s="27"/>
      <c r="J531" s="27"/>
      <c r="K531" s="27"/>
      <c r="L531" s="27"/>
      <c r="M531" s="27"/>
      <c r="N531" s="27"/>
      <c r="O531" s="43"/>
      <c r="P531" s="27"/>
      <c r="Q531" s="27"/>
      <c r="R531" s="43"/>
      <c r="S531" s="27"/>
      <c r="T531" s="27"/>
      <c r="U531" s="27"/>
      <c r="V531" s="27"/>
      <c r="W531" s="27"/>
      <c r="X531" s="43"/>
      <c r="Y531" s="27"/>
      <c r="Z531" s="27"/>
      <c r="AA531" s="41"/>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row>
    <row r="532">
      <c r="A532" s="27"/>
      <c r="B532" s="124"/>
      <c r="C532" s="27"/>
      <c r="D532" s="27"/>
      <c r="E532" s="27"/>
      <c r="F532" s="27"/>
      <c r="G532" s="27"/>
      <c r="H532" s="27"/>
      <c r="I532" s="27"/>
      <c r="J532" s="27"/>
      <c r="K532" s="27"/>
      <c r="L532" s="27"/>
      <c r="M532" s="27"/>
      <c r="N532" s="27"/>
      <c r="O532" s="43"/>
      <c r="P532" s="27"/>
      <c r="Q532" s="27"/>
      <c r="R532" s="43"/>
      <c r="S532" s="27"/>
      <c r="T532" s="27"/>
      <c r="U532" s="27"/>
      <c r="V532" s="27"/>
      <c r="W532" s="27"/>
      <c r="X532" s="43"/>
      <c r="Y532" s="27"/>
      <c r="Z532" s="27"/>
      <c r="AA532" s="41"/>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row>
    <row r="533">
      <c r="A533" s="27"/>
      <c r="B533" s="124"/>
      <c r="C533" s="27"/>
      <c r="D533" s="27"/>
      <c r="E533" s="27"/>
      <c r="F533" s="27"/>
      <c r="G533" s="27"/>
      <c r="H533" s="27"/>
      <c r="I533" s="27"/>
      <c r="J533" s="27"/>
      <c r="K533" s="27"/>
      <c r="L533" s="27"/>
      <c r="M533" s="27"/>
      <c r="N533" s="27"/>
      <c r="O533" s="43"/>
      <c r="P533" s="27"/>
      <c r="Q533" s="27"/>
      <c r="R533" s="43"/>
      <c r="S533" s="27"/>
      <c r="T533" s="27"/>
      <c r="U533" s="27"/>
      <c r="V533" s="27"/>
      <c r="W533" s="27"/>
      <c r="X533" s="43"/>
      <c r="Y533" s="27"/>
      <c r="Z533" s="27"/>
      <c r="AA533" s="41"/>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row>
    <row r="534">
      <c r="A534" s="27"/>
      <c r="B534" s="124"/>
      <c r="C534" s="27"/>
      <c r="D534" s="27"/>
      <c r="E534" s="27"/>
      <c r="F534" s="27"/>
      <c r="G534" s="27"/>
      <c r="H534" s="27"/>
      <c r="I534" s="27"/>
      <c r="J534" s="27"/>
      <c r="K534" s="27"/>
      <c r="L534" s="27"/>
      <c r="M534" s="27"/>
      <c r="N534" s="27"/>
      <c r="O534" s="43"/>
      <c r="P534" s="27"/>
      <c r="Q534" s="27"/>
      <c r="R534" s="43"/>
      <c r="S534" s="27"/>
      <c r="T534" s="27"/>
      <c r="U534" s="27"/>
      <c r="V534" s="27"/>
      <c r="W534" s="27"/>
      <c r="X534" s="43"/>
      <c r="Y534" s="27"/>
      <c r="Z534" s="27"/>
      <c r="AA534" s="41"/>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row>
    <row r="535">
      <c r="A535" s="27"/>
      <c r="B535" s="124"/>
      <c r="C535" s="27"/>
      <c r="D535" s="27"/>
      <c r="E535" s="27"/>
      <c r="F535" s="27"/>
      <c r="G535" s="27"/>
      <c r="H535" s="27"/>
      <c r="I535" s="27"/>
      <c r="J535" s="27"/>
      <c r="K535" s="27"/>
      <c r="L535" s="27"/>
      <c r="M535" s="27"/>
      <c r="N535" s="27"/>
      <c r="O535" s="43"/>
      <c r="P535" s="27"/>
      <c r="Q535" s="27"/>
      <c r="R535" s="43"/>
      <c r="S535" s="27"/>
      <c r="T535" s="27"/>
      <c r="U535" s="27"/>
      <c r="V535" s="27"/>
      <c r="W535" s="27"/>
      <c r="X535" s="43"/>
      <c r="Y535" s="27"/>
      <c r="Z535" s="27"/>
      <c r="AA535" s="41"/>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row>
    <row r="536">
      <c r="A536" s="27"/>
      <c r="B536" s="124"/>
      <c r="C536" s="27"/>
      <c r="D536" s="27"/>
      <c r="E536" s="27"/>
      <c r="F536" s="27"/>
      <c r="G536" s="27"/>
      <c r="H536" s="27"/>
      <c r="I536" s="27"/>
      <c r="J536" s="27"/>
      <c r="K536" s="27"/>
      <c r="L536" s="27"/>
      <c r="M536" s="27"/>
      <c r="N536" s="27"/>
      <c r="O536" s="43"/>
      <c r="P536" s="27"/>
      <c r="Q536" s="27"/>
      <c r="R536" s="43"/>
      <c r="S536" s="27"/>
      <c r="T536" s="27"/>
      <c r="U536" s="27"/>
      <c r="V536" s="27"/>
      <c r="W536" s="27"/>
      <c r="X536" s="43"/>
      <c r="Y536" s="27"/>
      <c r="Z536" s="27"/>
      <c r="AA536" s="41"/>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row>
    <row r="537">
      <c r="A537" s="27"/>
      <c r="B537" s="124"/>
      <c r="C537" s="27"/>
      <c r="D537" s="27"/>
      <c r="E537" s="27"/>
      <c r="F537" s="27"/>
      <c r="G537" s="27"/>
      <c r="H537" s="27"/>
      <c r="I537" s="27"/>
      <c r="J537" s="27"/>
      <c r="K537" s="27"/>
      <c r="L537" s="27"/>
      <c r="M537" s="27"/>
      <c r="N537" s="27"/>
      <c r="O537" s="43"/>
      <c r="P537" s="27"/>
      <c r="Q537" s="27"/>
      <c r="R537" s="43"/>
      <c r="S537" s="27"/>
      <c r="T537" s="27"/>
      <c r="U537" s="27"/>
      <c r="V537" s="27"/>
      <c r="W537" s="27"/>
      <c r="X537" s="43"/>
      <c r="Y537" s="27"/>
      <c r="Z537" s="27"/>
      <c r="AA537" s="41"/>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row>
    <row r="538">
      <c r="A538" s="27"/>
      <c r="B538" s="124"/>
      <c r="C538" s="27"/>
      <c r="D538" s="27"/>
      <c r="E538" s="27"/>
      <c r="F538" s="27"/>
      <c r="G538" s="27"/>
      <c r="H538" s="27"/>
      <c r="I538" s="27"/>
      <c r="J538" s="27"/>
      <c r="K538" s="27"/>
      <c r="L538" s="27"/>
      <c r="M538" s="27"/>
      <c r="N538" s="27"/>
      <c r="O538" s="43"/>
      <c r="P538" s="27"/>
      <c r="Q538" s="27"/>
      <c r="R538" s="43"/>
      <c r="S538" s="27"/>
      <c r="T538" s="27"/>
      <c r="U538" s="27"/>
      <c r="V538" s="27"/>
      <c r="W538" s="27"/>
      <c r="X538" s="43"/>
      <c r="Y538" s="27"/>
      <c r="Z538" s="27"/>
      <c r="AA538" s="41"/>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row>
    <row r="539">
      <c r="A539" s="27"/>
      <c r="B539" s="124"/>
      <c r="C539" s="27"/>
      <c r="D539" s="27"/>
      <c r="E539" s="27"/>
      <c r="F539" s="27"/>
      <c r="G539" s="27"/>
      <c r="H539" s="27"/>
      <c r="I539" s="27"/>
      <c r="J539" s="27"/>
      <c r="K539" s="27"/>
      <c r="L539" s="27"/>
      <c r="M539" s="27"/>
      <c r="N539" s="27"/>
      <c r="O539" s="43"/>
      <c r="P539" s="27"/>
      <c r="Q539" s="27"/>
      <c r="R539" s="43"/>
      <c r="S539" s="27"/>
      <c r="T539" s="27"/>
      <c r="U539" s="27"/>
      <c r="V539" s="27"/>
      <c r="W539" s="27"/>
      <c r="X539" s="43"/>
      <c r="Y539" s="27"/>
      <c r="Z539" s="27"/>
      <c r="AA539" s="41"/>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row>
    <row r="540">
      <c r="A540" s="27"/>
      <c r="B540" s="124"/>
      <c r="C540" s="27"/>
      <c r="D540" s="27"/>
      <c r="E540" s="27"/>
      <c r="F540" s="27"/>
      <c r="G540" s="27"/>
      <c r="H540" s="27"/>
      <c r="I540" s="27"/>
      <c r="J540" s="27"/>
      <c r="K540" s="27"/>
      <c r="L540" s="27"/>
      <c r="M540" s="27"/>
      <c r="N540" s="27"/>
      <c r="O540" s="43"/>
      <c r="P540" s="27"/>
      <c r="Q540" s="27"/>
      <c r="R540" s="43"/>
      <c r="S540" s="27"/>
      <c r="T540" s="27"/>
      <c r="U540" s="27"/>
      <c r="V540" s="27"/>
      <c r="W540" s="27"/>
      <c r="X540" s="43"/>
      <c r="Y540" s="27"/>
      <c r="Z540" s="27"/>
      <c r="AA540" s="41"/>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row>
    <row r="541">
      <c r="A541" s="27"/>
      <c r="B541" s="124"/>
      <c r="C541" s="27"/>
      <c r="D541" s="27"/>
      <c r="E541" s="27"/>
      <c r="F541" s="27"/>
      <c r="G541" s="27"/>
      <c r="H541" s="27"/>
      <c r="I541" s="27"/>
      <c r="J541" s="27"/>
      <c r="K541" s="27"/>
      <c r="L541" s="27"/>
      <c r="M541" s="27"/>
      <c r="N541" s="27"/>
      <c r="O541" s="43"/>
      <c r="P541" s="27"/>
      <c r="Q541" s="27"/>
      <c r="R541" s="43"/>
      <c r="S541" s="27"/>
      <c r="T541" s="27"/>
      <c r="U541" s="27"/>
      <c r="V541" s="27"/>
      <c r="W541" s="27"/>
      <c r="X541" s="43"/>
      <c r="Y541" s="27"/>
      <c r="Z541" s="27"/>
      <c r="AA541" s="41"/>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row>
    <row r="542">
      <c r="A542" s="27"/>
      <c r="B542" s="124"/>
      <c r="C542" s="27"/>
      <c r="D542" s="27"/>
      <c r="E542" s="27"/>
      <c r="F542" s="27"/>
      <c r="G542" s="27"/>
      <c r="H542" s="27"/>
      <c r="I542" s="27"/>
      <c r="J542" s="27"/>
      <c r="K542" s="27"/>
      <c r="L542" s="27"/>
      <c r="M542" s="27"/>
      <c r="N542" s="27"/>
      <c r="O542" s="43"/>
      <c r="P542" s="27"/>
      <c r="Q542" s="27"/>
      <c r="R542" s="43"/>
      <c r="S542" s="27"/>
      <c r="T542" s="27"/>
      <c r="U542" s="27"/>
      <c r="V542" s="27"/>
      <c r="W542" s="27"/>
      <c r="X542" s="43"/>
      <c r="Y542" s="27"/>
      <c r="Z542" s="27"/>
      <c r="AA542" s="41"/>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row>
    <row r="543">
      <c r="A543" s="27"/>
      <c r="B543" s="124"/>
      <c r="C543" s="27"/>
      <c r="D543" s="27"/>
      <c r="E543" s="27"/>
      <c r="F543" s="27"/>
      <c r="G543" s="27"/>
      <c r="H543" s="27"/>
      <c r="I543" s="27"/>
      <c r="J543" s="27"/>
      <c r="K543" s="27"/>
      <c r="L543" s="27"/>
      <c r="M543" s="27"/>
      <c r="N543" s="27"/>
      <c r="O543" s="43"/>
      <c r="P543" s="27"/>
      <c r="Q543" s="27"/>
      <c r="R543" s="43"/>
      <c r="S543" s="27"/>
      <c r="T543" s="27"/>
      <c r="U543" s="27"/>
      <c r="V543" s="27"/>
      <c r="W543" s="27"/>
      <c r="X543" s="43"/>
      <c r="Y543" s="27"/>
      <c r="Z543" s="27"/>
      <c r="AA543" s="41"/>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row>
    <row r="544">
      <c r="A544" s="27"/>
      <c r="B544" s="124"/>
      <c r="C544" s="27"/>
      <c r="D544" s="27"/>
      <c r="E544" s="27"/>
      <c r="F544" s="27"/>
      <c r="G544" s="27"/>
      <c r="H544" s="27"/>
      <c r="I544" s="27"/>
      <c r="J544" s="27"/>
      <c r="K544" s="27"/>
      <c r="L544" s="27"/>
      <c r="M544" s="27"/>
      <c r="N544" s="27"/>
      <c r="O544" s="43"/>
      <c r="P544" s="27"/>
      <c r="Q544" s="27"/>
      <c r="R544" s="43"/>
      <c r="S544" s="27"/>
      <c r="T544" s="27"/>
      <c r="U544" s="27"/>
      <c r="V544" s="27"/>
      <c r="W544" s="27"/>
      <c r="X544" s="43"/>
      <c r="Y544" s="27"/>
      <c r="Z544" s="27"/>
      <c r="AA544" s="41"/>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row>
    <row r="545">
      <c r="A545" s="27"/>
      <c r="B545" s="124"/>
      <c r="C545" s="27"/>
      <c r="D545" s="27"/>
      <c r="E545" s="27"/>
      <c r="F545" s="27"/>
      <c r="G545" s="27"/>
      <c r="H545" s="27"/>
      <c r="I545" s="27"/>
      <c r="J545" s="27"/>
      <c r="K545" s="27"/>
      <c r="L545" s="27"/>
      <c r="M545" s="27"/>
      <c r="N545" s="27"/>
      <c r="O545" s="43"/>
      <c r="P545" s="27"/>
      <c r="Q545" s="27"/>
      <c r="R545" s="43"/>
      <c r="S545" s="27"/>
      <c r="T545" s="27"/>
      <c r="U545" s="27"/>
      <c r="V545" s="27"/>
      <c r="W545" s="27"/>
      <c r="X545" s="43"/>
      <c r="Y545" s="27"/>
      <c r="Z545" s="27"/>
      <c r="AA545" s="41"/>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row>
    <row r="546">
      <c r="A546" s="27"/>
      <c r="B546" s="124"/>
      <c r="C546" s="27"/>
      <c r="D546" s="27"/>
      <c r="E546" s="27"/>
      <c r="F546" s="27"/>
      <c r="G546" s="27"/>
      <c r="H546" s="27"/>
      <c r="I546" s="27"/>
      <c r="J546" s="27"/>
      <c r="K546" s="27"/>
      <c r="L546" s="27"/>
      <c r="M546" s="27"/>
      <c r="N546" s="27"/>
      <c r="O546" s="43"/>
      <c r="P546" s="27"/>
      <c r="Q546" s="27"/>
      <c r="R546" s="43"/>
      <c r="S546" s="27"/>
      <c r="T546" s="27"/>
      <c r="U546" s="27"/>
      <c r="V546" s="27"/>
      <c r="W546" s="27"/>
      <c r="X546" s="43"/>
      <c r="Y546" s="27"/>
      <c r="Z546" s="27"/>
      <c r="AA546" s="41"/>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row>
    <row r="547">
      <c r="A547" s="27"/>
      <c r="B547" s="124"/>
      <c r="C547" s="27"/>
      <c r="D547" s="27"/>
      <c r="E547" s="27"/>
      <c r="F547" s="27"/>
      <c r="G547" s="27"/>
      <c r="H547" s="27"/>
      <c r="I547" s="27"/>
      <c r="J547" s="27"/>
      <c r="K547" s="27"/>
      <c r="L547" s="27"/>
      <c r="M547" s="27"/>
      <c r="N547" s="27"/>
      <c r="O547" s="43"/>
      <c r="P547" s="27"/>
      <c r="Q547" s="27"/>
      <c r="R547" s="43"/>
      <c r="S547" s="27"/>
      <c r="T547" s="27"/>
      <c r="U547" s="27"/>
      <c r="V547" s="27"/>
      <c r="W547" s="27"/>
      <c r="X547" s="43"/>
      <c r="Y547" s="27"/>
      <c r="Z547" s="27"/>
      <c r="AA547" s="41"/>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row>
    <row r="548">
      <c r="A548" s="27"/>
      <c r="B548" s="124"/>
      <c r="C548" s="27"/>
      <c r="D548" s="27"/>
      <c r="E548" s="27"/>
      <c r="F548" s="27"/>
      <c r="G548" s="27"/>
      <c r="H548" s="27"/>
      <c r="I548" s="27"/>
      <c r="J548" s="27"/>
      <c r="K548" s="27"/>
      <c r="L548" s="27"/>
      <c r="M548" s="27"/>
      <c r="N548" s="27"/>
      <c r="O548" s="43"/>
      <c r="P548" s="27"/>
      <c r="Q548" s="27"/>
      <c r="R548" s="43"/>
      <c r="S548" s="27"/>
      <c r="T548" s="27"/>
      <c r="U548" s="27"/>
      <c r="V548" s="27"/>
      <c r="W548" s="27"/>
      <c r="X548" s="43"/>
      <c r="Y548" s="27"/>
      <c r="Z548" s="27"/>
      <c r="AA548" s="41"/>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row>
    <row r="549">
      <c r="A549" s="27"/>
      <c r="B549" s="124"/>
      <c r="C549" s="27"/>
      <c r="D549" s="27"/>
      <c r="E549" s="27"/>
      <c r="F549" s="27"/>
      <c r="G549" s="27"/>
      <c r="H549" s="27"/>
      <c r="I549" s="27"/>
      <c r="J549" s="27"/>
      <c r="K549" s="27"/>
      <c r="L549" s="27"/>
      <c r="M549" s="27"/>
      <c r="N549" s="27"/>
      <c r="O549" s="43"/>
      <c r="P549" s="27"/>
      <c r="Q549" s="27"/>
      <c r="R549" s="43"/>
      <c r="S549" s="27"/>
      <c r="T549" s="27"/>
      <c r="U549" s="27"/>
      <c r="V549" s="27"/>
      <c r="W549" s="27"/>
      <c r="X549" s="43"/>
      <c r="Y549" s="27"/>
      <c r="Z549" s="27"/>
      <c r="AA549" s="41"/>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row>
    <row r="550">
      <c r="A550" s="27"/>
      <c r="B550" s="124"/>
      <c r="C550" s="27"/>
      <c r="D550" s="27"/>
      <c r="E550" s="27"/>
      <c r="F550" s="27"/>
      <c r="G550" s="27"/>
      <c r="H550" s="27"/>
      <c r="I550" s="27"/>
      <c r="J550" s="27"/>
      <c r="K550" s="27"/>
      <c r="L550" s="27"/>
      <c r="M550" s="27"/>
      <c r="N550" s="27"/>
      <c r="O550" s="43"/>
      <c r="P550" s="27"/>
      <c r="Q550" s="27"/>
      <c r="R550" s="43"/>
      <c r="S550" s="27"/>
      <c r="T550" s="27"/>
      <c r="U550" s="27"/>
      <c r="V550" s="27"/>
      <c r="W550" s="27"/>
      <c r="X550" s="43"/>
      <c r="Y550" s="27"/>
      <c r="Z550" s="27"/>
      <c r="AA550" s="41"/>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row>
    <row r="551">
      <c r="A551" s="27"/>
      <c r="B551" s="124"/>
      <c r="C551" s="27"/>
      <c r="D551" s="27"/>
      <c r="E551" s="27"/>
      <c r="F551" s="27"/>
      <c r="G551" s="27"/>
      <c r="H551" s="27"/>
      <c r="I551" s="27"/>
      <c r="J551" s="27"/>
      <c r="K551" s="27"/>
      <c r="L551" s="27"/>
      <c r="M551" s="27"/>
      <c r="N551" s="27"/>
      <c r="O551" s="43"/>
      <c r="P551" s="27"/>
      <c r="Q551" s="27"/>
      <c r="R551" s="43"/>
      <c r="S551" s="27"/>
      <c r="T551" s="27"/>
      <c r="U551" s="27"/>
      <c r="V551" s="27"/>
      <c r="W551" s="27"/>
      <c r="X551" s="43"/>
      <c r="Y551" s="27"/>
      <c r="Z551" s="27"/>
      <c r="AA551" s="41"/>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row>
    <row r="552">
      <c r="A552" s="27"/>
      <c r="B552" s="124"/>
      <c r="C552" s="27"/>
      <c r="D552" s="27"/>
      <c r="E552" s="27"/>
      <c r="F552" s="27"/>
      <c r="G552" s="27"/>
      <c r="H552" s="27"/>
      <c r="I552" s="27"/>
      <c r="J552" s="27"/>
      <c r="K552" s="27"/>
      <c r="L552" s="27"/>
      <c r="M552" s="27"/>
      <c r="N552" s="27"/>
      <c r="O552" s="43"/>
      <c r="P552" s="27"/>
      <c r="Q552" s="27"/>
      <c r="R552" s="43"/>
      <c r="S552" s="27"/>
      <c r="T552" s="27"/>
      <c r="U552" s="27"/>
      <c r="V552" s="27"/>
      <c r="W552" s="27"/>
      <c r="X552" s="43"/>
      <c r="Y552" s="27"/>
      <c r="Z552" s="27"/>
      <c r="AA552" s="41"/>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row>
    <row r="553">
      <c r="A553" s="27"/>
      <c r="B553" s="124"/>
      <c r="C553" s="27"/>
      <c r="D553" s="27"/>
      <c r="E553" s="27"/>
      <c r="F553" s="27"/>
      <c r="G553" s="27"/>
      <c r="H553" s="27"/>
      <c r="I553" s="27"/>
      <c r="J553" s="27"/>
      <c r="K553" s="27"/>
      <c r="L553" s="27"/>
      <c r="M553" s="27"/>
      <c r="N553" s="27"/>
      <c r="O553" s="43"/>
      <c r="P553" s="27"/>
      <c r="Q553" s="27"/>
      <c r="R553" s="43"/>
      <c r="S553" s="27"/>
      <c r="T553" s="27"/>
      <c r="U553" s="27"/>
      <c r="V553" s="27"/>
      <c r="W553" s="27"/>
      <c r="X553" s="43"/>
      <c r="Y553" s="27"/>
      <c r="Z553" s="27"/>
      <c r="AA553" s="41"/>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row>
    <row r="554">
      <c r="A554" s="27"/>
      <c r="B554" s="124"/>
      <c r="C554" s="27"/>
      <c r="D554" s="27"/>
      <c r="E554" s="27"/>
      <c r="F554" s="27"/>
      <c r="G554" s="27"/>
      <c r="H554" s="27"/>
      <c r="I554" s="27"/>
      <c r="J554" s="27"/>
      <c r="K554" s="27"/>
      <c r="L554" s="27"/>
      <c r="M554" s="27"/>
      <c r="N554" s="27"/>
      <c r="O554" s="43"/>
      <c r="P554" s="27"/>
      <c r="Q554" s="27"/>
      <c r="R554" s="43"/>
      <c r="S554" s="27"/>
      <c r="T554" s="27"/>
      <c r="U554" s="27"/>
      <c r="V554" s="27"/>
      <c r="W554" s="27"/>
      <c r="X554" s="43"/>
      <c r="Y554" s="27"/>
      <c r="Z554" s="27"/>
      <c r="AA554" s="41"/>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row>
    <row r="555">
      <c r="A555" s="27"/>
      <c r="B555" s="124"/>
      <c r="C555" s="27"/>
      <c r="D555" s="27"/>
      <c r="E555" s="27"/>
      <c r="F555" s="27"/>
      <c r="G555" s="27"/>
      <c r="H555" s="27"/>
      <c r="I555" s="27"/>
      <c r="J555" s="27"/>
      <c r="K555" s="27"/>
      <c r="L555" s="27"/>
      <c r="M555" s="27"/>
      <c r="N555" s="27"/>
      <c r="O555" s="43"/>
      <c r="P555" s="27"/>
      <c r="Q555" s="27"/>
      <c r="R555" s="43"/>
      <c r="S555" s="27"/>
      <c r="T555" s="27"/>
      <c r="U555" s="27"/>
      <c r="V555" s="27"/>
      <c r="W555" s="27"/>
      <c r="X555" s="43"/>
      <c r="Y555" s="27"/>
      <c r="Z555" s="27"/>
      <c r="AA555" s="41"/>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row>
    <row r="556">
      <c r="A556" s="27"/>
      <c r="B556" s="124"/>
      <c r="C556" s="27"/>
      <c r="D556" s="27"/>
      <c r="E556" s="27"/>
      <c r="F556" s="27"/>
      <c r="G556" s="27"/>
      <c r="H556" s="27"/>
      <c r="I556" s="27"/>
      <c r="J556" s="27"/>
      <c r="K556" s="27"/>
      <c r="L556" s="27"/>
      <c r="M556" s="27"/>
      <c r="N556" s="27"/>
      <c r="O556" s="43"/>
      <c r="P556" s="27"/>
      <c r="Q556" s="27"/>
      <c r="R556" s="43"/>
      <c r="S556" s="27"/>
      <c r="T556" s="27"/>
      <c r="U556" s="27"/>
      <c r="V556" s="27"/>
      <c r="W556" s="27"/>
      <c r="X556" s="43"/>
      <c r="Y556" s="27"/>
      <c r="Z556" s="27"/>
      <c r="AA556" s="41"/>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row>
    <row r="557">
      <c r="A557" s="27"/>
      <c r="B557" s="124"/>
      <c r="C557" s="27"/>
      <c r="D557" s="27"/>
      <c r="E557" s="27"/>
      <c r="F557" s="27"/>
      <c r="G557" s="27"/>
      <c r="H557" s="27"/>
      <c r="I557" s="27"/>
      <c r="J557" s="27"/>
      <c r="K557" s="27"/>
      <c r="L557" s="27"/>
      <c r="M557" s="27"/>
      <c r="N557" s="27"/>
      <c r="O557" s="43"/>
      <c r="P557" s="27"/>
      <c r="Q557" s="27"/>
      <c r="R557" s="43"/>
      <c r="S557" s="27"/>
      <c r="T557" s="27"/>
      <c r="U557" s="27"/>
      <c r="V557" s="27"/>
      <c r="W557" s="27"/>
      <c r="X557" s="43"/>
      <c r="Y557" s="27"/>
      <c r="Z557" s="27"/>
      <c r="AA557" s="41"/>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row>
    <row r="558">
      <c r="A558" s="27"/>
      <c r="B558" s="124"/>
      <c r="C558" s="27"/>
      <c r="D558" s="27"/>
      <c r="E558" s="27"/>
      <c r="F558" s="27"/>
      <c r="G558" s="27"/>
      <c r="H558" s="27"/>
      <c r="I558" s="27"/>
      <c r="J558" s="27"/>
      <c r="K558" s="27"/>
      <c r="L558" s="27"/>
      <c r="M558" s="27"/>
      <c r="N558" s="27"/>
      <c r="O558" s="43"/>
      <c r="P558" s="27"/>
      <c r="Q558" s="27"/>
      <c r="R558" s="43"/>
      <c r="S558" s="27"/>
      <c r="T558" s="27"/>
      <c r="U558" s="27"/>
      <c r="V558" s="27"/>
      <c r="W558" s="27"/>
      <c r="X558" s="43"/>
      <c r="Y558" s="27"/>
      <c r="Z558" s="27"/>
      <c r="AA558" s="41"/>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row>
    <row r="559">
      <c r="A559" s="27"/>
      <c r="B559" s="124"/>
      <c r="C559" s="27"/>
      <c r="D559" s="27"/>
      <c r="E559" s="27"/>
      <c r="F559" s="27"/>
      <c r="G559" s="27"/>
      <c r="H559" s="27"/>
      <c r="I559" s="27"/>
      <c r="J559" s="27"/>
      <c r="K559" s="27"/>
      <c r="L559" s="27"/>
      <c r="M559" s="27"/>
      <c r="N559" s="27"/>
      <c r="O559" s="43"/>
      <c r="P559" s="27"/>
      <c r="Q559" s="27"/>
      <c r="R559" s="43"/>
      <c r="S559" s="27"/>
      <c r="T559" s="27"/>
      <c r="U559" s="27"/>
      <c r="V559" s="27"/>
      <c r="W559" s="27"/>
      <c r="X559" s="43"/>
      <c r="Y559" s="27"/>
      <c r="Z559" s="27"/>
      <c r="AA559" s="41"/>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row>
    <row r="560">
      <c r="A560" s="27"/>
      <c r="B560" s="124"/>
      <c r="C560" s="27"/>
      <c r="D560" s="27"/>
      <c r="E560" s="27"/>
      <c r="F560" s="27"/>
      <c r="G560" s="27"/>
      <c r="H560" s="27"/>
      <c r="I560" s="27"/>
      <c r="J560" s="27"/>
      <c r="K560" s="27"/>
      <c r="L560" s="27"/>
      <c r="M560" s="27"/>
      <c r="N560" s="27"/>
      <c r="O560" s="43"/>
      <c r="P560" s="27"/>
      <c r="Q560" s="27"/>
      <c r="R560" s="43"/>
      <c r="S560" s="27"/>
      <c r="T560" s="27"/>
      <c r="U560" s="27"/>
      <c r="V560" s="27"/>
      <c r="W560" s="27"/>
      <c r="X560" s="43"/>
      <c r="Y560" s="27"/>
      <c r="Z560" s="27"/>
      <c r="AA560" s="41"/>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row>
    <row r="561">
      <c r="A561" s="27"/>
      <c r="B561" s="124"/>
      <c r="C561" s="27"/>
      <c r="D561" s="27"/>
      <c r="E561" s="27"/>
      <c r="F561" s="27"/>
      <c r="G561" s="27"/>
      <c r="H561" s="27"/>
      <c r="I561" s="27"/>
      <c r="J561" s="27"/>
      <c r="K561" s="27"/>
      <c r="L561" s="27"/>
      <c r="M561" s="27"/>
      <c r="N561" s="27"/>
      <c r="O561" s="43"/>
      <c r="P561" s="27"/>
      <c r="Q561" s="27"/>
      <c r="R561" s="43"/>
      <c r="S561" s="27"/>
      <c r="T561" s="27"/>
      <c r="U561" s="27"/>
      <c r="V561" s="27"/>
      <c r="W561" s="27"/>
      <c r="X561" s="43"/>
      <c r="Y561" s="27"/>
      <c r="Z561" s="27"/>
      <c r="AA561" s="41"/>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row>
    <row r="562">
      <c r="A562" s="27"/>
      <c r="B562" s="124"/>
      <c r="C562" s="27"/>
      <c r="D562" s="27"/>
      <c r="E562" s="27"/>
      <c r="F562" s="27"/>
      <c r="G562" s="27"/>
      <c r="H562" s="27"/>
      <c r="I562" s="27"/>
      <c r="J562" s="27"/>
      <c r="K562" s="27"/>
      <c r="L562" s="27"/>
      <c r="M562" s="27"/>
      <c r="N562" s="27"/>
      <c r="O562" s="43"/>
      <c r="P562" s="27"/>
      <c r="Q562" s="27"/>
      <c r="R562" s="43"/>
      <c r="S562" s="27"/>
      <c r="T562" s="27"/>
      <c r="U562" s="27"/>
      <c r="V562" s="27"/>
      <c r="W562" s="27"/>
      <c r="X562" s="43"/>
      <c r="Y562" s="27"/>
      <c r="Z562" s="27"/>
      <c r="AA562" s="41"/>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row>
    <row r="563">
      <c r="A563" s="27"/>
      <c r="B563" s="124"/>
      <c r="C563" s="27"/>
      <c r="D563" s="27"/>
      <c r="E563" s="27"/>
      <c r="F563" s="27"/>
      <c r="G563" s="27"/>
      <c r="H563" s="27"/>
      <c r="I563" s="27"/>
      <c r="J563" s="27"/>
      <c r="K563" s="27"/>
      <c r="L563" s="27"/>
      <c r="M563" s="27"/>
      <c r="N563" s="27"/>
      <c r="O563" s="43"/>
      <c r="P563" s="27"/>
      <c r="Q563" s="27"/>
      <c r="R563" s="43"/>
      <c r="S563" s="27"/>
      <c r="T563" s="27"/>
      <c r="U563" s="27"/>
      <c r="V563" s="27"/>
      <c r="W563" s="27"/>
      <c r="X563" s="43"/>
      <c r="Y563" s="27"/>
      <c r="Z563" s="27"/>
      <c r="AA563" s="41"/>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row>
    <row r="564">
      <c r="A564" s="27"/>
      <c r="B564" s="124"/>
      <c r="C564" s="27"/>
      <c r="D564" s="27"/>
      <c r="E564" s="27"/>
      <c r="F564" s="27"/>
      <c r="G564" s="27"/>
      <c r="H564" s="27"/>
      <c r="I564" s="27"/>
      <c r="J564" s="27"/>
      <c r="K564" s="27"/>
      <c r="L564" s="27"/>
      <c r="M564" s="27"/>
      <c r="N564" s="27"/>
      <c r="O564" s="43"/>
      <c r="P564" s="27"/>
      <c r="Q564" s="27"/>
      <c r="R564" s="43"/>
      <c r="S564" s="27"/>
      <c r="T564" s="27"/>
      <c r="U564" s="27"/>
      <c r="V564" s="27"/>
      <c r="W564" s="27"/>
      <c r="X564" s="43"/>
      <c r="Y564" s="27"/>
      <c r="Z564" s="27"/>
      <c r="AA564" s="41"/>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row>
    <row r="565">
      <c r="A565" s="27"/>
      <c r="B565" s="124"/>
      <c r="C565" s="27"/>
      <c r="D565" s="27"/>
      <c r="E565" s="27"/>
      <c r="F565" s="27"/>
      <c r="G565" s="27"/>
      <c r="H565" s="27"/>
      <c r="I565" s="27"/>
      <c r="J565" s="27"/>
      <c r="K565" s="27"/>
      <c r="L565" s="27"/>
      <c r="M565" s="27"/>
      <c r="N565" s="27"/>
      <c r="O565" s="43"/>
      <c r="P565" s="27"/>
      <c r="Q565" s="27"/>
      <c r="R565" s="43"/>
      <c r="S565" s="27"/>
      <c r="T565" s="27"/>
      <c r="U565" s="27"/>
      <c r="V565" s="27"/>
      <c r="W565" s="27"/>
      <c r="X565" s="43"/>
      <c r="Y565" s="27"/>
      <c r="Z565" s="27"/>
      <c r="AA565" s="41"/>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row>
    <row r="566">
      <c r="A566" s="27"/>
      <c r="B566" s="124"/>
      <c r="C566" s="27"/>
      <c r="D566" s="27"/>
      <c r="E566" s="27"/>
      <c r="F566" s="27"/>
      <c r="G566" s="27"/>
      <c r="H566" s="27"/>
      <c r="I566" s="27"/>
      <c r="J566" s="27"/>
      <c r="K566" s="27"/>
      <c r="L566" s="27"/>
      <c r="M566" s="27"/>
      <c r="N566" s="27"/>
      <c r="O566" s="43"/>
      <c r="P566" s="27"/>
      <c r="Q566" s="27"/>
      <c r="R566" s="43"/>
      <c r="S566" s="27"/>
      <c r="T566" s="27"/>
      <c r="U566" s="27"/>
      <c r="V566" s="27"/>
      <c r="W566" s="27"/>
      <c r="X566" s="43"/>
      <c r="Y566" s="27"/>
      <c r="Z566" s="27"/>
      <c r="AA566" s="41"/>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row>
    <row r="567">
      <c r="A567" s="27"/>
      <c r="B567" s="124"/>
      <c r="C567" s="27"/>
      <c r="D567" s="27"/>
      <c r="E567" s="27"/>
      <c r="F567" s="27"/>
      <c r="G567" s="27"/>
      <c r="H567" s="27"/>
      <c r="I567" s="27"/>
      <c r="J567" s="27"/>
      <c r="K567" s="27"/>
      <c r="L567" s="27"/>
      <c r="M567" s="27"/>
      <c r="N567" s="27"/>
      <c r="O567" s="43"/>
      <c r="P567" s="27"/>
      <c r="Q567" s="27"/>
      <c r="R567" s="43"/>
      <c r="S567" s="27"/>
      <c r="T567" s="27"/>
      <c r="U567" s="27"/>
      <c r="V567" s="27"/>
      <c r="W567" s="27"/>
      <c r="X567" s="43"/>
      <c r="Y567" s="27"/>
      <c r="Z567" s="27"/>
      <c r="AA567" s="41"/>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row>
    <row r="568">
      <c r="A568" s="27"/>
      <c r="B568" s="124"/>
      <c r="C568" s="27"/>
      <c r="D568" s="27"/>
      <c r="E568" s="27"/>
      <c r="F568" s="27"/>
      <c r="G568" s="27"/>
      <c r="H568" s="27"/>
      <c r="I568" s="27"/>
      <c r="J568" s="27"/>
      <c r="K568" s="27"/>
      <c r="L568" s="27"/>
      <c r="M568" s="27"/>
      <c r="N568" s="27"/>
      <c r="O568" s="43"/>
      <c r="P568" s="27"/>
      <c r="Q568" s="27"/>
      <c r="R568" s="43"/>
      <c r="S568" s="27"/>
      <c r="T568" s="27"/>
      <c r="U568" s="27"/>
      <c r="V568" s="27"/>
      <c r="W568" s="27"/>
      <c r="X568" s="43"/>
      <c r="Y568" s="27"/>
      <c r="Z568" s="27"/>
      <c r="AA568" s="41"/>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row>
    <row r="569">
      <c r="A569" s="27"/>
      <c r="B569" s="124"/>
      <c r="C569" s="27"/>
      <c r="D569" s="27"/>
      <c r="E569" s="27"/>
      <c r="F569" s="27"/>
      <c r="G569" s="27"/>
      <c r="H569" s="27"/>
      <c r="I569" s="27"/>
      <c r="J569" s="27"/>
      <c r="K569" s="27"/>
      <c r="L569" s="27"/>
      <c r="M569" s="27"/>
      <c r="N569" s="27"/>
      <c r="O569" s="43"/>
      <c r="P569" s="27"/>
      <c r="Q569" s="27"/>
      <c r="R569" s="43"/>
      <c r="S569" s="27"/>
      <c r="T569" s="27"/>
      <c r="U569" s="27"/>
      <c r="V569" s="27"/>
      <c r="W569" s="27"/>
      <c r="X569" s="43"/>
      <c r="Y569" s="27"/>
      <c r="Z569" s="27"/>
      <c r="AA569" s="41"/>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row>
    <row r="570">
      <c r="A570" s="27"/>
      <c r="B570" s="124"/>
      <c r="C570" s="27"/>
      <c r="D570" s="27"/>
      <c r="E570" s="27"/>
      <c r="F570" s="27"/>
      <c r="G570" s="27"/>
      <c r="H570" s="27"/>
      <c r="I570" s="27"/>
      <c r="J570" s="27"/>
      <c r="K570" s="27"/>
      <c r="L570" s="27"/>
      <c r="M570" s="27"/>
      <c r="N570" s="27"/>
      <c r="O570" s="43"/>
      <c r="P570" s="27"/>
      <c r="Q570" s="27"/>
      <c r="R570" s="43"/>
      <c r="S570" s="27"/>
      <c r="T570" s="27"/>
      <c r="U570" s="27"/>
      <c r="V570" s="27"/>
      <c r="W570" s="27"/>
      <c r="X570" s="43"/>
      <c r="Y570" s="27"/>
      <c r="Z570" s="27"/>
      <c r="AA570" s="41"/>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row>
    <row r="571">
      <c r="A571" s="27"/>
      <c r="B571" s="124"/>
      <c r="C571" s="27"/>
      <c r="D571" s="27"/>
      <c r="E571" s="27"/>
      <c r="F571" s="27"/>
      <c r="G571" s="27"/>
      <c r="H571" s="27"/>
      <c r="I571" s="27"/>
      <c r="J571" s="27"/>
      <c r="K571" s="27"/>
      <c r="L571" s="27"/>
      <c r="M571" s="27"/>
      <c r="N571" s="27"/>
      <c r="O571" s="43"/>
      <c r="P571" s="27"/>
      <c r="Q571" s="27"/>
      <c r="R571" s="43"/>
      <c r="S571" s="27"/>
      <c r="T571" s="27"/>
      <c r="U571" s="27"/>
      <c r="V571" s="27"/>
      <c r="W571" s="27"/>
      <c r="X571" s="43"/>
      <c r="Y571" s="27"/>
      <c r="Z571" s="27"/>
      <c r="AA571" s="41"/>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row>
    <row r="572">
      <c r="A572" s="27"/>
      <c r="B572" s="124"/>
      <c r="C572" s="27"/>
      <c r="D572" s="27"/>
      <c r="E572" s="27"/>
      <c r="F572" s="27"/>
      <c r="G572" s="27"/>
      <c r="H572" s="27"/>
      <c r="I572" s="27"/>
      <c r="J572" s="27"/>
      <c r="K572" s="27"/>
      <c r="L572" s="27"/>
      <c r="M572" s="27"/>
      <c r="N572" s="27"/>
      <c r="O572" s="43"/>
      <c r="P572" s="27"/>
      <c r="Q572" s="27"/>
      <c r="R572" s="43"/>
      <c r="S572" s="27"/>
      <c r="T572" s="27"/>
      <c r="U572" s="27"/>
      <c r="V572" s="27"/>
      <c r="W572" s="27"/>
      <c r="X572" s="43"/>
      <c r="Y572" s="27"/>
      <c r="Z572" s="27"/>
      <c r="AA572" s="41"/>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row>
    <row r="573">
      <c r="A573" s="27"/>
      <c r="B573" s="124"/>
      <c r="C573" s="27"/>
      <c r="D573" s="27"/>
      <c r="E573" s="27"/>
      <c r="F573" s="27"/>
      <c r="G573" s="27"/>
      <c r="H573" s="27"/>
      <c r="I573" s="27"/>
      <c r="J573" s="27"/>
      <c r="K573" s="27"/>
      <c r="L573" s="27"/>
      <c r="M573" s="27"/>
      <c r="N573" s="27"/>
      <c r="O573" s="43"/>
      <c r="P573" s="27"/>
      <c r="Q573" s="27"/>
      <c r="R573" s="43"/>
      <c r="S573" s="27"/>
      <c r="T573" s="27"/>
      <c r="U573" s="27"/>
      <c r="V573" s="27"/>
      <c r="W573" s="27"/>
      <c r="X573" s="43"/>
      <c r="Y573" s="27"/>
      <c r="Z573" s="27"/>
      <c r="AA573" s="41"/>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row>
    <row r="574">
      <c r="A574" s="27"/>
      <c r="B574" s="124"/>
      <c r="C574" s="27"/>
      <c r="D574" s="27"/>
      <c r="E574" s="27"/>
      <c r="F574" s="27"/>
      <c r="G574" s="27"/>
      <c r="H574" s="27"/>
      <c r="I574" s="27"/>
      <c r="J574" s="27"/>
      <c r="K574" s="27"/>
      <c r="L574" s="27"/>
      <c r="M574" s="27"/>
      <c r="N574" s="27"/>
      <c r="O574" s="43"/>
      <c r="P574" s="27"/>
      <c r="Q574" s="27"/>
      <c r="R574" s="43"/>
      <c r="S574" s="27"/>
      <c r="T574" s="27"/>
      <c r="U574" s="27"/>
      <c r="V574" s="27"/>
      <c r="W574" s="27"/>
      <c r="X574" s="43"/>
      <c r="Y574" s="27"/>
      <c r="Z574" s="27"/>
      <c r="AA574" s="41"/>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row>
    <row r="575">
      <c r="A575" s="27"/>
      <c r="B575" s="124"/>
      <c r="C575" s="27"/>
      <c r="D575" s="27"/>
      <c r="E575" s="27"/>
      <c r="F575" s="27"/>
      <c r="G575" s="27"/>
      <c r="H575" s="27"/>
      <c r="I575" s="27"/>
      <c r="J575" s="27"/>
      <c r="K575" s="27"/>
      <c r="L575" s="27"/>
      <c r="M575" s="27"/>
      <c r="N575" s="27"/>
      <c r="O575" s="43"/>
      <c r="P575" s="27"/>
      <c r="Q575" s="27"/>
      <c r="R575" s="43"/>
      <c r="S575" s="27"/>
      <c r="T575" s="27"/>
      <c r="U575" s="27"/>
      <c r="V575" s="27"/>
      <c r="W575" s="27"/>
      <c r="X575" s="43"/>
      <c r="Y575" s="27"/>
      <c r="Z575" s="27"/>
      <c r="AA575" s="41"/>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row>
    <row r="576">
      <c r="A576" s="27"/>
      <c r="B576" s="124"/>
      <c r="C576" s="27"/>
      <c r="D576" s="27"/>
      <c r="E576" s="27"/>
      <c r="F576" s="27"/>
      <c r="G576" s="27"/>
      <c r="H576" s="27"/>
      <c r="I576" s="27"/>
      <c r="J576" s="27"/>
      <c r="K576" s="27"/>
      <c r="L576" s="27"/>
      <c r="M576" s="27"/>
      <c r="N576" s="27"/>
      <c r="O576" s="43"/>
      <c r="P576" s="27"/>
      <c r="Q576" s="27"/>
      <c r="R576" s="43"/>
      <c r="S576" s="27"/>
      <c r="T576" s="27"/>
      <c r="U576" s="27"/>
      <c r="V576" s="27"/>
      <c r="W576" s="27"/>
      <c r="X576" s="43"/>
      <c r="Y576" s="27"/>
      <c r="Z576" s="27"/>
      <c r="AA576" s="41"/>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row>
    <row r="577">
      <c r="A577" s="27"/>
      <c r="B577" s="124"/>
      <c r="C577" s="27"/>
      <c r="D577" s="27"/>
      <c r="E577" s="27"/>
      <c r="F577" s="27"/>
      <c r="G577" s="27"/>
      <c r="H577" s="27"/>
      <c r="I577" s="27"/>
      <c r="J577" s="27"/>
      <c r="K577" s="27"/>
      <c r="L577" s="27"/>
      <c r="M577" s="27"/>
      <c r="N577" s="27"/>
      <c r="O577" s="43"/>
      <c r="P577" s="27"/>
      <c r="Q577" s="27"/>
      <c r="R577" s="43"/>
      <c r="S577" s="27"/>
      <c r="T577" s="27"/>
      <c r="U577" s="27"/>
      <c r="V577" s="27"/>
      <c r="W577" s="27"/>
      <c r="X577" s="43"/>
      <c r="Y577" s="27"/>
      <c r="Z577" s="27"/>
      <c r="AA577" s="41"/>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row>
    <row r="578">
      <c r="A578" s="27"/>
      <c r="B578" s="124"/>
      <c r="C578" s="27"/>
      <c r="D578" s="27"/>
      <c r="E578" s="27"/>
      <c r="F578" s="27"/>
      <c r="G578" s="27"/>
      <c r="H578" s="27"/>
      <c r="I578" s="27"/>
      <c r="J578" s="27"/>
      <c r="K578" s="27"/>
      <c r="L578" s="27"/>
      <c r="M578" s="27"/>
      <c r="N578" s="27"/>
      <c r="O578" s="43"/>
      <c r="P578" s="27"/>
      <c r="Q578" s="27"/>
      <c r="R578" s="43"/>
      <c r="S578" s="27"/>
      <c r="T578" s="27"/>
      <c r="U578" s="27"/>
      <c r="V578" s="27"/>
      <c r="W578" s="27"/>
      <c r="X578" s="43"/>
      <c r="Y578" s="27"/>
      <c r="Z578" s="27"/>
      <c r="AA578" s="41"/>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row>
    <row r="579">
      <c r="A579" s="27"/>
      <c r="B579" s="124"/>
      <c r="C579" s="27"/>
      <c r="D579" s="27"/>
      <c r="E579" s="27"/>
      <c r="F579" s="27"/>
      <c r="G579" s="27"/>
      <c r="H579" s="27"/>
      <c r="I579" s="27"/>
      <c r="J579" s="27"/>
      <c r="K579" s="27"/>
      <c r="L579" s="27"/>
      <c r="M579" s="27"/>
      <c r="N579" s="27"/>
      <c r="O579" s="43"/>
      <c r="P579" s="27"/>
      <c r="Q579" s="27"/>
      <c r="R579" s="43"/>
      <c r="S579" s="27"/>
      <c r="T579" s="27"/>
      <c r="U579" s="27"/>
      <c r="V579" s="27"/>
      <c r="W579" s="27"/>
      <c r="X579" s="43"/>
      <c r="Y579" s="27"/>
      <c r="Z579" s="27"/>
      <c r="AA579" s="41"/>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row>
    <row r="580">
      <c r="A580" s="27"/>
      <c r="B580" s="124"/>
      <c r="C580" s="27"/>
      <c r="D580" s="27"/>
      <c r="E580" s="27"/>
      <c r="F580" s="27"/>
      <c r="G580" s="27"/>
      <c r="H580" s="27"/>
      <c r="I580" s="27"/>
      <c r="J580" s="27"/>
      <c r="K580" s="27"/>
      <c r="L580" s="27"/>
      <c r="M580" s="27"/>
      <c r="N580" s="27"/>
      <c r="O580" s="43"/>
      <c r="P580" s="27"/>
      <c r="Q580" s="27"/>
      <c r="R580" s="43"/>
      <c r="S580" s="27"/>
      <c r="T580" s="27"/>
      <c r="U580" s="27"/>
      <c r="V580" s="27"/>
      <c r="W580" s="27"/>
      <c r="X580" s="43"/>
      <c r="Y580" s="27"/>
      <c r="Z580" s="27"/>
      <c r="AA580" s="41"/>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row>
    <row r="581">
      <c r="A581" s="27"/>
      <c r="B581" s="124"/>
      <c r="C581" s="27"/>
      <c r="D581" s="27"/>
      <c r="E581" s="27"/>
      <c r="F581" s="27"/>
      <c r="G581" s="27"/>
      <c r="H581" s="27"/>
      <c r="I581" s="27"/>
      <c r="J581" s="27"/>
      <c r="K581" s="27"/>
      <c r="L581" s="27"/>
      <c r="M581" s="27"/>
      <c r="N581" s="27"/>
      <c r="O581" s="43"/>
      <c r="P581" s="27"/>
      <c r="Q581" s="27"/>
      <c r="R581" s="43"/>
      <c r="S581" s="27"/>
      <c r="T581" s="27"/>
      <c r="U581" s="27"/>
      <c r="V581" s="27"/>
      <c r="W581" s="27"/>
      <c r="X581" s="43"/>
      <c r="Y581" s="27"/>
      <c r="Z581" s="27"/>
      <c r="AA581" s="41"/>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row>
    <row r="582">
      <c r="A582" s="27"/>
      <c r="B582" s="124"/>
      <c r="C582" s="27"/>
      <c r="D582" s="27"/>
      <c r="E582" s="27"/>
      <c r="F582" s="27"/>
      <c r="G582" s="27"/>
      <c r="H582" s="27"/>
      <c r="I582" s="27"/>
      <c r="J582" s="27"/>
      <c r="K582" s="27"/>
      <c r="L582" s="27"/>
      <c r="M582" s="27"/>
      <c r="N582" s="27"/>
      <c r="O582" s="43"/>
      <c r="P582" s="27"/>
      <c r="Q582" s="27"/>
      <c r="R582" s="43"/>
      <c r="S582" s="27"/>
      <c r="T582" s="27"/>
      <c r="U582" s="27"/>
      <c r="V582" s="27"/>
      <c r="W582" s="27"/>
      <c r="X582" s="43"/>
      <c r="Y582" s="27"/>
      <c r="Z582" s="27"/>
      <c r="AA582" s="41"/>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row>
    <row r="583">
      <c r="A583" s="27"/>
      <c r="B583" s="124"/>
      <c r="C583" s="27"/>
      <c r="D583" s="27"/>
      <c r="E583" s="27"/>
      <c r="F583" s="27"/>
      <c r="G583" s="27"/>
      <c r="H583" s="27"/>
      <c r="I583" s="27"/>
      <c r="J583" s="27"/>
      <c r="K583" s="27"/>
      <c r="L583" s="27"/>
      <c r="M583" s="27"/>
      <c r="N583" s="27"/>
      <c r="O583" s="43"/>
      <c r="P583" s="27"/>
      <c r="Q583" s="27"/>
      <c r="R583" s="43"/>
      <c r="S583" s="27"/>
      <c r="T583" s="27"/>
      <c r="U583" s="27"/>
      <c r="V583" s="27"/>
      <c r="W583" s="27"/>
      <c r="X583" s="43"/>
      <c r="Y583" s="27"/>
      <c r="Z583" s="27"/>
      <c r="AA583" s="41"/>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row>
    <row r="584">
      <c r="A584" s="27"/>
      <c r="B584" s="124"/>
      <c r="C584" s="27"/>
      <c r="D584" s="27"/>
      <c r="E584" s="27"/>
      <c r="F584" s="27"/>
      <c r="G584" s="27"/>
      <c r="H584" s="27"/>
      <c r="I584" s="27"/>
      <c r="J584" s="27"/>
      <c r="K584" s="27"/>
      <c r="L584" s="27"/>
      <c r="M584" s="27"/>
      <c r="N584" s="27"/>
      <c r="O584" s="43"/>
      <c r="P584" s="27"/>
      <c r="Q584" s="27"/>
      <c r="R584" s="43"/>
      <c r="S584" s="27"/>
      <c r="T584" s="27"/>
      <c r="U584" s="27"/>
      <c r="V584" s="27"/>
      <c r="W584" s="27"/>
      <c r="X584" s="43"/>
      <c r="Y584" s="27"/>
      <c r="Z584" s="27"/>
      <c r="AA584" s="41"/>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row>
    <row r="585">
      <c r="A585" s="27"/>
      <c r="B585" s="124"/>
      <c r="C585" s="27"/>
      <c r="D585" s="27"/>
      <c r="E585" s="27"/>
      <c r="F585" s="27"/>
      <c r="G585" s="27"/>
      <c r="H585" s="27"/>
      <c r="I585" s="27"/>
      <c r="J585" s="27"/>
      <c r="K585" s="27"/>
      <c r="L585" s="27"/>
      <c r="M585" s="27"/>
      <c r="N585" s="27"/>
      <c r="O585" s="43"/>
      <c r="P585" s="27"/>
      <c r="Q585" s="27"/>
      <c r="R585" s="43"/>
      <c r="S585" s="27"/>
      <c r="T585" s="27"/>
      <c r="U585" s="27"/>
      <c r="V585" s="27"/>
      <c r="W585" s="27"/>
      <c r="X585" s="43"/>
      <c r="Y585" s="27"/>
      <c r="Z585" s="27"/>
      <c r="AA585" s="41"/>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row>
    <row r="586">
      <c r="A586" s="27"/>
      <c r="B586" s="124"/>
      <c r="C586" s="27"/>
      <c r="D586" s="27"/>
      <c r="E586" s="27"/>
      <c r="F586" s="27"/>
      <c r="G586" s="27"/>
      <c r="H586" s="27"/>
      <c r="I586" s="27"/>
      <c r="J586" s="27"/>
      <c r="K586" s="27"/>
      <c r="L586" s="27"/>
      <c r="M586" s="27"/>
      <c r="N586" s="27"/>
      <c r="O586" s="43"/>
      <c r="P586" s="27"/>
      <c r="Q586" s="27"/>
      <c r="R586" s="43"/>
      <c r="S586" s="27"/>
      <c r="T586" s="27"/>
      <c r="U586" s="27"/>
      <c r="V586" s="27"/>
      <c r="W586" s="27"/>
      <c r="X586" s="43"/>
      <c r="Y586" s="27"/>
      <c r="Z586" s="27"/>
      <c r="AA586" s="41"/>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row>
    <row r="587">
      <c r="A587" s="27"/>
      <c r="B587" s="124"/>
      <c r="C587" s="27"/>
      <c r="D587" s="27"/>
      <c r="E587" s="27"/>
      <c r="F587" s="27"/>
      <c r="G587" s="27"/>
      <c r="H587" s="27"/>
      <c r="I587" s="27"/>
      <c r="J587" s="27"/>
      <c r="K587" s="27"/>
      <c r="L587" s="27"/>
      <c r="M587" s="27"/>
      <c r="N587" s="27"/>
      <c r="O587" s="43"/>
      <c r="P587" s="27"/>
      <c r="Q587" s="27"/>
      <c r="R587" s="43"/>
      <c r="S587" s="27"/>
      <c r="T587" s="27"/>
      <c r="U587" s="27"/>
      <c r="V587" s="27"/>
      <c r="W587" s="27"/>
      <c r="X587" s="43"/>
      <c r="Y587" s="27"/>
      <c r="Z587" s="27"/>
      <c r="AA587" s="41"/>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row>
    <row r="588">
      <c r="A588" s="27"/>
      <c r="B588" s="124"/>
      <c r="C588" s="27"/>
      <c r="D588" s="27"/>
      <c r="E588" s="27"/>
      <c r="F588" s="27"/>
      <c r="G588" s="27"/>
      <c r="H588" s="27"/>
      <c r="I588" s="27"/>
      <c r="J588" s="27"/>
      <c r="K588" s="27"/>
      <c r="L588" s="27"/>
      <c r="M588" s="27"/>
      <c r="N588" s="27"/>
      <c r="O588" s="43"/>
      <c r="P588" s="27"/>
      <c r="Q588" s="27"/>
      <c r="R588" s="43"/>
      <c r="S588" s="27"/>
      <c r="T588" s="27"/>
      <c r="U588" s="27"/>
      <c r="V588" s="27"/>
      <c r="W588" s="27"/>
      <c r="X588" s="43"/>
      <c r="Y588" s="27"/>
      <c r="Z588" s="27"/>
      <c r="AA588" s="41"/>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row>
    <row r="589">
      <c r="A589" s="27"/>
      <c r="B589" s="124"/>
      <c r="C589" s="27"/>
      <c r="D589" s="27"/>
      <c r="E589" s="27"/>
      <c r="F589" s="27"/>
      <c r="G589" s="27"/>
      <c r="H589" s="27"/>
      <c r="I589" s="27"/>
      <c r="J589" s="27"/>
      <c r="K589" s="27"/>
      <c r="L589" s="27"/>
      <c r="M589" s="27"/>
      <c r="N589" s="27"/>
      <c r="O589" s="43"/>
      <c r="P589" s="27"/>
      <c r="Q589" s="27"/>
      <c r="R589" s="43"/>
      <c r="S589" s="27"/>
      <c r="T589" s="27"/>
      <c r="U589" s="27"/>
      <c r="V589" s="27"/>
      <c r="W589" s="27"/>
      <c r="X589" s="43"/>
      <c r="Y589" s="27"/>
      <c r="Z589" s="27"/>
      <c r="AA589" s="41"/>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row>
    <row r="590">
      <c r="A590" s="27"/>
      <c r="B590" s="124"/>
      <c r="C590" s="27"/>
      <c r="D590" s="27"/>
      <c r="E590" s="27"/>
      <c r="F590" s="27"/>
      <c r="G590" s="27"/>
      <c r="H590" s="27"/>
      <c r="I590" s="27"/>
      <c r="J590" s="27"/>
      <c r="K590" s="27"/>
      <c r="L590" s="27"/>
      <c r="M590" s="27"/>
      <c r="N590" s="27"/>
      <c r="O590" s="43"/>
      <c r="P590" s="27"/>
      <c r="Q590" s="27"/>
      <c r="R590" s="43"/>
      <c r="S590" s="27"/>
      <c r="T590" s="27"/>
      <c r="U590" s="27"/>
      <c r="V590" s="27"/>
      <c r="W590" s="27"/>
      <c r="X590" s="43"/>
      <c r="Y590" s="27"/>
      <c r="Z590" s="27"/>
      <c r="AA590" s="41"/>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row>
    <row r="591">
      <c r="A591" s="27"/>
      <c r="B591" s="124"/>
      <c r="C591" s="27"/>
      <c r="D591" s="27"/>
      <c r="E591" s="27"/>
      <c r="F591" s="27"/>
      <c r="G591" s="27"/>
      <c r="H591" s="27"/>
      <c r="I591" s="27"/>
      <c r="J591" s="27"/>
      <c r="K591" s="27"/>
      <c r="L591" s="27"/>
      <c r="M591" s="27"/>
      <c r="N591" s="27"/>
      <c r="O591" s="43"/>
      <c r="P591" s="27"/>
      <c r="Q591" s="27"/>
      <c r="R591" s="43"/>
      <c r="S591" s="27"/>
      <c r="T591" s="27"/>
      <c r="U591" s="27"/>
      <c r="V591" s="27"/>
      <c r="W591" s="27"/>
      <c r="X591" s="43"/>
      <c r="Y591" s="27"/>
      <c r="Z591" s="27"/>
      <c r="AA591" s="41"/>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row>
    <row r="592">
      <c r="A592" s="27"/>
      <c r="B592" s="124"/>
      <c r="C592" s="27"/>
      <c r="D592" s="27"/>
      <c r="E592" s="27"/>
      <c r="F592" s="27"/>
      <c r="G592" s="27"/>
      <c r="H592" s="27"/>
      <c r="I592" s="27"/>
      <c r="J592" s="27"/>
      <c r="K592" s="27"/>
      <c r="L592" s="27"/>
      <c r="M592" s="27"/>
      <c r="N592" s="27"/>
      <c r="O592" s="43"/>
      <c r="P592" s="27"/>
      <c r="Q592" s="27"/>
      <c r="R592" s="43"/>
      <c r="S592" s="27"/>
      <c r="T592" s="27"/>
      <c r="U592" s="27"/>
      <c r="V592" s="27"/>
      <c r="W592" s="27"/>
      <c r="X592" s="43"/>
      <c r="Y592" s="27"/>
      <c r="Z592" s="27"/>
      <c r="AA592" s="41"/>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row>
    <row r="593">
      <c r="A593" s="27"/>
      <c r="B593" s="124"/>
      <c r="C593" s="27"/>
      <c r="D593" s="27"/>
      <c r="E593" s="27"/>
      <c r="F593" s="27"/>
      <c r="G593" s="27"/>
      <c r="H593" s="27"/>
      <c r="I593" s="27"/>
      <c r="J593" s="27"/>
      <c r="K593" s="27"/>
      <c r="L593" s="27"/>
      <c r="M593" s="27"/>
      <c r="N593" s="27"/>
      <c r="O593" s="43"/>
      <c r="P593" s="27"/>
      <c r="Q593" s="27"/>
      <c r="R593" s="43"/>
      <c r="S593" s="27"/>
      <c r="T593" s="27"/>
      <c r="U593" s="27"/>
      <c r="V593" s="27"/>
      <c r="W593" s="27"/>
      <c r="X593" s="43"/>
      <c r="Y593" s="27"/>
      <c r="Z593" s="27"/>
      <c r="AA593" s="41"/>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row>
    <row r="594">
      <c r="A594" s="27"/>
      <c r="B594" s="124"/>
      <c r="C594" s="27"/>
      <c r="D594" s="27"/>
      <c r="E594" s="27"/>
      <c r="F594" s="27"/>
      <c r="G594" s="27"/>
      <c r="H594" s="27"/>
      <c r="I594" s="27"/>
      <c r="J594" s="27"/>
      <c r="K594" s="27"/>
      <c r="L594" s="27"/>
      <c r="M594" s="27"/>
      <c r="N594" s="27"/>
      <c r="O594" s="43"/>
      <c r="P594" s="27"/>
      <c r="Q594" s="27"/>
      <c r="R594" s="43"/>
      <c r="S594" s="27"/>
      <c r="T594" s="27"/>
      <c r="U594" s="27"/>
      <c r="V594" s="27"/>
      <c r="W594" s="27"/>
      <c r="X594" s="43"/>
      <c r="Y594" s="27"/>
      <c r="Z594" s="27"/>
      <c r="AA594" s="41"/>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row>
    <row r="595">
      <c r="A595" s="27"/>
      <c r="B595" s="124"/>
      <c r="C595" s="27"/>
      <c r="D595" s="27"/>
      <c r="E595" s="27"/>
      <c r="F595" s="27"/>
      <c r="G595" s="27"/>
      <c r="H595" s="27"/>
      <c r="I595" s="27"/>
      <c r="J595" s="27"/>
      <c r="K595" s="27"/>
      <c r="L595" s="27"/>
      <c r="M595" s="27"/>
      <c r="N595" s="27"/>
      <c r="O595" s="43"/>
      <c r="P595" s="27"/>
      <c r="Q595" s="27"/>
      <c r="R595" s="43"/>
      <c r="S595" s="27"/>
      <c r="T595" s="27"/>
      <c r="U595" s="27"/>
      <c r="V595" s="27"/>
      <c r="W595" s="27"/>
      <c r="X595" s="43"/>
      <c r="Y595" s="27"/>
      <c r="Z595" s="27"/>
      <c r="AA595" s="41"/>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row>
    <row r="596">
      <c r="A596" s="27"/>
      <c r="B596" s="124"/>
      <c r="C596" s="27"/>
      <c r="D596" s="27"/>
      <c r="E596" s="27"/>
      <c r="F596" s="27"/>
      <c r="G596" s="27"/>
      <c r="H596" s="27"/>
      <c r="I596" s="27"/>
      <c r="J596" s="27"/>
      <c r="K596" s="27"/>
      <c r="L596" s="27"/>
      <c r="M596" s="27"/>
      <c r="N596" s="27"/>
      <c r="O596" s="43"/>
      <c r="P596" s="27"/>
      <c r="Q596" s="27"/>
      <c r="R596" s="43"/>
      <c r="S596" s="27"/>
      <c r="T596" s="27"/>
      <c r="U596" s="27"/>
      <c r="V596" s="27"/>
      <c r="W596" s="27"/>
      <c r="X596" s="43"/>
      <c r="Y596" s="27"/>
      <c r="Z596" s="27"/>
      <c r="AA596" s="41"/>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row>
    <row r="597">
      <c r="A597" s="27"/>
      <c r="B597" s="124"/>
      <c r="C597" s="27"/>
      <c r="D597" s="27"/>
      <c r="E597" s="27"/>
      <c r="F597" s="27"/>
      <c r="G597" s="27"/>
      <c r="H597" s="27"/>
      <c r="I597" s="27"/>
      <c r="J597" s="27"/>
      <c r="K597" s="27"/>
      <c r="L597" s="27"/>
      <c r="M597" s="27"/>
      <c r="N597" s="27"/>
      <c r="O597" s="43"/>
      <c r="P597" s="27"/>
      <c r="Q597" s="27"/>
      <c r="R597" s="43"/>
      <c r="S597" s="27"/>
      <c r="T597" s="27"/>
      <c r="U597" s="27"/>
      <c r="V597" s="27"/>
      <c r="W597" s="27"/>
      <c r="X597" s="43"/>
      <c r="Y597" s="27"/>
      <c r="Z597" s="27"/>
      <c r="AA597" s="41"/>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row>
    <row r="598">
      <c r="A598" s="27"/>
      <c r="B598" s="124"/>
      <c r="C598" s="27"/>
      <c r="D598" s="27"/>
      <c r="E598" s="27"/>
      <c r="F598" s="27"/>
      <c r="G598" s="27"/>
      <c r="H598" s="27"/>
      <c r="I598" s="27"/>
      <c r="J598" s="27"/>
      <c r="K598" s="27"/>
      <c r="L598" s="27"/>
      <c r="M598" s="27"/>
      <c r="N598" s="27"/>
      <c r="O598" s="43"/>
      <c r="P598" s="27"/>
      <c r="Q598" s="27"/>
      <c r="R598" s="43"/>
      <c r="S598" s="27"/>
      <c r="T598" s="27"/>
      <c r="U598" s="27"/>
      <c r="V598" s="27"/>
      <c r="W598" s="27"/>
      <c r="X598" s="43"/>
      <c r="Y598" s="27"/>
      <c r="Z598" s="27"/>
      <c r="AA598" s="41"/>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row>
    <row r="599">
      <c r="A599" s="27"/>
      <c r="B599" s="124"/>
      <c r="C599" s="27"/>
      <c r="D599" s="27"/>
      <c r="E599" s="27"/>
      <c r="F599" s="27"/>
      <c r="G599" s="27"/>
      <c r="H599" s="27"/>
      <c r="I599" s="27"/>
      <c r="J599" s="27"/>
      <c r="K599" s="27"/>
      <c r="L599" s="27"/>
      <c r="M599" s="27"/>
      <c r="N599" s="27"/>
      <c r="O599" s="43"/>
      <c r="P599" s="27"/>
      <c r="Q599" s="27"/>
      <c r="R599" s="43"/>
      <c r="S599" s="27"/>
      <c r="T599" s="27"/>
      <c r="U599" s="27"/>
      <c r="V599" s="27"/>
      <c r="W599" s="27"/>
      <c r="X599" s="43"/>
      <c r="Y599" s="27"/>
      <c r="Z599" s="27"/>
      <c r="AA599" s="41"/>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row>
    <row r="600">
      <c r="A600" s="27"/>
      <c r="B600" s="124"/>
      <c r="C600" s="27"/>
      <c r="D600" s="27"/>
      <c r="E600" s="27"/>
      <c r="F600" s="27"/>
      <c r="G600" s="27"/>
      <c r="H600" s="27"/>
      <c r="I600" s="27"/>
      <c r="J600" s="27"/>
      <c r="K600" s="27"/>
      <c r="L600" s="27"/>
      <c r="M600" s="27"/>
      <c r="N600" s="27"/>
      <c r="O600" s="43"/>
      <c r="P600" s="27"/>
      <c r="Q600" s="27"/>
      <c r="R600" s="43"/>
      <c r="S600" s="27"/>
      <c r="T600" s="27"/>
      <c r="U600" s="27"/>
      <c r="V600" s="27"/>
      <c r="W600" s="27"/>
      <c r="X600" s="43"/>
      <c r="Y600" s="27"/>
      <c r="Z600" s="27"/>
      <c r="AA600" s="41"/>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row>
    <row r="601">
      <c r="A601" s="27"/>
      <c r="B601" s="124"/>
      <c r="C601" s="27"/>
      <c r="D601" s="27"/>
      <c r="E601" s="27"/>
      <c r="F601" s="27"/>
      <c r="G601" s="27"/>
      <c r="H601" s="27"/>
      <c r="I601" s="27"/>
      <c r="J601" s="27"/>
      <c r="K601" s="27"/>
      <c r="L601" s="27"/>
      <c r="M601" s="27"/>
      <c r="N601" s="27"/>
      <c r="O601" s="43"/>
      <c r="P601" s="27"/>
      <c r="Q601" s="27"/>
      <c r="R601" s="43"/>
      <c r="S601" s="27"/>
      <c r="T601" s="27"/>
      <c r="U601" s="27"/>
      <c r="V601" s="27"/>
      <c r="W601" s="27"/>
      <c r="X601" s="43"/>
      <c r="Y601" s="27"/>
      <c r="Z601" s="27"/>
      <c r="AA601" s="41"/>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row>
    <row r="602">
      <c r="A602" s="27"/>
      <c r="B602" s="124"/>
      <c r="C602" s="27"/>
      <c r="D602" s="27"/>
      <c r="E602" s="27"/>
      <c r="F602" s="27"/>
      <c r="G602" s="27"/>
      <c r="H602" s="27"/>
      <c r="I602" s="27"/>
      <c r="J602" s="27"/>
      <c r="K602" s="27"/>
      <c r="L602" s="27"/>
      <c r="M602" s="27"/>
      <c r="N602" s="27"/>
      <c r="O602" s="43"/>
      <c r="P602" s="27"/>
      <c r="Q602" s="27"/>
      <c r="R602" s="43"/>
      <c r="S602" s="27"/>
      <c r="T602" s="27"/>
      <c r="U602" s="27"/>
      <c r="V602" s="27"/>
      <c r="W602" s="27"/>
      <c r="X602" s="43"/>
      <c r="Y602" s="27"/>
      <c r="Z602" s="27"/>
      <c r="AA602" s="41"/>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row>
    <row r="603">
      <c r="A603" s="27"/>
      <c r="B603" s="124"/>
      <c r="C603" s="27"/>
      <c r="D603" s="27"/>
      <c r="E603" s="27"/>
      <c r="F603" s="27"/>
      <c r="G603" s="27"/>
      <c r="H603" s="27"/>
      <c r="I603" s="27"/>
      <c r="J603" s="27"/>
      <c r="K603" s="27"/>
      <c r="L603" s="27"/>
      <c r="M603" s="27"/>
      <c r="N603" s="27"/>
      <c r="O603" s="43"/>
      <c r="P603" s="27"/>
      <c r="Q603" s="27"/>
      <c r="R603" s="43"/>
      <c r="S603" s="27"/>
      <c r="T603" s="27"/>
      <c r="U603" s="27"/>
      <c r="V603" s="27"/>
      <c r="W603" s="27"/>
      <c r="X603" s="43"/>
      <c r="Y603" s="27"/>
      <c r="Z603" s="27"/>
      <c r="AA603" s="41"/>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row>
    <row r="604">
      <c r="A604" s="27"/>
      <c r="B604" s="124"/>
      <c r="C604" s="27"/>
      <c r="D604" s="27"/>
      <c r="E604" s="27"/>
      <c r="F604" s="27"/>
      <c r="G604" s="27"/>
      <c r="H604" s="27"/>
      <c r="I604" s="27"/>
      <c r="J604" s="27"/>
      <c r="K604" s="27"/>
      <c r="L604" s="27"/>
      <c r="M604" s="27"/>
      <c r="N604" s="27"/>
      <c r="O604" s="43"/>
      <c r="P604" s="27"/>
      <c r="Q604" s="27"/>
      <c r="R604" s="43"/>
      <c r="S604" s="27"/>
      <c r="T604" s="27"/>
      <c r="U604" s="27"/>
      <c r="V604" s="27"/>
      <c r="W604" s="27"/>
      <c r="X604" s="43"/>
      <c r="Y604" s="27"/>
      <c r="Z604" s="27"/>
      <c r="AA604" s="41"/>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row>
    <row r="605">
      <c r="A605" s="27"/>
      <c r="B605" s="124"/>
      <c r="C605" s="27"/>
      <c r="D605" s="27"/>
      <c r="E605" s="27"/>
      <c r="F605" s="27"/>
      <c r="G605" s="27"/>
      <c r="H605" s="27"/>
      <c r="I605" s="27"/>
      <c r="J605" s="27"/>
      <c r="K605" s="27"/>
      <c r="L605" s="27"/>
      <c r="M605" s="27"/>
      <c r="N605" s="27"/>
      <c r="O605" s="43"/>
      <c r="P605" s="27"/>
      <c r="Q605" s="27"/>
      <c r="R605" s="43"/>
      <c r="S605" s="27"/>
      <c r="T605" s="27"/>
      <c r="U605" s="27"/>
      <c r="V605" s="27"/>
      <c r="W605" s="27"/>
      <c r="X605" s="43"/>
      <c r="Y605" s="27"/>
      <c r="Z605" s="27"/>
      <c r="AA605" s="41"/>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row>
    <row r="606">
      <c r="A606" s="27"/>
      <c r="B606" s="124"/>
      <c r="C606" s="27"/>
      <c r="D606" s="27"/>
      <c r="E606" s="27"/>
      <c r="F606" s="27"/>
      <c r="G606" s="27"/>
      <c r="H606" s="27"/>
      <c r="I606" s="27"/>
      <c r="J606" s="27"/>
      <c r="K606" s="27"/>
      <c r="L606" s="27"/>
      <c r="M606" s="27"/>
      <c r="N606" s="27"/>
      <c r="O606" s="43"/>
      <c r="P606" s="27"/>
      <c r="Q606" s="27"/>
      <c r="R606" s="43"/>
      <c r="S606" s="27"/>
      <c r="T606" s="27"/>
      <c r="U606" s="27"/>
      <c r="V606" s="27"/>
      <c r="W606" s="27"/>
      <c r="X606" s="43"/>
      <c r="Y606" s="27"/>
      <c r="Z606" s="27"/>
      <c r="AA606" s="41"/>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row>
    <row r="607">
      <c r="A607" s="27"/>
      <c r="B607" s="124"/>
      <c r="C607" s="27"/>
      <c r="D607" s="27"/>
      <c r="E607" s="27"/>
      <c r="F607" s="27"/>
      <c r="G607" s="27"/>
      <c r="H607" s="27"/>
      <c r="I607" s="27"/>
      <c r="J607" s="27"/>
      <c r="K607" s="27"/>
      <c r="L607" s="27"/>
      <c r="M607" s="27"/>
      <c r="N607" s="27"/>
      <c r="O607" s="43"/>
      <c r="P607" s="27"/>
      <c r="Q607" s="27"/>
      <c r="R607" s="43"/>
      <c r="S607" s="27"/>
      <c r="T607" s="27"/>
      <c r="U607" s="27"/>
      <c r="V607" s="27"/>
      <c r="W607" s="27"/>
      <c r="X607" s="43"/>
      <c r="Y607" s="27"/>
      <c r="Z607" s="27"/>
      <c r="AA607" s="41"/>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row>
    <row r="608">
      <c r="A608" s="27"/>
      <c r="B608" s="124"/>
      <c r="C608" s="27"/>
      <c r="D608" s="27"/>
      <c r="E608" s="27"/>
      <c r="F608" s="27"/>
      <c r="G608" s="27"/>
      <c r="H608" s="27"/>
      <c r="I608" s="27"/>
      <c r="J608" s="27"/>
      <c r="K608" s="27"/>
      <c r="L608" s="27"/>
      <c r="M608" s="27"/>
      <c r="N608" s="27"/>
      <c r="O608" s="43"/>
      <c r="P608" s="27"/>
      <c r="Q608" s="27"/>
      <c r="R608" s="43"/>
      <c r="S608" s="27"/>
      <c r="T608" s="27"/>
      <c r="U608" s="27"/>
      <c r="V608" s="27"/>
      <c r="W608" s="27"/>
      <c r="X608" s="43"/>
      <c r="Y608" s="27"/>
      <c r="Z608" s="27"/>
      <c r="AA608" s="41"/>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row>
    <row r="609">
      <c r="A609" s="27"/>
      <c r="B609" s="124"/>
      <c r="C609" s="27"/>
      <c r="D609" s="27"/>
      <c r="E609" s="27"/>
      <c r="F609" s="27"/>
      <c r="G609" s="27"/>
      <c r="H609" s="27"/>
      <c r="I609" s="27"/>
      <c r="J609" s="27"/>
      <c r="K609" s="27"/>
      <c r="L609" s="27"/>
      <c r="M609" s="27"/>
      <c r="N609" s="27"/>
      <c r="O609" s="43"/>
      <c r="P609" s="27"/>
      <c r="Q609" s="27"/>
      <c r="R609" s="43"/>
      <c r="S609" s="27"/>
      <c r="T609" s="27"/>
      <c r="U609" s="27"/>
      <c r="V609" s="27"/>
      <c r="W609" s="27"/>
      <c r="X609" s="43"/>
      <c r="Y609" s="27"/>
      <c r="Z609" s="27"/>
      <c r="AA609" s="41"/>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row>
    <row r="610">
      <c r="A610" s="27"/>
      <c r="B610" s="124"/>
      <c r="C610" s="27"/>
      <c r="D610" s="27"/>
      <c r="E610" s="27"/>
      <c r="F610" s="27"/>
      <c r="G610" s="27"/>
      <c r="H610" s="27"/>
      <c r="I610" s="27"/>
      <c r="J610" s="27"/>
      <c r="K610" s="27"/>
      <c r="L610" s="27"/>
      <c r="M610" s="27"/>
      <c r="N610" s="27"/>
      <c r="O610" s="43"/>
      <c r="P610" s="27"/>
      <c r="Q610" s="27"/>
      <c r="R610" s="43"/>
      <c r="S610" s="27"/>
      <c r="T610" s="27"/>
      <c r="U610" s="27"/>
      <c r="V610" s="27"/>
      <c r="W610" s="27"/>
      <c r="X610" s="43"/>
      <c r="Y610" s="27"/>
      <c r="Z610" s="27"/>
      <c r="AA610" s="41"/>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row>
    <row r="611">
      <c r="A611" s="27"/>
      <c r="B611" s="124"/>
      <c r="C611" s="27"/>
      <c r="D611" s="27"/>
      <c r="E611" s="27"/>
      <c r="F611" s="27"/>
      <c r="G611" s="27"/>
      <c r="H611" s="27"/>
      <c r="I611" s="27"/>
      <c r="J611" s="27"/>
      <c r="K611" s="27"/>
      <c r="L611" s="27"/>
      <c r="M611" s="27"/>
      <c r="N611" s="27"/>
      <c r="O611" s="43"/>
      <c r="P611" s="27"/>
      <c r="Q611" s="27"/>
      <c r="R611" s="43"/>
      <c r="S611" s="27"/>
      <c r="T611" s="27"/>
      <c r="U611" s="27"/>
      <c r="V611" s="27"/>
      <c r="W611" s="27"/>
      <c r="X611" s="43"/>
      <c r="Y611" s="27"/>
      <c r="Z611" s="27"/>
      <c r="AA611" s="41"/>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row>
    <row r="612">
      <c r="A612" s="27"/>
      <c r="B612" s="124"/>
      <c r="C612" s="27"/>
      <c r="D612" s="27"/>
      <c r="E612" s="27"/>
      <c r="F612" s="27"/>
      <c r="G612" s="27"/>
      <c r="H612" s="27"/>
      <c r="I612" s="27"/>
      <c r="J612" s="27"/>
      <c r="K612" s="27"/>
      <c r="L612" s="27"/>
      <c r="M612" s="27"/>
      <c r="N612" s="27"/>
      <c r="O612" s="43"/>
      <c r="P612" s="27"/>
      <c r="Q612" s="27"/>
      <c r="R612" s="43"/>
      <c r="S612" s="27"/>
      <c r="T612" s="27"/>
      <c r="U612" s="27"/>
      <c r="V612" s="27"/>
      <c r="W612" s="27"/>
      <c r="X612" s="43"/>
      <c r="Y612" s="27"/>
      <c r="Z612" s="27"/>
      <c r="AA612" s="41"/>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row>
    <row r="613">
      <c r="A613" s="27"/>
      <c r="B613" s="124"/>
      <c r="C613" s="27"/>
      <c r="D613" s="27"/>
      <c r="E613" s="27"/>
      <c r="F613" s="27"/>
      <c r="G613" s="27"/>
      <c r="H613" s="27"/>
      <c r="I613" s="27"/>
      <c r="J613" s="27"/>
      <c r="K613" s="27"/>
      <c r="L613" s="27"/>
      <c r="M613" s="27"/>
      <c r="N613" s="27"/>
      <c r="O613" s="43"/>
      <c r="P613" s="27"/>
      <c r="Q613" s="27"/>
      <c r="R613" s="43"/>
      <c r="S613" s="27"/>
      <c r="T613" s="27"/>
      <c r="U613" s="27"/>
      <c r="V613" s="27"/>
      <c r="W613" s="27"/>
      <c r="X613" s="43"/>
      <c r="Y613" s="27"/>
      <c r="Z613" s="27"/>
      <c r="AA613" s="41"/>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row>
    <row r="614">
      <c r="A614" s="27"/>
      <c r="B614" s="124"/>
      <c r="C614" s="27"/>
      <c r="D614" s="27"/>
      <c r="E614" s="27"/>
      <c r="F614" s="27"/>
      <c r="G614" s="27"/>
      <c r="H614" s="27"/>
      <c r="I614" s="27"/>
      <c r="J614" s="27"/>
      <c r="K614" s="27"/>
      <c r="L614" s="27"/>
      <c r="M614" s="27"/>
      <c r="N614" s="27"/>
      <c r="O614" s="43"/>
      <c r="P614" s="27"/>
      <c r="Q614" s="27"/>
      <c r="R614" s="43"/>
      <c r="S614" s="27"/>
      <c r="T614" s="27"/>
      <c r="U614" s="27"/>
      <c r="V614" s="27"/>
      <c r="W614" s="27"/>
      <c r="X614" s="43"/>
      <c r="Y614" s="27"/>
      <c r="Z614" s="27"/>
      <c r="AA614" s="41"/>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row>
    <row r="615">
      <c r="A615" s="27"/>
      <c r="B615" s="124"/>
      <c r="C615" s="27"/>
      <c r="D615" s="27"/>
      <c r="E615" s="27"/>
      <c r="F615" s="27"/>
      <c r="G615" s="27"/>
      <c r="H615" s="27"/>
      <c r="I615" s="27"/>
      <c r="J615" s="27"/>
      <c r="K615" s="27"/>
      <c r="L615" s="27"/>
      <c r="M615" s="27"/>
      <c r="N615" s="27"/>
      <c r="O615" s="43"/>
      <c r="P615" s="27"/>
      <c r="Q615" s="27"/>
      <c r="R615" s="43"/>
      <c r="S615" s="27"/>
      <c r="T615" s="27"/>
      <c r="U615" s="27"/>
      <c r="V615" s="27"/>
      <c r="W615" s="27"/>
      <c r="X615" s="43"/>
      <c r="Y615" s="27"/>
      <c r="Z615" s="27"/>
      <c r="AA615" s="41"/>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row>
    <row r="616">
      <c r="A616" s="27"/>
      <c r="B616" s="124"/>
      <c r="C616" s="27"/>
      <c r="D616" s="27"/>
      <c r="E616" s="27"/>
      <c r="F616" s="27"/>
      <c r="G616" s="27"/>
      <c r="H616" s="27"/>
      <c r="I616" s="27"/>
      <c r="J616" s="27"/>
      <c r="K616" s="27"/>
      <c r="L616" s="27"/>
      <c r="M616" s="27"/>
      <c r="N616" s="27"/>
      <c r="O616" s="43"/>
      <c r="P616" s="27"/>
      <c r="Q616" s="27"/>
      <c r="R616" s="43"/>
      <c r="S616" s="27"/>
      <c r="T616" s="27"/>
      <c r="U616" s="27"/>
      <c r="V616" s="27"/>
      <c r="W616" s="27"/>
      <c r="X616" s="43"/>
      <c r="Y616" s="27"/>
      <c r="Z616" s="27"/>
      <c r="AA616" s="41"/>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row>
    <row r="617">
      <c r="A617" s="27"/>
      <c r="B617" s="124"/>
      <c r="C617" s="27"/>
      <c r="D617" s="27"/>
      <c r="E617" s="27"/>
      <c r="F617" s="27"/>
      <c r="G617" s="27"/>
      <c r="H617" s="27"/>
      <c r="I617" s="27"/>
      <c r="J617" s="27"/>
      <c r="K617" s="27"/>
      <c r="L617" s="27"/>
      <c r="M617" s="27"/>
      <c r="N617" s="27"/>
      <c r="O617" s="43"/>
      <c r="P617" s="27"/>
      <c r="Q617" s="27"/>
      <c r="R617" s="43"/>
      <c r="S617" s="27"/>
      <c r="T617" s="27"/>
      <c r="U617" s="27"/>
      <c r="V617" s="27"/>
      <c r="W617" s="27"/>
      <c r="X617" s="43"/>
      <c r="Y617" s="27"/>
      <c r="Z617" s="27"/>
      <c r="AA617" s="41"/>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row>
    <row r="618">
      <c r="A618" s="27"/>
      <c r="B618" s="124"/>
      <c r="C618" s="27"/>
      <c r="D618" s="27"/>
      <c r="E618" s="27"/>
      <c r="F618" s="27"/>
      <c r="G618" s="27"/>
      <c r="H618" s="27"/>
      <c r="I618" s="27"/>
      <c r="J618" s="27"/>
      <c r="K618" s="27"/>
      <c r="L618" s="27"/>
      <c r="M618" s="27"/>
      <c r="N618" s="27"/>
      <c r="O618" s="43"/>
      <c r="P618" s="27"/>
      <c r="Q618" s="27"/>
      <c r="R618" s="43"/>
      <c r="S618" s="27"/>
      <c r="T618" s="27"/>
      <c r="U618" s="27"/>
      <c r="V618" s="27"/>
      <c r="W618" s="27"/>
      <c r="X618" s="43"/>
      <c r="Y618" s="27"/>
      <c r="Z618" s="27"/>
      <c r="AA618" s="41"/>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row>
    <row r="619">
      <c r="A619" s="27"/>
      <c r="B619" s="124"/>
      <c r="C619" s="27"/>
      <c r="D619" s="27"/>
      <c r="E619" s="27"/>
      <c r="F619" s="27"/>
      <c r="G619" s="27"/>
      <c r="H619" s="27"/>
      <c r="I619" s="27"/>
      <c r="J619" s="27"/>
      <c r="K619" s="27"/>
      <c r="L619" s="27"/>
      <c r="M619" s="27"/>
      <c r="N619" s="27"/>
      <c r="O619" s="43"/>
      <c r="P619" s="27"/>
      <c r="Q619" s="27"/>
      <c r="R619" s="43"/>
      <c r="S619" s="27"/>
      <c r="T619" s="27"/>
      <c r="U619" s="27"/>
      <c r="V619" s="27"/>
      <c r="W619" s="27"/>
      <c r="X619" s="43"/>
      <c r="Y619" s="27"/>
      <c r="Z619" s="27"/>
      <c r="AA619" s="41"/>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row>
    <row r="620">
      <c r="A620" s="27"/>
      <c r="B620" s="124"/>
      <c r="C620" s="27"/>
      <c r="D620" s="27"/>
      <c r="E620" s="27"/>
      <c r="F620" s="27"/>
      <c r="G620" s="27"/>
      <c r="H620" s="27"/>
      <c r="I620" s="27"/>
      <c r="J620" s="27"/>
      <c r="K620" s="27"/>
      <c r="L620" s="27"/>
      <c r="M620" s="27"/>
      <c r="N620" s="27"/>
      <c r="O620" s="43"/>
      <c r="P620" s="27"/>
      <c r="Q620" s="27"/>
      <c r="R620" s="43"/>
      <c r="S620" s="27"/>
      <c r="T620" s="27"/>
      <c r="U620" s="27"/>
      <c r="V620" s="27"/>
      <c r="W620" s="27"/>
      <c r="X620" s="43"/>
      <c r="Y620" s="27"/>
      <c r="Z620" s="27"/>
      <c r="AA620" s="41"/>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row>
    <row r="621">
      <c r="A621" s="27"/>
      <c r="B621" s="124"/>
      <c r="C621" s="27"/>
      <c r="D621" s="27"/>
      <c r="E621" s="27"/>
      <c r="F621" s="27"/>
      <c r="G621" s="27"/>
      <c r="H621" s="27"/>
      <c r="I621" s="27"/>
      <c r="J621" s="27"/>
      <c r="K621" s="27"/>
      <c r="L621" s="27"/>
      <c r="M621" s="27"/>
      <c r="N621" s="27"/>
      <c r="O621" s="43"/>
      <c r="P621" s="27"/>
      <c r="Q621" s="27"/>
      <c r="R621" s="43"/>
      <c r="S621" s="27"/>
      <c r="T621" s="27"/>
      <c r="U621" s="27"/>
      <c r="V621" s="27"/>
      <c r="W621" s="27"/>
      <c r="X621" s="43"/>
      <c r="Y621" s="27"/>
      <c r="Z621" s="27"/>
      <c r="AA621" s="41"/>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row>
    <row r="622">
      <c r="A622" s="27"/>
      <c r="B622" s="124"/>
      <c r="C622" s="27"/>
      <c r="D622" s="27"/>
      <c r="E622" s="27"/>
      <c r="F622" s="27"/>
      <c r="G622" s="27"/>
      <c r="H622" s="27"/>
      <c r="I622" s="27"/>
      <c r="J622" s="27"/>
      <c r="K622" s="27"/>
      <c r="L622" s="27"/>
      <c r="M622" s="27"/>
      <c r="N622" s="27"/>
      <c r="O622" s="43"/>
      <c r="P622" s="27"/>
      <c r="Q622" s="27"/>
      <c r="R622" s="43"/>
      <c r="S622" s="27"/>
      <c r="T622" s="27"/>
      <c r="U622" s="27"/>
      <c r="V622" s="27"/>
      <c r="W622" s="27"/>
      <c r="X622" s="43"/>
      <c r="Y622" s="27"/>
      <c r="Z622" s="27"/>
      <c r="AA622" s="41"/>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row>
    <row r="623">
      <c r="A623" s="27"/>
      <c r="B623" s="124"/>
      <c r="C623" s="27"/>
      <c r="D623" s="27"/>
      <c r="E623" s="27"/>
      <c r="F623" s="27"/>
      <c r="G623" s="27"/>
      <c r="H623" s="27"/>
      <c r="I623" s="27"/>
      <c r="J623" s="27"/>
      <c r="K623" s="27"/>
      <c r="L623" s="27"/>
      <c r="M623" s="27"/>
      <c r="N623" s="27"/>
      <c r="O623" s="43"/>
      <c r="P623" s="27"/>
      <c r="Q623" s="27"/>
      <c r="R623" s="43"/>
      <c r="S623" s="27"/>
      <c r="T623" s="27"/>
      <c r="U623" s="27"/>
      <c r="V623" s="27"/>
      <c r="W623" s="27"/>
      <c r="X623" s="43"/>
      <c r="Y623" s="27"/>
      <c r="Z623" s="27"/>
      <c r="AA623" s="41"/>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row>
    <row r="624">
      <c r="A624" s="27"/>
      <c r="B624" s="124"/>
      <c r="C624" s="27"/>
      <c r="D624" s="27"/>
      <c r="E624" s="27"/>
      <c r="F624" s="27"/>
      <c r="G624" s="27"/>
      <c r="H624" s="27"/>
      <c r="I624" s="27"/>
      <c r="J624" s="27"/>
      <c r="K624" s="27"/>
      <c r="L624" s="27"/>
      <c r="M624" s="27"/>
      <c r="N624" s="27"/>
      <c r="O624" s="43"/>
      <c r="P624" s="27"/>
      <c r="Q624" s="27"/>
      <c r="R624" s="43"/>
      <c r="S624" s="27"/>
      <c r="T624" s="27"/>
      <c r="U624" s="27"/>
      <c r="V624" s="27"/>
      <c r="W624" s="27"/>
      <c r="X624" s="43"/>
      <c r="Y624" s="27"/>
      <c r="Z624" s="27"/>
      <c r="AA624" s="41"/>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row>
    <row r="625">
      <c r="A625" s="27"/>
      <c r="B625" s="124"/>
      <c r="C625" s="27"/>
      <c r="D625" s="27"/>
      <c r="E625" s="27"/>
      <c r="F625" s="27"/>
      <c r="G625" s="27"/>
      <c r="H625" s="27"/>
      <c r="I625" s="27"/>
      <c r="J625" s="27"/>
      <c r="K625" s="27"/>
      <c r="L625" s="27"/>
      <c r="M625" s="27"/>
      <c r="N625" s="27"/>
      <c r="O625" s="43"/>
      <c r="P625" s="27"/>
      <c r="Q625" s="27"/>
      <c r="R625" s="43"/>
      <c r="S625" s="27"/>
      <c r="T625" s="27"/>
      <c r="U625" s="27"/>
      <c r="V625" s="27"/>
      <c r="W625" s="27"/>
      <c r="X625" s="43"/>
      <c r="Y625" s="27"/>
      <c r="Z625" s="27"/>
      <c r="AA625" s="41"/>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row>
    <row r="626">
      <c r="A626" s="27"/>
      <c r="B626" s="124"/>
      <c r="C626" s="27"/>
      <c r="D626" s="27"/>
      <c r="E626" s="27"/>
      <c r="F626" s="27"/>
      <c r="G626" s="27"/>
      <c r="H626" s="27"/>
      <c r="I626" s="27"/>
      <c r="J626" s="27"/>
      <c r="K626" s="27"/>
      <c r="L626" s="27"/>
      <c r="M626" s="27"/>
      <c r="N626" s="27"/>
      <c r="O626" s="43"/>
      <c r="P626" s="27"/>
      <c r="Q626" s="27"/>
      <c r="R626" s="43"/>
      <c r="S626" s="27"/>
      <c r="T626" s="27"/>
      <c r="U626" s="27"/>
      <c r="V626" s="27"/>
      <c r="W626" s="27"/>
      <c r="X626" s="43"/>
      <c r="Y626" s="27"/>
      <c r="Z626" s="27"/>
      <c r="AA626" s="41"/>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row>
    <row r="627">
      <c r="A627" s="27"/>
      <c r="B627" s="124"/>
      <c r="C627" s="27"/>
      <c r="D627" s="27"/>
      <c r="E627" s="27"/>
      <c r="F627" s="27"/>
      <c r="G627" s="27"/>
      <c r="H627" s="27"/>
      <c r="I627" s="27"/>
      <c r="J627" s="27"/>
      <c r="K627" s="27"/>
      <c r="L627" s="27"/>
      <c r="M627" s="27"/>
      <c r="N627" s="27"/>
      <c r="O627" s="43"/>
      <c r="P627" s="27"/>
      <c r="Q627" s="27"/>
      <c r="R627" s="43"/>
      <c r="S627" s="27"/>
      <c r="T627" s="27"/>
      <c r="U627" s="27"/>
      <c r="V627" s="27"/>
      <c r="W627" s="27"/>
      <c r="X627" s="43"/>
      <c r="Y627" s="27"/>
      <c r="Z627" s="27"/>
      <c r="AA627" s="41"/>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row>
    <row r="628">
      <c r="A628" s="27"/>
      <c r="B628" s="124"/>
      <c r="C628" s="27"/>
      <c r="D628" s="27"/>
      <c r="E628" s="27"/>
      <c r="F628" s="27"/>
      <c r="G628" s="27"/>
      <c r="H628" s="27"/>
      <c r="I628" s="27"/>
      <c r="J628" s="27"/>
      <c r="K628" s="27"/>
      <c r="L628" s="27"/>
      <c r="M628" s="27"/>
      <c r="N628" s="27"/>
      <c r="O628" s="43"/>
      <c r="P628" s="27"/>
      <c r="Q628" s="27"/>
      <c r="R628" s="43"/>
      <c r="S628" s="27"/>
      <c r="T628" s="27"/>
      <c r="U628" s="27"/>
      <c r="V628" s="27"/>
      <c r="W628" s="27"/>
      <c r="X628" s="43"/>
      <c r="Y628" s="27"/>
      <c r="Z628" s="27"/>
      <c r="AA628" s="41"/>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row>
    <row r="629">
      <c r="A629" s="27"/>
      <c r="B629" s="124"/>
      <c r="C629" s="27"/>
      <c r="D629" s="27"/>
      <c r="E629" s="27"/>
      <c r="F629" s="27"/>
      <c r="G629" s="27"/>
      <c r="H629" s="27"/>
      <c r="I629" s="27"/>
      <c r="J629" s="27"/>
      <c r="K629" s="27"/>
      <c r="L629" s="27"/>
      <c r="M629" s="27"/>
      <c r="N629" s="27"/>
      <c r="O629" s="43"/>
      <c r="P629" s="27"/>
      <c r="Q629" s="27"/>
      <c r="R629" s="43"/>
      <c r="S629" s="27"/>
      <c r="T629" s="27"/>
      <c r="U629" s="27"/>
      <c r="V629" s="27"/>
      <c r="W629" s="27"/>
      <c r="X629" s="43"/>
      <c r="Y629" s="27"/>
      <c r="Z629" s="27"/>
      <c r="AA629" s="41"/>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row>
    <row r="630">
      <c r="A630" s="27"/>
      <c r="B630" s="124"/>
      <c r="C630" s="27"/>
      <c r="D630" s="27"/>
      <c r="E630" s="27"/>
      <c r="F630" s="27"/>
      <c r="G630" s="27"/>
      <c r="H630" s="27"/>
      <c r="I630" s="27"/>
      <c r="J630" s="27"/>
      <c r="K630" s="27"/>
      <c r="L630" s="27"/>
      <c r="M630" s="27"/>
      <c r="N630" s="27"/>
      <c r="O630" s="43"/>
      <c r="P630" s="27"/>
      <c r="Q630" s="27"/>
      <c r="R630" s="43"/>
      <c r="S630" s="27"/>
      <c r="T630" s="27"/>
      <c r="U630" s="27"/>
      <c r="V630" s="27"/>
      <c r="W630" s="27"/>
      <c r="X630" s="43"/>
      <c r="Y630" s="27"/>
      <c r="Z630" s="27"/>
      <c r="AA630" s="41"/>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row>
    <row r="631">
      <c r="A631" s="27"/>
      <c r="B631" s="124"/>
      <c r="C631" s="27"/>
      <c r="D631" s="27"/>
      <c r="E631" s="27"/>
      <c r="F631" s="27"/>
      <c r="G631" s="27"/>
      <c r="H631" s="27"/>
      <c r="I631" s="27"/>
      <c r="J631" s="27"/>
      <c r="K631" s="27"/>
      <c r="L631" s="27"/>
      <c r="M631" s="27"/>
      <c r="N631" s="27"/>
      <c r="O631" s="43"/>
      <c r="P631" s="27"/>
      <c r="Q631" s="27"/>
      <c r="R631" s="43"/>
      <c r="S631" s="27"/>
      <c r="T631" s="27"/>
      <c r="U631" s="27"/>
      <c r="V631" s="27"/>
      <c r="W631" s="27"/>
      <c r="X631" s="43"/>
      <c r="Y631" s="27"/>
      <c r="Z631" s="27"/>
      <c r="AA631" s="41"/>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row>
    <row r="632">
      <c r="A632" s="27"/>
      <c r="B632" s="124"/>
      <c r="C632" s="27"/>
      <c r="D632" s="27"/>
      <c r="E632" s="27"/>
      <c r="F632" s="27"/>
      <c r="G632" s="27"/>
      <c r="H632" s="27"/>
      <c r="I632" s="27"/>
      <c r="J632" s="27"/>
      <c r="K632" s="27"/>
      <c r="L632" s="27"/>
      <c r="M632" s="27"/>
      <c r="N632" s="27"/>
      <c r="O632" s="43"/>
      <c r="P632" s="27"/>
      <c r="Q632" s="27"/>
      <c r="R632" s="43"/>
      <c r="S632" s="27"/>
      <c r="T632" s="27"/>
      <c r="U632" s="27"/>
      <c r="V632" s="27"/>
      <c r="W632" s="27"/>
      <c r="X632" s="43"/>
      <c r="Y632" s="27"/>
      <c r="Z632" s="27"/>
      <c r="AA632" s="41"/>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row>
    <row r="633">
      <c r="A633" s="27"/>
      <c r="B633" s="124"/>
      <c r="C633" s="27"/>
      <c r="D633" s="27"/>
      <c r="E633" s="27"/>
      <c r="F633" s="27"/>
      <c r="G633" s="27"/>
      <c r="H633" s="27"/>
      <c r="I633" s="27"/>
      <c r="J633" s="27"/>
      <c r="K633" s="27"/>
      <c r="L633" s="27"/>
      <c r="M633" s="27"/>
      <c r="N633" s="27"/>
      <c r="O633" s="43"/>
      <c r="P633" s="27"/>
      <c r="Q633" s="27"/>
      <c r="R633" s="43"/>
      <c r="S633" s="27"/>
      <c r="T633" s="27"/>
      <c r="U633" s="27"/>
      <c r="V633" s="27"/>
      <c r="W633" s="27"/>
      <c r="X633" s="43"/>
      <c r="Y633" s="27"/>
      <c r="Z633" s="27"/>
      <c r="AA633" s="41"/>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row>
    <row r="634">
      <c r="A634" s="27"/>
      <c r="B634" s="124"/>
      <c r="C634" s="27"/>
      <c r="D634" s="27"/>
      <c r="E634" s="27"/>
      <c r="F634" s="27"/>
      <c r="G634" s="27"/>
      <c r="H634" s="27"/>
      <c r="I634" s="27"/>
      <c r="J634" s="27"/>
      <c r="K634" s="27"/>
      <c r="L634" s="27"/>
      <c r="M634" s="27"/>
      <c r="N634" s="27"/>
      <c r="O634" s="43"/>
      <c r="P634" s="27"/>
      <c r="Q634" s="27"/>
      <c r="R634" s="43"/>
      <c r="S634" s="27"/>
      <c r="T634" s="27"/>
      <c r="U634" s="27"/>
      <c r="V634" s="27"/>
      <c r="W634" s="27"/>
      <c r="X634" s="43"/>
      <c r="Y634" s="27"/>
      <c r="Z634" s="27"/>
      <c r="AA634" s="41"/>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row>
    <row r="635">
      <c r="A635" s="27"/>
      <c r="B635" s="124"/>
      <c r="C635" s="27"/>
      <c r="D635" s="27"/>
      <c r="E635" s="27"/>
      <c r="F635" s="27"/>
      <c r="G635" s="27"/>
      <c r="H635" s="27"/>
      <c r="I635" s="27"/>
      <c r="J635" s="27"/>
      <c r="K635" s="27"/>
      <c r="L635" s="27"/>
      <c r="M635" s="27"/>
      <c r="N635" s="27"/>
      <c r="O635" s="43"/>
      <c r="P635" s="27"/>
      <c r="Q635" s="27"/>
      <c r="R635" s="43"/>
      <c r="S635" s="27"/>
      <c r="T635" s="27"/>
      <c r="U635" s="27"/>
      <c r="V635" s="27"/>
      <c r="W635" s="27"/>
      <c r="X635" s="43"/>
      <c r="Y635" s="27"/>
      <c r="Z635" s="27"/>
      <c r="AA635" s="41"/>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row>
    <row r="636">
      <c r="A636" s="27"/>
      <c r="B636" s="124"/>
      <c r="C636" s="27"/>
      <c r="D636" s="27"/>
      <c r="E636" s="27"/>
      <c r="F636" s="27"/>
      <c r="G636" s="27"/>
      <c r="H636" s="27"/>
      <c r="I636" s="27"/>
      <c r="J636" s="27"/>
      <c r="K636" s="27"/>
      <c r="L636" s="27"/>
      <c r="M636" s="27"/>
      <c r="N636" s="27"/>
      <c r="O636" s="43"/>
      <c r="P636" s="27"/>
      <c r="Q636" s="27"/>
      <c r="R636" s="43"/>
      <c r="S636" s="27"/>
      <c r="T636" s="27"/>
      <c r="U636" s="27"/>
      <c r="V636" s="27"/>
      <c r="W636" s="27"/>
      <c r="X636" s="43"/>
      <c r="Y636" s="27"/>
      <c r="Z636" s="27"/>
      <c r="AA636" s="41"/>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row>
    <row r="637">
      <c r="A637" s="27"/>
      <c r="B637" s="124"/>
      <c r="C637" s="27"/>
      <c r="D637" s="27"/>
      <c r="E637" s="27"/>
      <c r="F637" s="27"/>
      <c r="G637" s="27"/>
      <c r="H637" s="27"/>
      <c r="I637" s="27"/>
      <c r="J637" s="27"/>
      <c r="K637" s="27"/>
      <c r="L637" s="27"/>
      <c r="M637" s="27"/>
      <c r="N637" s="27"/>
      <c r="O637" s="43"/>
      <c r="P637" s="27"/>
      <c r="Q637" s="27"/>
      <c r="R637" s="43"/>
      <c r="S637" s="27"/>
      <c r="T637" s="27"/>
      <c r="U637" s="27"/>
      <c r="V637" s="27"/>
      <c r="W637" s="27"/>
      <c r="X637" s="43"/>
      <c r="Y637" s="27"/>
      <c r="Z637" s="27"/>
      <c r="AA637" s="41"/>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row>
    <row r="638">
      <c r="A638" s="27"/>
      <c r="B638" s="124"/>
      <c r="C638" s="27"/>
      <c r="D638" s="27"/>
      <c r="E638" s="27"/>
      <c r="F638" s="27"/>
      <c r="G638" s="27"/>
      <c r="H638" s="27"/>
      <c r="I638" s="27"/>
      <c r="J638" s="27"/>
      <c r="K638" s="27"/>
      <c r="L638" s="27"/>
      <c r="M638" s="27"/>
      <c r="N638" s="27"/>
      <c r="O638" s="43"/>
      <c r="P638" s="27"/>
      <c r="Q638" s="27"/>
      <c r="R638" s="43"/>
      <c r="S638" s="27"/>
      <c r="T638" s="27"/>
      <c r="U638" s="27"/>
      <c r="V638" s="27"/>
      <c r="W638" s="27"/>
      <c r="X638" s="43"/>
      <c r="Y638" s="27"/>
      <c r="Z638" s="27"/>
      <c r="AA638" s="41"/>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row>
    <row r="639">
      <c r="A639" s="27"/>
      <c r="B639" s="124"/>
      <c r="C639" s="27"/>
      <c r="D639" s="27"/>
      <c r="E639" s="27"/>
      <c r="F639" s="27"/>
      <c r="G639" s="27"/>
      <c r="H639" s="27"/>
      <c r="I639" s="27"/>
      <c r="J639" s="27"/>
      <c r="K639" s="27"/>
      <c r="L639" s="27"/>
      <c r="M639" s="27"/>
      <c r="N639" s="27"/>
      <c r="O639" s="43"/>
      <c r="P639" s="27"/>
      <c r="Q639" s="27"/>
      <c r="R639" s="43"/>
      <c r="S639" s="27"/>
      <c r="T639" s="27"/>
      <c r="U639" s="27"/>
      <c r="V639" s="27"/>
      <c r="W639" s="27"/>
      <c r="X639" s="43"/>
      <c r="Y639" s="27"/>
      <c r="Z639" s="27"/>
      <c r="AA639" s="41"/>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row>
    <row r="640">
      <c r="A640" s="27"/>
      <c r="B640" s="124"/>
      <c r="C640" s="27"/>
      <c r="D640" s="27"/>
      <c r="E640" s="27"/>
      <c r="F640" s="27"/>
      <c r="G640" s="27"/>
      <c r="H640" s="27"/>
      <c r="I640" s="27"/>
      <c r="J640" s="27"/>
      <c r="K640" s="27"/>
      <c r="L640" s="27"/>
      <c r="M640" s="27"/>
      <c r="N640" s="27"/>
      <c r="O640" s="43"/>
      <c r="P640" s="27"/>
      <c r="Q640" s="27"/>
      <c r="R640" s="43"/>
      <c r="S640" s="27"/>
      <c r="T640" s="27"/>
      <c r="U640" s="27"/>
      <c r="V640" s="27"/>
      <c r="W640" s="27"/>
      <c r="X640" s="43"/>
      <c r="Y640" s="27"/>
      <c r="Z640" s="27"/>
      <c r="AA640" s="41"/>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row>
    <row r="641">
      <c r="A641" s="27"/>
      <c r="B641" s="124"/>
      <c r="C641" s="27"/>
      <c r="D641" s="27"/>
      <c r="E641" s="27"/>
      <c r="F641" s="27"/>
      <c r="G641" s="27"/>
      <c r="H641" s="27"/>
      <c r="I641" s="27"/>
      <c r="J641" s="27"/>
      <c r="K641" s="27"/>
      <c r="L641" s="27"/>
      <c r="M641" s="27"/>
      <c r="N641" s="27"/>
      <c r="O641" s="43"/>
      <c r="P641" s="27"/>
      <c r="Q641" s="27"/>
      <c r="R641" s="43"/>
      <c r="S641" s="27"/>
      <c r="T641" s="27"/>
      <c r="U641" s="27"/>
      <c r="V641" s="27"/>
      <c r="W641" s="27"/>
      <c r="X641" s="43"/>
      <c r="Y641" s="27"/>
      <c r="Z641" s="27"/>
      <c r="AA641" s="41"/>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row>
    <row r="642">
      <c r="A642" s="27"/>
      <c r="B642" s="124"/>
      <c r="C642" s="27"/>
      <c r="D642" s="27"/>
      <c r="E642" s="27"/>
      <c r="F642" s="27"/>
      <c r="G642" s="27"/>
      <c r="H642" s="27"/>
      <c r="I642" s="27"/>
      <c r="J642" s="27"/>
      <c r="K642" s="27"/>
      <c r="L642" s="27"/>
      <c r="M642" s="27"/>
      <c r="N642" s="27"/>
      <c r="O642" s="43"/>
      <c r="P642" s="27"/>
      <c r="Q642" s="27"/>
      <c r="R642" s="43"/>
      <c r="S642" s="27"/>
      <c r="T642" s="27"/>
      <c r="U642" s="27"/>
      <c r="V642" s="27"/>
      <c r="W642" s="27"/>
      <c r="X642" s="43"/>
      <c r="Y642" s="27"/>
      <c r="Z642" s="27"/>
      <c r="AA642" s="41"/>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row>
    <row r="643">
      <c r="A643" s="27"/>
      <c r="B643" s="124"/>
      <c r="C643" s="27"/>
      <c r="D643" s="27"/>
      <c r="E643" s="27"/>
      <c r="F643" s="27"/>
      <c r="G643" s="27"/>
      <c r="H643" s="27"/>
      <c r="I643" s="27"/>
      <c r="J643" s="27"/>
      <c r="K643" s="27"/>
      <c r="L643" s="27"/>
      <c r="M643" s="27"/>
      <c r="N643" s="27"/>
      <c r="O643" s="43"/>
      <c r="P643" s="27"/>
      <c r="Q643" s="27"/>
      <c r="R643" s="43"/>
      <c r="S643" s="27"/>
      <c r="T643" s="27"/>
      <c r="U643" s="27"/>
      <c r="V643" s="27"/>
      <c r="W643" s="27"/>
      <c r="X643" s="43"/>
      <c r="Y643" s="27"/>
      <c r="Z643" s="27"/>
      <c r="AA643" s="41"/>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row>
    <row r="644">
      <c r="A644" s="27"/>
      <c r="B644" s="124"/>
      <c r="C644" s="27"/>
      <c r="D644" s="27"/>
      <c r="E644" s="27"/>
      <c r="F644" s="27"/>
      <c r="G644" s="27"/>
      <c r="H644" s="27"/>
      <c r="I644" s="27"/>
      <c r="J644" s="27"/>
      <c r="K644" s="27"/>
      <c r="L644" s="27"/>
      <c r="M644" s="27"/>
      <c r="N644" s="27"/>
      <c r="O644" s="43"/>
      <c r="P644" s="27"/>
      <c r="Q644" s="27"/>
      <c r="R644" s="43"/>
      <c r="S644" s="27"/>
      <c r="T644" s="27"/>
      <c r="U644" s="27"/>
      <c r="V644" s="27"/>
      <c r="W644" s="27"/>
      <c r="X644" s="43"/>
      <c r="Y644" s="27"/>
      <c r="Z644" s="27"/>
      <c r="AA644" s="41"/>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row>
    <row r="645">
      <c r="A645" s="27"/>
      <c r="B645" s="124"/>
      <c r="C645" s="27"/>
      <c r="D645" s="27"/>
      <c r="E645" s="27"/>
      <c r="F645" s="27"/>
      <c r="G645" s="27"/>
      <c r="H645" s="27"/>
      <c r="I645" s="27"/>
      <c r="J645" s="27"/>
      <c r="K645" s="27"/>
      <c r="L645" s="27"/>
      <c r="M645" s="27"/>
      <c r="N645" s="27"/>
      <c r="O645" s="43"/>
      <c r="P645" s="27"/>
      <c r="Q645" s="27"/>
      <c r="R645" s="43"/>
      <c r="S645" s="27"/>
      <c r="T645" s="27"/>
      <c r="U645" s="27"/>
      <c r="V645" s="27"/>
      <c r="W645" s="27"/>
      <c r="X645" s="43"/>
      <c r="Y645" s="27"/>
      <c r="Z645" s="27"/>
      <c r="AA645" s="41"/>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row>
    <row r="646">
      <c r="A646" s="27"/>
      <c r="B646" s="124"/>
      <c r="C646" s="27"/>
      <c r="D646" s="27"/>
      <c r="E646" s="27"/>
      <c r="F646" s="27"/>
      <c r="G646" s="27"/>
      <c r="H646" s="27"/>
      <c r="I646" s="27"/>
      <c r="J646" s="27"/>
      <c r="K646" s="27"/>
      <c r="L646" s="27"/>
      <c r="M646" s="27"/>
      <c r="N646" s="27"/>
      <c r="O646" s="43"/>
      <c r="P646" s="27"/>
      <c r="Q646" s="27"/>
      <c r="R646" s="43"/>
      <c r="S646" s="27"/>
      <c r="T646" s="27"/>
      <c r="U646" s="27"/>
      <c r="V646" s="27"/>
      <c r="W646" s="27"/>
      <c r="X646" s="43"/>
      <c r="Y646" s="27"/>
      <c r="Z646" s="27"/>
      <c r="AA646" s="41"/>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row>
    <row r="647">
      <c r="A647" s="27"/>
      <c r="B647" s="124"/>
      <c r="C647" s="27"/>
      <c r="D647" s="27"/>
      <c r="E647" s="27"/>
      <c r="F647" s="27"/>
      <c r="G647" s="27"/>
      <c r="H647" s="27"/>
      <c r="I647" s="27"/>
      <c r="J647" s="27"/>
      <c r="K647" s="27"/>
      <c r="L647" s="27"/>
      <c r="M647" s="27"/>
      <c r="N647" s="27"/>
      <c r="O647" s="43"/>
      <c r="P647" s="27"/>
      <c r="Q647" s="27"/>
      <c r="R647" s="43"/>
      <c r="S647" s="27"/>
      <c r="T647" s="27"/>
      <c r="U647" s="27"/>
      <c r="V647" s="27"/>
      <c r="W647" s="27"/>
      <c r="X647" s="43"/>
      <c r="Y647" s="27"/>
      <c r="Z647" s="27"/>
      <c r="AA647" s="41"/>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row>
    <row r="648">
      <c r="A648" s="27"/>
      <c r="B648" s="124"/>
      <c r="C648" s="27"/>
      <c r="D648" s="27"/>
      <c r="E648" s="27"/>
      <c r="F648" s="27"/>
      <c r="G648" s="27"/>
      <c r="H648" s="27"/>
      <c r="I648" s="27"/>
      <c r="J648" s="27"/>
      <c r="K648" s="27"/>
      <c r="L648" s="27"/>
      <c r="M648" s="27"/>
      <c r="N648" s="27"/>
      <c r="O648" s="43"/>
      <c r="P648" s="27"/>
      <c r="Q648" s="27"/>
      <c r="R648" s="43"/>
      <c r="S648" s="27"/>
      <c r="T648" s="27"/>
      <c r="U648" s="27"/>
      <c r="V648" s="27"/>
      <c r="W648" s="27"/>
      <c r="X648" s="43"/>
      <c r="Y648" s="27"/>
      <c r="Z648" s="27"/>
      <c r="AA648" s="41"/>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row>
    <row r="649">
      <c r="A649" s="27"/>
      <c r="B649" s="124"/>
      <c r="C649" s="27"/>
      <c r="D649" s="27"/>
      <c r="E649" s="27"/>
      <c r="F649" s="27"/>
      <c r="G649" s="27"/>
      <c r="H649" s="27"/>
      <c r="I649" s="27"/>
      <c r="J649" s="27"/>
      <c r="K649" s="27"/>
      <c r="L649" s="27"/>
      <c r="M649" s="27"/>
      <c r="N649" s="27"/>
      <c r="O649" s="43"/>
      <c r="P649" s="27"/>
      <c r="Q649" s="27"/>
      <c r="R649" s="43"/>
      <c r="S649" s="27"/>
      <c r="T649" s="27"/>
      <c r="U649" s="27"/>
      <c r="V649" s="27"/>
      <c r="W649" s="27"/>
      <c r="X649" s="43"/>
      <c r="Y649" s="27"/>
      <c r="Z649" s="27"/>
      <c r="AA649" s="41"/>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row>
    <row r="650">
      <c r="A650" s="27"/>
      <c r="B650" s="124"/>
      <c r="C650" s="27"/>
      <c r="D650" s="27"/>
      <c r="E650" s="27"/>
      <c r="F650" s="27"/>
      <c r="G650" s="27"/>
      <c r="H650" s="27"/>
      <c r="I650" s="27"/>
      <c r="J650" s="27"/>
      <c r="K650" s="27"/>
      <c r="L650" s="27"/>
      <c r="M650" s="27"/>
      <c r="N650" s="27"/>
      <c r="O650" s="43"/>
      <c r="P650" s="27"/>
      <c r="Q650" s="27"/>
      <c r="R650" s="43"/>
      <c r="S650" s="27"/>
      <c r="T650" s="27"/>
      <c r="U650" s="27"/>
      <c r="V650" s="27"/>
      <c r="W650" s="27"/>
      <c r="X650" s="43"/>
      <c r="Y650" s="27"/>
      <c r="Z650" s="27"/>
      <c r="AA650" s="41"/>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row>
    <row r="651">
      <c r="A651" s="27"/>
      <c r="B651" s="124"/>
      <c r="C651" s="27"/>
      <c r="D651" s="27"/>
      <c r="E651" s="27"/>
      <c r="F651" s="27"/>
      <c r="G651" s="27"/>
      <c r="H651" s="27"/>
      <c r="I651" s="27"/>
      <c r="J651" s="27"/>
      <c r="K651" s="27"/>
      <c r="L651" s="27"/>
      <c r="M651" s="27"/>
      <c r="N651" s="27"/>
      <c r="O651" s="43"/>
      <c r="P651" s="27"/>
      <c r="Q651" s="27"/>
      <c r="R651" s="43"/>
      <c r="S651" s="27"/>
      <c r="T651" s="27"/>
      <c r="U651" s="27"/>
      <c r="V651" s="27"/>
      <c r="W651" s="27"/>
      <c r="X651" s="43"/>
      <c r="Y651" s="27"/>
      <c r="Z651" s="27"/>
      <c r="AA651" s="41"/>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row>
    <row r="652">
      <c r="A652" s="27"/>
      <c r="B652" s="124"/>
      <c r="C652" s="27"/>
      <c r="D652" s="27"/>
      <c r="E652" s="27"/>
      <c r="F652" s="27"/>
      <c r="G652" s="27"/>
      <c r="H652" s="27"/>
      <c r="I652" s="27"/>
      <c r="J652" s="27"/>
      <c r="K652" s="27"/>
      <c r="L652" s="27"/>
      <c r="M652" s="27"/>
      <c r="N652" s="27"/>
      <c r="O652" s="43"/>
      <c r="P652" s="27"/>
      <c r="Q652" s="27"/>
      <c r="R652" s="43"/>
      <c r="S652" s="27"/>
      <c r="T652" s="27"/>
      <c r="U652" s="27"/>
      <c r="V652" s="27"/>
      <c r="W652" s="27"/>
      <c r="X652" s="43"/>
      <c r="Y652" s="27"/>
      <c r="Z652" s="27"/>
      <c r="AA652" s="41"/>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row>
    <row r="653">
      <c r="A653" s="27"/>
      <c r="B653" s="124"/>
      <c r="C653" s="27"/>
      <c r="D653" s="27"/>
      <c r="E653" s="27"/>
      <c r="F653" s="27"/>
      <c r="G653" s="27"/>
      <c r="H653" s="27"/>
      <c r="I653" s="27"/>
      <c r="J653" s="27"/>
      <c r="K653" s="27"/>
      <c r="L653" s="27"/>
      <c r="M653" s="27"/>
      <c r="N653" s="27"/>
      <c r="O653" s="43"/>
      <c r="P653" s="27"/>
      <c r="Q653" s="27"/>
      <c r="R653" s="43"/>
      <c r="S653" s="27"/>
      <c r="T653" s="27"/>
      <c r="U653" s="27"/>
      <c r="V653" s="27"/>
      <c r="W653" s="27"/>
      <c r="X653" s="43"/>
      <c r="Y653" s="27"/>
      <c r="Z653" s="27"/>
      <c r="AA653" s="41"/>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row>
    <row r="654">
      <c r="A654" s="27"/>
      <c r="B654" s="124"/>
      <c r="C654" s="27"/>
      <c r="D654" s="27"/>
      <c r="E654" s="27"/>
      <c r="F654" s="27"/>
      <c r="G654" s="27"/>
      <c r="H654" s="27"/>
      <c r="I654" s="27"/>
      <c r="J654" s="27"/>
      <c r="K654" s="27"/>
      <c r="L654" s="27"/>
      <c r="M654" s="27"/>
      <c r="N654" s="27"/>
      <c r="O654" s="43"/>
      <c r="P654" s="27"/>
      <c r="Q654" s="27"/>
      <c r="R654" s="43"/>
      <c r="S654" s="27"/>
      <c r="T654" s="27"/>
      <c r="U654" s="27"/>
      <c r="V654" s="27"/>
      <c r="W654" s="27"/>
      <c r="X654" s="43"/>
      <c r="Y654" s="27"/>
      <c r="Z654" s="27"/>
      <c r="AA654" s="41"/>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row>
    <row r="655">
      <c r="A655" s="27"/>
      <c r="B655" s="124"/>
      <c r="C655" s="27"/>
      <c r="D655" s="27"/>
      <c r="E655" s="27"/>
      <c r="F655" s="27"/>
      <c r="G655" s="27"/>
      <c r="H655" s="27"/>
      <c r="I655" s="27"/>
      <c r="J655" s="27"/>
      <c r="K655" s="27"/>
      <c r="L655" s="27"/>
      <c r="M655" s="27"/>
      <c r="N655" s="27"/>
      <c r="O655" s="43"/>
      <c r="P655" s="27"/>
      <c r="Q655" s="27"/>
      <c r="R655" s="43"/>
      <c r="S655" s="27"/>
      <c r="T655" s="27"/>
      <c r="U655" s="27"/>
      <c r="V655" s="27"/>
      <c r="W655" s="27"/>
      <c r="X655" s="43"/>
      <c r="Y655" s="27"/>
      <c r="Z655" s="27"/>
      <c r="AA655" s="41"/>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row>
    <row r="656">
      <c r="A656" s="27"/>
      <c r="B656" s="124"/>
      <c r="C656" s="27"/>
      <c r="D656" s="27"/>
      <c r="E656" s="27"/>
      <c r="F656" s="27"/>
      <c r="G656" s="27"/>
      <c r="H656" s="27"/>
      <c r="I656" s="27"/>
      <c r="J656" s="27"/>
      <c r="K656" s="27"/>
      <c r="L656" s="27"/>
      <c r="M656" s="27"/>
      <c r="N656" s="27"/>
      <c r="O656" s="43"/>
      <c r="P656" s="27"/>
      <c r="Q656" s="27"/>
      <c r="R656" s="43"/>
      <c r="S656" s="27"/>
      <c r="T656" s="27"/>
      <c r="U656" s="27"/>
      <c r="V656" s="27"/>
      <c r="W656" s="27"/>
      <c r="X656" s="43"/>
      <c r="Y656" s="27"/>
      <c r="Z656" s="27"/>
      <c r="AA656" s="41"/>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row>
    <row r="657">
      <c r="A657" s="27"/>
      <c r="B657" s="124"/>
      <c r="C657" s="27"/>
      <c r="D657" s="27"/>
      <c r="E657" s="27"/>
      <c r="F657" s="27"/>
      <c r="G657" s="27"/>
      <c r="H657" s="27"/>
      <c r="I657" s="27"/>
      <c r="J657" s="27"/>
      <c r="K657" s="27"/>
      <c r="L657" s="27"/>
      <c r="M657" s="27"/>
      <c r="N657" s="27"/>
      <c r="O657" s="43"/>
      <c r="P657" s="27"/>
      <c r="Q657" s="27"/>
      <c r="R657" s="43"/>
      <c r="S657" s="27"/>
      <c r="T657" s="27"/>
      <c r="U657" s="27"/>
      <c r="V657" s="27"/>
      <c r="W657" s="27"/>
      <c r="X657" s="43"/>
      <c r="Y657" s="27"/>
      <c r="Z657" s="27"/>
      <c r="AA657" s="41"/>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row>
    <row r="658">
      <c r="A658" s="27"/>
      <c r="B658" s="124"/>
      <c r="C658" s="27"/>
      <c r="D658" s="27"/>
      <c r="E658" s="27"/>
      <c r="F658" s="27"/>
      <c r="G658" s="27"/>
      <c r="H658" s="27"/>
      <c r="I658" s="27"/>
      <c r="J658" s="27"/>
      <c r="K658" s="27"/>
      <c r="L658" s="27"/>
      <c r="M658" s="27"/>
      <c r="N658" s="27"/>
      <c r="O658" s="43"/>
      <c r="P658" s="27"/>
      <c r="Q658" s="27"/>
      <c r="R658" s="43"/>
      <c r="S658" s="27"/>
      <c r="T658" s="27"/>
      <c r="U658" s="27"/>
      <c r="V658" s="27"/>
      <c r="W658" s="27"/>
      <c r="X658" s="43"/>
      <c r="Y658" s="27"/>
      <c r="Z658" s="27"/>
      <c r="AA658" s="41"/>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row>
    <row r="659">
      <c r="A659" s="27"/>
      <c r="B659" s="124"/>
      <c r="C659" s="27"/>
      <c r="D659" s="27"/>
      <c r="E659" s="27"/>
      <c r="F659" s="27"/>
      <c r="G659" s="27"/>
      <c r="H659" s="27"/>
      <c r="I659" s="27"/>
      <c r="J659" s="27"/>
      <c r="K659" s="27"/>
      <c r="L659" s="27"/>
      <c r="M659" s="27"/>
      <c r="N659" s="27"/>
      <c r="O659" s="43"/>
      <c r="P659" s="27"/>
      <c r="Q659" s="27"/>
      <c r="R659" s="43"/>
      <c r="S659" s="27"/>
      <c r="T659" s="27"/>
      <c r="U659" s="27"/>
      <c r="V659" s="27"/>
      <c r="W659" s="27"/>
      <c r="X659" s="43"/>
      <c r="Y659" s="27"/>
      <c r="Z659" s="27"/>
      <c r="AA659" s="41"/>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row>
    <row r="660">
      <c r="A660" s="27"/>
      <c r="B660" s="124"/>
      <c r="C660" s="27"/>
      <c r="D660" s="27"/>
      <c r="E660" s="27"/>
      <c r="F660" s="27"/>
      <c r="G660" s="27"/>
      <c r="H660" s="27"/>
      <c r="I660" s="27"/>
      <c r="J660" s="27"/>
      <c r="K660" s="27"/>
      <c r="L660" s="27"/>
      <c r="M660" s="27"/>
      <c r="N660" s="27"/>
      <c r="O660" s="43"/>
      <c r="P660" s="27"/>
      <c r="Q660" s="27"/>
      <c r="R660" s="43"/>
      <c r="S660" s="27"/>
      <c r="T660" s="27"/>
      <c r="U660" s="27"/>
      <c r="V660" s="27"/>
      <c r="W660" s="27"/>
      <c r="X660" s="43"/>
      <c r="Y660" s="27"/>
      <c r="Z660" s="27"/>
      <c r="AA660" s="41"/>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row>
    <row r="661">
      <c r="A661" s="27"/>
      <c r="B661" s="124"/>
      <c r="C661" s="27"/>
      <c r="D661" s="27"/>
      <c r="E661" s="27"/>
      <c r="F661" s="27"/>
      <c r="G661" s="27"/>
      <c r="H661" s="27"/>
      <c r="I661" s="27"/>
      <c r="J661" s="27"/>
      <c r="K661" s="27"/>
      <c r="L661" s="27"/>
      <c r="M661" s="27"/>
      <c r="N661" s="27"/>
      <c r="O661" s="43"/>
      <c r="P661" s="27"/>
      <c r="Q661" s="27"/>
      <c r="R661" s="43"/>
      <c r="S661" s="27"/>
      <c r="T661" s="27"/>
      <c r="U661" s="27"/>
      <c r="V661" s="27"/>
      <c r="W661" s="27"/>
      <c r="X661" s="43"/>
      <c r="Y661" s="27"/>
      <c r="Z661" s="27"/>
      <c r="AA661" s="41"/>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row>
    <row r="662">
      <c r="A662" s="27"/>
      <c r="B662" s="124"/>
      <c r="C662" s="27"/>
      <c r="D662" s="27"/>
      <c r="E662" s="27"/>
      <c r="F662" s="27"/>
      <c r="G662" s="27"/>
      <c r="H662" s="27"/>
      <c r="I662" s="27"/>
      <c r="J662" s="27"/>
      <c r="K662" s="27"/>
      <c r="L662" s="27"/>
      <c r="M662" s="27"/>
      <c r="N662" s="27"/>
      <c r="O662" s="43"/>
      <c r="P662" s="27"/>
      <c r="Q662" s="27"/>
      <c r="R662" s="43"/>
      <c r="S662" s="27"/>
      <c r="T662" s="27"/>
      <c r="U662" s="27"/>
      <c r="V662" s="27"/>
      <c r="W662" s="27"/>
      <c r="X662" s="43"/>
      <c r="Y662" s="27"/>
      <c r="Z662" s="27"/>
      <c r="AA662" s="41"/>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row>
    <row r="663">
      <c r="A663" s="27"/>
      <c r="B663" s="124"/>
      <c r="C663" s="27"/>
      <c r="D663" s="27"/>
      <c r="E663" s="27"/>
      <c r="F663" s="27"/>
      <c r="G663" s="27"/>
      <c r="H663" s="27"/>
      <c r="I663" s="27"/>
      <c r="J663" s="27"/>
      <c r="K663" s="27"/>
      <c r="L663" s="27"/>
      <c r="M663" s="27"/>
      <c r="N663" s="27"/>
      <c r="O663" s="43"/>
      <c r="P663" s="27"/>
      <c r="Q663" s="27"/>
      <c r="R663" s="43"/>
      <c r="S663" s="27"/>
      <c r="T663" s="27"/>
      <c r="U663" s="27"/>
      <c r="V663" s="27"/>
      <c r="W663" s="27"/>
      <c r="X663" s="43"/>
      <c r="Y663" s="27"/>
      <c r="Z663" s="27"/>
      <c r="AA663" s="41"/>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row>
    <row r="664">
      <c r="A664" s="27"/>
      <c r="B664" s="124"/>
      <c r="C664" s="27"/>
      <c r="D664" s="27"/>
      <c r="E664" s="27"/>
      <c r="F664" s="27"/>
      <c r="G664" s="27"/>
      <c r="H664" s="27"/>
      <c r="I664" s="27"/>
      <c r="J664" s="27"/>
      <c r="K664" s="27"/>
      <c r="L664" s="27"/>
      <c r="M664" s="27"/>
      <c r="N664" s="27"/>
      <c r="O664" s="43"/>
      <c r="P664" s="27"/>
      <c r="Q664" s="27"/>
      <c r="R664" s="43"/>
      <c r="S664" s="27"/>
      <c r="T664" s="27"/>
      <c r="U664" s="27"/>
      <c r="V664" s="27"/>
      <c r="W664" s="27"/>
      <c r="X664" s="43"/>
      <c r="Y664" s="27"/>
      <c r="Z664" s="27"/>
      <c r="AA664" s="41"/>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row>
    <row r="665">
      <c r="A665" s="27"/>
      <c r="B665" s="124"/>
      <c r="C665" s="27"/>
      <c r="D665" s="27"/>
      <c r="E665" s="27"/>
      <c r="F665" s="27"/>
      <c r="G665" s="27"/>
      <c r="H665" s="27"/>
      <c r="I665" s="27"/>
      <c r="J665" s="27"/>
      <c r="K665" s="27"/>
      <c r="L665" s="27"/>
      <c r="M665" s="27"/>
      <c r="N665" s="27"/>
      <c r="O665" s="43"/>
      <c r="P665" s="27"/>
      <c r="Q665" s="27"/>
      <c r="R665" s="43"/>
      <c r="S665" s="27"/>
      <c r="T665" s="27"/>
      <c r="U665" s="27"/>
      <c r="V665" s="27"/>
      <c r="W665" s="27"/>
      <c r="X665" s="43"/>
      <c r="Y665" s="27"/>
      <c r="Z665" s="27"/>
      <c r="AA665" s="41"/>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row>
    <row r="666">
      <c r="A666" s="27"/>
      <c r="B666" s="124"/>
      <c r="C666" s="27"/>
      <c r="D666" s="27"/>
      <c r="E666" s="27"/>
      <c r="F666" s="27"/>
      <c r="G666" s="27"/>
      <c r="H666" s="27"/>
      <c r="I666" s="27"/>
      <c r="J666" s="27"/>
      <c r="K666" s="27"/>
      <c r="L666" s="27"/>
      <c r="M666" s="27"/>
      <c r="N666" s="27"/>
      <c r="O666" s="43"/>
      <c r="P666" s="27"/>
      <c r="Q666" s="27"/>
      <c r="R666" s="43"/>
      <c r="S666" s="27"/>
      <c r="T666" s="27"/>
      <c r="U666" s="27"/>
      <c r="V666" s="27"/>
      <c r="W666" s="27"/>
      <c r="X666" s="43"/>
      <c r="Y666" s="27"/>
      <c r="Z666" s="27"/>
      <c r="AA666" s="41"/>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row>
    <row r="667">
      <c r="A667" s="27"/>
      <c r="B667" s="124"/>
      <c r="C667" s="27"/>
      <c r="D667" s="27"/>
      <c r="E667" s="27"/>
      <c r="F667" s="27"/>
      <c r="G667" s="27"/>
      <c r="H667" s="27"/>
      <c r="I667" s="27"/>
      <c r="J667" s="27"/>
      <c r="K667" s="27"/>
      <c r="L667" s="27"/>
      <c r="M667" s="27"/>
      <c r="N667" s="27"/>
      <c r="O667" s="43"/>
      <c r="P667" s="27"/>
      <c r="Q667" s="27"/>
      <c r="R667" s="43"/>
      <c r="S667" s="27"/>
      <c r="T667" s="27"/>
      <c r="U667" s="27"/>
      <c r="V667" s="27"/>
      <c r="W667" s="27"/>
      <c r="X667" s="43"/>
      <c r="Y667" s="27"/>
      <c r="Z667" s="27"/>
      <c r="AA667" s="41"/>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row>
    <row r="668">
      <c r="A668" s="27"/>
      <c r="B668" s="124"/>
      <c r="C668" s="27"/>
      <c r="D668" s="27"/>
      <c r="E668" s="27"/>
      <c r="F668" s="27"/>
      <c r="G668" s="27"/>
      <c r="H668" s="27"/>
      <c r="I668" s="27"/>
      <c r="J668" s="27"/>
      <c r="K668" s="27"/>
      <c r="L668" s="27"/>
      <c r="M668" s="27"/>
      <c r="N668" s="27"/>
      <c r="O668" s="43"/>
      <c r="P668" s="27"/>
      <c r="Q668" s="27"/>
      <c r="R668" s="43"/>
      <c r="S668" s="27"/>
      <c r="T668" s="27"/>
      <c r="U668" s="27"/>
      <c r="V668" s="27"/>
      <c r="W668" s="27"/>
      <c r="X668" s="43"/>
      <c r="Y668" s="27"/>
      <c r="Z668" s="27"/>
      <c r="AA668" s="41"/>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row>
    <row r="669">
      <c r="A669" s="27"/>
      <c r="B669" s="124"/>
      <c r="C669" s="27"/>
      <c r="D669" s="27"/>
      <c r="E669" s="27"/>
      <c r="F669" s="27"/>
      <c r="G669" s="27"/>
      <c r="H669" s="27"/>
      <c r="I669" s="27"/>
      <c r="J669" s="27"/>
      <c r="K669" s="27"/>
      <c r="L669" s="27"/>
      <c r="M669" s="27"/>
      <c r="N669" s="27"/>
      <c r="O669" s="43"/>
      <c r="P669" s="27"/>
      <c r="Q669" s="27"/>
      <c r="R669" s="43"/>
      <c r="S669" s="27"/>
      <c r="T669" s="27"/>
      <c r="U669" s="27"/>
      <c r="V669" s="27"/>
      <c r="W669" s="27"/>
      <c r="X669" s="43"/>
      <c r="Y669" s="27"/>
      <c r="Z669" s="27"/>
      <c r="AA669" s="41"/>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row>
    <row r="670">
      <c r="A670" s="27"/>
      <c r="B670" s="124"/>
      <c r="C670" s="27"/>
      <c r="D670" s="27"/>
      <c r="E670" s="27"/>
      <c r="F670" s="27"/>
      <c r="G670" s="27"/>
      <c r="H670" s="27"/>
      <c r="I670" s="27"/>
      <c r="J670" s="27"/>
      <c r="K670" s="27"/>
      <c r="L670" s="27"/>
      <c r="M670" s="27"/>
      <c r="N670" s="27"/>
      <c r="O670" s="43"/>
      <c r="P670" s="27"/>
      <c r="Q670" s="27"/>
      <c r="R670" s="43"/>
      <c r="S670" s="27"/>
      <c r="T670" s="27"/>
      <c r="U670" s="27"/>
      <c r="V670" s="27"/>
      <c r="W670" s="27"/>
      <c r="X670" s="43"/>
      <c r="Y670" s="27"/>
      <c r="Z670" s="27"/>
      <c r="AA670" s="41"/>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row>
    <row r="671">
      <c r="A671" s="27"/>
      <c r="B671" s="124"/>
      <c r="C671" s="27"/>
      <c r="D671" s="27"/>
      <c r="E671" s="27"/>
      <c r="F671" s="27"/>
      <c r="G671" s="27"/>
      <c r="H671" s="27"/>
      <c r="I671" s="27"/>
      <c r="J671" s="27"/>
      <c r="K671" s="27"/>
      <c r="L671" s="27"/>
      <c r="M671" s="27"/>
      <c r="N671" s="27"/>
      <c r="O671" s="43"/>
      <c r="P671" s="27"/>
      <c r="Q671" s="27"/>
      <c r="R671" s="43"/>
      <c r="S671" s="27"/>
      <c r="T671" s="27"/>
      <c r="U671" s="27"/>
      <c r="V671" s="27"/>
      <c r="W671" s="27"/>
      <c r="X671" s="43"/>
      <c r="Y671" s="27"/>
      <c r="Z671" s="27"/>
      <c r="AA671" s="41"/>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row>
    <row r="672">
      <c r="A672" s="27"/>
      <c r="B672" s="124"/>
      <c r="C672" s="27"/>
      <c r="D672" s="27"/>
      <c r="E672" s="27"/>
      <c r="F672" s="27"/>
      <c r="G672" s="27"/>
      <c r="H672" s="27"/>
      <c r="I672" s="27"/>
      <c r="J672" s="27"/>
      <c r="K672" s="27"/>
      <c r="L672" s="27"/>
      <c r="M672" s="27"/>
      <c r="N672" s="27"/>
      <c r="O672" s="43"/>
      <c r="P672" s="27"/>
      <c r="Q672" s="27"/>
      <c r="R672" s="43"/>
      <c r="S672" s="27"/>
      <c r="T672" s="27"/>
      <c r="U672" s="27"/>
      <c r="V672" s="27"/>
      <c r="W672" s="27"/>
      <c r="X672" s="43"/>
      <c r="Y672" s="27"/>
      <c r="Z672" s="27"/>
      <c r="AA672" s="41"/>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row>
    <row r="673">
      <c r="A673" s="27"/>
      <c r="B673" s="124"/>
      <c r="C673" s="27"/>
      <c r="D673" s="27"/>
      <c r="E673" s="27"/>
      <c r="F673" s="27"/>
      <c r="G673" s="27"/>
      <c r="H673" s="27"/>
      <c r="I673" s="27"/>
      <c r="J673" s="27"/>
      <c r="K673" s="27"/>
      <c r="L673" s="27"/>
      <c r="M673" s="27"/>
      <c r="N673" s="27"/>
      <c r="O673" s="43"/>
      <c r="P673" s="27"/>
      <c r="Q673" s="27"/>
      <c r="R673" s="43"/>
      <c r="S673" s="27"/>
      <c r="T673" s="27"/>
      <c r="U673" s="27"/>
      <c r="V673" s="27"/>
      <c r="W673" s="27"/>
      <c r="X673" s="43"/>
      <c r="Y673" s="27"/>
      <c r="Z673" s="27"/>
      <c r="AA673" s="41"/>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row>
    <row r="674">
      <c r="A674" s="27"/>
      <c r="B674" s="124"/>
      <c r="C674" s="27"/>
      <c r="D674" s="27"/>
      <c r="E674" s="27"/>
      <c r="F674" s="27"/>
      <c r="G674" s="27"/>
      <c r="H674" s="27"/>
      <c r="I674" s="27"/>
      <c r="J674" s="27"/>
      <c r="K674" s="27"/>
      <c r="L674" s="27"/>
      <c r="M674" s="27"/>
      <c r="N674" s="27"/>
      <c r="O674" s="43"/>
      <c r="P674" s="27"/>
      <c r="Q674" s="27"/>
      <c r="R674" s="43"/>
      <c r="S674" s="27"/>
      <c r="T674" s="27"/>
      <c r="U674" s="27"/>
      <c r="V674" s="27"/>
      <c r="W674" s="27"/>
      <c r="X674" s="43"/>
      <c r="Y674" s="27"/>
      <c r="Z674" s="27"/>
      <c r="AA674" s="41"/>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row>
    <row r="675">
      <c r="A675" s="27"/>
      <c r="B675" s="124"/>
      <c r="C675" s="27"/>
      <c r="D675" s="27"/>
      <c r="E675" s="27"/>
      <c r="F675" s="27"/>
      <c r="G675" s="27"/>
      <c r="H675" s="27"/>
      <c r="I675" s="27"/>
      <c r="J675" s="27"/>
      <c r="K675" s="27"/>
      <c r="L675" s="27"/>
      <c r="M675" s="27"/>
      <c r="N675" s="27"/>
      <c r="O675" s="43"/>
      <c r="P675" s="27"/>
      <c r="Q675" s="27"/>
      <c r="R675" s="43"/>
      <c r="S675" s="27"/>
      <c r="T675" s="27"/>
      <c r="U675" s="27"/>
      <c r="V675" s="27"/>
      <c r="W675" s="27"/>
      <c r="X675" s="43"/>
      <c r="Y675" s="27"/>
      <c r="Z675" s="27"/>
      <c r="AA675" s="41"/>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row>
    <row r="676">
      <c r="A676" s="27"/>
      <c r="B676" s="124"/>
      <c r="C676" s="27"/>
      <c r="D676" s="27"/>
      <c r="E676" s="27"/>
      <c r="F676" s="27"/>
      <c r="G676" s="27"/>
      <c r="H676" s="27"/>
      <c r="I676" s="27"/>
      <c r="J676" s="27"/>
      <c r="K676" s="27"/>
      <c r="L676" s="27"/>
      <c r="M676" s="27"/>
      <c r="N676" s="27"/>
      <c r="O676" s="43"/>
      <c r="P676" s="27"/>
      <c r="Q676" s="27"/>
      <c r="R676" s="43"/>
      <c r="S676" s="27"/>
      <c r="T676" s="27"/>
      <c r="U676" s="27"/>
      <c r="V676" s="27"/>
      <c r="W676" s="27"/>
      <c r="X676" s="43"/>
      <c r="Y676" s="27"/>
      <c r="Z676" s="27"/>
      <c r="AA676" s="41"/>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row>
    <row r="677">
      <c r="A677" s="27"/>
      <c r="B677" s="124"/>
      <c r="C677" s="27"/>
      <c r="D677" s="27"/>
      <c r="E677" s="27"/>
      <c r="F677" s="27"/>
      <c r="G677" s="27"/>
      <c r="H677" s="27"/>
      <c r="I677" s="27"/>
      <c r="J677" s="27"/>
      <c r="K677" s="27"/>
      <c r="L677" s="27"/>
      <c r="M677" s="27"/>
      <c r="N677" s="27"/>
      <c r="O677" s="43"/>
      <c r="P677" s="27"/>
      <c r="Q677" s="27"/>
      <c r="R677" s="43"/>
      <c r="S677" s="27"/>
      <c r="T677" s="27"/>
      <c r="U677" s="27"/>
      <c r="V677" s="27"/>
      <c r="W677" s="27"/>
      <c r="X677" s="43"/>
      <c r="Y677" s="27"/>
      <c r="Z677" s="27"/>
      <c r="AA677" s="41"/>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row>
    <row r="678">
      <c r="A678" s="27"/>
      <c r="B678" s="124"/>
      <c r="C678" s="27"/>
      <c r="D678" s="27"/>
      <c r="E678" s="27"/>
      <c r="F678" s="27"/>
      <c r="G678" s="27"/>
      <c r="H678" s="27"/>
      <c r="I678" s="27"/>
      <c r="J678" s="27"/>
      <c r="K678" s="27"/>
      <c r="L678" s="27"/>
      <c r="M678" s="27"/>
      <c r="N678" s="27"/>
      <c r="O678" s="43"/>
      <c r="P678" s="27"/>
      <c r="Q678" s="27"/>
      <c r="R678" s="43"/>
      <c r="S678" s="27"/>
      <c r="T678" s="27"/>
      <c r="U678" s="27"/>
      <c r="V678" s="27"/>
      <c r="W678" s="27"/>
      <c r="X678" s="43"/>
      <c r="Y678" s="27"/>
      <c r="Z678" s="27"/>
      <c r="AA678" s="41"/>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row>
    <row r="679">
      <c r="A679" s="27"/>
      <c r="B679" s="124"/>
      <c r="C679" s="27"/>
      <c r="D679" s="27"/>
      <c r="E679" s="27"/>
      <c r="F679" s="27"/>
      <c r="G679" s="27"/>
      <c r="H679" s="27"/>
      <c r="I679" s="27"/>
      <c r="J679" s="27"/>
      <c r="K679" s="27"/>
      <c r="L679" s="27"/>
      <c r="M679" s="27"/>
      <c r="N679" s="27"/>
      <c r="O679" s="43"/>
      <c r="P679" s="27"/>
      <c r="Q679" s="27"/>
      <c r="R679" s="43"/>
      <c r="S679" s="27"/>
      <c r="T679" s="27"/>
      <c r="U679" s="27"/>
      <c r="V679" s="27"/>
      <c r="W679" s="27"/>
      <c r="X679" s="43"/>
      <c r="Y679" s="27"/>
      <c r="Z679" s="27"/>
      <c r="AA679" s="41"/>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row>
    <row r="680">
      <c r="A680" s="27"/>
      <c r="B680" s="124"/>
      <c r="C680" s="27"/>
      <c r="D680" s="27"/>
      <c r="E680" s="27"/>
      <c r="F680" s="27"/>
      <c r="G680" s="27"/>
      <c r="H680" s="27"/>
      <c r="I680" s="27"/>
      <c r="J680" s="27"/>
      <c r="K680" s="27"/>
      <c r="L680" s="27"/>
      <c r="M680" s="27"/>
      <c r="N680" s="27"/>
      <c r="O680" s="43"/>
      <c r="P680" s="27"/>
      <c r="Q680" s="27"/>
      <c r="R680" s="43"/>
      <c r="S680" s="27"/>
      <c r="T680" s="27"/>
      <c r="U680" s="27"/>
      <c r="V680" s="27"/>
      <c r="W680" s="27"/>
      <c r="X680" s="43"/>
      <c r="Y680" s="27"/>
      <c r="Z680" s="27"/>
      <c r="AA680" s="41"/>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row>
    <row r="681">
      <c r="A681" s="27"/>
      <c r="B681" s="124"/>
      <c r="C681" s="27"/>
      <c r="D681" s="27"/>
      <c r="E681" s="27"/>
      <c r="F681" s="27"/>
      <c r="G681" s="27"/>
      <c r="H681" s="27"/>
      <c r="I681" s="27"/>
      <c r="J681" s="27"/>
      <c r="K681" s="27"/>
      <c r="L681" s="27"/>
      <c r="M681" s="27"/>
      <c r="N681" s="27"/>
      <c r="O681" s="43"/>
      <c r="P681" s="27"/>
      <c r="Q681" s="27"/>
      <c r="R681" s="43"/>
      <c r="S681" s="27"/>
      <c r="T681" s="27"/>
      <c r="U681" s="27"/>
      <c r="V681" s="27"/>
      <c r="W681" s="27"/>
      <c r="X681" s="43"/>
      <c r="Y681" s="27"/>
      <c r="Z681" s="27"/>
      <c r="AA681" s="41"/>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row>
    <row r="682">
      <c r="A682" s="27"/>
      <c r="B682" s="124"/>
      <c r="C682" s="27"/>
      <c r="D682" s="27"/>
      <c r="E682" s="27"/>
      <c r="F682" s="27"/>
      <c r="G682" s="27"/>
      <c r="H682" s="27"/>
      <c r="I682" s="27"/>
      <c r="J682" s="27"/>
      <c r="K682" s="27"/>
      <c r="L682" s="27"/>
      <c r="M682" s="27"/>
      <c r="N682" s="27"/>
      <c r="O682" s="43"/>
      <c r="P682" s="27"/>
      <c r="Q682" s="27"/>
      <c r="R682" s="43"/>
      <c r="S682" s="27"/>
      <c r="T682" s="27"/>
      <c r="U682" s="27"/>
      <c r="V682" s="27"/>
      <c r="W682" s="27"/>
      <c r="X682" s="43"/>
      <c r="Y682" s="27"/>
      <c r="Z682" s="27"/>
      <c r="AA682" s="41"/>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row>
    <row r="683">
      <c r="A683" s="27"/>
      <c r="B683" s="124"/>
      <c r="C683" s="27"/>
      <c r="D683" s="27"/>
      <c r="E683" s="27"/>
      <c r="F683" s="27"/>
      <c r="G683" s="27"/>
      <c r="H683" s="27"/>
      <c r="I683" s="27"/>
      <c r="J683" s="27"/>
      <c r="K683" s="27"/>
      <c r="L683" s="27"/>
      <c r="M683" s="27"/>
      <c r="N683" s="27"/>
      <c r="O683" s="43"/>
      <c r="P683" s="27"/>
      <c r="Q683" s="27"/>
      <c r="R683" s="43"/>
      <c r="S683" s="27"/>
      <c r="T683" s="27"/>
      <c r="U683" s="27"/>
      <c r="V683" s="27"/>
      <c r="W683" s="27"/>
      <c r="X683" s="43"/>
      <c r="Y683" s="27"/>
      <c r="Z683" s="27"/>
      <c r="AA683" s="41"/>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row>
    <row r="684">
      <c r="A684" s="27"/>
      <c r="B684" s="124"/>
      <c r="C684" s="27"/>
      <c r="D684" s="27"/>
      <c r="E684" s="27"/>
      <c r="F684" s="27"/>
      <c r="G684" s="27"/>
      <c r="H684" s="27"/>
      <c r="I684" s="27"/>
      <c r="J684" s="27"/>
      <c r="K684" s="27"/>
      <c r="L684" s="27"/>
      <c r="M684" s="27"/>
      <c r="N684" s="27"/>
      <c r="O684" s="43"/>
      <c r="P684" s="27"/>
      <c r="Q684" s="27"/>
      <c r="R684" s="43"/>
      <c r="S684" s="27"/>
      <c r="T684" s="27"/>
      <c r="U684" s="27"/>
      <c r="V684" s="27"/>
      <c r="W684" s="27"/>
      <c r="X684" s="43"/>
      <c r="Y684" s="27"/>
      <c r="Z684" s="27"/>
      <c r="AA684" s="41"/>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row>
    <row r="685">
      <c r="A685" s="27"/>
      <c r="B685" s="124"/>
      <c r="C685" s="27"/>
      <c r="D685" s="27"/>
      <c r="E685" s="27"/>
      <c r="F685" s="27"/>
      <c r="G685" s="27"/>
      <c r="H685" s="27"/>
      <c r="I685" s="27"/>
      <c r="J685" s="27"/>
      <c r="K685" s="27"/>
      <c r="L685" s="27"/>
      <c r="M685" s="27"/>
      <c r="N685" s="27"/>
      <c r="O685" s="43"/>
      <c r="P685" s="27"/>
      <c r="Q685" s="27"/>
      <c r="R685" s="43"/>
      <c r="S685" s="27"/>
      <c r="T685" s="27"/>
      <c r="U685" s="27"/>
      <c r="V685" s="27"/>
      <c r="W685" s="27"/>
      <c r="X685" s="43"/>
      <c r="Y685" s="27"/>
      <c r="Z685" s="27"/>
      <c r="AA685" s="41"/>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row>
    <row r="686">
      <c r="A686" s="27"/>
      <c r="B686" s="124"/>
      <c r="C686" s="27"/>
      <c r="D686" s="27"/>
      <c r="E686" s="27"/>
      <c r="F686" s="27"/>
      <c r="G686" s="27"/>
      <c r="H686" s="27"/>
      <c r="I686" s="27"/>
      <c r="J686" s="27"/>
      <c r="K686" s="27"/>
      <c r="L686" s="27"/>
      <c r="M686" s="27"/>
      <c r="N686" s="27"/>
      <c r="O686" s="43"/>
      <c r="P686" s="27"/>
      <c r="Q686" s="27"/>
      <c r="R686" s="43"/>
      <c r="S686" s="27"/>
      <c r="T686" s="27"/>
      <c r="U686" s="27"/>
      <c r="V686" s="27"/>
      <c r="W686" s="27"/>
      <c r="X686" s="43"/>
      <c r="Y686" s="27"/>
      <c r="Z686" s="27"/>
      <c r="AA686" s="41"/>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row>
    <row r="687">
      <c r="A687" s="27"/>
      <c r="B687" s="124"/>
      <c r="C687" s="27"/>
      <c r="D687" s="27"/>
      <c r="E687" s="27"/>
      <c r="F687" s="27"/>
      <c r="G687" s="27"/>
      <c r="H687" s="27"/>
      <c r="I687" s="27"/>
      <c r="J687" s="27"/>
      <c r="K687" s="27"/>
      <c r="L687" s="27"/>
      <c r="M687" s="27"/>
      <c r="N687" s="27"/>
      <c r="O687" s="43"/>
      <c r="P687" s="27"/>
      <c r="Q687" s="27"/>
      <c r="R687" s="43"/>
      <c r="S687" s="27"/>
      <c r="T687" s="27"/>
      <c r="U687" s="27"/>
      <c r="V687" s="27"/>
      <c r="W687" s="27"/>
      <c r="X687" s="43"/>
      <c r="Y687" s="27"/>
      <c r="Z687" s="27"/>
      <c r="AA687" s="41"/>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row>
    <row r="688">
      <c r="A688" s="27"/>
      <c r="B688" s="124"/>
      <c r="C688" s="27"/>
      <c r="D688" s="27"/>
      <c r="E688" s="27"/>
      <c r="F688" s="27"/>
      <c r="G688" s="27"/>
      <c r="H688" s="27"/>
      <c r="I688" s="27"/>
      <c r="J688" s="27"/>
      <c r="K688" s="27"/>
      <c r="L688" s="27"/>
      <c r="M688" s="27"/>
      <c r="N688" s="27"/>
      <c r="O688" s="43"/>
      <c r="P688" s="27"/>
      <c r="Q688" s="27"/>
      <c r="R688" s="43"/>
      <c r="S688" s="27"/>
      <c r="T688" s="27"/>
      <c r="U688" s="27"/>
      <c r="V688" s="27"/>
      <c r="W688" s="27"/>
      <c r="X688" s="43"/>
      <c r="Y688" s="27"/>
      <c r="Z688" s="27"/>
      <c r="AA688" s="41"/>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row>
    <row r="689">
      <c r="A689" s="27"/>
      <c r="B689" s="124"/>
      <c r="C689" s="27"/>
      <c r="D689" s="27"/>
      <c r="E689" s="27"/>
      <c r="F689" s="27"/>
      <c r="G689" s="27"/>
      <c r="H689" s="27"/>
      <c r="I689" s="27"/>
      <c r="J689" s="27"/>
      <c r="K689" s="27"/>
      <c r="L689" s="27"/>
      <c r="M689" s="27"/>
      <c r="N689" s="27"/>
      <c r="O689" s="43"/>
      <c r="P689" s="27"/>
      <c r="Q689" s="27"/>
      <c r="R689" s="43"/>
      <c r="S689" s="27"/>
      <c r="T689" s="27"/>
      <c r="U689" s="27"/>
      <c r="V689" s="27"/>
      <c r="W689" s="27"/>
      <c r="X689" s="43"/>
      <c r="Y689" s="27"/>
      <c r="Z689" s="27"/>
      <c r="AA689" s="41"/>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row>
    <row r="690">
      <c r="A690" s="27"/>
      <c r="B690" s="124"/>
      <c r="C690" s="27"/>
      <c r="D690" s="27"/>
      <c r="E690" s="27"/>
      <c r="F690" s="27"/>
      <c r="G690" s="27"/>
      <c r="H690" s="27"/>
      <c r="I690" s="27"/>
      <c r="J690" s="27"/>
      <c r="K690" s="27"/>
      <c r="L690" s="27"/>
      <c r="M690" s="27"/>
      <c r="N690" s="27"/>
      <c r="O690" s="43"/>
      <c r="P690" s="27"/>
      <c r="Q690" s="27"/>
      <c r="R690" s="43"/>
      <c r="S690" s="27"/>
      <c r="T690" s="27"/>
      <c r="U690" s="27"/>
      <c r="V690" s="27"/>
      <c r="W690" s="27"/>
      <c r="X690" s="43"/>
      <c r="Y690" s="27"/>
      <c r="Z690" s="27"/>
      <c r="AA690" s="41"/>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row>
    <row r="691">
      <c r="A691" s="27"/>
      <c r="B691" s="124"/>
      <c r="C691" s="27"/>
      <c r="D691" s="27"/>
      <c r="E691" s="27"/>
      <c r="F691" s="27"/>
      <c r="G691" s="27"/>
      <c r="H691" s="27"/>
      <c r="I691" s="27"/>
      <c r="J691" s="27"/>
      <c r="K691" s="27"/>
      <c r="L691" s="27"/>
      <c r="M691" s="27"/>
      <c r="N691" s="27"/>
      <c r="O691" s="43"/>
      <c r="P691" s="27"/>
      <c r="Q691" s="27"/>
      <c r="R691" s="43"/>
      <c r="S691" s="27"/>
      <c r="T691" s="27"/>
      <c r="U691" s="27"/>
      <c r="V691" s="27"/>
      <c r="W691" s="27"/>
      <c r="X691" s="43"/>
      <c r="Y691" s="27"/>
      <c r="Z691" s="27"/>
      <c r="AA691" s="41"/>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row>
    <row r="692">
      <c r="A692" s="27"/>
      <c r="B692" s="124"/>
      <c r="C692" s="27"/>
      <c r="D692" s="27"/>
      <c r="E692" s="27"/>
      <c r="F692" s="27"/>
      <c r="G692" s="27"/>
      <c r="H692" s="27"/>
      <c r="I692" s="27"/>
      <c r="J692" s="27"/>
      <c r="K692" s="27"/>
      <c r="L692" s="27"/>
      <c r="M692" s="27"/>
      <c r="N692" s="27"/>
      <c r="O692" s="43"/>
      <c r="P692" s="27"/>
      <c r="Q692" s="27"/>
      <c r="R692" s="43"/>
      <c r="S692" s="27"/>
      <c r="T692" s="27"/>
      <c r="U692" s="27"/>
      <c r="V692" s="27"/>
      <c r="W692" s="27"/>
      <c r="X692" s="43"/>
      <c r="Y692" s="27"/>
      <c r="Z692" s="27"/>
      <c r="AA692" s="41"/>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row>
    <row r="693">
      <c r="A693" s="27"/>
      <c r="B693" s="124"/>
      <c r="C693" s="27"/>
      <c r="D693" s="27"/>
      <c r="E693" s="27"/>
      <c r="F693" s="27"/>
      <c r="G693" s="27"/>
      <c r="H693" s="27"/>
      <c r="I693" s="27"/>
      <c r="J693" s="27"/>
      <c r="K693" s="27"/>
      <c r="L693" s="27"/>
      <c r="M693" s="27"/>
      <c r="N693" s="27"/>
      <c r="O693" s="43"/>
      <c r="P693" s="27"/>
      <c r="Q693" s="27"/>
      <c r="R693" s="43"/>
      <c r="S693" s="27"/>
      <c r="T693" s="27"/>
      <c r="U693" s="27"/>
      <c r="V693" s="27"/>
      <c r="W693" s="27"/>
      <c r="X693" s="43"/>
      <c r="Y693" s="27"/>
      <c r="Z693" s="27"/>
      <c r="AA693" s="41"/>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row>
    <row r="694">
      <c r="A694" s="27"/>
      <c r="B694" s="124"/>
      <c r="C694" s="27"/>
      <c r="D694" s="27"/>
      <c r="E694" s="27"/>
      <c r="F694" s="27"/>
      <c r="G694" s="27"/>
      <c r="H694" s="27"/>
      <c r="I694" s="27"/>
      <c r="J694" s="27"/>
      <c r="K694" s="27"/>
      <c r="L694" s="27"/>
      <c r="M694" s="27"/>
      <c r="N694" s="27"/>
      <c r="O694" s="43"/>
      <c r="P694" s="27"/>
      <c r="Q694" s="27"/>
      <c r="R694" s="43"/>
      <c r="S694" s="27"/>
      <c r="T694" s="27"/>
      <c r="U694" s="27"/>
      <c r="V694" s="27"/>
      <c r="W694" s="27"/>
      <c r="X694" s="43"/>
      <c r="Y694" s="27"/>
      <c r="Z694" s="27"/>
      <c r="AA694" s="41"/>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row>
    <row r="695">
      <c r="A695" s="27"/>
      <c r="B695" s="124"/>
      <c r="C695" s="27"/>
      <c r="D695" s="27"/>
      <c r="E695" s="27"/>
      <c r="F695" s="27"/>
      <c r="G695" s="27"/>
      <c r="H695" s="27"/>
      <c r="I695" s="27"/>
      <c r="J695" s="27"/>
      <c r="K695" s="27"/>
      <c r="L695" s="27"/>
      <c r="M695" s="27"/>
      <c r="N695" s="27"/>
      <c r="O695" s="43"/>
      <c r="P695" s="27"/>
      <c r="Q695" s="27"/>
      <c r="R695" s="43"/>
      <c r="S695" s="27"/>
      <c r="T695" s="27"/>
      <c r="U695" s="27"/>
      <c r="V695" s="27"/>
      <c r="W695" s="27"/>
      <c r="X695" s="43"/>
      <c r="Y695" s="27"/>
      <c r="Z695" s="27"/>
      <c r="AA695" s="41"/>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row>
    <row r="696">
      <c r="A696" s="27"/>
      <c r="B696" s="124"/>
      <c r="C696" s="27"/>
      <c r="D696" s="27"/>
      <c r="E696" s="27"/>
      <c r="F696" s="27"/>
      <c r="G696" s="27"/>
      <c r="H696" s="27"/>
      <c r="I696" s="27"/>
      <c r="J696" s="27"/>
      <c r="K696" s="27"/>
      <c r="L696" s="27"/>
      <c r="M696" s="27"/>
      <c r="N696" s="27"/>
      <c r="O696" s="43"/>
      <c r="P696" s="27"/>
      <c r="Q696" s="27"/>
      <c r="R696" s="43"/>
      <c r="S696" s="27"/>
      <c r="T696" s="27"/>
      <c r="U696" s="27"/>
      <c r="V696" s="27"/>
      <c r="W696" s="27"/>
      <c r="X696" s="43"/>
      <c r="Y696" s="27"/>
      <c r="Z696" s="27"/>
      <c r="AA696" s="41"/>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row>
    <row r="697">
      <c r="A697" s="27"/>
      <c r="B697" s="124"/>
      <c r="C697" s="27"/>
      <c r="D697" s="27"/>
      <c r="E697" s="27"/>
      <c r="F697" s="27"/>
      <c r="G697" s="27"/>
      <c r="H697" s="27"/>
      <c r="I697" s="27"/>
      <c r="J697" s="27"/>
      <c r="K697" s="27"/>
      <c r="L697" s="27"/>
      <c r="M697" s="27"/>
      <c r="N697" s="27"/>
      <c r="O697" s="43"/>
      <c r="P697" s="27"/>
      <c r="Q697" s="27"/>
      <c r="R697" s="43"/>
      <c r="S697" s="27"/>
      <c r="T697" s="27"/>
      <c r="U697" s="27"/>
      <c r="V697" s="27"/>
      <c r="W697" s="27"/>
      <c r="X697" s="43"/>
      <c r="Y697" s="27"/>
      <c r="Z697" s="27"/>
      <c r="AA697" s="41"/>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row>
    <row r="698">
      <c r="A698" s="27"/>
      <c r="B698" s="124"/>
      <c r="C698" s="27"/>
      <c r="D698" s="27"/>
      <c r="E698" s="27"/>
      <c r="F698" s="27"/>
      <c r="G698" s="27"/>
      <c r="H698" s="27"/>
      <c r="I698" s="27"/>
      <c r="J698" s="27"/>
      <c r="K698" s="27"/>
      <c r="L698" s="27"/>
      <c r="M698" s="27"/>
      <c r="N698" s="27"/>
      <c r="O698" s="43"/>
      <c r="P698" s="27"/>
      <c r="Q698" s="27"/>
      <c r="R698" s="43"/>
      <c r="S698" s="27"/>
      <c r="T698" s="27"/>
      <c r="U698" s="27"/>
      <c r="V698" s="27"/>
      <c r="W698" s="27"/>
      <c r="X698" s="43"/>
      <c r="Y698" s="27"/>
      <c r="Z698" s="27"/>
      <c r="AA698" s="41"/>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row>
    <row r="699">
      <c r="A699" s="27"/>
      <c r="B699" s="124"/>
      <c r="C699" s="27"/>
      <c r="D699" s="27"/>
      <c r="E699" s="27"/>
      <c r="F699" s="27"/>
      <c r="G699" s="27"/>
      <c r="H699" s="27"/>
      <c r="I699" s="27"/>
      <c r="J699" s="27"/>
      <c r="K699" s="27"/>
      <c r="L699" s="27"/>
      <c r="M699" s="27"/>
      <c r="N699" s="27"/>
      <c r="O699" s="43"/>
      <c r="P699" s="27"/>
      <c r="Q699" s="27"/>
      <c r="R699" s="43"/>
      <c r="S699" s="27"/>
      <c r="T699" s="27"/>
      <c r="U699" s="27"/>
      <c r="V699" s="27"/>
      <c r="W699" s="27"/>
      <c r="X699" s="43"/>
      <c r="Y699" s="27"/>
      <c r="Z699" s="27"/>
      <c r="AA699" s="41"/>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row>
    <row r="700">
      <c r="A700" s="27"/>
      <c r="B700" s="124"/>
      <c r="C700" s="27"/>
      <c r="D700" s="27"/>
      <c r="E700" s="27"/>
      <c r="F700" s="27"/>
      <c r="G700" s="27"/>
      <c r="H700" s="27"/>
      <c r="I700" s="27"/>
      <c r="J700" s="27"/>
      <c r="K700" s="27"/>
      <c r="L700" s="27"/>
      <c r="M700" s="27"/>
      <c r="N700" s="27"/>
      <c r="O700" s="43"/>
      <c r="P700" s="27"/>
      <c r="Q700" s="27"/>
      <c r="R700" s="43"/>
      <c r="S700" s="27"/>
      <c r="T700" s="27"/>
      <c r="U700" s="27"/>
      <c r="V700" s="27"/>
      <c r="W700" s="27"/>
      <c r="X700" s="43"/>
      <c r="Y700" s="27"/>
      <c r="Z700" s="27"/>
      <c r="AA700" s="41"/>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row>
    <row r="701">
      <c r="A701" s="27"/>
      <c r="B701" s="124"/>
      <c r="C701" s="27"/>
      <c r="D701" s="27"/>
      <c r="E701" s="27"/>
      <c r="F701" s="27"/>
      <c r="G701" s="27"/>
      <c r="H701" s="27"/>
      <c r="I701" s="27"/>
      <c r="J701" s="27"/>
      <c r="K701" s="27"/>
      <c r="L701" s="27"/>
      <c r="M701" s="27"/>
      <c r="N701" s="27"/>
      <c r="O701" s="43"/>
      <c r="P701" s="27"/>
      <c r="Q701" s="27"/>
      <c r="R701" s="43"/>
      <c r="S701" s="27"/>
      <c r="T701" s="27"/>
      <c r="U701" s="27"/>
      <c r="V701" s="27"/>
      <c r="W701" s="27"/>
      <c r="X701" s="43"/>
      <c r="Y701" s="27"/>
      <c r="Z701" s="27"/>
      <c r="AA701" s="41"/>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row>
    <row r="702">
      <c r="A702" s="27"/>
      <c r="B702" s="124"/>
      <c r="C702" s="27"/>
      <c r="D702" s="27"/>
      <c r="E702" s="27"/>
      <c r="F702" s="27"/>
      <c r="G702" s="27"/>
      <c r="H702" s="27"/>
      <c r="I702" s="27"/>
      <c r="J702" s="27"/>
      <c r="K702" s="27"/>
      <c r="L702" s="27"/>
      <c r="M702" s="27"/>
      <c r="N702" s="27"/>
      <c r="O702" s="43"/>
      <c r="P702" s="27"/>
      <c r="Q702" s="27"/>
      <c r="R702" s="43"/>
      <c r="S702" s="27"/>
      <c r="T702" s="27"/>
      <c r="U702" s="27"/>
      <c r="V702" s="27"/>
      <c r="W702" s="27"/>
      <c r="X702" s="43"/>
      <c r="Y702" s="27"/>
      <c r="Z702" s="27"/>
      <c r="AA702" s="41"/>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row>
    <row r="703">
      <c r="A703" s="27"/>
      <c r="B703" s="124"/>
      <c r="C703" s="27"/>
      <c r="D703" s="27"/>
      <c r="E703" s="27"/>
      <c r="F703" s="27"/>
      <c r="G703" s="27"/>
      <c r="H703" s="27"/>
      <c r="I703" s="27"/>
      <c r="J703" s="27"/>
      <c r="K703" s="27"/>
      <c r="L703" s="27"/>
      <c r="M703" s="27"/>
      <c r="N703" s="27"/>
      <c r="O703" s="43"/>
      <c r="P703" s="27"/>
      <c r="Q703" s="27"/>
      <c r="R703" s="43"/>
      <c r="S703" s="27"/>
      <c r="T703" s="27"/>
      <c r="U703" s="27"/>
      <c r="V703" s="27"/>
      <c r="W703" s="27"/>
      <c r="X703" s="43"/>
      <c r="Y703" s="27"/>
      <c r="Z703" s="27"/>
      <c r="AA703" s="41"/>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row>
    <row r="704">
      <c r="A704" s="27"/>
      <c r="B704" s="124"/>
      <c r="C704" s="27"/>
      <c r="D704" s="27"/>
      <c r="E704" s="27"/>
      <c r="F704" s="27"/>
      <c r="G704" s="27"/>
      <c r="H704" s="27"/>
      <c r="I704" s="27"/>
      <c r="J704" s="27"/>
      <c r="K704" s="27"/>
      <c r="L704" s="27"/>
      <c r="M704" s="27"/>
      <c r="N704" s="27"/>
      <c r="O704" s="43"/>
      <c r="P704" s="27"/>
      <c r="Q704" s="27"/>
      <c r="R704" s="43"/>
      <c r="S704" s="27"/>
      <c r="T704" s="27"/>
      <c r="U704" s="27"/>
      <c r="V704" s="27"/>
      <c r="W704" s="27"/>
      <c r="X704" s="43"/>
      <c r="Y704" s="27"/>
      <c r="Z704" s="27"/>
      <c r="AA704" s="41"/>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row>
    <row r="705">
      <c r="A705" s="27"/>
      <c r="B705" s="124"/>
      <c r="C705" s="27"/>
      <c r="D705" s="27"/>
      <c r="E705" s="27"/>
      <c r="F705" s="27"/>
      <c r="G705" s="27"/>
      <c r="H705" s="27"/>
      <c r="I705" s="27"/>
      <c r="J705" s="27"/>
      <c r="K705" s="27"/>
      <c r="L705" s="27"/>
      <c r="M705" s="27"/>
      <c r="N705" s="27"/>
      <c r="O705" s="43"/>
      <c r="P705" s="27"/>
      <c r="Q705" s="27"/>
      <c r="R705" s="43"/>
      <c r="S705" s="27"/>
      <c r="T705" s="27"/>
      <c r="U705" s="27"/>
      <c r="V705" s="27"/>
      <c r="W705" s="27"/>
      <c r="X705" s="43"/>
      <c r="Y705" s="27"/>
      <c r="Z705" s="27"/>
      <c r="AA705" s="41"/>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row>
    <row r="706">
      <c r="A706" s="27"/>
      <c r="B706" s="124"/>
      <c r="C706" s="27"/>
      <c r="D706" s="27"/>
      <c r="E706" s="27"/>
      <c r="F706" s="27"/>
      <c r="G706" s="27"/>
      <c r="H706" s="27"/>
      <c r="I706" s="27"/>
      <c r="J706" s="27"/>
      <c r="K706" s="27"/>
      <c r="L706" s="27"/>
      <c r="M706" s="27"/>
      <c r="N706" s="27"/>
      <c r="O706" s="43"/>
      <c r="P706" s="27"/>
      <c r="Q706" s="27"/>
      <c r="R706" s="43"/>
      <c r="S706" s="27"/>
      <c r="T706" s="27"/>
      <c r="U706" s="27"/>
      <c r="V706" s="27"/>
      <c r="W706" s="27"/>
      <c r="X706" s="43"/>
      <c r="Y706" s="27"/>
      <c r="Z706" s="27"/>
      <c r="AA706" s="41"/>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row>
    <row r="707">
      <c r="A707" s="27"/>
      <c r="B707" s="124"/>
      <c r="C707" s="27"/>
      <c r="D707" s="27"/>
      <c r="E707" s="27"/>
      <c r="F707" s="27"/>
      <c r="G707" s="27"/>
      <c r="H707" s="27"/>
      <c r="I707" s="27"/>
      <c r="J707" s="27"/>
      <c r="K707" s="27"/>
      <c r="L707" s="27"/>
      <c r="M707" s="27"/>
      <c r="N707" s="27"/>
      <c r="O707" s="43"/>
      <c r="P707" s="27"/>
      <c r="Q707" s="27"/>
      <c r="R707" s="43"/>
      <c r="S707" s="27"/>
      <c r="T707" s="27"/>
      <c r="U707" s="27"/>
      <c r="V707" s="27"/>
      <c r="W707" s="27"/>
      <c r="X707" s="43"/>
      <c r="Y707" s="27"/>
      <c r="Z707" s="27"/>
      <c r="AA707" s="41"/>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row>
    <row r="708">
      <c r="A708" s="27"/>
      <c r="B708" s="124"/>
      <c r="C708" s="27"/>
      <c r="D708" s="27"/>
      <c r="E708" s="27"/>
      <c r="F708" s="27"/>
      <c r="G708" s="27"/>
      <c r="H708" s="27"/>
      <c r="I708" s="27"/>
      <c r="J708" s="27"/>
      <c r="K708" s="27"/>
      <c r="L708" s="27"/>
      <c r="M708" s="27"/>
      <c r="N708" s="27"/>
      <c r="O708" s="43"/>
      <c r="P708" s="27"/>
      <c r="Q708" s="27"/>
      <c r="R708" s="43"/>
      <c r="S708" s="27"/>
      <c r="T708" s="27"/>
      <c r="U708" s="27"/>
      <c r="V708" s="27"/>
      <c r="W708" s="27"/>
      <c r="X708" s="43"/>
      <c r="Y708" s="27"/>
      <c r="Z708" s="27"/>
      <c r="AA708" s="41"/>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row>
    <row r="709">
      <c r="A709" s="27"/>
      <c r="B709" s="124"/>
      <c r="C709" s="27"/>
      <c r="D709" s="27"/>
      <c r="E709" s="27"/>
      <c r="F709" s="27"/>
      <c r="G709" s="27"/>
      <c r="H709" s="27"/>
      <c r="I709" s="27"/>
      <c r="J709" s="27"/>
      <c r="K709" s="27"/>
      <c r="L709" s="27"/>
      <c r="M709" s="27"/>
      <c r="N709" s="27"/>
      <c r="O709" s="43"/>
      <c r="P709" s="27"/>
      <c r="Q709" s="27"/>
      <c r="R709" s="43"/>
      <c r="S709" s="27"/>
      <c r="T709" s="27"/>
      <c r="U709" s="27"/>
      <c r="V709" s="27"/>
      <c r="W709" s="27"/>
      <c r="X709" s="43"/>
      <c r="Y709" s="27"/>
      <c r="Z709" s="27"/>
      <c r="AA709" s="41"/>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row>
    <row r="710">
      <c r="A710" s="27"/>
      <c r="B710" s="124"/>
      <c r="C710" s="27"/>
      <c r="D710" s="27"/>
      <c r="E710" s="27"/>
      <c r="F710" s="27"/>
      <c r="G710" s="27"/>
      <c r="H710" s="27"/>
      <c r="I710" s="27"/>
      <c r="J710" s="27"/>
      <c r="K710" s="27"/>
      <c r="L710" s="27"/>
      <c r="M710" s="27"/>
      <c r="N710" s="27"/>
      <c r="O710" s="43"/>
      <c r="P710" s="27"/>
      <c r="Q710" s="27"/>
      <c r="R710" s="43"/>
      <c r="S710" s="27"/>
      <c r="T710" s="27"/>
      <c r="U710" s="27"/>
      <c r="V710" s="27"/>
      <c r="W710" s="27"/>
      <c r="X710" s="43"/>
      <c r="Y710" s="27"/>
      <c r="Z710" s="27"/>
      <c r="AA710" s="41"/>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row>
    <row r="711">
      <c r="A711" s="27"/>
      <c r="B711" s="124"/>
      <c r="C711" s="27"/>
      <c r="D711" s="27"/>
      <c r="E711" s="27"/>
      <c r="F711" s="27"/>
      <c r="G711" s="27"/>
      <c r="H711" s="27"/>
      <c r="I711" s="27"/>
      <c r="J711" s="27"/>
      <c r="K711" s="27"/>
      <c r="L711" s="27"/>
      <c r="M711" s="27"/>
      <c r="N711" s="27"/>
      <c r="O711" s="43"/>
      <c r="P711" s="27"/>
      <c r="Q711" s="27"/>
      <c r="R711" s="43"/>
      <c r="S711" s="27"/>
      <c r="T711" s="27"/>
      <c r="U711" s="27"/>
      <c r="V711" s="27"/>
      <c r="W711" s="27"/>
      <c r="X711" s="43"/>
      <c r="Y711" s="27"/>
      <c r="Z711" s="27"/>
      <c r="AA711" s="41"/>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row>
    <row r="712">
      <c r="A712" s="27"/>
      <c r="B712" s="124"/>
      <c r="C712" s="27"/>
      <c r="D712" s="27"/>
      <c r="E712" s="27"/>
      <c r="F712" s="27"/>
      <c r="G712" s="27"/>
      <c r="H712" s="27"/>
      <c r="I712" s="27"/>
      <c r="J712" s="27"/>
      <c r="K712" s="27"/>
      <c r="L712" s="27"/>
      <c r="M712" s="27"/>
      <c r="N712" s="27"/>
      <c r="O712" s="43"/>
      <c r="P712" s="27"/>
      <c r="Q712" s="27"/>
      <c r="R712" s="43"/>
      <c r="S712" s="27"/>
      <c r="T712" s="27"/>
      <c r="U712" s="27"/>
      <c r="V712" s="27"/>
      <c r="W712" s="27"/>
      <c r="X712" s="43"/>
      <c r="Y712" s="27"/>
      <c r="Z712" s="27"/>
      <c r="AA712" s="41"/>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row>
    <row r="713">
      <c r="A713" s="27"/>
      <c r="B713" s="124"/>
      <c r="C713" s="27"/>
      <c r="D713" s="27"/>
      <c r="E713" s="27"/>
      <c r="F713" s="27"/>
      <c r="G713" s="27"/>
      <c r="H713" s="27"/>
      <c r="I713" s="27"/>
      <c r="J713" s="27"/>
      <c r="K713" s="27"/>
      <c r="L713" s="27"/>
      <c r="M713" s="27"/>
      <c r="N713" s="27"/>
      <c r="O713" s="43"/>
      <c r="P713" s="27"/>
      <c r="Q713" s="27"/>
      <c r="R713" s="43"/>
      <c r="S713" s="27"/>
      <c r="T713" s="27"/>
      <c r="U713" s="27"/>
      <c r="V713" s="27"/>
      <c r="W713" s="27"/>
      <c r="X713" s="43"/>
      <c r="Y713" s="27"/>
      <c r="Z713" s="27"/>
      <c r="AA713" s="41"/>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row>
    <row r="714">
      <c r="A714" s="27"/>
      <c r="B714" s="124"/>
      <c r="C714" s="27"/>
      <c r="D714" s="27"/>
      <c r="E714" s="27"/>
      <c r="F714" s="27"/>
      <c r="G714" s="27"/>
      <c r="H714" s="27"/>
      <c r="I714" s="27"/>
      <c r="J714" s="27"/>
      <c r="K714" s="27"/>
      <c r="L714" s="27"/>
      <c r="M714" s="27"/>
      <c r="N714" s="27"/>
      <c r="O714" s="43"/>
      <c r="P714" s="27"/>
      <c r="Q714" s="27"/>
      <c r="R714" s="43"/>
      <c r="S714" s="27"/>
      <c r="T714" s="27"/>
      <c r="U714" s="27"/>
      <c r="V714" s="27"/>
      <c r="W714" s="27"/>
      <c r="X714" s="43"/>
      <c r="Y714" s="27"/>
      <c r="Z714" s="27"/>
      <c r="AA714" s="41"/>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row>
    <row r="715">
      <c r="A715" s="27"/>
      <c r="B715" s="124"/>
      <c r="C715" s="27"/>
      <c r="D715" s="27"/>
      <c r="E715" s="27"/>
      <c r="F715" s="27"/>
      <c r="G715" s="27"/>
      <c r="H715" s="27"/>
      <c r="I715" s="27"/>
      <c r="J715" s="27"/>
      <c r="K715" s="27"/>
      <c r="L715" s="27"/>
      <c r="M715" s="27"/>
      <c r="N715" s="27"/>
      <c r="O715" s="43"/>
      <c r="P715" s="27"/>
      <c r="Q715" s="27"/>
      <c r="R715" s="43"/>
      <c r="S715" s="27"/>
      <c r="T715" s="27"/>
      <c r="U715" s="27"/>
      <c r="V715" s="27"/>
      <c r="W715" s="27"/>
      <c r="X715" s="43"/>
      <c r="Y715" s="27"/>
      <c r="Z715" s="27"/>
      <c r="AA715" s="41"/>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row>
    <row r="716">
      <c r="A716" s="27"/>
      <c r="B716" s="124"/>
      <c r="C716" s="27"/>
      <c r="D716" s="27"/>
      <c r="E716" s="27"/>
      <c r="F716" s="27"/>
      <c r="G716" s="27"/>
      <c r="H716" s="27"/>
      <c r="I716" s="27"/>
      <c r="J716" s="27"/>
      <c r="K716" s="27"/>
      <c r="L716" s="27"/>
      <c r="M716" s="27"/>
      <c r="N716" s="27"/>
      <c r="O716" s="43"/>
      <c r="P716" s="27"/>
      <c r="Q716" s="27"/>
      <c r="R716" s="43"/>
      <c r="S716" s="27"/>
      <c r="T716" s="27"/>
      <c r="U716" s="27"/>
      <c r="V716" s="27"/>
      <c r="W716" s="27"/>
      <c r="X716" s="43"/>
      <c r="Y716" s="27"/>
      <c r="Z716" s="27"/>
      <c r="AA716" s="41"/>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row>
    <row r="717">
      <c r="A717" s="27"/>
      <c r="B717" s="124"/>
      <c r="C717" s="27"/>
      <c r="D717" s="27"/>
      <c r="E717" s="27"/>
      <c r="F717" s="27"/>
      <c r="G717" s="27"/>
      <c r="H717" s="27"/>
      <c r="I717" s="27"/>
      <c r="J717" s="27"/>
      <c r="K717" s="27"/>
      <c r="L717" s="27"/>
      <c r="M717" s="27"/>
      <c r="N717" s="27"/>
      <c r="O717" s="43"/>
      <c r="P717" s="27"/>
      <c r="Q717" s="27"/>
      <c r="R717" s="43"/>
      <c r="S717" s="27"/>
      <c r="T717" s="27"/>
      <c r="U717" s="27"/>
      <c r="V717" s="27"/>
      <c r="W717" s="27"/>
      <c r="X717" s="43"/>
      <c r="Y717" s="27"/>
      <c r="Z717" s="27"/>
      <c r="AA717" s="41"/>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row>
    <row r="718">
      <c r="A718" s="27"/>
      <c r="B718" s="124"/>
      <c r="C718" s="27"/>
      <c r="D718" s="27"/>
      <c r="E718" s="27"/>
      <c r="F718" s="27"/>
      <c r="G718" s="27"/>
      <c r="H718" s="27"/>
      <c r="I718" s="27"/>
      <c r="J718" s="27"/>
      <c r="K718" s="27"/>
      <c r="L718" s="27"/>
      <c r="M718" s="27"/>
      <c r="N718" s="27"/>
      <c r="O718" s="43"/>
      <c r="P718" s="27"/>
      <c r="Q718" s="27"/>
      <c r="R718" s="43"/>
      <c r="S718" s="27"/>
      <c r="T718" s="27"/>
      <c r="U718" s="27"/>
      <c r="V718" s="27"/>
      <c r="W718" s="27"/>
      <c r="X718" s="43"/>
      <c r="Y718" s="27"/>
      <c r="Z718" s="27"/>
      <c r="AA718" s="41"/>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row>
    <row r="719">
      <c r="A719" s="27"/>
      <c r="B719" s="124"/>
      <c r="C719" s="27"/>
      <c r="D719" s="27"/>
      <c r="E719" s="27"/>
      <c r="F719" s="27"/>
      <c r="G719" s="27"/>
      <c r="H719" s="27"/>
      <c r="I719" s="27"/>
      <c r="J719" s="27"/>
      <c r="K719" s="27"/>
      <c r="L719" s="27"/>
      <c r="M719" s="27"/>
      <c r="N719" s="27"/>
      <c r="O719" s="43"/>
      <c r="P719" s="27"/>
      <c r="Q719" s="27"/>
      <c r="R719" s="43"/>
      <c r="S719" s="27"/>
      <c r="T719" s="27"/>
      <c r="U719" s="27"/>
      <c r="V719" s="27"/>
      <c r="W719" s="27"/>
      <c r="X719" s="43"/>
      <c r="Y719" s="27"/>
      <c r="Z719" s="27"/>
      <c r="AA719" s="41"/>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row>
    <row r="720">
      <c r="A720" s="27"/>
      <c r="B720" s="124"/>
      <c r="C720" s="27"/>
      <c r="D720" s="27"/>
      <c r="E720" s="27"/>
      <c r="F720" s="27"/>
      <c r="G720" s="27"/>
      <c r="H720" s="27"/>
      <c r="I720" s="27"/>
      <c r="J720" s="27"/>
      <c r="K720" s="27"/>
      <c r="L720" s="27"/>
      <c r="M720" s="27"/>
      <c r="N720" s="27"/>
      <c r="O720" s="43"/>
      <c r="P720" s="27"/>
      <c r="Q720" s="27"/>
      <c r="R720" s="43"/>
      <c r="S720" s="27"/>
      <c r="T720" s="27"/>
      <c r="U720" s="27"/>
      <c r="V720" s="27"/>
      <c r="W720" s="27"/>
      <c r="X720" s="43"/>
      <c r="Y720" s="27"/>
      <c r="Z720" s="27"/>
      <c r="AA720" s="41"/>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row>
    <row r="721">
      <c r="A721" s="27"/>
      <c r="B721" s="124"/>
      <c r="C721" s="27"/>
      <c r="D721" s="27"/>
      <c r="E721" s="27"/>
      <c r="F721" s="27"/>
      <c r="G721" s="27"/>
      <c r="H721" s="27"/>
      <c r="I721" s="27"/>
      <c r="J721" s="27"/>
      <c r="K721" s="27"/>
      <c r="L721" s="27"/>
      <c r="M721" s="27"/>
      <c r="N721" s="27"/>
      <c r="O721" s="43"/>
      <c r="P721" s="27"/>
      <c r="Q721" s="27"/>
      <c r="R721" s="43"/>
      <c r="S721" s="27"/>
      <c r="T721" s="27"/>
      <c r="U721" s="27"/>
      <c r="V721" s="27"/>
      <c r="W721" s="27"/>
      <c r="X721" s="43"/>
      <c r="Y721" s="27"/>
      <c r="Z721" s="27"/>
      <c r="AA721" s="41"/>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row>
    <row r="722">
      <c r="A722" s="27"/>
      <c r="B722" s="124"/>
      <c r="C722" s="27"/>
      <c r="D722" s="27"/>
      <c r="E722" s="27"/>
      <c r="F722" s="27"/>
      <c r="G722" s="27"/>
      <c r="H722" s="27"/>
      <c r="I722" s="27"/>
      <c r="J722" s="27"/>
      <c r="K722" s="27"/>
      <c r="L722" s="27"/>
      <c r="M722" s="27"/>
      <c r="N722" s="27"/>
      <c r="O722" s="43"/>
      <c r="P722" s="27"/>
      <c r="Q722" s="27"/>
      <c r="R722" s="43"/>
      <c r="S722" s="27"/>
      <c r="T722" s="27"/>
      <c r="U722" s="27"/>
      <c r="V722" s="27"/>
      <c r="W722" s="27"/>
      <c r="X722" s="43"/>
      <c r="Y722" s="27"/>
      <c r="Z722" s="27"/>
      <c r="AA722" s="41"/>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row>
    <row r="723">
      <c r="A723" s="27"/>
      <c r="B723" s="124"/>
      <c r="C723" s="27"/>
      <c r="D723" s="27"/>
      <c r="E723" s="27"/>
      <c r="F723" s="27"/>
      <c r="G723" s="27"/>
      <c r="H723" s="27"/>
      <c r="I723" s="27"/>
      <c r="J723" s="27"/>
      <c r="K723" s="27"/>
      <c r="L723" s="27"/>
      <c r="M723" s="27"/>
      <c r="N723" s="27"/>
      <c r="O723" s="43"/>
      <c r="P723" s="27"/>
      <c r="Q723" s="27"/>
      <c r="R723" s="43"/>
      <c r="S723" s="27"/>
      <c r="T723" s="27"/>
      <c r="U723" s="27"/>
      <c r="V723" s="27"/>
      <c r="W723" s="27"/>
      <c r="X723" s="43"/>
      <c r="Y723" s="27"/>
      <c r="Z723" s="27"/>
      <c r="AA723" s="41"/>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row>
    <row r="724">
      <c r="A724" s="27"/>
      <c r="B724" s="124"/>
      <c r="C724" s="27"/>
      <c r="D724" s="27"/>
      <c r="E724" s="27"/>
      <c r="F724" s="27"/>
      <c r="G724" s="27"/>
      <c r="H724" s="27"/>
      <c r="I724" s="27"/>
      <c r="J724" s="27"/>
      <c r="K724" s="27"/>
      <c r="L724" s="27"/>
      <c r="M724" s="27"/>
      <c r="N724" s="27"/>
      <c r="O724" s="43"/>
      <c r="P724" s="27"/>
      <c r="Q724" s="27"/>
      <c r="R724" s="43"/>
      <c r="S724" s="27"/>
      <c r="T724" s="27"/>
      <c r="U724" s="27"/>
      <c r="V724" s="27"/>
      <c r="W724" s="27"/>
      <c r="X724" s="43"/>
      <c r="Y724" s="27"/>
      <c r="Z724" s="27"/>
      <c r="AA724" s="41"/>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row>
    <row r="725">
      <c r="A725" s="27"/>
      <c r="B725" s="124"/>
      <c r="C725" s="27"/>
      <c r="D725" s="27"/>
      <c r="E725" s="27"/>
      <c r="F725" s="27"/>
      <c r="G725" s="27"/>
      <c r="H725" s="27"/>
      <c r="I725" s="27"/>
      <c r="J725" s="27"/>
      <c r="K725" s="27"/>
      <c r="L725" s="27"/>
      <c r="M725" s="27"/>
      <c r="N725" s="27"/>
      <c r="O725" s="43"/>
      <c r="P725" s="27"/>
      <c r="Q725" s="27"/>
      <c r="R725" s="43"/>
      <c r="S725" s="27"/>
      <c r="T725" s="27"/>
      <c r="U725" s="27"/>
      <c r="V725" s="27"/>
      <c r="W725" s="27"/>
      <c r="X725" s="43"/>
      <c r="Y725" s="27"/>
      <c r="Z725" s="27"/>
      <c r="AA725" s="41"/>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row>
    <row r="726">
      <c r="A726" s="27"/>
      <c r="B726" s="124"/>
      <c r="C726" s="27"/>
      <c r="D726" s="27"/>
      <c r="E726" s="27"/>
      <c r="F726" s="27"/>
      <c r="G726" s="27"/>
      <c r="H726" s="27"/>
      <c r="I726" s="27"/>
      <c r="J726" s="27"/>
      <c r="K726" s="27"/>
      <c r="L726" s="27"/>
      <c r="M726" s="27"/>
      <c r="N726" s="27"/>
      <c r="O726" s="43"/>
      <c r="P726" s="27"/>
      <c r="Q726" s="27"/>
      <c r="R726" s="43"/>
      <c r="S726" s="27"/>
      <c r="T726" s="27"/>
      <c r="U726" s="27"/>
      <c r="V726" s="27"/>
      <c r="W726" s="27"/>
      <c r="X726" s="43"/>
      <c r="Y726" s="27"/>
      <c r="Z726" s="27"/>
      <c r="AA726" s="41"/>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row>
    <row r="727">
      <c r="A727" s="27"/>
      <c r="B727" s="124"/>
      <c r="C727" s="27"/>
      <c r="D727" s="27"/>
      <c r="E727" s="27"/>
      <c r="F727" s="27"/>
      <c r="G727" s="27"/>
      <c r="H727" s="27"/>
      <c r="I727" s="27"/>
      <c r="J727" s="27"/>
      <c r="K727" s="27"/>
      <c r="L727" s="27"/>
      <c r="M727" s="27"/>
      <c r="N727" s="27"/>
      <c r="O727" s="43"/>
      <c r="P727" s="27"/>
      <c r="Q727" s="27"/>
      <c r="R727" s="43"/>
      <c r="S727" s="27"/>
      <c r="T727" s="27"/>
      <c r="U727" s="27"/>
      <c r="V727" s="27"/>
      <c r="W727" s="27"/>
      <c r="X727" s="43"/>
      <c r="Y727" s="27"/>
      <c r="Z727" s="27"/>
      <c r="AA727" s="41"/>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row>
    <row r="728">
      <c r="A728" s="27"/>
      <c r="B728" s="124"/>
      <c r="C728" s="27"/>
      <c r="D728" s="27"/>
      <c r="E728" s="27"/>
      <c r="F728" s="27"/>
      <c r="G728" s="27"/>
      <c r="H728" s="27"/>
      <c r="I728" s="27"/>
      <c r="J728" s="27"/>
      <c r="K728" s="27"/>
      <c r="L728" s="27"/>
      <c r="M728" s="27"/>
      <c r="N728" s="27"/>
      <c r="O728" s="43"/>
      <c r="P728" s="27"/>
      <c r="Q728" s="27"/>
      <c r="R728" s="43"/>
      <c r="S728" s="27"/>
      <c r="T728" s="27"/>
      <c r="U728" s="27"/>
      <c r="V728" s="27"/>
      <c r="W728" s="27"/>
      <c r="X728" s="43"/>
      <c r="Y728" s="27"/>
      <c r="Z728" s="27"/>
      <c r="AA728" s="41"/>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row>
    <row r="729">
      <c r="A729" s="27"/>
      <c r="B729" s="124"/>
      <c r="C729" s="27"/>
      <c r="D729" s="27"/>
      <c r="E729" s="27"/>
      <c r="F729" s="27"/>
      <c r="G729" s="27"/>
      <c r="H729" s="27"/>
      <c r="I729" s="27"/>
      <c r="J729" s="27"/>
      <c r="K729" s="27"/>
      <c r="L729" s="27"/>
      <c r="M729" s="27"/>
      <c r="N729" s="27"/>
      <c r="O729" s="43"/>
      <c r="P729" s="27"/>
      <c r="Q729" s="27"/>
      <c r="R729" s="43"/>
      <c r="S729" s="27"/>
      <c r="T729" s="27"/>
      <c r="U729" s="27"/>
      <c r="V729" s="27"/>
      <c r="W729" s="27"/>
      <c r="X729" s="43"/>
      <c r="Y729" s="27"/>
      <c r="Z729" s="27"/>
      <c r="AA729" s="41"/>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row>
    <row r="730">
      <c r="A730" s="27"/>
      <c r="B730" s="124"/>
      <c r="C730" s="27"/>
      <c r="D730" s="27"/>
      <c r="E730" s="27"/>
      <c r="F730" s="27"/>
      <c r="G730" s="27"/>
      <c r="H730" s="27"/>
      <c r="I730" s="27"/>
      <c r="J730" s="27"/>
      <c r="K730" s="27"/>
      <c r="L730" s="27"/>
      <c r="M730" s="27"/>
      <c r="N730" s="27"/>
      <c r="O730" s="43"/>
      <c r="P730" s="27"/>
      <c r="Q730" s="27"/>
      <c r="R730" s="43"/>
      <c r="S730" s="27"/>
      <c r="T730" s="27"/>
      <c r="U730" s="27"/>
      <c r="V730" s="27"/>
      <c r="W730" s="27"/>
      <c r="X730" s="43"/>
      <c r="Y730" s="27"/>
      <c r="Z730" s="27"/>
      <c r="AA730" s="41"/>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row>
    <row r="731">
      <c r="A731" s="27"/>
      <c r="B731" s="124"/>
      <c r="C731" s="27"/>
      <c r="D731" s="27"/>
      <c r="E731" s="27"/>
      <c r="F731" s="27"/>
      <c r="G731" s="27"/>
      <c r="H731" s="27"/>
      <c r="I731" s="27"/>
      <c r="J731" s="27"/>
      <c r="K731" s="27"/>
      <c r="L731" s="27"/>
      <c r="M731" s="27"/>
      <c r="N731" s="27"/>
      <c r="O731" s="43"/>
      <c r="P731" s="27"/>
      <c r="Q731" s="27"/>
      <c r="R731" s="43"/>
      <c r="S731" s="27"/>
      <c r="T731" s="27"/>
      <c r="U731" s="27"/>
      <c r="V731" s="27"/>
      <c r="W731" s="27"/>
      <c r="X731" s="43"/>
      <c r="Y731" s="27"/>
      <c r="Z731" s="27"/>
      <c r="AA731" s="41"/>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row>
    <row r="732">
      <c r="A732" s="27"/>
      <c r="B732" s="124"/>
      <c r="C732" s="27"/>
      <c r="D732" s="27"/>
      <c r="E732" s="27"/>
      <c r="F732" s="27"/>
      <c r="G732" s="27"/>
      <c r="H732" s="27"/>
      <c r="I732" s="27"/>
      <c r="J732" s="27"/>
      <c r="K732" s="27"/>
      <c r="L732" s="27"/>
      <c r="M732" s="27"/>
      <c r="N732" s="27"/>
      <c r="O732" s="43"/>
      <c r="P732" s="27"/>
      <c r="Q732" s="27"/>
      <c r="R732" s="43"/>
      <c r="S732" s="27"/>
      <c r="T732" s="27"/>
      <c r="U732" s="27"/>
      <c r="V732" s="27"/>
      <c r="W732" s="27"/>
      <c r="X732" s="43"/>
      <c r="Y732" s="27"/>
      <c r="Z732" s="27"/>
      <c r="AA732" s="41"/>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row>
    <row r="733">
      <c r="A733" s="27"/>
      <c r="B733" s="124"/>
      <c r="C733" s="27"/>
      <c r="D733" s="27"/>
      <c r="E733" s="27"/>
      <c r="F733" s="27"/>
      <c r="G733" s="27"/>
      <c r="H733" s="27"/>
      <c r="I733" s="27"/>
      <c r="J733" s="27"/>
      <c r="K733" s="27"/>
      <c r="L733" s="27"/>
      <c r="M733" s="27"/>
      <c r="N733" s="27"/>
      <c r="O733" s="43"/>
      <c r="P733" s="27"/>
      <c r="Q733" s="27"/>
      <c r="R733" s="43"/>
      <c r="S733" s="27"/>
      <c r="T733" s="27"/>
      <c r="U733" s="27"/>
      <c r="V733" s="27"/>
      <c r="W733" s="27"/>
      <c r="X733" s="43"/>
      <c r="Y733" s="27"/>
      <c r="Z733" s="27"/>
      <c r="AA733" s="41"/>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row>
    <row r="734">
      <c r="A734" s="27"/>
      <c r="B734" s="124"/>
      <c r="C734" s="27"/>
      <c r="D734" s="27"/>
      <c r="E734" s="27"/>
      <c r="F734" s="27"/>
      <c r="G734" s="27"/>
      <c r="H734" s="27"/>
      <c r="I734" s="27"/>
      <c r="J734" s="27"/>
      <c r="K734" s="27"/>
      <c r="L734" s="27"/>
      <c r="M734" s="27"/>
      <c r="N734" s="27"/>
      <c r="O734" s="43"/>
      <c r="P734" s="27"/>
      <c r="Q734" s="27"/>
      <c r="R734" s="43"/>
      <c r="S734" s="27"/>
      <c r="T734" s="27"/>
      <c r="U734" s="27"/>
      <c r="V734" s="27"/>
      <c r="W734" s="27"/>
      <c r="X734" s="43"/>
      <c r="Y734" s="27"/>
      <c r="Z734" s="27"/>
      <c r="AA734" s="41"/>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row>
    <row r="735">
      <c r="A735" s="27"/>
      <c r="B735" s="124"/>
      <c r="C735" s="27"/>
      <c r="D735" s="27"/>
      <c r="E735" s="27"/>
      <c r="F735" s="27"/>
      <c r="G735" s="27"/>
      <c r="H735" s="27"/>
      <c r="I735" s="27"/>
      <c r="J735" s="27"/>
      <c r="K735" s="27"/>
      <c r="L735" s="27"/>
      <c r="M735" s="27"/>
      <c r="N735" s="27"/>
      <c r="O735" s="43"/>
      <c r="P735" s="27"/>
      <c r="Q735" s="27"/>
      <c r="R735" s="43"/>
      <c r="S735" s="27"/>
      <c r="T735" s="27"/>
      <c r="U735" s="27"/>
      <c r="V735" s="27"/>
      <c r="W735" s="27"/>
      <c r="X735" s="43"/>
      <c r="Y735" s="27"/>
      <c r="Z735" s="27"/>
      <c r="AA735" s="41"/>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row>
    <row r="736">
      <c r="A736" s="27"/>
      <c r="B736" s="124"/>
      <c r="C736" s="27"/>
      <c r="D736" s="27"/>
      <c r="E736" s="27"/>
      <c r="F736" s="27"/>
      <c r="G736" s="27"/>
      <c r="H736" s="27"/>
      <c r="I736" s="27"/>
      <c r="J736" s="27"/>
      <c r="K736" s="27"/>
      <c r="L736" s="27"/>
      <c r="M736" s="27"/>
      <c r="N736" s="27"/>
      <c r="O736" s="43"/>
      <c r="P736" s="27"/>
      <c r="Q736" s="27"/>
      <c r="R736" s="43"/>
      <c r="S736" s="27"/>
      <c r="T736" s="27"/>
      <c r="U736" s="27"/>
      <c r="V736" s="27"/>
      <c r="W736" s="27"/>
      <c r="X736" s="43"/>
      <c r="Y736" s="27"/>
      <c r="Z736" s="27"/>
      <c r="AA736" s="41"/>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row>
    <row r="737">
      <c r="A737" s="27"/>
      <c r="B737" s="124"/>
      <c r="C737" s="27"/>
      <c r="D737" s="27"/>
      <c r="E737" s="27"/>
      <c r="F737" s="27"/>
      <c r="G737" s="27"/>
      <c r="H737" s="27"/>
      <c r="I737" s="27"/>
      <c r="J737" s="27"/>
      <c r="K737" s="27"/>
      <c r="L737" s="27"/>
      <c r="M737" s="27"/>
      <c r="N737" s="27"/>
      <c r="O737" s="43"/>
      <c r="P737" s="27"/>
      <c r="Q737" s="27"/>
      <c r="R737" s="43"/>
      <c r="S737" s="27"/>
      <c r="T737" s="27"/>
      <c r="U737" s="27"/>
      <c r="V737" s="27"/>
      <c r="W737" s="27"/>
      <c r="X737" s="43"/>
      <c r="Y737" s="27"/>
      <c r="Z737" s="27"/>
      <c r="AA737" s="41"/>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row>
    <row r="738">
      <c r="A738" s="27"/>
      <c r="B738" s="124"/>
      <c r="C738" s="27"/>
      <c r="D738" s="27"/>
      <c r="E738" s="27"/>
      <c r="F738" s="27"/>
      <c r="G738" s="27"/>
      <c r="H738" s="27"/>
      <c r="I738" s="27"/>
      <c r="J738" s="27"/>
      <c r="K738" s="27"/>
      <c r="L738" s="27"/>
      <c r="M738" s="27"/>
      <c r="N738" s="27"/>
      <c r="O738" s="43"/>
      <c r="P738" s="27"/>
      <c r="Q738" s="27"/>
      <c r="R738" s="43"/>
      <c r="S738" s="27"/>
      <c r="T738" s="27"/>
      <c r="U738" s="27"/>
      <c r="V738" s="27"/>
      <c r="W738" s="27"/>
      <c r="X738" s="43"/>
      <c r="Y738" s="27"/>
      <c r="Z738" s="27"/>
      <c r="AA738" s="41"/>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row>
    <row r="739">
      <c r="A739" s="27"/>
      <c r="B739" s="124"/>
      <c r="C739" s="27"/>
      <c r="D739" s="27"/>
      <c r="E739" s="27"/>
      <c r="F739" s="27"/>
      <c r="G739" s="27"/>
      <c r="H739" s="27"/>
      <c r="I739" s="27"/>
      <c r="J739" s="27"/>
      <c r="K739" s="27"/>
      <c r="L739" s="27"/>
      <c r="M739" s="27"/>
      <c r="N739" s="27"/>
      <c r="O739" s="43"/>
      <c r="P739" s="27"/>
      <c r="Q739" s="27"/>
      <c r="R739" s="43"/>
      <c r="S739" s="27"/>
      <c r="T739" s="27"/>
      <c r="U739" s="27"/>
      <c r="V739" s="27"/>
      <c r="W739" s="27"/>
      <c r="X739" s="43"/>
      <c r="Y739" s="27"/>
      <c r="Z739" s="27"/>
      <c r="AA739" s="41"/>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row>
    <row r="740">
      <c r="A740" s="27"/>
      <c r="B740" s="124"/>
      <c r="C740" s="27"/>
      <c r="D740" s="27"/>
      <c r="E740" s="27"/>
      <c r="F740" s="27"/>
      <c r="G740" s="27"/>
      <c r="H740" s="27"/>
      <c r="I740" s="27"/>
      <c r="J740" s="27"/>
      <c r="K740" s="27"/>
      <c r="L740" s="27"/>
      <c r="M740" s="27"/>
      <c r="N740" s="27"/>
      <c r="O740" s="43"/>
      <c r="P740" s="27"/>
      <c r="Q740" s="27"/>
      <c r="R740" s="43"/>
      <c r="S740" s="27"/>
      <c r="T740" s="27"/>
      <c r="U740" s="27"/>
      <c r="V740" s="27"/>
      <c r="W740" s="27"/>
      <c r="X740" s="43"/>
      <c r="Y740" s="27"/>
      <c r="Z740" s="27"/>
      <c r="AA740" s="41"/>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row>
    <row r="741">
      <c r="A741" s="27"/>
      <c r="B741" s="124"/>
      <c r="C741" s="27"/>
      <c r="D741" s="27"/>
      <c r="E741" s="27"/>
      <c r="F741" s="27"/>
      <c r="G741" s="27"/>
      <c r="H741" s="27"/>
      <c r="I741" s="27"/>
      <c r="J741" s="27"/>
      <c r="K741" s="27"/>
      <c r="L741" s="27"/>
      <c r="M741" s="27"/>
      <c r="N741" s="27"/>
      <c r="O741" s="43"/>
      <c r="P741" s="27"/>
      <c r="Q741" s="27"/>
      <c r="R741" s="43"/>
      <c r="S741" s="27"/>
      <c r="T741" s="27"/>
      <c r="U741" s="27"/>
      <c r="V741" s="27"/>
      <c r="W741" s="27"/>
      <c r="X741" s="43"/>
      <c r="Y741" s="27"/>
      <c r="Z741" s="27"/>
      <c r="AA741" s="41"/>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row>
    <row r="742">
      <c r="A742" s="27"/>
      <c r="B742" s="124"/>
      <c r="C742" s="27"/>
      <c r="D742" s="27"/>
      <c r="E742" s="27"/>
      <c r="F742" s="27"/>
      <c r="G742" s="27"/>
      <c r="H742" s="27"/>
      <c r="I742" s="27"/>
      <c r="J742" s="27"/>
      <c r="K742" s="27"/>
      <c r="L742" s="27"/>
      <c r="M742" s="27"/>
      <c r="N742" s="27"/>
      <c r="O742" s="43"/>
      <c r="P742" s="27"/>
      <c r="Q742" s="27"/>
      <c r="R742" s="43"/>
      <c r="S742" s="27"/>
      <c r="T742" s="27"/>
      <c r="U742" s="27"/>
      <c r="V742" s="27"/>
      <c r="W742" s="27"/>
      <c r="X742" s="43"/>
      <c r="Y742" s="27"/>
      <c r="Z742" s="27"/>
      <c r="AA742" s="41"/>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row>
    <row r="743">
      <c r="A743" s="27"/>
      <c r="B743" s="124"/>
      <c r="C743" s="27"/>
      <c r="D743" s="27"/>
      <c r="E743" s="27"/>
      <c r="F743" s="27"/>
      <c r="G743" s="27"/>
      <c r="H743" s="27"/>
      <c r="I743" s="27"/>
      <c r="J743" s="27"/>
      <c r="K743" s="27"/>
      <c r="L743" s="27"/>
      <c r="M743" s="27"/>
      <c r="N743" s="27"/>
      <c r="O743" s="43"/>
      <c r="P743" s="27"/>
      <c r="Q743" s="27"/>
      <c r="R743" s="43"/>
      <c r="S743" s="27"/>
      <c r="T743" s="27"/>
      <c r="U743" s="27"/>
      <c r="V743" s="27"/>
      <c r="W743" s="27"/>
      <c r="X743" s="43"/>
      <c r="Y743" s="27"/>
      <c r="Z743" s="27"/>
      <c r="AA743" s="41"/>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row>
    <row r="744">
      <c r="A744" s="27"/>
      <c r="B744" s="124"/>
      <c r="C744" s="27"/>
      <c r="D744" s="27"/>
      <c r="E744" s="27"/>
      <c r="F744" s="27"/>
      <c r="G744" s="27"/>
      <c r="H744" s="27"/>
      <c r="I744" s="27"/>
      <c r="J744" s="27"/>
      <c r="K744" s="27"/>
      <c r="L744" s="27"/>
      <c r="M744" s="27"/>
      <c r="N744" s="27"/>
      <c r="O744" s="43"/>
      <c r="P744" s="27"/>
      <c r="Q744" s="27"/>
      <c r="R744" s="43"/>
      <c r="S744" s="27"/>
      <c r="T744" s="27"/>
      <c r="U744" s="27"/>
      <c r="V744" s="27"/>
      <c r="W744" s="27"/>
      <c r="X744" s="43"/>
      <c r="Y744" s="27"/>
      <c r="Z744" s="27"/>
      <c r="AA744" s="41"/>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row>
    <row r="745">
      <c r="A745" s="27"/>
      <c r="B745" s="124"/>
      <c r="C745" s="27"/>
      <c r="D745" s="27"/>
      <c r="E745" s="27"/>
      <c r="F745" s="27"/>
      <c r="G745" s="27"/>
      <c r="H745" s="27"/>
      <c r="I745" s="27"/>
      <c r="J745" s="27"/>
      <c r="K745" s="27"/>
      <c r="L745" s="27"/>
      <c r="M745" s="27"/>
      <c r="N745" s="27"/>
      <c r="O745" s="43"/>
      <c r="P745" s="27"/>
      <c r="Q745" s="27"/>
      <c r="R745" s="43"/>
      <c r="S745" s="27"/>
      <c r="T745" s="27"/>
      <c r="U745" s="27"/>
      <c r="V745" s="27"/>
      <c r="W745" s="27"/>
      <c r="X745" s="43"/>
      <c r="Y745" s="27"/>
      <c r="Z745" s="27"/>
      <c r="AA745" s="41"/>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row>
    <row r="746">
      <c r="A746" s="27"/>
      <c r="B746" s="124"/>
      <c r="C746" s="27"/>
      <c r="D746" s="27"/>
      <c r="E746" s="27"/>
      <c r="F746" s="27"/>
      <c r="G746" s="27"/>
      <c r="H746" s="27"/>
      <c r="I746" s="27"/>
      <c r="J746" s="27"/>
      <c r="K746" s="27"/>
      <c r="L746" s="27"/>
      <c r="M746" s="27"/>
      <c r="N746" s="27"/>
      <c r="O746" s="43"/>
      <c r="P746" s="27"/>
      <c r="Q746" s="27"/>
      <c r="R746" s="43"/>
      <c r="S746" s="27"/>
      <c r="T746" s="27"/>
      <c r="U746" s="27"/>
      <c r="V746" s="27"/>
      <c r="W746" s="27"/>
      <c r="X746" s="43"/>
      <c r="Y746" s="27"/>
      <c r="Z746" s="27"/>
      <c r="AA746" s="41"/>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row>
    <row r="747">
      <c r="A747" s="27"/>
      <c r="B747" s="124"/>
      <c r="C747" s="27"/>
      <c r="D747" s="27"/>
      <c r="E747" s="27"/>
      <c r="F747" s="27"/>
      <c r="G747" s="27"/>
      <c r="H747" s="27"/>
      <c r="I747" s="27"/>
      <c r="J747" s="27"/>
      <c r="K747" s="27"/>
      <c r="L747" s="27"/>
      <c r="M747" s="27"/>
      <c r="N747" s="27"/>
      <c r="O747" s="43"/>
      <c r="P747" s="27"/>
      <c r="Q747" s="27"/>
      <c r="R747" s="43"/>
      <c r="S747" s="27"/>
      <c r="T747" s="27"/>
      <c r="U747" s="27"/>
      <c r="V747" s="27"/>
      <c r="W747" s="27"/>
      <c r="X747" s="43"/>
      <c r="Y747" s="27"/>
      <c r="Z747" s="27"/>
      <c r="AA747" s="41"/>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row>
    <row r="748">
      <c r="A748" s="27"/>
      <c r="B748" s="124"/>
      <c r="C748" s="27"/>
      <c r="D748" s="27"/>
      <c r="E748" s="27"/>
      <c r="F748" s="27"/>
      <c r="G748" s="27"/>
      <c r="H748" s="27"/>
      <c r="I748" s="27"/>
      <c r="J748" s="27"/>
      <c r="K748" s="27"/>
      <c r="L748" s="27"/>
      <c r="M748" s="27"/>
      <c r="N748" s="27"/>
      <c r="O748" s="43"/>
      <c r="P748" s="27"/>
      <c r="Q748" s="27"/>
      <c r="R748" s="43"/>
      <c r="S748" s="27"/>
      <c r="T748" s="27"/>
      <c r="U748" s="27"/>
      <c r="V748" s="27"/>
      <c r="W748" s="27"/>
      <c r="X748" s="43"/>
      <c r="Y748" s="27"/>
      <c r="Z748" s="27"/>
      <c r="AA748" s="41"/>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row>
    <row r="749">
      <c r="A749" s="27"/>
      <c r="B749" s="124"/>
      <c r="C749" s="27"/>
      <c r="D749" s="27"/>
      <c r="E749" s="27"/>
      <c r="F749" s="27"/>
      <c r="G749" s="27"/>
      <c r="H749" s="27"/>
      <c r="I749" s="27"/>
      <c r="J749" s="27"/>
      <c r="K749" s="27"/>
      <c r="L749" s="27"/>
      <c r="M749" s="27"/>
      <c r="N749" s="27"/>
      <c r="O749" s="43"/>
      <c r="P749" s="27"/>
      <c r="Q749" s="27"/>
      <c r="R749" s="43"/>
      <c r="S749" s="27"/>
      <c r="T749" s="27"/>
      <c r="U749" s="27"/>
      <c r="V749" s="27"/>
      <c r="W749" s="27"/>
      <c r="X749" s="43"/>
      <c r="Y749" s="27"/>
      <c r="Z749" s="27"/>
      <c r="AA749" s="41"/>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row>
    <row r="750">
      <c r="A750" s="27"/>
      <c r="B750" s="124"/>
      <c r="C750" s="27"/>
      <c r="D750" s="27"/>
      <c r="E750" s="27"/>
      <c r="F750" s="27"/>
      <c r="G750" s="27"/>
      <c r="H750" s="27"/>
      <c r="I750" s="27"/>
      <c r="J750" s="27"/>
      <c r="K750" s="27"/>
      <c r="L750" s="27"/>
      <c r="M750" s="27"/>
      <c r="N750" s="27"/>
      <c r="O750" s="43"/>
      <c r="P750" s="27"/>
      <c r="Q750" s="27"/>
      <c r="R750" s="43"/>
      <c r="S750" s="27"/>
      <c r="T750" s="27"/>
      <c r="U750" s="27"/>
      <c r="V750" s="27"/>
      <c r="W750" s="27"/>
      <c r="X750" s="43"/>
      <c r="Y750" s="27"/>
      <c r="Z750" s="27"/>
      <c r="AA750" s="41"/>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row>
    <row r="751">
      <c r="A751" s="27"/>
      <c r="B751" s="124"/>
      <c r="C751" s="27"/>
      <c r="D751" s="27"/>
      <c r="E751" s="27"/>
      <c r="F751" s="27"/>
      <c r="G751" s="27"/>
      <c r="H751" s="27"/>
      <c r="I751" s="27"/>
      <c r="J751" s="27"/>
      <c r="K751" s="27"/>
      <c r="L751" s="27"/>
      <c r="M751" s="27"/>
      <c r="N751" s="27"/>
      <c r="O751" s="43"/>
      <c r="P751" s="27"/>
      <c r="Q751" s="27"/>
      <c r="R751" s="43"/>
      <c r="S751" s="27"/>
      <c r="T751" s="27"/>
      <c r="U751" s="27"/>
      <c r="V751" s="27"/>
      <c r="W751" s="27"/>
      <c r="X751" s="43"/>
      <c r="Y751" s="27"/>
      <c r="Z751" s="27"/>
      <c r="AA751" s="41"/>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row>
    <row r="752">
      <c r="A752" s="27"/>
      <c r="B752" s="124"/>
      <c r="C752" s="27"/>
      <c r="D752" s="27"/>
      <c r="E752" s="27"/>
      <c r="F752" s="27"/>
      <c r="G752" s="27"/>
      <c r="H752" s="27"/>
      <c r="I752" s="27"/>
      <c r="J752" s="27"/>
      <c r="K752" s="27"/>
      <c r="L752" s="27"/>
      <c r="M752" s="27"/>
      <c r="N752" s="27"/>
      <c r="O752" s="43"/>
      <c r="P752" s="27"/>
      <c r="Q752" s="27"/>
      <c r="R752" s="43"/>
      <c r="S752" s="27"/>
      <c r="T752" s="27"/>
      <c r="U752" s="27"/>
      <c r="V752" s="27"/>
      <c r="W752" s="27"/>
      <c r="X752" s="43"/>
      <c r="Y752" s="27"/>
      <c r="Z752" s="27"/>
      <c r="AA752" s="41"/>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row>
    <row r="753">
      <c r="A753" s="27"/>
      <c r="B753" s="124"/>
      <c r="C753" s="27"/>
      <c r="D753" s="27"/>
      <c r="E753" s="27"/>
      <c r="F753" s="27"/>
      <c r="G753" s="27"/>
      <c r="H753" s="27"/>
      <c r="I753" s="27"/>
      <c r="J753" s="27"/>
      <c r="K753" s="27"/>
      <c r="L753" s="27"/>
      <c r="M753" s="27"/>
      <c r="N753" s="27"/>
      <c r="O753" s="43"/>
      <c r="P753" s="27"/>
      <c r="Q753" s="27"/>
      <c r="R753" s="43"/>
      <c r="S753" s="27"/>
      <c r="T753" s="27"/>
      <c r="U753" s="27"/>
      <c r="V753" s="27"/>
      <c r="W753" s="27"/>
      <c r="X753" s="43"/>
      <c r="Y753" s="27"/>
      <c r="Z753" s="27"/>
      <c r="AA753" s="41"/>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row>
    <row r="754">
      <c r="A754" s="27"/>
      <c r="B754" s="124"/>
      <c r="C754" s="27"/>
      <c r="D754" s="27"/>
      <c r="E754" s="27"/>
      <c r="F754" s="27"/>
      <c r="G754" s="27"/>
      <c r="H754" s="27"/>
      <c r="I754" s="27"/>
      <c r="J754" s="27"/>
      <c r="K754" s="27"/>
      <c r="L754" s="27"/>
      <c r="M754" s="27"/>
      <c r="N754" s="27"/>
      <c r="O754" s="43"/>
      <c r="P754" s="27"/>
      <c r="Q754" s="27"/>
      <c r="R754" s="43"/>
      <c r="S754" s="27"/>
      <c r="T754" s="27"/>
      <c r="U754" s="27"/>
      <c r="V754" s="27"/>
      <c r="W754" s="27"/>
      <c r="X754" s="43"/>
      <c r="Y754" s="27"/>
      <c r="Z754" s="27"/>
      <c r="AA754" s="41"/>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row>
    <row r="755">
      <c r="A755" s="27"/>
      <c r="B755" s="124"/>
      <c r="C755" s="27"/>
      <c r="D755" s="27"/>
      <c r="E755" s="27"/>
      <c r="F755" s="27"/>
      <c r="G755" s="27"/>
      <c r="H755" s="27"/>
      <c r="I755" s="27"/>
      <c r="J755" s="27"/>
      <c r="K755" s="27"/>
      <c r="L755" s="27"/>
      <c r="M755" s="27"/>
      <c r="N755" s="27"/>
      <c r="O755" s="43"/>
      <c r="P755" s="27"/>
      <c r="Q755" s="27"/>
      <c r="R755" s="43"/>
      <c r="S755" s="27"/>
      <c r="T755" s="27"/>
      <c r="U755" s="27"/>
      <c r="V755" s="27"/>
      <c r="W755" s="27"/>
      <c r="X755" s="43"/>
      <c r="Y755" s="27"/>
      <c r="Z755" s="27"/>
      <c r="AA755" s="41"/>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row>
    <row r="756">
      <c r="A756" s="27"/>
      <c r="B756" s="124"/>
      <c r="C756" s="27"/>
      <c r="D756" s="27"/>
      <c r="E756" s="27"/>
      <c r="F756" s="27"/>
      <c r="G756" s="27"/>
      <c r="H756" s="27"/>
      <c r="I756" s="27"/>
      <c r="J756" s="27"/>
      <c r="K756" s="27"/>
      <c r="L756" s="27"/>
      <c r="M756" s="27"/>
      <c r="N756" s="27"/>
      <c r="O756" s="43"/>
      <c r="P756" s="27"/>
      <c r="Q756" s="27"/>
      <c r="R756" s="43"/>
      <c r="S756" s="27"/>
      <c r="T756" s="27"/>
      <c r="U756" s="27"/>
      <c r="V756" s="27"/>
      <c r="W756" s="27"/>
      <c r="X756" s="43"/>
      <c r="Y756" s="27"/>
      <c r="Z756" s="27"/>
      <c r="AA756" s="41"/>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row>
    <row r="757">
      <c r="A757" s="27"/>
      <c r="B757" s="124"/>
      <c r="C757" s="27"/>
      <c r="D757" s="27"/>
      <c r="E757" s="27"/>
      <c r="F757" s="27"/>
      <c r="G757" s="27"/>
      <c r="H757" s="27"/>
      <c r="I757" s="27"/>
      <c r="J757" s="27"/>
      <c r="K757" s="27"/>
      <c r="L757" s="27"/>
      <c r="M757" s="27"/>
      <c r="N757" s="27"/>
      <c r="O757" s="43"/>
      <c r="P757" s="27"/>
      <c r="Q757" s="27"/>
      <c r="R757" s="43"/>
      <c r="S757" s="27"/>
      <c r="T757" s="27"/>
      <c r="U757" s="27"/>
      <c r="V757" s="27"/>
      <c r="W757" s="27"/>
      <c r="X757" s="43"/>
      <c r="Y757" s="27"/>
      <c r="Z757" s="27"/>
      <c r="AA757" s="41"/>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row>
    <row r="758">
      <c r="A758" s="27"/>
      <c r="B758" s="124"/>
      <c r="C758" s="27"/>
      <c r="D758" s="27"/>
      <c r="E758" s="27"/>
      <c r="F758" s="27"/>
      <c r="G758" s="27"/>
      <c r="H758" s="27"/>
      <c r="I758" s="27"/>
      <c r="J758" s="27"/>
      <c r="K758" s="27"/>
      <c r="L758" s="27"/>
      <c r="M758" s="27"/>
      <c r="N758" s="27"/>
      <c r="O758" s="43"/>
      <c r="P758" s="27"/>
      <c r="Q758" s="27"/>
      <c r="R758" s="43"/>
      <c r="S758" s="27"/>
      <c r="T758" s="27"/>
      <c r="U758" s="27"/>
      <c r="V758" s="27"/>
      <c r="W758" s="27"/>
      <c r="X758" s="43"/>
      <c r="Y758" s="27"/>
      <c r="Z758" s="27"/>
      <c r="AA758" s="41"/>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row>
    <row r="759">
      <c r="A759" s="27"/>
      <c r="B759" s="124"/>
      <c r="C759" s="27"/>
      <c r="D759" s="27"/>
      <c r="E759" s="27"/>
      <c r="F759" s="27"/>
      <c r="G759" s="27"/>
      <c r="H759" s="27"/>
      <c r="I759" s="27"/>
      <c r="J759" s="27"/>
      <c r="K759" s="27"/>
      <c r="L759" s="27"/>
      <c r="M759" s="27"/>
      <c r="N759" s="27"/>
      <c r="O759" s="43"/>
      <c r="P759" s="27"/>
      <c r="Q759" s="27"/>
      <c r="R759" s="43"/>
      <c r="S759" s="27"/>
      <c r="T759" s="27"/>
      <c r="U759" s="27"/>
      <c r="V759" s="27"/>
      <c r="W759" s="27"/>
      <c r="X759" s="43"/>
      <c r="Y759" s="27"/>
      <c r="Z759" s="27"/>
      <c r="AA759" s="41"/>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row>
    <row r="760">
      <c r="A760" s="27"/>
      <c r="B760" s="124"/>
      <c r="C760" s="27"/>
      <c r="D760" s="27"/>
      <c r="E760" s="27"/>
      <c r="F760" s="27"/>
      <c r="G760" s="27"/>
      <c r="H760" s="27"/>
      <c r="I760" s="27"/>
      <c r="J760" s="27"/>
      <c r="K760" s="27"/>
      <c r="L760" s="27"/>
      <c r="M760" s="27"/>
      <c r="N760" s="27"/>
      <c r="O760" s="43"/>
      <c r="P760" s="27"/>
      <c r="Q760" s="27"/>
      <c r="R760" s="43"/>
      <c r="S760" s="27"/>
      <c r="T760" s="27"/>
      <c r="U760" s="27"/>
      <c r="V760" s="27"/>
      <c r="W760" s="27"/>
      <c r="X760" s="43"/>
      <c r="Y760" s="27"/>
      <c r="Z760" s="27"/>
      <c r="AA760" s="41"/>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row>
    <row r="761">
      <c r="A761" s="27"/>
      <c r="B761" s="124"/>
      <c r="C761" s="27"/>
      <c r="D761" s="27"/>
      <c r="E761" s="27"/>
      <c r="F761" s="27"/>
      <c r="G761" s="27"/>
      <c r="H761" s="27"/>
      <c r="I761" s="27"/>
      <c r="J761" s="27"/>
      <c r="K761" s="27"/>
      <c r="L761" s="27"/>
      <c r="M761" s="27"/>
      <c r="N761" s="27"/>
      <c r="O761" s="43"/>
      <c r="P761" s="27"/>
      <c r="Q761" s="27"/>
      <c r="R761" s="43"/>
      <c r="S761" s="27"/>
      <c r="T761" s="27"/>
      <c r="U761" s="27"/>
      <c r="V761" s="27"/>
      <c r="W761" s="27"/>
      <c r="X761" s="43"/>
      <c r="Y761" s="27"/>
      <c r="Z761" s="27"/>
      <c r="AA761" s="41"/>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row>
    <row r="762">
      <c r="A762" s="27"/>
      <c r="B762" s="124"/>
      <c r="C762" s="27"/>
      <c r="D762" s="27"/>
      <c r="E762" s="27"/>
      <c r="F762" s="27"/>
      <c r="G762" s="27"/>
      <c r="H762" s="27"/>
      <c r="I762" s="27"/>
      <c r="J762" s="27"/>
      <c r="K762" s="27"/>
      <c r="L762" s="27"/>
      <c r="M762" s="27"/>
      <c r="N762" s="27"/>
      <c r="O762" s="43"/>
      <c r="P762" s="27"/>
      <c r="Q762" s="27"/>
      <c r="R762" s="43"/>
      <c r="S762" s="27"/>
      <c r="T762" s="27"/>
      <c r="U762" s="27"/>
      <c r="V762" s="27"/>
      <c r="W762" s="27"/>
      <c r="X762" s="43"/>
      <c r="Y762" s="27"/>
      <c r="Z762" s="27"/>
      <c r="AA762" s="41"/>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row>
    <row r="763">
      <c r="A763" s="27"/>
      <c r="B763" s="124"/>
      <c r="C763" s="27"/>
      <c r="D763" s="27"/>
      <c r="E763" s="27"/>
      <c r="F763" s="27"/>
      <c r="G763" s="27"/>
      <c r="H763" s="27"/>
      <c r="I763" s="27"/>
      <c r="J763" s="27"/>
      <c r="K763" s="27"/>
      <c r="L763" s="27"/>
      <c r="M763" s="27"/>
      <c r="N763" s="27"/>
      <c r="O763" s="43"/>
      <c r="P763" s="27"/>
      <c r="Q763" s="27"/>
      <c r="R763" s="43"/>
      <c r="S763" s="27"/>
      <c r="T763" s="27"/>
      <c r="U763" s="27"/>
      <c r="V763" s="27"/>
      <c r="W763" s="27"/>
      <c r="X763" s="43"/>
      <c r="Y763" s="27"/>
      <c r="Z763" s="27"/>
      <c r="AA763" s="41"/>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row>
    <row r="764">
      <c r="A764" s="27"/>
      <c r="B764" s="124"/>
      <c r="C764" s="27"/>
      <c r="D764" s="27"/>
      <c r="E764" s="27"/>
      <c r="F764" s="27"/>
      <c r="G764" s="27"/>
      <c r="H764" s="27"/>
      <c r="I764" s="27"/>
      <c r="J764" s="27"/>
      <c r="K764" s="27"/>
      <c r="L764" s="27"/>
      <c r="M764" s="27"/>
      <c r="N764" s="27"/>
      <c r="O764" s="43"/>
      <c r="P764" s="27"/>
      <c r="Q764" s="27"/>
      <c r="R764" s="43"/>
      <c r="S764" s="27"/>
      <c r="T764" s="27"/>
      <c r="U764" s="27"/>
      <c r="V764" s="27"/>
      <c r="W764" s="27"/>
      <c r="X764" s="43"/>
      <c r="Y764" s="27"/>
      <c r="Z764" s="27"/>
      <c r="AA764" s="41"/>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row>
    <row r="765">
      <c r="A765" s="27"/>
      <c r="B765" s="124"/>
      <c r="C765" s="27"/>
      <c r="D765" s="27"/>
      <c r="E765" s="27"/>
      <c r="F765" s="27"/>
      <c r="G765" s="27"/>
      <c r="H765" s="27"/>
      <c r="I765" s="27"/>
      <c r="J765" s="27"/>
      <c r="K765" s="27"/>
      <c r="L765" s="27"/>
      <c r="M765" s="27"/>
      <c r="N765" s="27"/>
      <c r="O765" s="43"/>
      <c r="P765" s="27"/>
      <c r="Q765" s="27"/>
      <c r="R765" s="43"/>
      <c r="S765" s="27"/>
      <c r="T765" s="27"/>
      <c r="U765" s="27"/>
      <c r="V765" s="27"/>
      <c r="W765" s="27"/>
      <c r="X765" s="43"/>
      <c r="Y765" s="27"/>
      <c r="Z765" s="27"/>
      <c r="AA765" s="41"/>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row>
    <row r="766">
      <c r="A766" s="27"/>
      <c r="B766" s="124"/>
      <c r="C766" s="27"/>
      <c r="D766" s="27"/>
      <c r="E766" s="27"/>
      <c r="F766" s="27"/>
      <c r="G766" s="27"/>
      <c r="H766" s="27"/>
      <c r="I766" s="27"/>
      <c r="J766" s="27"/>
      <c r="K766" s="27"/>
      <c r="L766" s="27"/>
      <c r="M766" s="27"/>
      <c r="N766" s="27"/>
      <c r="O766" s="43"/>
      <c r="P766" s="27"/>
      <c r="Q766" s="27"/>
      <c r="R766" s="43"/>
      <c r="S766" s="27"/>
      <c r="T766" s="27"/>
      <c r="U766" s="27"/>
      <c r="V766" s="27"/>
      <c r="W766" s="27"/>
      <c r="X766" s="43"/>
      <c r="Y766" s="27"/>
      <c r="Z766" s="27"/>
      <c r="AA766" s="41"/>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row>
    <row r="767">
      <c r="A767" s="27"/>
      <c r="B767" s="124"/>
      <c r="C767" s="27"/>
      <c r="D767" s="27"/>
      <c r="E767" s="27"/>
      <c r="F767" s="27"/>
      <c r="G767" s="27"/>
      <c r="H767" s="27"/>
      <c r="I767" s="27"/>
      <c r="J767" s="27"/>
      <c r="K767" s="27"/>
      <c r="L767" s="27"/>
      <c r="M767" s="27"/>
      <c r="N767" s="27"/>
      <c r="O767" s="43"/>
      <c r="P767" s="27"/>
      <c r="Q767" s="27"/>
      <c r="R767" s="43"/>
      <c r="S767" s="27"/>
      <c r="T767" s="27"/>
      <c r="U767" s="27"/>
      <c r="V767" s="27"/>
      <c r="W767" s="27"/>
      <c r="X767" s="43"/>
      <c r="Y767" s="27"/>
      <c r="Z767" s="27"/>
      <c r="AA767" s="41"/>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row>
    <row r="768">
      <c r="A768" s="27"/>
      <c r="B768" s="124"/>
      <c r="C768" s="27"/>
      <c r="D768" s="27"/>
      <c r="E768" s="27"/>
      <c r="F768" s="27"/>
      <c r="G768" s="27"/>
      <c r="H768" s="27"/>
      <c r="I768" s="27"/>
      <c r="J768" s="27"/>
      <c r="K768" s="27"/>
      <c r="L768" s="27"/>
      <c r="M768" s="27"/>
      <c r="N768" s="27"/>
      <c r="O768" s="43"/>
      <c r="P768" s="27"/>
      <c r="Q768" s="27"/>
      <c r="R768" s="43"/>
      <c r="S768" s="27"/>
      <c r="T768" s="27"/>
      <c r="U768" s="27"/>
      <c r="V768" s="27"/>
      <c r="W768" s="27"/>
      <c r="X768" s="43"/>
      <c r="Y768" s="27"/>
      <c r="Z768" s="27"/>
      <c r="AA768" s="41"/>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row>
    <row r="769">
      <c r="A769" s="27"/>
      <c r="B769" s="124"/>
      <c r="C769" s="27"/>
      <c r="D769" s="27"/>
      <c r="E769" s="27"/>
      <c r="F769" s="27"/>
      <c r="G769" s="27"/>
      <c r="H769" s="27"/>
      <c r="I769" s="27"/>
      <c r="J769" s="27"/>
      <c r="K769" s="27"/>
      <c r="L769" s="27"/>
      <c r="M769" s="27"/>
      <c r="N769" s="27"/>
      <c r="O769" s="43"/>
      <c r="P769" s="27"/>
      <c r="Q769" s="27"/>
      <c r="R769" s="43"/>
      <c r="S769" s="27"/>
      <c r="T769" s="27"/>
      <c r="U769" s="27"/>
      <c r="V769" s="27"/>
      <c r="W769" s="27"/>
      <c r="X769" s="43"/>
      <c r="Y769" s="27"/>
      <c r="Z769" s="27"/>
      <c r="AA769" s="41"/>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row>
    <row r="770">
      <c r="A770" s="27"/>
      <c r="B770" s="124"/>
      <c r="C770" s="27"/>
      <c r="D770" s="27"/>
      <c r="E770" s="27"/>
      <c r="F770" s="27"/>
      <c r="G770" s="27"/>
      <c r="H770" s="27"/>
      <c r="I770" s="27"/>
      <c r="J770" s="27"/>
      <c r="K770" s="27"/>
      <c r="L770" s="27"/>
      <c r="M770" s="27"/>
      <c r="N770" s="27"/>
      <c r="O770" s="43"/>
      <c r="P770" s="27"/>
      <c r="Q770" s="27"/>
      <c r="R770" s="43"/>
      <c r="S770" s="27"/>
      <c r="T770" s="27"/>
      <c r="U770" s="27"/>
      <c r="V770" s="27"/>
      <c r="W770" s="27"/>
      <c r="X770" s="43"/>
      <c r="Y770" s="27"/>
      <c r="Z770" s="27"/>
      <c r="AA770" s="41"/>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row>
    <row r="771">
      <c r="A771" s="27"/>
      <c r="B771" s="124"/>
      <c r="C771" s="27"/>
      <c r="D771" s="27"/>
      <c r="E771" s="27"/>
      <c r="F771" s="27"/>
      <c r="G771" s="27"/>
      <c r="H771" s="27"/>
      <c r="I771" s="27"/>
      <c r="J771" s="27"/>
      <c r="K771" s="27"/>
      <c r="L771" s="27"/>
      <c r="M771" s="27"/>
      <c r="N771" s="27"/>
      <c r="O771" s="43"/>
      <c r="P771" s="27"/>
      <c r="Q771" s="27"/>
      <c r="R771" s="43"/>
      <c r="S771" s="27"/>
      <c r="T771" s="27"/>
      <c r="U771" s="27"/>
      <c r="V771" s="27"/>
      <c r="W771" s="27"/>
      <c r="X771" s="43"/>
      <c r="Y771" s="27"/>
      <c r="Z771" s="27"/>
      <c r="AA771" s="41"/>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row>
    <row r="772">
      <c r="A772" s="27"/>
      <c r="B772" s="124"/>
      <c r="C772" s="27"/>
      <c r="D772" s="27"/>
      <c r="E772" s="27"/>
      <c r="F772" s="27"/>
      <c r="G772" s="27"/>
      <c r="H772" s="27"/>
      <c r="I772" s="27"/>
      <c r="J772" s="27"/>
      <c r="K772" s="27"/>
      <c r="L772" s="27"/>
      <c r="M772" s="27"/>
      <c r="N772" s="27"/>
      <c r="O772" s="43"/>
      <c r="P772" s="27"/>
      <c r="Q772" s="27"/>
      <c r="R772" s="43"/>
      <c r="S772" s="27"/>
      <c r="T772" s="27"/>
      <c r="U772" s="27"/>
      <c r="V772" s="27"/>
      <c r="W772" s="27"/>
      <c r="X772" s="43"/>
      <c r="Y772" s="27"/>
      <c r="Z772" s="27"/>
      <c r="AA772" s="41"/>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row>
    <row r="773">
      <c r="A773" s="27"/>
      <c r="B773" s="124"/>
      <c r="C773" s="27"/>
      <c r="D773" s="27"/>
      <c r="E773" s="27"/>
      <c r="F773" s="27"/>
      <c r="G773" s="27"/>
      <c r="H773" s="27"/>
      <c r="I773" s="27"/>
      <c r="J773" s="27"/>
      <c r="K773" s="27"/>
      <c r="L773" s="27"/>
      <c r="M773" s="27"/>
      <c r="N773" s="27"/>
      <c r="O773" s="43"/>
      <c r="P773" s="27"/>
      <c r="Q773" s="27"/>
      <c r="R773" s="43"/>
      <c r="S773" s="27"/>
      <c r="T773" s="27"/>
      <c r="U773" s="27"/>
      <c r="V773" s="27"/>
      <c r="W773" s="27"/>
      <c r="X773" s="43"/>
      <c r="Y773" s="27"/>
      <c r="Z773" s="27"/>
      <c r="AA773" s="41"/>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row>
    <row r="774">
      <c r="A774" s="27"/>
      <c r="B774" s="124"/>
      <c r="C774" s="27"/>
      <c r="D774" s="27"/>
      <c r="E774" s="27"/>
      <c r="F774" s="27"/>
      <c r="G774" s="27"/>
      <c r="H774" s="27"/>
      <c r="I774" s="27"/>
      <c r="J774" s="27"/>
      <c r="K774" s="27"/>
      <c r="L774" s="27"/>
      <c r="M774" s="27"/>
      <c r="N774" s="27"/>
      <c r="O774" s="43"/>
      <c r="P774" s="27"/>
      <c r="Q774" s="27"/>
      <c r="R774" s="43"/>
      <c r="S774" s="27"/>
      <c r="T774" s="27"/>
      <c r="U774" s="27"/>
      <c r="V774" s="27"/>
      <c r="W774" s="27"/>
      <c r="X774" s="43"/>
      <c r="Y774" s="27"/>
      <c r="Z774" s="27"/>
      <c r="AA774" s="41"/>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row>
    <row r="775">
      <c r="A775" s="27"/>
      <c r="B775" s="124"/>
      <c r="C775" s="27"/>
      <c r="D775" s="27"/>
      <c r="E775" s="27"/>
      <c r="F775" s="27"/>
      <c r="G775" s="27"/>
      <c r="H775" s="27"/>
      <c r="I775" s="27"/>
      <c r="J775" s="27"/>
      <c r="K775" s="27"/>
      <c r="L775" s="27"/>
      <c r="M775" s="27"/>
      <c r="N775" s="27"/>
      <c r="O775" s="43"/>
      <c r="P775" s="27"/>
      <c r="Q775" s="27"/>
      <c r="R775" s="43"/>
      <c r="S775" s="27"/>
      <c r="T775" s="27"/>
      <c r="U775" s="27"/>
      <c r="V775" s="27"/>
      <c r="W775" s="27"/>
      <c r="X775" s="43"/>
      <c r="Y775" s="27"/>
      <c r="Z775" s="27"/>
      <c r="AA775" s="41"/>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row>
    <row r="776">
      <c r="A776" s="27"/>
      <c r="B776" s="124"/>
      <c r="C776" s="27"/>
      <c r="D776" s="27"/>
      <c r="E776" s="27"/>
      <c r="F776" s="27"/>
      <c r="G776" s="27"/>
      <c r="H776" s="27"/>
      <c r="I776" s="27"/>
      <c r="J776" s="27"/>
      <c r="K776" s="27"/>
      <c r="L776" s="27"/>
      <c r="M776" s="27"/>
      <c r="N776" s="27"/>
      <c r="O776" s="43"/>
      <c r="P776" s="27"/>
      <c r="Q776" s="27"/>
      <c r="R776" s="43"/>
      <c r="S776" s="27"/>
      <c r="T776" s="27"/>
      <c r="U776" s="27"/>
      <c r="V776" s="27"/>
      <c r="W776" s="27"/>
      <c r="X776" s="43"/>
      <c r="Y776" s="27"/>
      <c r="Z776" s="27"/>
      <c r="AA776" s="41"/>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row>
    <row r="777">
      <c r="A777" s="27"/>
      <c r="B777" s="124"/>
      <c r="C777" s="27"/>
      <c r="D777" s="27"/>
      <c r="E777" s="27"/>
      <c r="F777" s="27"/>
      <c r="G777" s="27"/>
      <c r="H777" s="27"/>
      <c r="I777" s="27"/>
      <c r="J777" s="27"/>
      <c r="K777" s="27"/>
      <c r="L777" s="27"/>
      <c r="M777" s="27"/>
      <c r="N777" s="27"/>
      <c r="O777" s="43"/>
      <c r="P777" s="27"/>
      <c r="Q777" s="27"/>
      <c r="R777" s="43"/>
      <c r="S777" s="27"/>
      <c r="T777" s="27"/>
      <c r="U777" s="27"/>
      <c r="V777" s="27"/>
      <c r="W777" s="27"/>
      <c r="X777" s="43"/>
      <c r="Y777" s="27"/>
      <c r="Z777" s="27"/>
      <c r="AA777" s="41"/>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row>
    <row r="778">
      <c r="A778" s="27"/>
      <c r="B778" s="124"/>
      <c r="C778" s="27"/>
      <c r="D778" s="27"/>
      <c r="E778" s="27"/>
      <c r="F778" s="27"/>
      <c r="G778" s="27"/>
      <c r="H778" s="27"/>
      <c r="I778" s="27"/>
      <c r="J778" s="27"/>
      <c r="K778" s="27"/>
      <c r="L778" s="27"/>
      <c r="M778" s="27"/>
      <c r="N778" s="27"/>
      <c r="O778" s="43"/>
      <c r="P778" s="27"/>
      <c r="Q778" s="27"/>
      <c r="R778" s="43"/>
      <c r="S778" s="27"/>
      <c r="T778" s="27"/>
      <c r="U778" s="27"/>
      <c r="V778" s="27"/>
      <c r="W778" s="27"/>
      <c r="X778" s="43"/>
      <c r="Y778" s="27"/>
      <c r="Z778" s="27"/>
      <c r="AA778" s="41"/>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row>
    <row r="779">
      <c r="A779" s="27"/>
      <c r="B779" s="124"/>
      <c r="C779" s="27"/>
      <c r="D779" s="27"/>
      <c r="E779" s="27"/>
      <c r="F779" s="27"/>
      <c r="G779" s="27"/>
      <c r="H779" s="27"/>
      <c r="I779" s="27"/>
      <c r="J779" s="27"/>
      <c r="K779" s="27"/>
      <c r="L779" s="27"/>
      <c r="M779" s="27"/>
      <c r="N779" s="27"/>
      <c r="O779" s="43"/>
      <c r="P779" s="27"/>
      <c r="Q779" s="27"/>
      <c r="R779" s="43"/>
      <c r="S779" s="27"/>
      <c r="T779" s="27"/>
      <c r="U779" s="27"/>
      <c r="V779" s="27"/>
      <c r="W779" s="27"/>
      <c r="X779" s="43"/>
      <c r="Y779" s="27"/>
      <c r="Z779" s="27"/>
      <c r="AA779" s="41"/>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row>
    <row r="780">
      <c r="A780" s="27"/>
      <c r="B780" s="124"/>
      <c r="C780" s="27"/>
      <c r="D780" s="27"/>
      <c r="E780" s="27"/>
      <c r="F780" s="27"/>
      <c r="G780" s="27"/>
      <c r="H780" s="27"/>
      <c r="I780" s="27"/>
      <c r="J780" s="27"/>
      <c r="K780" s="27"/>
      <c r="L780" s="27"/>
      <c r="M780" s="27"/>
      <c r="N780" s="27"/>
      <c r="O780" s="43"/>
      <c r="P780" s="27"/>
      <c r="Q780" s="27"/>
      <c r="R780" s="43"/>
      <c r="S780" s="27"/>
      <c r="T780" s="27"/>
      <c r="U780" s="27"/>
      <c r="V780" s="27"/>
      <c r="W780" s="27"/>
      <c r="X780" s="43"/>
      <c r="Y780" s="27"/>
      <c r="Z780" s="27"/>
      <c r="AA780" s="41"/>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row>
    <row r="781">
      <c r="A781" s="27"/>
      <c r="B781" s="124"/>
      <c r="C781" s="27"/>
      <c r="D781" s="27"/>
      <c r="E781" s="27"/>
      <c r="F781" s="27"/>
      <c r="G781" s="27"/>
      <c r="H781" s="27"/>
      <c r="I781" s="27"/>
      <c r="J781" s="27"/>
      <c r="K781" s="27"/>
      <c r="L781" s="27"/>
      <c r="M781" s="27"/>
      <c r="N781" s="27"/>
      <c r="O781" s="43"/>
      <c r="P781" s="27"/>
      <c r="Q781" s="27"/>
      <c r="R781" s="43"/>
      <c r="S781" s="27"/>
      <c r="T781" s="27"/>
      <c r="U781" s="27"/>
      <c r="V781" s="27"/>
      <c r="W781" s="27"/>
      <c r="X781" s="43"/>
      <c r="Y781" s="27"/>
      <c r="Z781" s="27"/>
      <c r="AA781" s="41"/>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row>
    <row r="782">
      <c r="A782" s="27"/>
      <c r="B782" s="124"/>
      <c r="C782" s="27"/>
      <c r="D782" s="27"/>
      <c r="E782" s="27"/>
      <c r="F782" s="27"/>
      <c r="G782" s="27"/>
      <c r="H782" s="27"/>
      <c r="I782" s="27"/>
      <c r="J782" s="27"/>
      <c r="K782" s="27"/>
      <c r="L782" s="27"/>
      <c r="M782" s="27"/>
      <c r="N782" s="27"/>
      <c r="O782" s="43"/>
      <c r="P782" s="27"/>
      <c r="Q782" s="27"/>
      <c r="R782" s="43"/>
      <c r="S782" s="27"/>
      <c r="T782" s="27"/>
      <c r="U782" s="27"/>
      <c r="V782" s="27"/>
      <c r="W782" s="27"/>
      <c r="X782" s="43"/>
      <c r="Y782" s="27"/>
      <c r="Z782" s="27"/>
      <c r="AA782" s="41"/>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row>
    <row r="783">
      <c r="A783" s="27"/>
      <c r="B783" s="124"/>
      <c r="C783" s="27"/>
      <c r="D783" s="27"/>
      <c r="E783" s="27"/>
      <c r="F783" s="27"/>
      <c r="G783" s="27"/>
      <c r="H783" s="27"/>
      <c r="I783" s="27"/>
      <c r="J783" s="27"/>
      <c r="K783" s="27"/>
      <c r="L783" s="27"/>
      <c r="M783" s="27"/>
      <c r="N783" s="27"/>
      <c r="O783" s="43"/>
      <c r="P783" s="27"/>
      <c r="Q783" s="27"/>
      <c r="R783" s="43"/>
      <c r="S783" s="27"/>
      <c r="T783" s="27"/>
      <c r="U783" s="27"/>
      <c r="V783" s="27"/>
      <c r="W783" s="27"/>
      <c r="X783" s="43"/>
      <c r="Y783" s="27"/>
      <c r="Z783" s="27"/>
      <c r="AA783" s="41"/>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row>
    <row r="784">
      <c r="A784" s="27"/>
      <c r="B784" s="124"/>
      <c r="C784" s="27"/>
      <c r="D784" s="27"/>
      <c r="E784" s="27"/>
      <c r="F784" s="27"/>
      <c r="G784" s="27"/>
      <c r="H784" s="27"/>
      <c r="I784" s="27"/>
      <c r="J784" s="27"/>
      <c r="K784" s="27"/>
      <c r="L784" s="27"/>
      <c r="M784" s="27"/>
      <c r="N784" s="27"/>
      <c r="O784" s="43"/>
      <c r="P784" s="27"/>
      <c r="Q784" s="27"/>
      <c r="R784" s="43"/>
      <c r="S784" s="27"/>
      <c r="T784" s="27"/>
      <c r="U784" s="27"/>
      <c r="V784" s="27"/>
      <c r="W784" s="27"/>
      <c r="X784" s="43"/>
      <c r="Y784" s="27"/>
      <c r="Z784" s="27"/>
      <c r="AA784" s="41"/>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row>
    <row r="785">
      <c r="A785" s="27"/>
      <c r="B785" s="124"/>
      <c r="C785" s="27"/>
      <c r="D785" s="27"/>
      <c r="E785" s="27"/>
      <c r="F785" s="27"/>
      <c r="G785" s="27"/>
      <c r="H785" s="27"/>
      <c r="I785" s="27"/>
      <c r="J785" s="27"/>
      <c r="K785" s="27"/>
      <c r="L785" s="27"/>
      <c r="M785" s="27"/>
      <c r="N785" s="27"/>
      <c r="O785" s="43"/>
      <c r="P785" s="27"/>
      <c r="Q785" s="27"/>
      <c r="R785" s="43"/>
      <c r="S785" s="27"/>
      <c r="T785" s="27"/>
      <c r="U785" s="27"/>
      <c r="V785" s="27"/>
      <c r="W785" s="27"/>
      <c r="X785" s="43"/>
      <c r="Y785" s="27"/>
      <c r="Z785" s="27"/>
      <c r="AA785" s="41"/>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row>
    <row r="786">
      <c r="A786" s="27"/>
      <c r="B786" s="124"/>
      <c r="C786" s="27"/>
      <c r="D786" s="27"/>
      <c r="E786" s="27"/>
      <c r="F786" s="27"/>
      <c r="G786" s="27"/>
      <c r="H786" s="27"/>
      <c r="I786" s="27"/>
      <c r="J786" s="27"/>
      <c r="K786" s="27"/>
      <c r="L786" s="27"/>
      <c r="M786" s="27"/>
      <c r="N786" s="27"/>
      <c r="O786" s="43"/>
      <c r="P786" s="27"/>
      <c r="Q786" s="27"/>
      <c r="R786" s="43"/>
      <c r="S786" s="27"/>
      <c r="T786" s="27"/>
      <c r="U786" s="27"/>
      <c r="V786" s="27"/>
      <c r="W786" s="27"/>
      <c r="X786" s="43"/>
      <c r="Y786" s="27"/>
      <c r="Z786" s="27"/>
      <c r="AA786" s="41"/>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row>
    <row r="787">
      <c r="A787" s="27"/>
      <c r="B787" s="124"/>
      <c r="C787" s="27"/>
      <c r="D787" s="27"/>
      <c r="E787" s="27"/>
      <c r="F787" s="27"/>
      <c r="G787" s="27"/>
      <c r="H787" s="27"/>
      <c r="I787" s="27"/>
      <c r="J787" s="27"/>
      <c r="K787" s="27"/>
      <c r="L787" s="27"/>
      <c r="M787" s="27"/>
      <c r="N787" s="27"/>
      <c r="O787" s="43"/>
      <c r="P787" s="27"/>
      <c r="Q787" s="27"/>
      <c r="R787" s="43"/>
      <c r="S787" s="27"/>
      <c r="T787" s="27"/>
      <c r="U787" s="27"/>
      <c r="V787" s="27"/>
      <c r="W787" s="27"/>
      <c r="X787" s="43"/>
      <c r="Y787" s="27"/>
      <c r="Z787" s="27"/>
      <c r="AA787" s="41"/>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row>
    <row r="788">
      <c r="A788" s="27"/>
      <c r="B788" s="124"/>
      <c r="C788" s="27"/>
      <c r="D788" s="27"/>
      <c r="E788" s="27"/>
      <c r="F788" s="27"/>
      <c r="G788" s="27"/>
      <c r="H788" s="27"/>
      <c r="I788" s="27"/>
      <c r="J788" s="27"/>
      <c r="K788" s="27"/>
      <c r="L788" s="27"/>
      <c r="M788" s="27"/>
      <c r="N788" s="27"/>
      <c r="O788" s="43"/>
      <c r="P788" s="27"/>
      <c r="Q788" s="27"/>
      <c r="R788" s="43"/>
      <c r="S788" s="27"/>
      <c r="T788" s="27"/>
      <c r="U788" s="27"/>
      <c r="V788" s="27"/>
      <c r="W788" s="27"/>
      <c r="X788" s="43"/>
      <c r="Y788" s="27"/>
      <c r="Z788" s="27"/>
      <c r="AA788" s="41"/>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row>
    <row r="789">
      <c r="A789" s="27"/>
      <c r="B789" s="124"/>
      <c r="C789" s="27"/>
      <c r="D789" s="27"/>
      <c r="E789" s="27"/>
      <c r="F789" s="27"/>
      <c r="G789" s="27"/>
      <c r="H789" s="27"/>
      <c r="I789" s="27"/>
      <c r="J789" s="27"/>
      <c r="K789" s="27"/>
      <c r="L789" s="27"/>
      <c r="M789" s="27"/>
      <c r="N789" s="27"/>
      <c r="O789" s="43"/>
      <c r="P789" s="27"/>
      <c r="Q789" s="27"/>
      <c r="R789" s="43"/>
      <c r="S789" s="27"/>
      <c r="T789" s="27"/>
      <c r="U789" s="27"/>
      <c r="V789" s="27"/>
      <c r="W789" s="27"/>
      <c r="X789" s="43"/>
      <c r="Y789" s="27"/>
      <c r="Z789" s="27"/>
      <c r="AA789" s="41"/>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row>
    <row r="790">
      <c r="A790" s="27"/>
      <c r="B790" s="124"/>
      <c r="C790" s="27"/>
      <c r="D790" s="27"/>
      <c r="E790" s="27"/>
      <c r="F790" s="27"/>
      <c r="G790" s="27"/>
      <c r="H790" s="27"/>
      <c r="I790" s="27"/>
      <c r="J790" s="27"/>
      <c r="K790" s="27"/>
      <c r="L790" s="27"/>
      <c r="M790" s="27"/>
      <c r="N790" s="27"/>
      <c r="O790" s="43"/>
      <c r="P790" s="27"/>
      <c r="Q790" s="27"/>
      <c r="R790" s="43"/>
      <c r="S790" s="27"/>
      <c r="T790" s="27"/>
      <c r="U790" s="27"/>
      <c r="V790" s="27"/>
      <c r="W790" s="27"/>
      <c r="X790" s="43"/>
      <c r="Y790" s="27"/>
      <c r="Z790" s="27"/>
      <c r="AA790" s="41"/>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row>
    <row r="791">
      <c r="A791" s="27"/>
      <c r="B791" s="124"/>
      <c r="C791" s="27"/>
      <c r="D791" s="27"/>
      <c r="E791" s="27"/>
      <c r="F791" s="27"/>
      <c r="G791" s="27"/>
      <c r="H791" s="27"/>
      <c r="I791" s="27"/>
      <c r="J791" s="27"/>
      <c r="K791" s="27"/>
      <c r="L791" s="27"/>
      <c r="M791" s="27"/>
      <c r="N791" s="27"/>
      <c r="O791" s="43"/>
      <c r="P791" s="27"/>
      <c r="Q791" s="27"/>
      <c r="R791" s="43"/>
      <c r="S791" s="27"/>
      <c r="T791" s="27"/>
      <c r="U791" s="27"/>
      <c r="V791" s="27"/>
      <c r="W791" s="27"/>
      <c r="X791" s="43"/>
      <c r="Y791" s="27"/>
      <c r="Z791" s="27"/>
      <c r="AA791" s="41"/>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row>
    <row r="792">
      <c r="A792" s="27"/>
      <c r="B792" s="124"/>
      <c r="C792" s="27"/>
      <c r="D792" s="27"/>
      <c r="E792" s="27"/>
      <c r="F792" s="27"/>
      <c r="G792" s="27"/>
      <c r="H792" s="27"/>
      <c r="I792" s="27"/>
      <c r="J792" s="27"/>
      <c r="K792" s="27"/>
      <c r="L792" s="27"/>
      <c r="M792" s="27"/>
      <c r="N792" s="27"/>
      <c r="O792" s="43"/>
      <c r="P792" s="27"/>
      <c r="Q792" s="27"/>
      <c r="R792" s="43"/>
      <c r="S792" s="27"/>
      <c r="T792" s="27"/>
      <c r="U792" s="27"/>
      <c r="V792" s="27"/>
      <c r="W792" s="27"/>
      <c r="X792" s="43"/>
      <c r="Y792" s="27"/>
      <c r="Z792" s="27"/>
      <c r="AA792" s="41"/>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row>
    <row r="793">
      <c r="A793" s="27"/>
      <c r="B793" s="124"/>
      <c r="C793" s="27"/>
      <c r="D793" s="27"/>
      <c r="E793" s="27"/>
      <c r="F793" s="27"/>
      <c r="G793" s="27"/>
      <c r="H793" s="27"/>
      <c r="I793" s="27"/>
      <c r="J793" s="27"/>
      <c r="K793" s="27"/>
      <c r="L793" s="27"/>
      <c r="M793" s="27"/>
      <c r="N793" s="27"/>
      <c r="O793" s="43"/>
      <c r="P793" s="27"/>
      <c r="Q793" s="27"/>
      <c r="R793" s="43"/>
      <c r="S793" s="27"/>
      <c r="T793" s="27"/>
      <c r="U793" s="27"/>
      <c r="V793" s="27"/>
      <c r="W793" s="27"/>
      <c r="X793" s="43"/>
      <c r="Y793" s="27"/>
      <c r="Z793" s="27"/>
      <c r="AA793" s="41"/>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row>
    <row r="794">
      <c r="A794" s="27"/>
      <c r="B794" s="124"/>
      <c r="C794" s="27"/>
      <c r="D794" s="27"/>
      <c r="E794" s="27"/>
      <c r="F794" s="27"/>
      <c r="G794" s="27"/>
      <c r="H794" s="27"/>
      <c r="I794" s="27"/>
      <c r="J794" s="27"/>
      <c r="K794" s="27"/>
      <c r="L794" s="27"/>
      <c r="M794" s="27"/>
      <c r="N794" s="27"/>
      <c r="O794" s="43"/>
      <c r="P794" s="27"/>
      <c r="Q794" s="27"/>
      <c r="R794" s="43"/>
      <c r="S794" s="27"/>
      <c r="T794" s="27"/>
      <c r="U794" s="27"/>
      <c r="V794" s="27"/>
      <c r="W794" s="27"/>
      <c r="X794" s="43"/>
      <c r="Y794" s="27"/>
      <c r="Z794" s="27"/>
      <c r="AA794" s="41"/>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row>
    <row r="795">
      <c r="A795" s="27"/>
      <c r="B795" s="124"/>
      <c r="C795" s="27"/>
      <c r="D795" s="27"/>
      <c r="E795" s="27"/>
      <c r="F795" s="27"/>
      <c r="G795" s="27"/>
      <c r="H795" s="27"/>
      <c r="I795" s="27"/>
      <c r="J795" s="27"/>
      <c r="K795" s="27"/>
      <c r="L795" s="27"/>
      <c r="M795" s="27"/>
      <c r="N795" s="27"/>
      <c r="O795" s="43"/>
      <c r="P795" s="27"/>
      <c r="Q795" s="27"/>
      <c r="R795" s="43"/>
      <c r="S795" s="27"/>
      <c r="T795" s="27"/>
      <c r="U795" s="27"/>
      <c r="V795" s="27"/>
      <c r="W795" s="27"/>
      <c r="X795" s="43"/>
      <c r="Y795" s="27"/>
      <c r="Z795" s="27"/>
      <c r="AA795" s="41"/>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row>
    <row r="796">
      <c r="A796" s="27"/>
      <c r="B796" s="124"/>
      <c r="C796" s="27"/>
      <c r="D796" s="27"/>
      <c r="E796" s="27"/>
      <c r="F796" s="27"/>
      <c r="G796" s="27"/>
      <c r="H796" s="27"/>
      <c r="I796" s="27"/>
      <c r="J796" s="27"/>
      <c r="K796" s="27"/>
      <c r="L796" s="27"/>
      <c r="M796" s="27"/>
      <c r="N796" s="27"/>
      <c r="O796" s="43"/>
      <c r="P796" s="27"/>
      <c r="Q796" s="27"/>
      <c r="R796" s="43"/>
      <c r="S796" s="27"/>
      <c r="T796" s="27"/>
      <c r="U796" s="27"/>
      <c r="V796" s="27"/>
      <c r="W796" s="27"/>
      <c r="X796" s="43"/>
      <c r="Y796" s="27"/>
      <c r="Z796" s="27"/>
      <c r="AA796" s="41"/>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row>
    <row r="797">
      <c r="A797" s="27"/>
      <c r="B797" s="124"/>
      <c r="C797" s="27"/>
      <c r="D797" s="27"/>
      <c r="E797" s="27"/>
      <c r="F797" s="27"/>
      <c r="G797" s="27"/>
      <c r="H797" s="27"/>
      <c r="I797" s="27"/>
      <c r="J797" s="27"/>
      <c r="K797" s="27"/>
      <c r="L797" s="27"/>
      <c r="M797" s="27"/>
      <c r="N797" s="27"/>
      <c r="O797" s="43"/>
      <c r="P797" s="27"/>
      <c r="Q797" s="27"/>
      <c r="R797" s="43"/>
      <c r="S797" s="27"/>
      <c r="T797" s="27"/>
      <c r="U797" s="27"/>
      <c r="V797" s="27"/>
      <c r="W797" s="27"/>
      <c r="X797" s="43"/>
      <c r="Y797" s="27"/>
      <c r="Z797" s="27"/>
      <c r="AA797" s="41"/>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row>
    <row r="798">
      <c r="A798" s="27"/>
      <c r="B798" s="124"/>
      <c r="C798" s="27"/>
      <c r="D798" s="27"/>
      <c r="E798" s="27"/>
      <c r="F798" s="27"/>
      <c r="G798" s="27"/>
      <c r="H798" s="27"/>
      <c r="I798" s="27"/>
      <c r="J798" s="27"/>
      <c r="K798" s="27"/>
      <c r="L798" s="27"/>
      <c r="M798" s="27"/>
      <c r="N798" s="27"/>
      <c r="O798" s="43"/>
      <c r="P798" s="27"/>
      <c r="Q798" s="27"/>
      <c r="R798" s="43"/>
      <c r="S798" s="27"/>
      <c r="T798" s="27"/>
      <c r="U798" s="27"/>
      <c r="V798" s="27"/>
      <c r="W798" s="27"/>
      <c r="X798" s="43"/>
      <c r="Y798" s="27"/>
      <c r="Z798" s="27"/>
      <c r="AA798" s="41"/>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row>
    <row r="799">
      <c r="A799" s="27"/>
      <c r="B799" s="124"/>
      <c r="C799" s="27"/>
      <c r="D799" s="27"/>
      <c r="E799" s="27"/>
      <c r="F799" s="27"/>
      <c r="G799" s="27"/>
      <c r="H799" s="27"/>
      <c r="I799" s="27"/>
      <c r="J799" s="27"/>
      <c r="K799" s="27"/>
      <c r="L799" s="27"/>
      <c r="M799" s="27"/>
      <c r="N799" s="27"/>
      <c r="O799" s="43"/>
      <c r="P799" s="27"/>
      <c r="Q799" s="27"/>
      <c r="R799" s="43"/>
      <c r="S799" s="27"/>
      <c r="T799" s="27"/>
      <c r="U799" s="27"/>
      <c r="V799" s="27"/>
      <c r="W799" s="27"/>
      <c r="X799" s="43"/>
      <c r="Y799" s="27"/>
      <c r="Z799" s="27"/>
      <c r="AA799" s="41"/>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row>
    <row r="800">
      <c r="A800" s="27"/>
      <c r="B800" s="124"/>
      <c r="C800" s="27"/>
      <c r="D800" s="27"/>
      <c r="E800" s="27"/>
      <c r="F800" s="27"/>
      <c r="G800" s="27"/>
      <c r="H800" s="27"/>
      <c r="I800" s="27"/>
      <c r="J800" s="27"/>
      <c r="K800" s="27"/>
      <c r="L800" s="27"/>
      <c r="M800" s="27"/>
      <c r="N800" s="27"/>
      <c r="O800" s="43"/>
      <c r="P800" s="27"/>
      <c r="Q800" s="27"/>
      <c r="R800" s="43"/>
      <c r="S800" s="27"/>
      <c r="T800" s="27"/>
      <c r="U800" s="27"/>
      <c r="V800" s="27"/>
      <c r="W800" s="27"/>
      <c r="X800" s="43"/>
      <c r="Y800" s="27"/>
      <c r="Z800" s="27"/>
      <c r="AA800" s="41"/>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row>
    <row r="801">
      <c r="A801" s="27"/>
      <c r="B801" s="124"/>
      <c r="C801" s="27"/>
      <c r="D801" s="27"/>
      <c r="E801" s="27"/>
      <c r="F801" s="27"/>
      <c r="G801" s="27"/>
      <c r="H801" s="27"/>
      <c r="I801" s="27"/>
      <c r="J801" s="27"/>
      <c r="K801" s="27"/>
      <c r="L801" s="27"/>
      <c r="M801" s="27"/>
      <c r="N801" s="27"/>
      <c r="O801" s="43"/>
      <c r="P801" s="27"/>
      <c r="Q801" s="27"/>
      <c r="R801" s="43"/>
      <c r="S801" s="27"/>
      <c r="T801" s="27"/>
      <c r="U801" s="27"/>
      <c r="V801" s="27"/>
      <c r="W801" s="27"/>
      <c r="X801" s="43"/>
      <c r="Y801" s="27"/>
      <c r="Z801" s="27"/>
      <c r="AA801" s="41"/>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row>
    <row r="802">
      <c r="A802" s="27"/>
      <c r="B802" s="124"/>
      <c r="C802" s="27"/>
      <c r="D802" s="27"/>
      <c r="E802" s="27"/>
      <c r="F802" s="27"/>
      <c r="G802" s="27"/>
      <c r="H802" s="27"/>
      <c r="I802" s="27"/>
      <c r="J802" s="27"/>
      <c r="K802" s="27"/>
      <c r="L802" s="27"/>
      <c r="M802" s="27"/>
      <c r="N802" s="27"/>
      <c r="O802" s="43"/>
      <c r="P802" s="27"/>
      <c r="Q802" s="27"/>
      <c r="R802" s="43"/>
      <c r="S802" s="27"/>
      <c r="T802" s="27"/>
      <c r="U802" s="27"/>
      <c r="V802" s="27"/>
      <c r="W802" s="27"/>
      <c r="X802" s="43"/>
      <c r="Y802" s="27"/>
      <c r="Z802" s="27"/>
      <c r="AA802" s="41"/>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row>
    <row r="803">
      <c r="A803" s="27"/>
      <c r="B803" s="124"/>
      <c r="C803" s="27"/>
      <c r="D803" s="27"/>
      <c r="E803" s="27"/>
      <c r="F803" s="27"/>
      <c r="G803" s="27"/>
      <c r="H803" s="27"/>
      <c r="I803" s="27"/>
      <c r="J803" s="27"/>
      <c r="K803" s="27"/>
      <c r="L803" s="27"/>
      <c r="M803" s="27"/>
      <c r="N803" s="27"/>
      <c r="O803" s="43"/>
      <c r="P803" s="27"/>
      <c r="Q803" s="27"/>
      <c r="R803" s="43"/>
      <c r="S803" s="27"/>
      <c r="T803" s="27"/>
      <c r="U803" s="27"/>
      <c r="V803" s="27"/>
      <c r="W803" s="27"/>
      <c r="X803" s="43"/>
      <c r="Y803" s="27"/>
      <c r="Z803" s="27"/>
      <c r="AA803" s="41"/>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row>
    <row r="804">
      <c r="A804" s="27"/>
      <c r="B804" s="124"/>
      <c r="C804" s="27"/>
      <c r="D804" s="27"/>
      <c r="E804" s="27"/>
      <c r="F804" s="27"/>
      <c r="G804" s="27"/>
      <c r="H804" s="27"/>
      <c r="I804" s="27"/>
      <c r="J804" s="27"/>
      <c r="K804" s="27"/>
      <c r="L804" s="27"/>
      <c r="M804" s="27"/>
      <c r="N804" s="27"/>
      <c r="O804" s="43"/>
      <c r="P804" s="27"/>
      <c r="Q804" s="27"/>
      <c r="R804" s="43"/>
      <c r="S804" s="27"/>
      <c r="T804" s="27"/>
      <c r="U804" s="27"/>
      <c r="V804" s="27"/>
      <c r="W804" s="27"/>
      <c r="X804" s="43"/>
      <c r="Y804" s="27"/>
      <c r="Z804" s="27"/>
      <c r="AA804" s="41"/>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row>
    <row r="805">
      <c r="A805" s="27"/>
      <c r="B805" s="124"/>
      <c r="C805" s="27"/>
      <c r="D805" s="27"/>
      <c r="E805" s="27"/>
      <c r="F805" s="27"/>
      <c r="G805" s="27"/>
      <c r="H805" s="27"/>
      <c r="I805" s="27"/>
      <c r="J805" s="27"/>
      <c r="K805" s="27"/>
      <c r="L805" s="27"/>
      <c r="M805" s="27"/>
      <c r="N805" s="27"/>
      <c r="O805" s="43"/>
      <c r="P805" s="27"/>
      <c r="Q805" s="27"/>
      <c r="R805" s="43"/>
      <c r="S805" s="27"/>
      <c r="T805" s="27"/>
      <c r="U805" s="27"/>
      <c r="V805" s="27"/>
      <c r="W805" s="27"/>
      <c r="X805" s="43"/>
      <c r="Y805" s="27"/>
      <c r="Z805" s="27"/>
      <c r="AA805" s="41"/>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row>
    <row r="806">
      <c r="A806" s="27"/>
      <c r="B806" s="124"/>
      <c r="C806" s="27"/>
      <c r="D806" s="27"/>
      <c r="E806" s="27"/>
      <c r="F806" s="27"/>
      <c r="G806" s="27"/>
      <c r="H806" s="27"/>
      <c r="I806" s="27"/>
      <c r="J806" s="27"/>
      <c r="K806" s="27"/>
      <c r="L806" s="27"/>
      <c r="M806" s="27"/>
      <c r="N806" s="27"/>
      <c r="O806" s="43"/>
      <c r="P806" s="27"/>
      <c r="Q806" s="27"/>
      <c r="R806" s="43"/>
      <c r="S806" s="27"/>
      <c r="T806" s="27"/>
      <c r="U806" s="27"/>
      <c r="V806" s="27"/>
      <c r="W806" s="27"/>
      <c r="X806" s="43"/>
      <c r="Y806" s="27"/>
      <c r="Z806" s="27"/>
      <c r="AA806" s="41"/>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row>
    <row r="807">
      <c r="A807" s="27"/>
      <c r="B807" s="124"/>
      <c r="C807" s="27"/>
      <c r="D807" s="27"/>
      <c r="E807" s="27"/>
      <c r="F807" s="27"/>
      <c r="G807" s="27"/>
      <c r="H807" s="27"/>
      <c r="I807" s="27"/>
      <c r="J807" s="27"/>
      <c r="K807" s="27"/>
      <c r="L807" s="27"/>
      <c r="M807" s="27"/>
      <c r="N807" s="27"/>
      <c r="O807" s="43"/>
      <c r="P807" s="27"/>
      <c r="Q807" s="27"/>
      <c r="R807" s="43"/>
      <c r="S807" s="27"/>
      <c r="T807" s="27"/>
      <c r="U807" s="27"/>
      <c r="V807" s="27"/>
      <c r="W807" s="27"/>
      <c r="X807" s="43"/>
      <c r="Y807" s="27"/>
      <c r="Z807" s="27"/>
      <c r="AA807" s="41"/>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row>
    <row r="808">
      <c r="A808" s="27"/>
      <c r="B808" s="124"/>
      <c r="C808" s="27"/>
      <c r="D808" s="27"/>
      <c r="E808" s="27"/>
      <c r="F808" s="27"/>
      <c r="G808" s="27"/>
      <c r="H808" s="27"/>
      <c r="I808" s="27"/>
      <c r="J808" s="27"/>
      <c r="K808" s="27"/>
      <c r="L808" s="27"/>
      <c r="M808" s="27"/>
      <c r="N808" s="27"/>
      <c r="O808" s="43"/>
      <c r="P808" s="27"/>
      <c r="Q808" s="27"/>
      <c r="R808" s="43"/>
      <c r="S808" s="27"/>
      <c r="T808" s="27"/>
      <c r="U808" s="27"/>
      <c r="V808" s="27"/>
      <c r="W808" s="27"/>
      <c r="X808" s="43"/>
      <c r="Y808" s="27"/>
      <c r="Z808" s="27"/>
      <c r="AA808" s="41"/>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row>
    <row r="809">
      <c r="A809" s="27"/>
      <c r="B809" s="124"/>
      <c r="C809" s="27"/>
      <c r="D809" s="27"/>
      <c r="E809" s="27"/>
      <c r="F809" s="27"/>
      <c r="G809" s="27"/>
      <c r="H809" s="27"/>
      <c r="I809" s="27"/>
      <c r="J809" s="27"/>
      <c r="K809" s="27"/>
      <c r="L809" s="27"/>
      <c r="M809" s="27"/>
      <c r="N809" s="27"/>
      <c r="O809" s="43"/>
      <c r="P809" s="27"/>
      <c r="Q809" s="27"/>
      <c r="R809" s="43"/>
      <c r="S809" s="27"/>
      <c r="T809" s="27"/>
      <c r="U809" s="27"/>
      <c r="V809" s="27"/>
      <c r="W809" s="27"/>
      <c r="X809" s="43"/>
      <c r="Y809" s="27"/>
      <c r="Z809" s="27"/>
      <c r="AA809" s="41"/>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row>
    <row r="810">
      <c r="A810" s="27"/>
      <c r="B810" s="124"/>
      <c r="C810" s="27"/>
      <c r="D810" s="27"/>
      <c r="E810" s="27"/>
      <c r="F810" s="27"/>
      <c r="G810" s="27"/>
      <c r="H810" s="27"/>
      <c r="I810" s="27"/>
      <c r="J810" s="27"/>
      <c r="K810" s="27"/>
      <c r="L810" s="27"/>
      <c r="M810" s="27"/>
      <c r="N810" s="27"/>
      <c r="O810" s="43"/>
      <c r="P810" s="27"/>
      <c r="Q810" s="27"/>
      <c r="R810" s="43"/>
      <c r="S810" s="27"/>
      <c r="T810" s="27"/>
      <c r="U810" s="27"/>
      <c r="V810" s="27"/>
      <c r="W810" s="27"/>
      <c r="X810" s="43"/>
      <c r="Y810" s="27"/>
      <c r="Z810" s="27"/>
      <c r="AA810" s="41"/>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row>
    <row r="811">
      <c r="A811" s="27"/>
      <c r="B811" s="124"/>
      <c r="C811" s="27"/>
      <c r="D811" s="27"/>
      <c r="E811" s="27"/>
      <c r="F811" s="27"/>
      <c r="G811" s="27"/>
      <c r="H811" s="27"/>
      <c r="I811" s="27"/>
      <c r="J811" s="27"/>
      <c r="K811" s="27"/>
      <c r="L811" s="27"/>
      <c r="M811" s="27"/>
      <c r="N811" s="27"/>
      <c r="O811" s="43"/>
      <c r="P811" s="27"/>
      <c r="Q811" s="27"/>
      <c r="R811" s="43"/>
      <c r="S811" s="27"/>
      <c r="T811" s="27"/>
      <c r="U811" s="27"/>
      <c r="V811" s="27"/>
      <c r="W811" s="27"/>
      <c r="X811" s="43"/>
      <c r="Y811" s="27"/>
      <c r="Z811" s="27"/>
      <c r="AA811" s="41"/>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row>
    <row r="812">
      <c r="A812" s="27"/>
      <c r="B812" s="124"/>
      <c r="C812" s="27"/>
      <c r="D812" s="27"/>
      <c r="E812" s="27"/>
      <c r="F812" s="27"/>
      <c r="G812" s="27"/>
      <c r="H812" s="27"/>
      <c r="I812" s="27"/>
      <c r="J812" s="27"/>
      <c r="K812" s="27"/>
      <c r="L812" s="27"/>
      <c r="M812" s="27"/>
      <c r="N812" s="27"/>
      <c r="O812" s="43"/>
      <c r="P812" s="27"/>
      <c r="Q812" s="27"/>
      <c r="R812" s="43"/>
      <c r="S812" s="27"/>
      <c r="T812" s="27"/>
      <c r="U812" s="27"/>
      <c r="V812" s="27"/>
      <c r="W812" s="27"/>
      <c r="X812" s="43"/>
      <c r="Y812" s="27"/>
      <c r="Z812" s="27"/>
      <c r="AA812" s="41"/>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row>
    <row r="813">
      <c r="A813" s="27"/>
      <c r="B813" s="124"/>
      <c r="C813" s="27"/>
      <c r="D813" s="27"/>
      <c r="E813" s="27"/>
      <c r="F813" s="27"/>
      <c r="G813" s="27"/>
      <c r="H813" s="27"/>
      <c r="I813" s="27"/>
      <c r="J813" s="27"/>
      <c r="K813" s="27"/>
      <c r="L813" s="27"/>
      <c r="M813" s="27"/>
      <c r="N813" s="27"/>
      <c r="O813" s="43"/>
      <c r="P813" s="27"/>
      <c r="Q813" s="27"/>
      <c r="R813" s="43"/>
      <c r="S813" s="27"/>
      <c r="T813" s="27"/>
      <c r="U813" s="27"/>
      <c r="V813" s="27"/>
      <c r="W813" s="27"/>
      <c r="X813" s="43"/>
      <c r="Y813" s="27"/>
      <c r="Z813" s="27"/>
      <c r="AA813" s="41"/>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row>
    <row r="814">
      <c r="A814" s="27"/>
      <c r="B814" s="124"/>
      <c r="C814" s="27"/>
      <c r="D814" s="27"/>
      <c r="E814" s="27"/>
      <c r="F814" s="27"/>
      <c r="G814" s="27"/>
      <c r="H814" s="27"/>
      <c r="I814" s="27"/>
      <c r="J814" s="27"/>
      <c r="K814" s="27"/>
      <c r="L814" s="27"/>
      <c r="M814" s="27"/>
      <c r="N814" s="27"/>
      <c r="O814" s="43"/>
      <c r="P814" s="27"/>
      <c r="Q814" s="27"/>
      <c r="R814" s="43"/>
      <c r="S814" s="27"/>
      <c r="T814" s="27"/>
      <c r="U814" s="27"/>
      <c r="V814" s="27"/>
      <c r="W814" s="27"/>
      <c r="X814" s="43"/>
      <c r="Y814" s="27"/>
      <c r="Z814" s="27"/>
      <c r="AA814" s="41"/>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row>
    <row r="815">
      <c r="A815" s="27"/>
      <c r="B815" s="124"/>
      <c r="C815" s="27"/>
      <c r="D815" s="27"/>
      <c r="E815" s="27"/>
      <c r="F815" s="27"/>
      <c r="G815" s="27"/>
      <c r="H815" s="27"/>
      <c r="I815" s="27"/>
      <c r="J815" s="27"/>
      <c r="K815" s="27"/>
      <c r="L815" s="27"/>
      <c r="M815" s="27"/>
      <c r="N815" s="27"/>
      <c r="O815" s="43"/>
      <c r="P815" s="27"/>
      <c r="Q815" s="27"/>
      <c r="R815" s="43"/>
      <c r="S815" s="27"/>
      <c r="T815" s="27"/>
      <c r="U815" s="27"/>
      <c r="V815" s="27"/>
      <c r="W815" s="27"/>
      <c r="X815" s="43"/>
      <c r="Y815" s="27"/>
      <c r="Z815" s="27"/>
      <c r="AA815" s="41"/>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row>
    <row r="816">
      <c r="A816" s="27"/>
      <c r="B816" s="124"/>
      <c r="C816" s="27"/>
      <c r="D816" s="27"/>
      <c r="E816" s="27"/>
      <c r="F816" s="27"/>
      <c r="G816" s="27"/>
      <c r="H816" s="27"/>
      <c r="I816" s="27"/>
      <c r="J816" s="27"/>
      <c r="K816" s="27"/>
      <c r="L816" s="27"/>
      <c r="M816" s="27"/>
      <c r="N816" s="27"/>
      <c r="O816" s="43"/>
      <c r="P816" s="27"/>
      <c r="Q816" s="27"/>
      <c r="R816" s="43"/>
      <c r="S816" s="27"/>
      <c r="T816" s="27"/>
      <c r="U816" s="27"/>
      <c r="V816" s="27"/>
      <c r="W816" s="27"/>
      <c r="X816" s="43"/>
      <c r="Y816" s="27"/>
      <c r="Z816" s="27"/>
      <c r="AA816" s="41"/>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row>
    <row r="817">
      <c r="A817" s="27"/>
      <c r="B817" s="124"/>
      <c r="C817" s="27"/>
      <c r="D817" s="27"/>
      <c r="E817" s="27"/>
      <c r="F817" s="27"/>
      <c r="G817" s="27"/>
      <c r="H817" s="27"/>
      <c r="I817" s="27"/>
      <c r="J817" s="27"/>
      <c r="K817" s="27"/>
      <c r="L817" s="27"/>
      <c r="M817" s="27"/>
      <c r="N817" s="27"/>
      <c r="O817" s="43"/>
      <c r="P817" s="27"/>
      <c r="Q817" s="27"/>
      <c r="R817" s="43"/>
      <c r="S817" s="27"/>
      <c r="T817" s="27"/>
      <c r="U817" s="27"/>
      <c r="V817" s="27"/>
      <c r="W817" s="27"/>
      <c r="X817" s="43"/>
      <c r="Y817" s="27"/>
      <c r="Z817" s="27"/>
      <c r="AA817" s="41"/>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row>
    <row r="818">
      <c r="A818" s="27"/>
      <c r="B818" s="124"/>
      <c r="C818" s="27"/>
      <c r="D818" s="27"/>
      <c r="E818" s="27"/>
      <c r="F818" s="27"/>
      <c r="G818" s="27"/>
      <c r="H818" s="27"/>
      <c r="I818" s="27"/>
      <c r="J818" s="27"/>
      <c r="K818" s="27"/>
      <c r="L818" s="27"/>
      <c r="M818" s="27"/>
      <c r="N818" s="27"/>
      <c r="O818" s="43"/>
      <c r="P818" s="27"/>
      <c r="Q818" s="27"/>
      <c r="R818" s="43"/>
      <c r="S818" s="27"/>
      <c r="T818" s="27"/>
      <c r="U818" s="27"/>
      <c r="V818" s="27"/>
      <c r="W818" s="27"/>
      <c r="X818" s="43"/>
      <c r="Y818" s="27"/>
      <c r="Z818" s="27"/>
      <c r="AA818" s="41"/>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row>
    <row r="819">
      <c r="A819" s="27"/>
      <c r="B819" s="124"/>
      <c r="C819" s="27"/>
      <c r="D819" s="27"/>
      <c r="E819" s="27"/>
      <c r="F819" s="27"/>
      <c r="G819" s="27"/>
      <c r="H819" s="27"/>
      <c r="I819" s="27"/>
      <c r="J819" s="27"/>
      <c r="K819" s="27"/>
      <c r="L819" s="27"/>
      <c r="M819" s="27"/>
      <c r="N819" s="27"/>
      <c r="O819" s="43"/>
      <c r="P819" s="27"/>
      <c r="Q819" s="27"/>
      <c r="R819" s="43"/>
      <c r="S819" s="27"/>
      <c r="T819" s="27"/>
      <c r="U819" s="27"/>
      <c r="V819" s="27"/>
      <c r="W819" s="27"/>
      <c r="X819" s="43"/>
      <c r="Y819" s="27"/>
      <c r="Z819" s="27"/>
      <c r="AA819" s="41"/>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row>
    <row r="820">
      <c r="A820" s="27"/>
      <c r="B820" s="124"/>
      <c r="C820" s="27"/>
      <c r="D820" s="27"/>
      <c r="E820" s="27"/>
      <c r="F820" s="27"/>
      <c r="G820" s="27"/>
      <c r="H820" s="27"/>
      <c r="I820" s="27"/>
      <c r="J820" s="27"/>
      <c r="K820" s="27"/>
      <c r="L820" s="27"/>
      <c r="M820" s="27"/>
      <c r="N820" s="27"/>
      <c r="O820" s="43"/>
      <c r="P820" s="27"/>
      <c r="Q820" s="27"/>
      <c r="R820" s="43"/>
      <c r="S820" s="27"/>
      <c r="T820" s="27"/>
      <c r="U820" s="27"/>
      <c r="V820" s="27"/>
      <c r="W820" s="27"/>
      <c r="X820" s="43"/>
      <c r="Y820" s="27"/>
      <c r="Z820" s="27"/>
      <c r="AA820" s="41"/>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row>
    <row r="821">
      <c r="A821" s="27"/>
      <c r="B821" s="124"/>
      <c r="C821" s="27"/>
      <c r="D821" s="27"/>
      <c r="E821" s="27"/>
      <c r="F821" s="27"/>
      <c r="G821" s="27"/>
      <c r="H821" s="27"/>
      <c r="I821" s="27"/>
      <c r="J821" s="27"/>
      <c r="K821" s="27"/>
      <c r="L821" s="27"/>
      <c r="M821" s="27"/>
      <c r="N821" s="27"/>
      <c r="O821" s="43"/>
      <c r="P821" s="27"/>
      <c r="Q821" s="27"/>
      <c r="R821" s="43"/>
      <c r="S821" s="27"/>
      <c r="T821" s="27"/>
      <c r="U821" s="27"/>
      <c r="V821" s="27"/>
      <c r="W821" s="27"/>
      <c r="X821" s="43"/>
      <c r="Y821" s="27"/>
      <c r="Z821" s="27"/>
      <c r="AA821" s="41"/>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row>
    <row r="822">
      <c r="A822" s="27"/>
      <c r="B822" s="124"/>
      <c r="C822" s="27"/>
      <c r="D822" s="27"/>
      <c r="E822" s="27"/>
      <c r="F822" s="27"/>
      <c r="G822" s="27"/>
      <c r="H822" s="27"/>
      <c r="I822" s="27"/>
      <c r="J822" s="27"/>
      <c r="K822" s="27"/>
      <c r="L822" s="27"/>
      <c r="M822" s="27"/>
      <c r="N822" s="27"/>
      <c r="O822" s="43"/>
      <c r="P822" s="27"/>
      <c r="Q822" s="27"/>
      <c r="R822" s="43"/>
      <c r="S822" s="27"/>
      <c r="T822" s="27"/>
      <c r="U822" s="27"/>
      <c r="V822" s="27"/>
      <c r="W822" s="27"/>
      <c r="X822" s="43"/>
      <c r="Y822" s="27"/>
      <c r="Z822" s="27"/>
      <c r="AA822" s="41"/>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row>
    <row r="823">
      <c r="A823" s="27"/>
      <c r="B823" s="124"/>
      <c r="C823" s="27"/>
      <c r="D823" s="27"/>
      <c r="E823" s="27"/>
      <c r="F823" s="27"/>
      <c r="G823" s="27"/>
      <c r="H823" s="27"/>
      <c r="I823" s="27"/>
      <c r="J823" s="27"/>
      <c r="K823" s="27"/>
      <c r="L823" s="27"/>
      <c r="M823" s="27"/>
      <c r="N823" s="27"/>
      <c r="O823" s="43"/>
      <c r="P823" s="27"/>
      <c r="Q823" s="27"/>
      <c r="R823" s="43"/>
      <c r="S823" s="27"/>
      <c r="T823" s="27"/>
      <c r="U823" s="27"/>
      <c r="V823" s="27"/>
      <c r="W823" s="27"/>
      <c r="X823" s="43"/>
      <c r="Y823" s="27"/>
      <c r="Z823" s="27"/>
      <c r="AA823" s="41"/>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row>
    <row r="824">
      <c r="A824" s="27"/>
      <c r="B824" s="124"/>
      <c r="C824" s="27"/>
      <c r="D824" s="27"/>
      <c r="E824" s="27"/>
      <c r="F824" s="27"/>
      <c r="G824" s="27"/>
      <c r="H824" s="27"/>
      <c r="I824" s="27"/>
      <c r="J824" s="27"/>
      <c r="K824" s="27"/>
      <c r="L824" s="27"/>
      <c r="M824" s="27"/>
      <c r="N824" s="27"/>
      <c r="O824" s="43"/>
      <c r="P824" s="27"/>
      <c r="Q824" s="27"/>
      <c r="R824" s="43"/>
      <c r="S824" s="27"/>
      <c r="T824" s="27"/>
      <c r="U824" s="27"/>
      <c r="V824" s="27"/>
      <c r="W824" s="27"/>
      <c r="X824" s="43"/>
      <c r="Y824" s="27"/>
      <c r="Z824" s="27"/>
      <c r="AA824" s="41"/>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row>
    <row r="825">
      <c r="A825" s="27"/>
      <c r="B825" s="124"/>
      <c r="C825" s="27"/>
      <c r="D825" s="27"/>
      <c r="E825" s="27"/>
      <c r="F825" s="27"/>
      <c r="G825" s="27"/>
      <c r="H825" s="27"/>
      <c r="I825" s="27"/>
      <c r="J825" s="27"/>
      <c r="K825" s="27"/>
      <c r="L825" s="27"/>
      <c r="M825" s="27"/>
      <c r="N825" s="27"/>
      <c r="O825" s="43"/>
      <c r="P825" s="27"/>
      <c r="Q825" s="27"/>
      <c r="R825" s="43"/>
      <c r="S825" s="27"/>
      <c r="T825" s="27"/>
      <c r="U825" s="27"/>
      <c r="V825" s="27"/>
      <c r="W825" s="27"/>
      <c r="X825" s="43"/>
      <c r="Y825" s="27"/>
      <c r="Z825" s="27"/>
      <c r="AA825" s="41"/>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row>
    <row r="826">
      <c r="A826" s="27"/>
      <c r="B826" s="124"/>
      <c r="C826" s="27"/>
      <c r="D826" s="27"/>
      <c r="E826" s="27"/>
      <c r="F826" s="27"/>
      <c r="G826" s="27"/>
      <c r="H826" s="27"/>
      <c r="I826" s="27"/>
      <c r="J826" s="27"/>
      <c r="K826" s="27"/>
      <c r="L826" s="27"/>
      <c r="M826" s="27"/>
      <c r="N826" s="27"/>
      <c r="O826" s="43"/>
      <c r="P826" s="27"/>
      <c r="Q826" s="27"/>
      <c r="R826" s="43"/>
      <c r="S826" s="27"/>
      <c r="T826" s="27"/>
      <c r="U826" s="27"/>
      <c r="V826" s="27"/>
      <c r="W826" s="27"/>
      <c r="X826" s="43"/>
      <c r="Y826" s="27"/>
      <c r="Z826" s="27"/>
      <c r="AA826" s="41"/>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row>
    <row r="827">
      <c r="A827" s="27"/>
      <c r="B827" s="124"/>
      <c r="C827" s="27"/>
      <c r="D827" s="27"/>
      <c r="E827" s="27"/>
      <c r="F827" s="27"/>
      <c r="G827" s="27"/>
      <c r="H827" s="27"/>
      <c r="I827" s="27"/>
      <c r="J827" s="27"/>
      <c r="K827" s="27"/>
      <c r="L827" s="27"/>
      <c r="M827" s="27"/>
      <c r="N827" s="27"/>
      <c r="O827" s="43"/>
      <c r="P827" s="27"/>
      <c r="Q827" s="27"/>
      <c r="R827" s="43"/>
      <c r="S827" s="27"/>
      <c r="T827" s="27"/>
      <c r="U827" s="27"/>
      <c r="V827" s="27"/>
      <c r="W827" s="27"/>
      <c r="X827" s="43"/>
      <c r="Y827" s="27"/>
      <c r="Z827" s="27"/>
      <c r="AA827" s="41"/>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row>
    <row r="828">
      <c r="A828" s="27"/>
      <c r="B828" s="124"/>
      <c r="C828" s="27"/>
      <c r="D828" s="27"/>
      <c r="E828" s="27"/>
      <c r="F828" s="27"/>
      <c r="G828" s="27"/>
      <c r="H828" s="27"/>
      <c r="I828" s="27"/>
      <c r="J828" s="27"/>
      <c r="K828" s="27"/>
      <c r="L828" s="27"/>
      <c r="M828" s="27"/>
      <c r="N828" s="27"/>
      <c r="O828" s="43"/>
      <c r="P828" s="27"/>
      <c r="Q828" s="27"/>
      <c r="R828" s="43"/>
      <c r="S828" s="27"/>
      <c r="T828" s="27"/>
      <c r="U828" s="27"/>
      <c r="V828" s="27"/>
      <c r="W828" s="27"/>
      <c r="X828" s="43"/>
      <c r="Y828" s="27"/>
      <c r="Z828" s="27"/>
      <c r="AA828" s="41"/>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row>
    <row r="829">
      <c r="A829" s="27"/>
      <c r="B829" s="124"/>
      <c r="C829" s="27"/>
      <c r="D829" s="27"/>
      <c r="E829" s="27"/>
      <c r="F829" s="27"/>
      <c r="G829" s="27"/>
      <c r="H829" s="27"/>
      <c r="I829" s="27"/>
      <c r="J829" s="27"/>
      <c r="K829" s="27"/>
      <c r="L829" s="27"/>
      <c r="M829" s="27"/>
      <c r="N829" s="27"/>
      <c r="O829" s="43"/>
      <c r="P829" s="27"/>
      <c r="Q829" s="27"/>
      <c r="R829" s="43"/>
      <c r="S829" s="27"/>
      <c r="T829" s="27"/>
      <c r="U829" s="27"/>
      <c r="V829" s="27"/>
      <c r="W829" s="27"/>
      <c r="X829" s="43"/>
      <c r="Y829" s="27"/>
      <c r="Z829" s="27"/>
      <c r="AA829" s="41"/>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row>
    <row r="830">
      <c r="A830" s="27"/>
      <c r="B830" s="124"/>
      <c r="C830" s="27"/>
      <c r="D830" s="27"/>
      <c r="E830" s="27"/>
      <c r="F830" s="27"/>
      <c r="G830" s="27"/>
      <c r="H830" s="27"/>
      <c r="I830" s="27"/>
      <c r="J830" s="27"/>
      <c r="K830" s="27"/>
      <c r="L830" s="27"/>
      <c r="M830" s="27"/>
      <c r="N830" s="27"/>
      <c r="O830" s="43"/>
      <c r="P830" s="27"/>
      <c r="Q830" s="27"/>
      <c r="R830" s="43"/>
      <c r="S830" s="27"/>
      <c r="T830" s="27"/>
      <c r="U830" s="27"/>
      <c r="V830" s="27"/>
      <c r="W830" s="27"/>
      <c r="X830" s="43"/>
      <c r="Y830" s="27"/>
      <c r="Z830" s="27"/>
      <c r="AA830" s="41"/>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row>
    <row r="831">
      <c r="A831" s="27"/>
      <c r="B831" s="124"/>
      <c r="C831" s="27"/>
      <c r="D831" s="27"/>
      <c r="E831" s="27"/>
      <c r="F831" s="27"/>
      <c r="G831" s="27"/>
      <c r="H831" s="27"/>
      <c r="I831" s="27"/>
      <c r="J831" s="27"/>
      <c r="K831" s="27"/>
      <c r="L831" s="27"/>
      <c r="M831" s="27"/>
      <c r="N831" s="27"/>
      <c r="O831" s="43"/>
      <c r="P831" s="27"/>
      <c r="Q831" s="27"/>
      <c r="R831" s="43"/>
      <c r="S831" s="27"/>
      <c r="T831" s="27"/>
      <c r="U831" s="27"/>
      <c r="V831" s="27"/>
      <c r="W831" s="27"/>
      <c r="X831" s="43"/>
      <c r="Y831" s="27"/>
      <c r="Z831" s="27"/>
      <c r="AA831" s="41"/>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row>
    <row r="832">
      <c r="A832" s="27"/>
      <c r="B832" s="124"/>
      <c r="C832" s="27"/>
      <c r="D832" s="27"/>
      <c r="E832" s="27"/>
      <c r="F832" s="27"/>
      <c r="G832" s="27"/>
      <c r="H832" s="27"/>
      <c r="I832" s="27"/>
      <c r="J832" s="27"/>
      <c r="K832" s="27"/>
      <c r="L832" s="27"/>
      <c r="M832" s="27"/>
      <c r="N832" s="27"/>
      <c r="O832" s="43"/>
      <c r="P832" s="27"/>
      <c r="Q832" s="27"/>
      <c r="R832" s="43"/>
      <c r="S832" s="27"/>
      <c r="T832" s="27"/>
      <c r="U832" s="27"/>
      <c r="V832" s="27"/>
      <c r="W832" s="27"/>
      <c r="X832" s="43"/>
      <c r="Y832" s="27"/>
      <c r="Z832" s="27"/>
      <c r="AA832" s="41"/>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row>
    <row r="833">
      <c r="A833" s="27"/>
      <c r="B833" s="124"/>
      <c r="C833" s="27"/>
      <c r="D833" s="27"/>
      <c r="E833" s="27"/>
      <c r="F833" s="27"/>
      <c r="G833" s="27"/>
      <c r="H833" s="27"/>
      <c r="I833" s="27"/>
      <c r="J833" s="27"/>
      <c r="K833" s="27"/>
      <c r="L833" s="27"/>
      <c r="M833" s="27"/>
      <c r="N833" s="27"/>
      <c r="O833" s="43"/>
      <c r="P833" s="27"/>
      <c r="Q833" s="27"/>
      <c r="R833" s="43"/>
      <c r="S833" s="27"/>
      <c r="T833" s="27"/>
      <c r="U833" s="27"/>
      <c r="V833" s="27"/>
      <c r="W833" s="27"/>
      <c r="X833" s="43"/>
      <c r="Y833" s="27"/>
      <c r="Z833" s="27"/>
      <c r="AA833" s="41"/>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row>
    <row r="834">
      <c r="A834" s="27"/>
      <c r="B834" s="124"/>
      <c r="C834" s="27"/>
      <c r="D834" s="27"/>
      <c r="E834" s="27"/>
      <c r="F834" s="27"/>
      <c r="G834" s="27"/>
      <c r="H834" s="27"/>
      <c r="I834" s="27"/>
      <c r="J834" s="27"/>
      <c r="K834" s="27"/>
      <c r="L834" s="27"/>
      <c r="M834" s="27"/>
      <c r="N834" s="27"/>
      <c r="O834" s="43"/>
      <c r="P834" s="27"/>
      <c r="Q834" s="27"/>
      <c r="R834" s="43"/>
      <c r="S834" s="27"/>
      <c r="T834" s="27"/>
      <c r="U834" s="27"/>
      <c r="V834" s="27"/>
      <c r="W834" s="27"/>
      <c r="X834" s="43"/>
      <c r="Y834" s="27"/>
      <c r="Z834" s="27"/>
      <c r="AA834" s="41"/>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row>
    <row r="835">
      <c r="A835" s="27"/>
      <c r="B835" s="124"/>
      <c r="C835" s="27"/>
      <c r="D835" s="27"/>
      <c r="E835" s="27"/>
      <c r="F835" s="27"/>
      <c r="G835" s="27"/>
      <c r="H835" s="27"/>
      <c r="I835" s="27"/>
      <c r="J835" s="27"/>
      <c r="K835" s="27"/>
      <c r="L835" s="27"/>
      <c r="M835" s="27"/>
      <c r="N835" s="27"/>
      <c r="O835" s="43"/>
      <c r="P835" s="27"/>
      <c r="Q835" s="27"/>
      <c r="R835" s="43"/>
      <c r="S835" s="27"/>
      <c r="T835" s="27"/>
      <c r="U835" s="27"/>
      <c r="V835" s="27"/>
      <c r="W835" s="27"/>
      <c r="X835" s="43"/>
      <c r="Y835" s="27"/>
      <c r="Z835" s="27"/>
      <c r="AA835" s="41"/>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row>
    <row r="836">
      <c r="A836" s="27"/>
      <c r="B836" s="124"/>
      <c r="C836" s="27"/>
      <c r="D836" s="27"/>
      <c r="E836" s="27"/>
      <c r="F836" s="27"/>
      <c r="G836" s="27"/>
      <c r="H836" s="27"/>
      <c r="I836" s="27"/>
      <c r="J836" s="27"/>
      <c r="K836" s="27"/>
      <c r="L836" s="27"/>
      <c r="M836" s="27"/>
      <c r="N836" s="27"/>
      <c r="O836" s="43"/>
      <c r="P836" s="27"/>
      <c r="Q836" s="27"/>
      <c r="R836" s="43"/>
      <c r="S836" s="27"/>
      <c r="T836" s="27"/>
      <c r="U836" s="27"/>
      <c r="V836" s="27"/>
      <c r="W836" s="27"/>
      <c r="X836" s="43"/>
      <c r="Y836" s="27"/>
      <c r="Z836" s="27"/>
      <c r="AA836" s="41"/>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row>
    <row r="837">
      <c r="A837" s="27"/>
      <c r="B837" s="124"/>
      <c r="C837" s="27"/>
      <c r="D837" s="27"/>
      <c r="E837" s="27"/>
      <c r="F837" s="27"/>
      <c r="G837" s="27"/>
      <c r="H837" s="27"/>
      <c r="I837" s="27"/>
      <c r="J837" s="27"/>
      <c r="K837" s="27"/>
      <c r="L837" s="27"/>
      <c r="M837" s="27"/>
      <c r="N837" s="27"/>
      <c r="O837" s="43"/>
      <c r="P837" s="27"/>
      <c r="Q837" s="27"/>
      <c r="R837" s="43"/>
      <c r="S837" s="27"/>
      <c r="T837" s="27"/>
      <c r="U837" s="27"/>
      <c r="V837" s="27"/>
      <c r="W837" s="27"/>
      <c r="X837" s="43"/>
      <c r="Y837" s="27"/>
      <c r="Z837" s="27"/>
      <c r="AA837" s="41"/>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row>
    <row r="838">
      <c r="A838" s="27"/>
      <c r="B838" s="124"/>
      <c r="C838" s="27"/>
      <c r="D838" s="27"/>
      <c r="E838" s="27"/>
      <c r="F838" s="27"/>
      <c r="G838" s="27"/>
      <c r="H838" s="27"/>
      <c r="I838" s="27"/>
      <c r="J838" s="27"/>
      <c r="K838" s="27"/>
      <c r="L838" s="27"/>
      <c r="M838" s="27"/>
      <c r="N838" s="27"/>
      <c r="O838" s="43"/>
      <c r="P838" s="27"/>
      <c r="Q838" s="27"/>
      <c r="R838" s="43"/>
      <c r="S838" s="27"/>
      <c r="T838" s="27"/>
      <c r="U838" s="27"/>
      <c r="V838" s="27"/>
      <c r="W838" s="27"/>
      <c r="X838" s="43"/>
      <c r="Y838" s="27"/>
      <c r="Z838" s="27"/>
      <c r="AA838" s="41"/>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row>
    <row r="839">
      <c r="A839" s="27"/>
      <c r="B839" s="124"/>
      <c r="C839" s="27"/>
      <c r="D839" s="27"/>
      <c r="E839" s="27"/>
      <c r="F839" s="27"/>
      <c r="G839" s="27"/>
      <c r="H839" s="27"/>
      <c r="I839" s="27"/>
      <c r="J839" s="27"/>
      <c r="K839" s="27"/>
      <c r="L839" s="27"/>
      <c r="M839" s="27"/>
      <c r="N839" s="27"/>
      <c r="O839" s="43"/>
      <c r="P839" s="27"/>
      <c r="Q839" s="27"/>
      <c r="R839" s="43"/>
      <c r="S839" s="27"/>
      <c r="T839" s="27"/>
      <c r="U839" s="27"/>
      <c r="V839" s="27"/>
      <c r="W839" s="27"/>
      <c r="X839" s="43"/>
      <c r="Y839" s="27"/>
      <c r="Z839" s="27"/>
      <c r="AA839" s="41"/>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row>
    <row r="840">
      <c r="A840" s="27"/>
      <c r="B840" s="124"/>
      <c r="C840" s="27"/>
      <c r="D840" s="27"/>
      <c r="E840" s="27"/>
      <c r="F840" s="27"/>
      <c r="G840" s="27"/>
      <c r="H840" s="27"/>
      <c r="I840" s="27"/>
      <c r="J840" s="27"/>
      <c r="K840" s="27"/>
      <c r="L840" s="27"/>
      <c r="M840" s="27"/>
      <c r="N840" s="27"/>
      <c r="O840" s="43"/>
      <c r="P840" s="27"/>
      <c r="Q840" s="27"/>
      <c r="R840" s="43"/>
      <c r="S840" s="27"/>
      <c r="T840" s="27"/>
      <c r="U840" s="27"/>
      <c r="V840" s="27"/>
      <c r="W840" s="27"/>
      <c r="X840" s="43"/>
      <c r="Y840" s="27"/>
      <c r="Z840" s="27"/>
      <c r="AA840" s="41"/>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row>
    <row r="841">
      <c r="A841" s="27"/>
      <c r="B841" s="124"/>
      <c r="C841" s="27"/>
      <c r="D841" s="27"/>
      <c r="E841" s="27"/>
      <c r="F841" s="27"/>
      <c r="G841" s="27"/>
      <c r="H841" s="27"/>
      <c r="I841" s="27"/>
      <c r="J841" s="27"/>
      <c r="K841" s="27"/>
      <c r="L841" s="27"/>
      <c r="M841" s="27"/>
      <c r="N841" s="27"/>
      <c r="O841" s="43"/>
      <c r="P841" s="27"/>
      <c r="Q841" s="27"/>
      <c r="R841" s="43"/>
      <c r="S841" s="27"/>
      <c r="T841" s="27"/>
      <c r="U841" s="27"/>
      <c r="V841" s="27"/>
      <c r="W841" s="27"/>
      <c r="X841" s="43"/>
      <c r="Y841" s="27"/>
      <c r="Z841" s="27"/>
      <c r="AA841" s="41"/>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row>
    <row r="842">
      <c r="A842" s="27"/>
      <c r="B842" s="124"/>
      <c r="C842" s="27"/>
      <c r="D842" s="27"/>
      <c r="E842" s="27"/>
      <c r="F842" s="27"/>
      <c r="G842" s="27"/>
      <c r="H842" s="27"/>
      <c r="I842" s="27"/>
      <c r="J842" s="27"/>
      <c r="K842" s="27"/>
      <c r="L842" s="27"/>
      <c r="M842" s="27"/>
      <c r="N842" s="27"/>
      <c r="O842" s="43"/>
      <c r="P842" s="27"/>
      <c r="Q842" s="27"/>
      <c r="R842" s="43"/>
      <c r="S842" s="27"/>
      <c r="T842" s="27"/>
      <c r="U842" s="27"/>
      <c r="V842" s="27"/>
      <c r="W842" s="27"/>
      <c r="X842" s="43"/>
      <c r="Y842" s="27"/>
      <c r="Z842" s="27"/>
      <c r="AA842" s="41"/>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row>
    <row r="843">
      <c r="A843" s="27"/>
      <c r="B843" s="124"/>
      <c r="C843" s="27"/>
      <c r="D843" s="27"/>
      <c r="E843" s="27"/>
      <c r="F843" s="27"/>
      <c r="G843" s="27"/>
      <c r="H843" s="27"/>
      <c r="I843" s="27"/>
      <c r="J843" s="27"/>
      <c r="K843" s="27"/>
      <c r="L843" s="27"/>
      <c r="M843" s="27"/>
      <c r="N843" s="27"/>
      <c r="O843" s="43"/>
      <c r="P843" s="27"/>
      <c r="Q843" s="27"/>
      <c r="R843" s="43"/>
      <c r="S843" s="27"/>
      <c r="T843" s="27"/>
      <c r="U843" s="27"/>
      <c r="V843" s="27"/>
      <c r="W843" s="27"/>
      <c r="X843" s="43"/>
      <c r="Y843" s="27"/>
      <c r="Z843" s="27"/>
      <c r="AA843" s="41"/>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row>
    <row r="844">
      <c r="A844" s="27"/>
      <c r="B844" s="124"/>
      <c r="C844" s="27"/>
      <c r="D844" s="27"/>
      <c r="E844" s="27"/>
      <c r="F844" s="27"/>
      <c r="G844" s="27"/>
      <c r="H844" s="27"/>
      <c r="I844" s="27"/>
      <c r="J844" s="27"/>
      <c r="K844" s="27"/>
      <c r="L844" s="27"/>
      <c r="M844" s="27"/>
      <c r="N844" s="27"/>
      <c r="O844" s="43"/>
      <c r="P844" s="27"/>
      <c r="Q844" s="27"/>
      <c r="R844" s="43"/>
      <c r="S844" s="27"/>
      <c r="T844" s="27"/>
      <c r="U844" s="27"/>
      <c r="V844" s="27"/>
      <c r="W844" s="27"/>
      <c r="X844" s="43"/>
      <c r="Y844" s="27"/>
      <c r="Z844" s="27"/>
      <c r="AA844" s="41"/>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row>
    <row r="845">
      <c r="A845" s="27"/>
      <c r="B845" s="124"/>
      <c r="C845" s="27"/>
      <c r="D845" s="27"/>
      <c r="E845" s="27"/>
      <c r="F845" s="27"/>
      <c r="G845" s="27"/>
      <c r="H845" s="27"/>
      <c r="I845" s="27"/>
      <c r="J845" s="27"/>
      <c r="K845" s="27"/>
      <c r="L845" s="27"/>
      <c r="M845" s="27"/>
      <c r="N845" s="27"/>
      <c r="O845" s="43"/>
      <c r="P845" s="27"/>
      <c r="Q845" s="27"/>
      <c r="R845" s="43"/>
      <c r="S845" s="27"/>
      <c r="T845" s="27"/>
      <c r="U845" s="27"/>
      <c r="V845" s="27"/>
      <c r="W845" s="27"/>
      <c r="X845" s="43"/>
      <c r="Y845" s="27"/>
      <c r="Z845" s="27"/>
      <c r="AA845" s="41"/>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row>
    <row r="846">
      <c r="A846" s="27"/>
      <c r="B846" s="124"/>
      <c r="C846" s="27"/>
      <c r="D846" s="27"/>
      <c r="E846" s="27"/>
      <c r="F846" s="27"/>
      <c r="G846" s="27"/>
      <c r="H846" s="27"/>
      <c r="I846" s="27"/>
      <c r="J846" s="27"/>
      <c r="K846" s="27"/>
      <c r="L846" s="27"/>
      <c r="M846" s="27"/>
      <c r="N846" s="27"/>
      <c r="O846" s="43"/>
      <c r="P846" s="27"/>
      <c r="Q846" s="27"/>
      <c r="R846" s="43"/>
      <c r="S846" s="27"/>
      <c r="T846" s="27"/>
      <c r="U846" s="27"/>
      <c r="V846" s="27"/>
      <c r="W846" s="27"/>
      <c r="X846" s="43"/>
      <c r="Y846" s="27"/>
      <c r="Z846" s="27"/>
      <c r="AA846" s="41"/>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row>
    <row r="847">
      <c r="A847" s="27"/>
      <c r="B847" s="124"/>
      <c r="C847" s="27"/>
      <c r="D847" s="27"/>
      <c r="E847" s="27"/>
      <c r="F847" s="27"/>
      <c r="G847" s="27"/>
      <c r="H847" s="27"/>
      <c r="I847" s="27"/>
      <c r="J847" s="27"/>
      <c r="K847" s="27"/>
      <c r="L847" s="27"/>
      <c r="M847" s="27"/>
      <c r="N847" s="27"/>
      <c r="O847" s="43"/>
      <c r="P847" s="27"/>
      <c r="Q847" s="27"/>
      <c r="R847" s="43"/>
      <c r="S847" s="27"/>
      <c r="T847" s="27"/>
      <c r="U847" s="27"/>
      <c r="V847" s="27"/>
      <c r="W847" s="27"/>
      <c r="X847" s="43"/>
      <c r="Y847" s="27"/>
      <c r="Z847" s="27"/>
      <c r="AA847" s="41"/>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row>
    <row r="848">
      <c r="A848" s="27"/>
      <c r="B848" s="124"/>
      <c r="C848" s="27"/>
      <c r="D848" s="27"/>
      <c r="E848" s="27"/>
      <c r="F848" s="27"/>
      <c r="G848" s="27"/>
      <c r="H848" s="27"/>
      <c r="I848" s="27"/>
      <c r="J848" s="27"/>
      <c r="K848" s="27"/>
      <c r="L848" s="27"/>
      <c r="M848" s="27"/>
      <c r="N848" s="27"/>
      <c r="O848" s="43"/>
      <c r="P848" s="27"/>
      <c r="Q848" s="27"/>
      <c r="R848" s="43"/>
      <c r="S848" s="27"/>
      <c r="T848" s="27"/>
      <c r="U848" s="27"/>
      <c r="V848" s="27"/>
      <c r="W848" s="27"/>
      <c r="X848" s="43"/>
      <c r="Y848" s="27"/>
      <c r="Z848" s="27"/>
      <c r="AA848" s="41"/>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row>
    <row r="849">
      <c r="A849" s="27"/>
      <c r="B849" s="124"/>
      <c r="C849" s="27"/>
      <c r="D849" s="27"/>
      <c r="E849" s="27"/>
      <c r="F849" s="27"/>
      <c r="G849" s="27"/>
      <c r="H849" s="27"/>
      <c r="I849" s="27"/>
      <c r="J849" s="27"/>
      <c r="K849" s="27"/>
      <c r="L849" s="27"/>
      <c r="M849" s="27"/>
      <c r="N849" s="27"/>
      <c r="O849" s="43"/>
      <c r="P849" s="27"/>
      <c r="Q849" s="27"/>
      <c r="R849" s="43"/>
      <c r="S849" s="27"/>
      <c r="T849" s="27"/>
      <c r="U849" s="27"/>
      <c r="V849" s="27"/>
      <c r="W849" s="27"/>
      <c r="X849" s="43"/>
      <c r="Y849" s="27"/>
      <c r="Z849" s="27"/>
      <c r="AA849" s="41"/>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row>
    <row r="850">
      <c r="A850" s="27"/>
      <c r="B850" s="124"/>
      <c r="C850" s="27"/>
      <c r="D850" s="27"/>
      <c r="E850" s="27"/>
      <c r="F850" s="27"/>
      <c r="G850" s="27"/>
      <c r="H850" s="27"/>
      <c r="I850" s="27"/>
      <c r="J850" s="27"/>
      <c r="K850" s="27"/>
      <c r="L850" s="27"/>
      <c r="M850" s="27"/>
      <c r="N850" s="27"/>
      <c r="O850" s="43"/>
      <c r="P850" s="27"/>
      <c r="Q850" s="27"/>
      <c r="R850" s="43"/>
      <c r="S850" s="27"/>
      <c r="T850" s="27"/>
      <c r="U850" s="27"/>
      <c r="V850" s="27"/>
      <c r="W850" s="27"/>
      <c r="X850" s="43"/>
      <c r="Y850" s="27"/>
      <c r="Z850" s="27"/>
      <c r="AA850" s="41"/>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row>
    <row r="851">
      <c r="A851" s="27"/>
      <c r="B851" s="124"/>
      <c r="C851" s="27"/>
      <c r="D851" s="27"/>
      <c r="E851" s="27"/>
      <c r="F851" s="27"/>
      <c r="G851" s="27"/>
      <c r="H851" s="27"/>
      <c r="I851" s="27"/>
      <c r="J851" s="27"/>
      <c r="K851" s="27"/>
      <c r="L851" s="27"/>
      <c r="M851" s="27"/>
      <c r="N851" s="27"/>
      <c r="O851" s="43"/>
      <c r="P851" s="27"/>
      <c r="Q851" s="27"/>
      <c r="R851" s="43"/>
      <c r="S851" s="27"/>
      <c r="T851" s="27"/>
      <c r="U851" s="27"/>
      <c r="V851" s="27"/>
      <c r="W851" s="27"/>
      <c r="X851" s="43"/>
      <c r="Y851" s="27"/>
      <c r="Z851" s="27"/>
      <c r="AA851" s="41"/>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row>
    <row r="852">
      <c r="A852" s="27"/>
      <c r="B852" s="124"/>
      <c r="C852" s="27"/>
      <c r="D852" s="27"/>
      <c r="E852" s="27"/>
      <c r="F852" s="27"/>
      <c r="G852" s="27"/>
      <c r="H852" s="27"/>
      <c r="I852" s="27"/>
      <c r="J852" s="27"/>
      <c r="K852" s="27"/>
      <c r="L852" s="27"/>
      <c r="M852" s="27"/>
      <c r="N852" s="27"/>
      <c r="O852" s="43"/>
      <c r="P852" s="27"/>
      <c r="Q852" s="27"/>
      <c r="R852" s="43"/>
      <c r="S852" s="27"/>
      <c r="T852" s="27"/>
      <c r="U852" s="27"/>
      <c r="V852" s="27"/>
      <c r="W852" s="27"/>
      <c r="X852" s="43"/>
      <c r="Y852" s="27"/>
      <c r="Z852" s="27"/>
      <c r="AA852" s="41"/>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row>
    <row r="853">
      <c r="A853" s="27"/>
      <c r="B853" s="124"/>
      <c r="C853" s="27"/>
      <c r="D853" s="27"/>
      <c r="E853" s="27"/>
      <c r="F853" s="27"/>
      <c r="G853" s="27"/>
      <c r="H853" s="27"/>
      <c r="I853" s="27"/>
      <c r="J853" s="27"/>
      <c r="K853" s="27"/>
      <c r="L853" s="27"/>
      <c r="M853" s="27"/>
      <c r="N853" s="27"/>
      <c r="O853" s="43"/>
      <c r="P853" s="27"/>
      <c r="Q853" s="27"/>
      <c r="R853" s="43"/>
      <c r="S853" s="27"/>
      <c r="T853" s="27"/>
      <c r="U853" s="27"/>
      <c r="V853" s="27"/>
      <c r="W853" s="27"/>
      <c r="X853" s="43"/>
      <c r="Y853" s="27"/>
      <c r="Z853" s="27"/>
      <c r="AA853" s="41"/>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row>
    <row r="854">
      <c r="A854" s="27"/>
      <c r="B854" s="124"/>
      <c r="C854" s="27"/>
      <c r="D854" s="27"/>
      <c r="E854" s="27"/>
      <c r="F854" s="27"/>
      <c r="G854" s="27"/>
      <c r="H854" s="27"/>
      <c r="I854" s="27"/>
      <c r="J854" s="27"/>
      <c r="K854" s="27"/>
      <c r="L854" s="27"/>
      <c r="M854" s="27"/>
      <c r="N854" s="27"/>
      <c r="O854" s="43"/>
      <c r="P854" s="27"/>
      <c r="Q854" s="27"/>
      <c r="R854" s="43"/>
      <c r="S854" s="27"/>
      <c r="T854" s="27"/>
      <c r="U854" s="27"/>
      <c r="V854" s="27"/>
      <c r="W854" s="27"/>
      <c r="X854" s="43"/>
      <c r="Y854" s="27"/>
      <c r="Z854" s="27"/>
      <c r="AA854" s="41"/>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row>
    <row r="855">
      <c r="A855" s="27"/>
      <c r="B855" s="124"/>
      <c r="C855" s="27"/>
      <c r="D855" s="27"/>
      <c r="E855" s="27"/>
      <c r="F855" s="27"/>
      <c r="G855" s="27"/>
      <c r="H855" s="27"/>
      <c r="I855" s="27"/>
      <c r="J855" s="27"/>
      <c r="K855" s="27"/>
      <c r="L855" s="27"/>
      <c r="M855" s="27"/>
      <c r="N855" s="27"/>
      <c r="O855" s="43"/>
      <c r="P855" s="27"/>
      <c r="Q855" s="27"/>
      <c r="R855" s="43"/>
      <c r="S855" s="27"/>
      <c r="T855" s="27"/>
      <c r="U855" s="27"/>
      <c r="V855" s="27"/>
      <c r="W855" s="27"/>
      <c r="X855" s="43"/>
      <c r="Y855" s="27"/>
      <c r="Z855" s="27"/>
      <c r="AA855" s="41"/>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row>
    <row r="856">
      <c r="A856" s="27"/>
      <c r="B856" s="124"/>
      <c r="C856" s="27"/>
      <c r="D856" s="27"/>
      <c r="E856" s="27"/>
      <c r="F856" s="27"/>
      <c r="G856" s="27"/>
      <c r="H856" s="27"/>
      <c r="I856" s="27"/>
      <c r="J856" s="27"/>
      <c r="K856" s="27"/>
      <c r="L856" s="27"/>
      <c r="M856" s="27"/>
      <c r="N856" s="27"/>
      <c r="O856" s="43"/>
      <c r="P856" s="27"/>
      <c r="Q856" s="27"/>
      <c r="R856" s="43"/>
      <c r="S856" s="27"/>
      <c r="T856" s="27"/>
      <c r="U856" s="27"/>
      <c r="V856" s="27"/>
      <c r="W856" s="27"/>
      <c r="X856" s="43"/>
      <c r="Y856" s="27"/>
      <c r="Z856" s="27"/>
      <c r="AA856" s="41"/>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row>
    <row r="857">
      <c r="A857" s="27"/>
      <c r="B857" s="124"/>
      <c r="C857" s="27"/>
      <c r="D857" s="27"/>
      <c r="E857" s="27"/>
      <c r="F857" s="27"/>
      <c r="G857" s="27"/>
      <c r="H857" s="27"/>
      <c r="I857" s="27"/>
      <c r="J857" s="27"/>
      <c r="K857" s="27"/>
      <c r="L857" s="27"/>
      <c r="M857" s="27"/>
      <c r="N857" s="27"/>
      <c r="O857" s="43"/>
      <c r="P857" s="27"/>
      <c r="Q857" s="27"/>
      <c r="R857" s="43"/>
      <c r="S857" s="27"/>
      <c r="T857" s="27"/>
      <c r="U857" s="27"/>
      <c r="V857" s="27"/>
      <c r="W857" s="27"/>
      <c r="X857" s="43"/>
      <c r="Y857" s="27"/>
      <c r="Z857" s="27"/>
      <c r="AA857" s="41"/>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row>
    <row r="858">
      <c r="A858" s="27"/>
      <c r="B858" s="124"/>
      <c r="C858" s="27"/>
      <c r="D858" s="27"/>
      <c r="E858" s="27"/>
      <c r="F858" s="27"/>
      <c r="G858" s="27"/>
      <c r="H858" s="27"/>
      <c r="I858" s="27"/>
      <c r="J858" s="27"/>
      <c r="K858" s="27"/>
      <c r="L858" s="27"/>
      <c r="M858" s="27"/>
      <c r="N858" s="27"/>
      <c r="O858" s="43"/>
      <c r="P858" s="27"/>
      <c r="Q858" s="27"/>
      <c r="R858" s="43"/>
      <c r="S858" s="27"/>
      <c r="T858" s="27"/>
      <c r="U858" s="27"/>
      <c r="V858" s="27"/>
      <c r="W858" s="27"/>
      <c r="X858" s="43"/>
      <c r="Y858" s="27"/>
      <c r="Z858" s="27"/>
      <c r="AA858" s="41"/>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row>
    <row r="859">
      <c r="A859" s="27"/>
      <c r="B859" s="124"/>
      <c r="C859" s="27"/>
      <c r="D859" s="27"/>
      <c r="E859" s="27"/>
      <c r="F859" s="27"/>
      <c r="G859" s="27"/>
      <c r="H859" s="27"/>
      <c r="I859" s="27"/>
      <c r="J859" s="27"/>
      <c r="K859" s="27"/>
      <c r="L859" s="27"/>
      <c r="M859" s="27"/>
      <c r="N859" s="27"/>
      <c r="O859" s="43"/>
      <c r="P859" s="27"/>
      <c r="Q859" s="27"/>
      <c r="R859" s="43"/>
      <c r="S859" s="27"/>
      <c r="T859" s="27"/>
      <c r="U859" s="27"/>
      <c r="V859" s="27"/>
      <c r="W859" s="27"/>
      <c r="X859" s="43"/>
      <c r="Y859" s="27"/>
      <c r="Z859" s="27"/>
      <c r="AA859" s="41"/>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row>
    <row r="860">
      <c r="A860" s="27"/>
      <c r="B860" s="124"/>
      <c r="C860" s="27"/>
      <c r="D860" s="27"/>
      <c r="E860" s="27"/>
      <c r="F860" s="27"/>
      <c r="G860" s="27"/>
      <c r="H860" s="27"/>
      <c r="I860" s="27"/>
      <c r="J860" s="27"/>
      <c r="K860" s="27"/>
      <c r="L860" s="27"/>
      <c r="M860" s="27"/>
      <c r="N860" s="27"/>
      <c r="O860" s="43"/>
      <c r="P860" s="27"/>
      <c r="Q860" s="27"/>
      <c r="R860" s="43"/>
      <c r="S860" s="27"/>
      <c r="T860" s="27"/>
      <c r="U860" s="27"/>
      <c r="V860" s="27"/>
      <c r="W860" s="27"/>
      <c r="X860" s="43"/>
      <c r="Y860" s="27"/>
      <c r="Z860" s="27"/>
      <c r="AA860" s="41"/>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row>
    <row r="861">
      <c r="A861" s="27"/>
      <c r="B861" s="124"/>
      <c r="C861" s="27"/>
      <c r="D861" s="27"/>
      <c r="E861" s="27"/>
      <c r="F861" s="27"/>
      <c r="G861" s="27"/>
      <c r="H861" s="27"/>
      <c r="I861" s="27"/>
      <c r="J861" s="27"/>
      <c r="K861" s="27"/>
      <c r="L861" s="27"/>
      <c r="M861" s="27"/>
      <c r="N861" s="27"/>
      <c r="O861" s="43"/>
      <c r="P861" s="27"/>
      <c r="Q861" s="27"/>
      <c r="R861" s="43"/>
      <c r="S861" s="27"/>
      <c r="T861" s="27"/>
      <c r="U861" s="27"/>
      <c r="V861" s="27"/>
      <c r="W861" s="27"/>
      <c r="X861" s="43"/>
      <c r="Y861" s="27"/>
      <c r="Z861" s="27"/>
      <c r="AA861" s="41"/>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row>
    <row r="862">
      <c r="A862" s="27"/>
      <c r="B862" s="124"/>
      <c r="C862" s="27"/>
      <c r="D862" s="27"/>
      <c r="E862" s="27"/>
      <c r="F862" s="27"/>
      <c r="G862" s="27"/>
      <c r="H862" s="27"/>
      <c r="I862" s="27"/>
      <c r="J862" s="27"/>
      <c r="K862" s="27"/>
      <c r="L862" s="27"/>
      <c r="M862" s="27"/>
      <c r="N862" s="27"/>
      <c r="O862" s="43"/>
      <c r="P862" s="27"/>
      <c r="Q862" s="27"/>
      <c r="R862" s="43"/>
      <c r="S862" s="27"/>
      <c r="T862" s="27"/>
      <c r="U862" s="27"/>
      <c r="V862" s="27"/>
      <c r="W862" s="27"/>
      <c r="X862" s="43"/>
      <c r="Y862" s="27"/>
      <c r="Z862" s="27"/>
      <c r="AA862" s="41"/>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row>
    <row r="863">
      <c r="A863" s="27"/>
      <c r="B863" s="124"/>
      <c r="C863" s="27"/>
      <c r="D863" s="27"/>
      <c r="E863" s="27"/>
      <c r="F863" s="27"/>
      <c r="G863" s="27"/>
      <c r="H863" s="27"/>
      <c r="I863" s="27"/>
      <c r="J863" s="27"/>
      <c r="K863" s="27"/>
      <c r="L863" s="27"/>
      <c r="M863" s="27"/>
      <c r="N863" s="27"/>
      <c r="O863" s="43"/>
      <c r="P863" s="27"/>
      <c r="Q863" s="27"/>
      <c r="R863" s="43"/>
      <c r="S863" s="27"/>
      <c r="T863" s="27"/>
      <c r="U863" s="27"/>
      <c r="V863" s="27"/>
      <c r="W863" s="27"/>
      <c r="X863" s="43"/>
      <c r="Y863" s="27"/>
      <c r="Z863" s="27"/>
      <c r="AA863" s="41"/>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row>
    <row r="864">
      <c r="A864" s="27"/>
      <c r="B864" s="124"/>
      <c r="C864" s="27"/>
      <c r="D864" s="27"/>
      <c r="E864" s="27"/>
      <c r="F864" s="27"/>
      <c r="G864" s="27"/>
      <c r="H864" s="27"/>
      <c r="I864" s="27"/>
      <c r="J864" s="27"/>
      <c r="K864" s="27"/>
      <c r="L864" s="27"/>
      <c r="M864" s="27"/>
      <c r="N864" s="27"/>
      <c r="O864" s="43"/>
      <c r="P864" s="27"/>
      <c r="Q864" s="27"/>
      <c r="R864" s="43"/>
      <c r="S864" s="27"/>
      <c r="T864" s="27"/>
      <c r="U864" s="27"/>
      <c r="V864" s="27"/>
      <c r="W864" s="27"/>
      <c r="X864" s="43"/>
      <c r="Y864" s="27"/>
      <c r="Z864" s="27"/>
      <c r="AA864" s="41"/>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row>
    <row r="865">
      <c r="A865" s="27"/>
      <c r="B865" s="124"/>
      <c r="C865" s="27"/>
      <c r="D865" s="27"/>
      <c r="E865" s="27"/>
      <c r="F865" s="27"/>
      <c r="G865" s="27"/>
      <c r="H865" s="27"/>
      <c r="I865" s="27"/>
      <c r="J865" s="27"/>
      <c r="K865" s="27"/>
      <c r="L865" s="27"/>
      <c r="M865" s="27"/>
      <c r="N865" s="27"/>
      <c r="O865" s="43"/>
      <c r="P865" s="27"/>
      <c r="Q865" s="27"/>
      <c r="R865" s="43"/>
      <c r="S865" s="27"/>
      <c r="T865" s="27"/>
      <c r="U865" s="27"/>
      <c r="V865" s="27"/>
      <c r="W865" s="27"/>
      <c r="X865" s="43"/>
      <c r="Y865" s="27"/>
      <c r="Z865" s="27"/>
      <c r="AA865" s="41"/>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row>
    <row r="866">
      <c r="A866" s="27"/>
      <c r="B866" s="124"/>
      <c r="C866" s="27"/>
      <c r="D866" s="27"/>
      <c r="E866" s="27"/>
      <c r="F866" s="27"/>
      <c r="G866" s="27"/>
      <c r="H866" s="27"/>
      <c r="I866" s="27"/>
      <c r="J866" s="27"/>
      <c r="K866" s="27"/>
      <c r="L866" s="27"/>
      <c r="M866" s="27"/>
      <c r="N866" s="27"/>
      <c r="O866" s="43"/>
      <c r="P866" s="27"/>
      <c r="Q866" s="27"/>
      <c r="R866" s="43"/>
      <c r="S866" s="27"/>
      <c r="T866" s="27"/>
      <c r="U866" s="27"/>
      <c r="V866" s="27"/>
      <c r="W866" s="27"/>
      <c r="X866" s="43"/>
      <c r="Y866" s="27"/>
      <c r="Z866" s="27"/>
      <c r="AA866" s="41"/>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row>
    <row r="867">
      <c r="A867" s="27"/>
      <c r="B867" s="124"/>
      <c r="C867" s="27"/>
      <c r="D867" s="27"/>
      <c r="E867" s="27"/>
      <c r="F867" s="27"/>
      <c r="G867" s="27"/>
      <c r="H867" s="27"/>
      <c r="I867" s="27"/>
      <c r="J867" s="27"/>
      <c r="K867" s="27"/>
      <c r="L867" s="27"/>
      <c r="M867" s="27"/>
      <c r="N867" s="27"/>
      <c r="O867" s="43"/>
      <c r="P867" s="27"/>
      <c r="Q867" s="27"/>
      <c r="R867" s="43"/>
      <c r="S867" s="27"/>
      <c r="T867" s="27"/>
      <c r="U867" s="27"/>
      <c r="V867" s="27"/>
      <c r="W867" s="27"/>
      <c r="X867" s="43"/>
      <c r="Y867" s="27"/>
      <c r="Z867" s="27"/>
      <c r="AA867" s="41"/>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row>
    <row r="868">
      <c r="A868" s="27"/>
      <c r="B868" s="124"/>
      <c r="C868" s="27"/>
      <c r="D868" s="27"/>
      <c r="E868" s="27"/>
      <c r="F868" s="27"/>
      <c r="G868" s="27"/>
      <c r="H868" s="27"/>
      <c r="I868" s="27"/>
      <c r="J868" s="27"/>
      <c r="K868" s="27"/>
      <c r="L868" s="27"/>
      <c r="M868" s="27"/>
      <c r="N868" s="27"/>
      <c r="O868" s="43"/>
      <c r="P868" s="27"/>
      <c r="Q868" s="27"/>
      <c r="R868" s="43"/>
      <c r="S868" s="27"/>
      <c r="T868" s="27"/>
      <c r="U868" s="27"/>
      <c r="V868" s="27"/>
      <c r="W868" s="27"/>
      <c r="X868" s="43"/>
      <c r="Y868" s="27"/>
      <c r="Z868" s="27"/>
      <c r="AA868" s="41"/>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row>
    <row r="869">
      <c r="A869" s="27"/>
      <c r="B869" s="124"/>
      <c r="C869" s="27"/>
      <c r="D869" s="27"/>
      <c r="E869" s="27"/>
      <c r="F869" s="27"/>
      <c r="G869" s="27"/>
      <c r="H869" s="27"/>
      <c r="I869" s="27"/>
      <c r="J869" s="27"/>
      <c r="K869" s="27"/>
      <c r="L869" s="27"/>
      <c r="M869" s="27"/>
      <c r="N869" s="27"/>
      <c r="O869" s="43"/>
      <c r="P869" s="27"/>
      <c r="Q869" s="27"/>
      <c r="R869" s="43"/>
      <c r="S869" s="27"/>
      <c r="T869" s="27"/>
      <c r="U869" s="27"/>
      <c r="V869" s="27"/>
      <c r="W869" s="27"/>
      <c r="X869" s="43"/>
      <c r="Y869" s="27"/>
      <c r="Z869" s="27"/>
      <c r="AA869" s="41"/>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row>
    <row r="870">
      <c r="A870" s="27"/>
      <c r="B870" s="124"/>
      <c r="C870" s="27"/>
      <c r="D870" s="27"/>
      <c r="E870" s="27"/>
      <c r="F870" s="27"/>
      <c r="G870" s="27"/>
      <c r="H870" s="27"/>
      <c r="I870" s="27"/>
      <c r="J870" s="27"/>
      <c r="K870" s="27"/>
      <c r="L870" s="27"/>
      <c r="M870" s="27"/>
      <c r="N870" s="27"/>
      <c r="O870" s="43"/>
      <c r="P870" s="27"/>
      <c r="Q870" s="27"/>
      <c r="R870" s="43"/>
      <c r="S870" s="27"/>
      <c r="T870" s="27"/>
      <c r="U870" s="27"/>
      <c r="V870" s="27"/>
      <c r="W870" s="27"/>
      <c r="X870" s="43"/>
      <c r="Y870" s="27"/>
      <c r="Z870" s="27"/>
      <c r="AA870" s="41"/>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row>
    <row r="871">
      <c r="A871" s="27"/>
      <c r="B871" s="124"/>
      <c r="C871" s="27"/>
      <c r="D871" s="27"/>
      <c r="E871" s="27"/>
      <c r="F871" s="27"/>
      <c r="G871" s="27"/>
      <c r="H871" s="27"/>
      <c r="I871" s="27"/>
      <c r="J871" s="27"/>
      <c r="K871" s="27"/>
      <c r="L871" s="27"/>
      <c r="M871" s="27"/>
      <c r="N871" s="27"/>
      <c r="O871" s="43"/>
      <c r="P871" s="27"/>
      <c r="Q871" s="27"/>
      <c r="R871" s="43"/>
      <c r="S871" s="27"/>
      <c r="T871" s="27"/>
      <c r="U871" s="27"/>
      <c r="V871" s="27"/>
      <c r="W871" s="27"/>
      <c r="X871" s="43"/>
      <c r="Y871" s="27"/>
      <c r="Z871" s="27"/>
      <c r="AA871" s="41"/>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row>
    <row r="872">
      <c r="A872" s="27"/>
      <c r="B872" s="124"/>
      <c r="C872" s="27"/>
      <c r="D872" s="27"/>
      <c r="E872" s="27"/>
      <c r="F872" s="27"/>
      <c r="G872" s="27"/>
      <c r="H872" s="27"/>
      <c r="I872" s="27"/>
      <c r="J872" s="27"/>
      <c r="K872" s="27"/>
      <c r="L872" s="27"/>
      <c r="M872" s="27"/>
      <c r="N872" s="27"/>
      <c r="O872" s="43"/>
      <c r="P872" s="27"/>
      <c r="Q872" s="27"/>
      <c r="R872" s="43"/>
      <c r="S872" s="27"/>
      <c r="T872" s="27"/>
      <c r="U872" s="27"/>
      <c r="V872" s="27"/>
      <c r="W872" s="27"/>
      <c r="X872" s="43"/>
      <c r="Y872" s="27"/>
      <c r="Z872" s="27"/>
      <c r="AA872" s="41"/>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row>
    <row r="873">
      <c r="A873" s="27"/>
      <c r="B873" s="124"/>
      <c r="C873" s="27"/>
      <c r="D873" s="27"/>
      <c r="E873" s="27"/>
      <c r="F873" s="27"/>
      <c r="G873" s="27"/>
      <c r="H873" s="27"/>
      <c r="I873" s="27"/>
      <c r="J873" s="27"/>
      <c r="K873" s="27"/>
      <c r="L873" s="27"/>
      <c r="M873" s="27"/>
      <c r="N873" s="27"/>
      <c r="O873" s="43"/>
      <c r="P873" s="27"/>
      <c r="Q873" s="27"/>
      <c r="R873" s="43"/>
      <c r="S873" s="27"/>
      <c r="T873" s="27"/>
      <c r="U873" s="27"/>
      <c r="V873" s="27"/>
      <c r="W873" s="27"/>
      <c r="X873" s="43"/>
      <c r="Y873" s="27"/>
      <c r="Z873" s="27"/>
      <c r="AA873" s="41"/>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row>
    <row r="874">
      <c r="A874" s="27"/>
      <c r="B874" s="124"/>
      <c r="C874" s="27"/>
      <c r="D874" s="27"/>
      <c r="E874" s="27"/>
      <c r="F874" s="27"/>
      <c r="G874" s="27"/>
      <c r="H874" s="27"/>
      <c r="I874" s="27"/>
      <c r="J874" s="27"/>
      <c r="K874" s="27"/>
      <c r="L874" s="27"/>
      <c r="M874" s="27"/>
      <c r="N874" s="27"/>
      <c r="O874" s="43"/>
      <c r="P874" s="27"/>
      <c r="Q874" s="27"/>
      <c r="R874" s="43"/>
      <c r="S874" s="27"/>
      <c r="T874" s="27"/>
      <c r="U874" s="27"/>
      <c r="V874" s="27"/>
      <c r="W874" s="27"/>
      <c r="X874" s="43"/>
      <c r="Y874" s="27"/>
      <c r="Z874" s="27"/>
      <c r="AA874" s="41"/>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row>
    <row r="875">
      <c r="A875" s="27"/>
      <c r="B875" s="124"/>
      <c r="C875" s="27"/>
      <c r="D875" s="27"/>
      <c r="E875" s="27"/>
      <c r="F875" s="27"/>
      <c r="G875" s="27"/>
      <c r="H875" s="27"/>
      <c r="I875" s="27"/>
      <c r="J875" s="27"/>
      <c r="K875" s="27"/>
      <c r="L875" s="27"/>
      <c r="M875" s="27"/>
      <c r="N875" s="27"/>
      <c r="O875" s="43"/>
      <c r="P875" s="27"/>
      <c r="Q875" s="27"/>
      <c r="R875" s="43"/>
      <c r="S875" s="27"/>
      <c r="T875" s="27"/>
      <c r="U875" s="27"/>
      <c r="V875" s="27"/>
      <c r="W875" s="27"/>
      <c r="X875" s="43"/>
      <c r="Y875" s="27"/>
      <c r="Z875" s="27"/>
      <c r="AA875" s="41"/>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row>
    <row r="876">
      <c r="A876" s="27"/>
      <c r="B876" s="124"/>
      <c r="C876" s="27"/>
      <c r="D876" s="27"/>
      <c r="E876" s="27"/>
      <c r="F876" s="27"/>
      <c r="G876" s="27"/>
      <c r="H876" s="27"/>
      <c r="I876" s="27"/>
      <c r="J876" s="27"/>
      <c r="K876" s="27"/>
      <c r="L876" s="27"/>
      <c r="M876" s="27"/>
      <c r="N876" s="27"/>
      <c r="O876" s="43"/>
      <c r="P876" s="27"/>
      <c r="Q876" s="27"/>
      <c r="R876" s="43"/>
      <c r="S876" s="27"/>
      <c r="T876" s="27"/>
      <c r="U876" s="27"/>
      <c r="V876" s="27"/>
      <c r="W876" s="27"/>
      <c r="X876" s="43"/>
      <c r="Y876" s="27"/>
      <c r="Z876" s="27"/>
      <c r="AA876" s="41"/>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row>
    <row r="877">
      <c r="A877" s="27"/>
      <c r="B877" s="124"/>
      <c r="C877" s="27"/>
      <c r="D877" s="27"/>
      <c r="E877" s="27"/>
      <c r="F877" s="27"/>
      <c r="G877" s="27"/>
      <c r="H877" s="27"/>
      <c r="I877" s="27"/>
      <c r="J877" s="27"/>
      <c r="K877" s="27"/>
      <c r="L877" s="27"/>
      <c r="M877" s="27"/>
      <c r="N877" s="27"/>
      <c r="O877" s="43"/>
      <c r="P877" s="27"/>
      <c r="Q877" s="27"/>
      <c r="R877" s="43"/>
      <c r="S877" s="27"/>
      <c r="T877" s="27"/>
      <c r="U877" s="27"/>
      <c r="V877" s="27"/>
      <c r="W877" s="27"/>
      <c r="X877" s="43"/>
      <c r="Y877" s="27"/>
      <c r="Z877" s="27"/>
      <c r="AA877" s="41"/>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row>
    <row r="878">
      <c r="A878" s="27"/>
      <c r="B878" s="124"/>
      <c r="C878" s="27"/>
      <c r="D878" s="27"/>
      <c r="E878" s="27"/>
      <c r="F878" s="27"/>
      <c r="G878" s="27"/>
      <c r="H878" s="27"/>
      <c r="I878" s="27"/>
      <c r="J878" s="27"/>
      <c r="K878" s="27"/>
      <c r="L878" s="27"/>
      <c r="M878" s="27"/>
      <c r="N878" s="27"/>
      <c r="O878" s="43"/>
      <c r="P878" s="27"/>
      <c r="Q878" s="27"/>
      <c r="R878" s="43"/>
      <c r="S878" s="27"/>
      <c r="T878" s="27"/>
      <c r="U878" s="27"/>
      <c r="V878" s="27"/>
      <c r="W878" s="27"/>
      <c r="X878" s="43"/>
      <c r="Y878" s="27"/>
      <c r="Z878" s="27"/>
      <c r="AA878" s="41"/>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row>
    <row r="879">
      <c r="A879" s="27"/>
      <c r="B879" s="124"/>
      <c r="C879" s="27"/>
      <c r="D879" s="27"/>
      <c r="E879" s="27"/>
      <c r="F879" s="27"/>
      <c r="G879" s="27"/>
      <c r="H879" s="27"/>
      <c r="I879" s="27"/>
      <c r="J879" s="27"/>
      <c r="K879" s="27"/>
      <c r="L879" s="27"/>
      <c r="M879" s="27"/>
      <c r="N879" s="27"/>
      <c r="O879" s="43"/>
      <c r="P879" s="27"/>
      <c r="Q879" s="27"/>
      <c r="R879" s="43"/>
      <c r="S879" s="27"/>
      <c r="T879" s="27"/>
      <c r="U879" s="27"/>
      <c r="V879" s="27"/>
      <c r="W879" s="27"/>
      <c r="X879" s="43"/>
      <c r="Y879" s="27"/>
      <c r="Z879" s="27"/>
      <c r="AA879" s="41"/>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row>
    <row r="880">
      <c r="A880" s="27"/>
      <c r="B880" s="124"/>
      <c r="C880" s="27"/>
      <c r="D880" s="27"/>
      <c r="E880" s="27"/>
      <c r="F880" s="27"/>
      <c r="G880" s="27"/>
      <c r="H880" s="27"/>
      <c r="I880" s="27"/>
      <c r="J880" s="27"/>
      <c r="K880" s="27"/>
      <c r="L880" s="27"/>
      <c r="M880" s="27"/>
      <c r="N880" s="27"/>
      <c r="O880" s="43"/>
      <c r="P880" s="27"/>
      <c r="Q880" s="27"/>
      <c r="R880" s="43"/>
      <c r="S880" s="27"/>
      <c r="T880" s="27"/>
      <c r="U880" s="27"/>
      <c r="V880" s="27"/>
      <c r="W880" s="27"/>
      <c r="X880" s="43"/>
      <c r="Y880" s="27"/>
      <c r="Z880" s="27"/>
      <c r="AA880" s="41"/>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row>
    <row r="881">
      <c r="A881" s="27"/>
      <c r="B881" s="124"/>
      <c r="C881" s="27"/>
      <c r="D881" s="27"/>
      <c r="E881" s="27"/>
      <c r="F881" s="27"/>
      <c r="G881" s="27"/>
      <c r="H881" s="27"/>
      <c r="I881" s="27"/>
      <c r="J881" s="27"/>
      <c r="K881" s="27"/>
      <c r="L881" s="27"/>
      <c r="M881" s="27"/>
      <c r="N881" s="27"/>
      <c r="O881" s="43"/>
      <c r="P881" s="27"/>
      <c r="Q881" s="27"/>
      <c r="R881" s="43"/>
      <c r="S881" s="27"/>
      <c r="T881" s="27"/>
      <c r="U881" s="27"/>
      <c r="V881" s="27"/>
      <c r="W881" s="27"/>
      <c r="X881" s="43"/>
      <c r="Y881" s="27"/>
      <c r="Z881" s="27"/>
      <c r="AA881" s="41"/>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row>
    <row r="882">
      <c r="A882" s="27"/>
      <c r="B882" s="124"/>
      <c r="C882" s="27"/>
      <c r="D882" s="27"/>
      <c r="E882" s="27"/>
      <c r="F882" s="27"/>
      <c r="G882" s="27"/>
      <c r="H882" s="27"/>
      <c r="I882" s="27"/>
      <c r="J882" s="27"/>
      <c r="K882" s="27"/>
      <c r="L882" s="27"/>
      <c r="M882" s="27"/>
      <c r="N882" s="27"/>
      <c r="O882" s="43"/>
      <c r="P882" s="27"/>
      <c r="Q882" s="27"/>
      <c r="R882" s="43"/>
      <c r="S882" s="27"/>
      <c r="T882" s="27"/>
      <c r="U882" s="27"/>
      <c r="V882" s="27"/>
      <c r="W882" s="27"/>
      <c r="X882" s="43"/>
      <c r="Y882" s="27"/>
      <c r="Z882" s="27"/>
      <c r="AA882" s="41"/>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row>
    <row r="883">
      <c r="A883" s="27"/>
      <c r="B883" s="124"/>
      <c r="C883" s="27"/>
      <c r="D883" s="27"/>
      <c r="E883" s="27"/>
      <c r="F883" s="27"/>
      <c r="G883" s="27"/>
      <c r="H883" s="27"/>
      <c r="I883" s="27"/>
      <c r="J883" s="27"/>
      <c r="K883" s="27"/>
      <c r="L883" s="27"/>
      <c r="M883" s="27"/>
      <c r="N883" s="27"/>
      <c r="O883" s="43"/>
      <c r="P883" s="27"/>
      <c r="Q883" s="27"/>
      <c r="R883" s="43"/>
      <c r="S883" s="27"/>
      <c r="T883" s="27"/>
      <c r="U883" s="27"/>
      <c r="V883" s="27"/>
      <c r="W883" s="27"/>
      <c r="X883" s="43"/>
      <c r="Y883" s="27"/>
      <c r="Z883" s="27"/>
      <c r="AA883" s="41"/>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row>
    <row r="884">
      <c r="A884" s="27"/>
      <c r="B884" s="124"/>
      <c r="C884" s="27"/>
      <c r="D884" s="27"/>
      <c r="E884" s="27"/>
      <c r="F884" s="27"/>
      <c r="G884" s="27"/>
      <c r="H884" s="27"/>
      <c r="I884" s="27"/>
      <c r="J884" s="27"/>
      <c r="K884" s="27"/>
      <c r="L884" s="27"/>
      <c r="M884" s="27"/>
      <c r="N884" s="27"/>
      <c r="O884" s="43"/>
      <c r="P884" s="27"/>
      <c r="Q884" s="27"/>
      <c r="R884" s="43"/>
      <c r="S884" s="27"/>
      <c r="T884" s="27"/>
      <c r="U884" s="27"/>
      <c r="V884" s="27"/>
      <c r="W884" s="27"/>
      <c r="X884" s="43"/>
      <c r="Y884" s="27"/>
      <c r="Z884" s="27"/>
      <c r="AA884" s="41"/>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row>
    <row r="885">
      <c r="A885" s="27"/>
      <c r="B885" s="124"/>
      <c r="C885" s="27"/>
      <c r="D885" s="27"/>
      <c r="E885" s="27"/>
      <c r="F885" s="27"/>
      <c r="G885" s="27"/>
      <c r="H885" s="27"/>
      <c r="I885" s="27"/>
      <c r="J885" s="27"/>
      <c r="K885" s="27"/>
      <c r="L885" s="27"/>
      <c r="M885" s="27"/>
      <c r="N885" s="27"/>
      <c r="O885" s="43"/>
      <c r="P885" s="27"/>
      <c r="Q885" s="27"/>
      <c r="R885" s="43"/>
      <c r="S885" s="27"/>
      <c r="T885" s="27"/>
      <c r="U885" s="27"/>
      <c r="V885" s="27"/>
      <c r="W885" s="27"/>
      <c r="X885" s="43"/>
      <c r="Y885" s="27"/>
      <c r="Z885" s="27"/>
      <c r="AA885" s="41"/>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row>
    <row r="886">
      <c r="A886" s="27"/>
      <c r="B886" s="124"/>
      <c r="C886" s="27"/>
      <c r="D886" s="27"/>
      <c r="E886" s="27"/>
      <c r="F886" s="27"/>
      <c r="G886" s="27"/>
      <c r="H886" s="27"/>
      <c r="I886" s="27"/>
      <c r="J886" s="27"/>
      <c r="K886" s="27"/>
      <c r="L886" s="27"/>
      <c r="M886" s="27"/>
      <c r="N886" s="27"/>
      <c r="O886" s="43"/>
      <c r="P886" s="27"/>
      <c r="Q886" s="27"/>
      <c r="R886" s="43"/>
      <c r="S886" s="27"/>
      <c r="T886" s="27"/>
      <c r="U886" s="27"/>
      <c r="V886" s="27"/>
      <c r="W886" s="27"/>
      <c r="X886" s="43"/>
      <c r="Y886" s="27"/>
      <c r="Z886" s="27"/>
      <c r="AA886" s="41"/>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row>
    <row r="887">
      <c r="A887" s="27"/>
      <c r="B887" s="124"/>
      <c r="C887" s="27"/>
      <c r="D887" s="27"/>
      <c r="E887" s="27"/>
      <c r="F887" s="27"/>
      <c r="G887" s="27"/>
      <c r="H887" s="27"/>
      <c r="I887" s="27"/>
      <c r="J887" s="27"/>
      <c r="K887" s="27"/>
      <c r="L887" s="27"/>
      <c r="M887" s="27"/>
      <c r="N887" s="27"/>
      <c r="O887" s="43"/>
      <c r="P887" s="27"/>
      <c r="Q887" s="27"/>
      <c r="R887" s="43"/>
      <c r="S887" s="27"/>
      <c r="T887" s="27"/>
      <c r="U887" s="27"/>
      <c r="V887" s="27"/>
      <c r="W887" s="27"/>
      <c r="X887" s="43"/>
      <c r="Y887" s="27"/>
      <c r="Z887" s="27"/>
      <c r="AA887" s="41"/>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row>
    <row r="888">
      <c r="A888" s="27"/>
      <c r="B888" s="124"/>
      <c r="C888" s="27"/>
      <c r="D888" s="27"/>
      <c r="E888" s="27"/>
      <c r="F888" s="27"/>
      <c r="G888" s="27"/>
      <c r="H888" s="27"/>
      <c r="I888" s="27"/>
      <c r="J888" s="27"/>
      <c r="K888" s="27"/>
      <c r="L888" s="27"/>
      <c r="M888" s="27"/>
      <c r="N888" s="27"/>
      <c r="O888" s="43"/>
      <c r="P888" s="27"/>
      <c r="Q888" s="27"/>
      <c r="R888" s="43"/>
      <c r="S888" s="27"/>
      <c r="T888" s="27"/>
      <c r="U888" s="27"/>
      <c r="V888" s="27"/>
      <c r="W888" s="27"/>
      <c r="X888" s="43"/>
      <c r="Y888" s="27"/>
      <c r="Z888" s="27"/>
      <c r="AA888" s="41"/>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row>
    <row r="889">
      <c r="A889" s="27"/>
      <c r="B889" s="124"/>
      <c r="C889" s="27"/>
      <c r="D889" s="27"/>
      <c r="E889" s="27"/>
      <c r="F889" s="27"/>
      <c r="G889" s="27"/>
      <c r="H889" s="27"/>
      <c r="I889" s="27"/>
      <c r="J889" s="27"/>
      <c r="K889" s="27"/>
      <c r="L889" s="27"/>
      <c r="M889" s="27"/>
      <c r="N889" s="27"/>
      <c r="O889" s="43"/>
      <c r="P889" s="27"/>
      <c r="Q889" s="27"/>
      <c r="R889" s="43"/>
      <c r="S889" s="27"/>
      <c r="T889" s="27"/>
      <c r="U889" s="27"/>
      <c r="V889" s="27"/>
      <c r="W889" s="27"/>
      <c r="X889" s="43"/>
      <c r="Y889" s="27"/>
      <c r="Z889" s="27"/>
      <c r="AA889" s="41"/>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row>
    <row r="890">
      <c r="A890" s="27"/>
      <c r="B890" s="124"/>
      <c r="C890" s="27"/>
      <c r="D890" s="27"/>
      <c r="E890" s="27"/>
      <c r="F890" s="27"/>
      <c r="G890" s="27"/>
      <c r="H890" s="27"/>
      <c r="I890" s="27"/>
      <c r="J890" s="27"/>
      <c r="K890" s="27"/>
      <c r="L890" s="27"/>
      <c r="M890" s="27"/>
      <c r="N890" s="27"/>
      <c r="O890" s="43"/>
      <c r="P890" s="27"/>
      <c r="Q890" s="27"/>
      <c r="R890" s="43"/>
      <c r="S890" s="27"/>
      <c r="T890" s="27"/>
      <c r="U890" s="27"/>
      <c r="V890" s="27"/>
      <c r="W890" s="27"/>
      <c r="X890" s="43"/>
      <c r="Y890" s="27"/>
      <c r="Z890" s="27"/>
      <c r="AA890" s="41"/>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row>
    <row r="891">
      <c r="A891" s="27"/>
      <c r="B891" s="124"/>
      <c r="C891" s="27"/>
      <c r="D891" s="27"/>
      <c r="E891" s="27"/>
      <c r="F891" s="27"/>
      <c r="G891" s="27"/>
      <c r="H891" s="27"/>
      <c r="I891" s="27"/>
      <c r="J891" s="27"/>
      <c r="K891" s="27"/>
      <c r="L891" s="27"/>
      <c r="M891" s="27"/>
      <c r="N891" s="27"/>
      <c r="O891" s="43"/>
      <c r="P891" s="27"/>
      <c r="Q891" s="27"/>
      <c r="R891" s="43"/>
      <c r="S891" s="27"/>
      <c r="T891" s="27"/>
      <c r="U891" s="27"/>
      <c r="V891" s="27"/>
      <c r="W891" s="27"/>
      <c r="X891" s="43"/>
      <c r="Y891" s="27"/>
      <c r="Z891" s="27"/>
      <c r="AA891" s="41"/>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row>
    <row r="892">
      <c r="A892" s="27"/>
      <c r="B892" s="124"/>
      <c r="C892" s="27"/>
      <c r="D892" s="27"/>
      <c r="E892" s="27"/>
      <c r="F892" s="27"/>
      <c r="G892" s="27"/>
      <c r="H892" s="27"/>
      <c r="I892" s="27"/>
      <c r="J892" s="27"/>
      <c r="K892" s="27"/>
      <c r="L892" s="27"/>
      <c r="M892" s="27"/>
      <c r="N892" s="27"/>
      <c r="O892" s="43"/>
      <c r="P892" s="27"/>
      <c r="Q892" s="27"/>
      <c r="R892" s="43"/>
      <c r="S892" s="27"/>
      <c r="T892" s="27"/>
      <c r="U892" s="27"/>
      <c r="V892" s="27"/>
      <c r="W892" s="27"/>
      <c r="X892" s="43"/>
      <c r="Y892" s="27"/>
      <c r="Z892" s="27"/>
      <c r="AA892" s="41"/>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row>
    <row r="893">
      <c r="A893" s="27"/>
      <c r="B893" s="124"/>
      <c r="C893" s="27"/>
      <c r="D893" s="27"/>
      <c r="E893" s="27"/>
      <c r="F893" s="27"/>
      <c r="G893" s="27"/>
      <c r="H893" s="27"/>
      <c r="I893" s="27"/>
      <c r="J893" s="27"/>
      <c r="K893" s="27"/>
      <c r="L893" s="27"/>
      <c r="M893" s="27"/>
      <c r="N893" s="27"/>
      <c r="O893" s="43"/>
      <c r="P893" s="27"/>
      <c r="Q893" s="27"/>
      <c r="R893" s="43"/>
      <c r="S893" s="27"/>
      <c r="T893" s="27"/>
      <c r="U893" s="27"/>
      <c r="V893" s="27"/>
      <c r="W893" s="27"/>
      <c r="X893" s="43"/>
      <c r="Y893" s="27"/>
      <c r="Z893" s="27"/>
      <c r="AA893" s="41"/>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row>
    <row r="894">
      <c r="A894" s="27"/>
      <c r="B894" s="124"/>
      <c r="C894" s="27"/>
      <c r="D894" s="27"/>
      <c r="E894" s="27"/>
      <c r="F894" s="27"/>
      <c r="G894" s="27"/>
      <c r="H894" s="27"/>
      <c r="I894" s="27"/>
      <c r="J894" s="27"/>
      <c r="K894" s="27"/>
      <c r="L894" s="27"/>
      <c r="M894" s="27"/>
      <c r="N894" s="27"/>
      <c r="O894" s="43"/>
      <c r="P894" s="27"/>
      <c r="Q894" s="27"/>
      <c r="R894" s="43"/>
      <c r="S894" s="27"/>
      <c r="T894" s="27"/>
      <c r="U894" s="27"/>
      <c r="V894" s="27"/>
      <c r="W894" s="27"/>
      <c r="X894" s="43"/>
      <c r="Y894" s="27"/>
      <c r="Z894" s="27"/>
      <c r="AA894" s="41"/>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row>
    <row r="895">
      <c r="A895" s="27"/>
      <c r="B895" s="124"/>
      <c r="C895" s="27"/>
      <c r="D895" s="27"/>
      <c r="E895" s="27"/>
      <c r="F895" s="27"/>
      <c r="G895" s="27"/>
      <c r="H895" s="27"/>
      <c r="I895" s="27"/>
      <c r="J895" s="27"/>
      <c r="K895" s="27"/>
      <c r="L895" s="27"/>
      <c r="M895" s="27"/>
      <c r="N895" s="27"/>
      <c r="O895" s="43"/>
      <c r="P895" s="27"/>
      <c r="Q895" s="27"/>
      <c r="R895" s="43"/>
      <c r="S895" s="27"/>
      <c r="T895" s="27"/>
      <c r="U895" s="27"/>
      <c r="V895" s="27"/>
      <c r="W895" s="27"/>
      <c r="X895" s="43"/>
      <c r="Y895" s="27"/>
      <c r="Z895" s="27"/>
      <c r="AA895" s="41"/>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row>
    <row r="896">
      <c r="A896" s="27"/>
      <c r="B896" s="124"/>
      <c r="C896" s="27"/>
      <c r="D896" s="27"/>
      <c r="E896" s="27"/>
      <c r="F896" s="27"/>
      <c r="G896" s="27"/>
      <c r="H896" s="27"/>
      <c r="I896" s="27"/>
      <c r="J896" s="27"/>
      <c r="K896" s="27"/>
      <c r="L896" s="27"/>
      <c r="M896" s="27"/>
      <c r="N896" s="27"/>
      <c r="O896" s="43"/>
      <c r="P896" s="27"/>
      <c r="Q896" s="27"/>
      <c r="R896" s="43"/>
      <c r="S896" s="27"/>
      <c r="T896" s="27"/>
      <c r="U896" s="27"/>
      <c r="V896" s="27"/>
      <c r="W896" s="27"/>
      <c r="X896" s="43"/>
      <c r="Y896" s="27"/>
      <c r="Z896" s="27"/>
      <c r="AA896" s="41"/>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row>
    <row r="897">
      <c r="A897" s="27"/>
      <c r="B897" s="124"/>
      <c r="C897" s="27"/>
      <c r="D897" s="27"/>
      <c r="E897" s="27"/>
      <c r="F897" s="27"/>
      <c r="G897" s="27"/>
      <c r="H897" s="27"/>
      <c r="I897" s="27"/>
      <c r="J897" s="27"/>
      <c r="K897" s="27"/>
      <c r="L897" s="27"/>
      <c r="M897" s="27"/>
      <c r="N897" s="27"/>
      <c r="O897" s="43"/>
      <c r="P897" s="27"/>
      <c r="Q897" s="27"/>
      <c r="R897" s="43"/>
      <c r="S897" s="27"/>
      <c r="T897" s="27"/>
      <c r="U897" s="27"/>
      <c r="V897" s="27"/>
      <c r="W897" s="27"/>
      <c r="X897" s="43"/>
      <c r="Y897" s="27"/>
      <c r="Z897" s="27"/>
      <c r="AA897" s="41"/>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row>
    <row r="898">
      <c r="A898" s="27"/>
      <c r="B898" s="124"/>
      <c r="C898" s="27"/>
      <c r="D898" s="27"/>
      <c r="E898" s="27"/>
      <c r="F898" s="27"/>
      <c r="G898" s="27"/>
      <c r="H898" s="27"/>
      <c r="I898" s="27"/>
      <c r="J898" s="27"/>
      <c r="K898" s="27"/>
      <c r="L898" s="27"/>
      <c r="M898" s="27"/>
      <c r="N898" s="27"/>
      <c r="O898" s="43"/>
      <c r="P898" s="27"/>
      <c r="Q898" s="27"/>
      <c r="R898" s="43"/>
      <c r="S898" s="27"/>
      <c r="T898" s="27"/>
      <c r="U898" s="27"/>
      <c r="V898" s="27"/>
      <c r="W898" s="27"/>
      <c r="X898" s="43"/>
      <c r="Y898" s="27"/>
      <c r="Z898" s="27"/>
      <c r="AA898" s="41"/>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row>
    <row r="899">
      <c r="A899" s="27"/>
      <c r="B899" s="124"/>
      <c r="C899" s="27"/>
      <c r="D899" s="27"/>
      <c r="E899" s="27"/>
      <c r="F899" s="27"/>
      <c r="G899" s="27"/>
      <c r="H899" s="27"/>
      <c r="I899" s="27"/>
      <c r="J899" s="27"/>
      <c r="K899" s="27"/>
      <c r="L899" s="27"/>
      <c r="M899" s="27"/>
      <c r="N899" s="27"/>
      <c r="O899" s="43"/>
      <c r="P899" s="27"/>
      <c r="Q899" s="27"/>
      <c r="R899" s="43"/>
      <c r="S899" s="27"/>
      <c r="T899" s="27"/>
      <c r="U899" s="27"/>
      <c r="V899" s="27"/>
      <c r="W899" s="27"/>
      <c r="X899" s="43"/>
      <c r="Y899" s="27"/>
      <c r="Z899" s="27"/>
      <c r="AA899" s="41"/>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row>
    <row r="900">
      <c r="A900" s="27"/>
      <c r="B900" s="124"/>
      <c r="C900" s="27"/>
      <c r="D900" s="27"/>
      <c r="E900" s="27"/>
      <c r="F900" s="27"/>
      <c r="G900" s="27"/>
      <c r="H900" s="27"/>
      <c r="I900" s="27"/>
      <c r="J900" s="27"/>
      <c r="K900" s="27"/>
      <c r="L900" s="27"/>
      <c r="M900" s="27"/>
      <c r="N900" s="27"/>
      <c r="O900" s="43"/>
      <c r="P900" s="27"/>
      <c r="Q900" s="27"/>
      <c r="R900" s="43"/>
      <c r="S900" s="27"/>
      <c r="T900" s="27"/>
      <c r="U900" s="27"/>
      <c r="V900" s="27"/>
      <c r="W900" s="27"/>
      <c r="X900" s="43"/>
      <c r="Y900" s="27"/>
      <c r="Z900" s="27"/>
      <c r="AA900" s="41"/>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row>
    <row r="901">
      <c r="A901" s="27"/>
      <c r="B901" s="124"/>
      <c r="C901" s="27"/>
      <c r="D901" s="27"/>
      <c r="E901" s="27"/>
      <c r="F901" s="27"/>
      <c r="G901" s="27"/>
      <c r="H901" s="27"/>
      <c r="I901" s="27"/>
      <c r="J901" s="27"/>
      <c r="K901" s="27"/>
      <c r="L901" s="27"/>
      <c r="M901" s="27"/>
      <c r="N901" s="27"/>
      <c r="O901" s="43"/>
      <c r="P901" s="27"/>
      <c r="Q901" s="27"/>
      <c r="R901" s="43"/>
      <c r="S901" s="27"/>
      <c r="T901" s="27"/>
      <c r="U901" s="27"/>
      <c r="V901" s="27"/>
      <c r="W901" s="27"/>
      <c r="X901" s="43"/>
      <c r="Y901" s="27"/>
      <c r="Z901" s="27"/>
      <c r="AA901" s="41"/>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row>
    <row r="902">
      <c r="A902" s="27"/>
      <c r="B902" s="124"/>
      <c r="C902" s="27"/>
      <c r="D902" s="27"/>
      <c r="E902" s="27"/>
      <c r="F902" s="27"/>
      <c r="G902" s="27"/>
      <c r="H902" s="27"/>
      <c r="I902" s="27"/>
      <c r="J902" s="27"/>
      <c r="K902" s="27"/>
      <c r="L902" s="27"/>
      <c r="M902" s="27"/>
      <c r="N902" s="27"/>
      <c r="O902" s="43"/>
      <c r="P902" s="27"/>
      <c r="Q902" s="27"/>
      <c r="R902" s="43"/>
      <c r="S902" s="27"/>
      <c r="T902" s="27"/>
      <c r="U902" s="27"/>
      <c r="V902" s="27"/>
      <c r="W902" s="27"/>
      <c r="X902" s="43"/>
      <c r="Y902" s="27"/>
      <c r="Z902" s="27"/>
      <c r="AA902" s="41"/>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row>
    <row r="903">
      <c r="A903" s="27"/>
      <c r="B903" s="124"/>
      <c r="C903" s="27"/>
      <c r="D903" s="27"/>
      <c r="E903" s="27"/>
      <c r="F903" s="27"/>
      <c r="G903" s="27"/>
      <c r="H903" s="27"/>
      <c r="I903" s="27"/>
      <c r="J903" s="27"/>
      <c r="K903" s="27"/>
      <c r="L903" s="27"/>
      <c r="M903" s="27"/>
      <c r="N903" s="27"/>
      <c r="O903" s="43"/>
      <c r="P903" s="27"/>
      <c r="Q903" s="27"/>
      <c r="R903" s="43"/>
      <c r="S903" s="27"/>
      <c r="T903" s="27"/>
      <c r="U903" s="27"/>
      <c r="V903" s="27"/>
      <c r="W903" s="27"/>
      <c r="X903" s="43"/>
      <c r="Y903" s="27"/>
      <c r="Z903" s="27"/>
      <c r="AA903" s="41"/>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row>
    <row r="904">
      <c r="A904" s="27"/>
      <c r="B904" s="124"/>
      <c r="C904" s="27"/>
      <c r="D904" s="27"/>
      <c r="E904" s="27"/>
      <c r="F904" s="27"/>
      <c r="G904" s="27"/>
      <c r="H904" s="27"/>
      <c r="I904" s="27"/>
      <c r="J904" s="27"/>
      <c r="K904" s="27"/>
      <c r="L904" s="27"/>
      <c r="M904" s="27"/>
      <c r="N904" s="27"/>
      <c r="O904" s="43"/>
      <c r="P904" s="27"/>
      <c r="Q904" s="27"/>
      <c r="R904" s="43"/>
      <c r="S904" s="27"/>
      <c r="T904" s="27"/>
      <c r="U904" s="27"/>
      <c r="V904" s="27"/>
      <c r="W904" s="27"/>
      <c r="X904" s="43"/>
      <c r="Y904" s="27"/>
      <c r="Z904" s="27"/>
      <c r="AA904" s="41"/>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row>
    <row r="905">
      <c r="A905" s="27"/>
      <c r="B905" s="124"/>
      <c r="C905" s="27"/>
      <c r="D905" s="27"/>
      <c r="E905" s="27"/>
      <c r="F905" s="27"/>
      <c r="G905" s="27"/>
      <c r="H905" s="27"/>
      <c r="I905" s="27"/>
      <c r="J905" s="27"/>
      <c r="K905" s="27"/>
      <c r="L905" s="27"/>
      <c r="M905" s="27"/>
      <c r="N905" s="27"/>
      <c r="O905" s="43"/>
      <c r="P905" s="27"/>
      <c r="Q905" s="27"/>
      <c r="R905" s="43"/>
      <c r="S905" s="27"/>
      <c r="T905" s="27"/>
      <c r="U905" s="27"/>
      <c r="V905" s="27"/>
      <c r="W905" s="27"/>
      <c r="X905" s="43"/>
      <c r="Y905" s="27"/>
      <c r="Z905" s="27"/>
      <c r="AA905" s="41"/>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row>
    <row r="906">
      <c r="A906" s="27"/>
      <c r="B906" s="124"/>
      <c r="C906" s="27"/>
      <c r="D906" s="27"/>
      <c r="E906" s="27"/>
      <c r="F906" s="27"/>
      <c r="G906" s="27"/>
      <c r="H906" s="27"/>
      <c r="I906" s="27"/>
      <c r="J906" s="27"/>
      <c r="K906" s="27"/>
      <c r="L906" s="27"/>
      <c r="M906" s="27"/>
      <c r="N906" s="27"/>
      <c r="O906" s="43"/>
      <c r="P906" s="27"/>
      <c r="Q906" s="27"/>
      <c r="R906" s="43"/>
      <c r="S906" s="27"/>
      <c r="T906" s="27"/>
      <c r="U906" s="27"/>
      <c r="V906" s="27"/>
      <c r="W906" s="27"/>
      <c r="X906" s="43"/>
      <c r="Y906" s="27"/>
      <c r="Z906" s="27"/>
      <c r="AA906" s="41"/>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row>
    <row r="907">
      <c r="A907" s="27"/>
      <c r="B907" s="124"/>
      <c r="C907" s="27"/>
      <c r="D907" s="27"/>
      <c r="E907" s="27"/>
      <c r="F907" s="27"/>
      <c r="G907" s="27"/>
      <c r="H907" s="27"/>
      <c r="I907" s="27"/>
      <c r="J907" s="27"/>
      <c r="K907" s="27"/>
      <c r="L907" s="27"/>
      <c r="M907" s="27"/>
      <c r="N907" s="27"/>
      <c r="O907" s="43"/>
      <c r="P907" s="27"/>
      <c r="Q907" s="27"/>
      <c r="R907" s="43"/>
      <c r="S907" s="27"/>
      <c r="T907" s="27"/>
      <c r="U907" s="27"/>
      <c r="V907" s="27"/>
      <c r="W907" s="27"/>
      <c r="X907" s="43"/>
      <c r="Y907" s="27"/>
      <c r="Z907" s="27"/>
      <c r="AA907" s="41"/>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row>
    <row r="908">
      <c r="A908" s="27"/>
      <c r="B908" s="124"/>
      <c r="C908" s="27"/>
      <c r="D908" s="27"/>
      <c r="E908" s="27"/>
      <c r="F908" s="27"/>
      <c r="G908" s="27"/>
      <c r="H908" s="27"/>
      <c r="I908" s="27"/>
      <c r="J908" s="27"/>
      <c r="K908" s="27"/>
      <c r="L908" s="27"/>
      <c r="M908" s="27"/>
      <c r="N908" s="27"/>
      <c r="O908" s="43"/>
      <c r="P908" s="27"/>
      <c r="Q908" s="27"/>
      <c r="R908" s="43"/>
      <c r="S908" s="27"/>
      <c r="T908" s="27"/>
      <c r="U908" s="27"/>
      <c r="V908" s="27"/>
      <c r="W908" s="27"/>
      <c r="X908" s="43"/>
      <c r="Y908" s="27"/>
      <c r="Z908" s="27"/>
      <c r="AA908" s="41"/>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row>
    <row r="909">
      <c r="A909" s="27"/>
      <c r="B909" s="124"/>
      <c r="C909" s="27"/>
      <c r="D909" s="27"/>
      <c r="E909" s="27"/>
      <c r="F909" s="27"/>
      <c r="G909" s="27"/>
      <c r="H909" s="27"/>
      <c r="I909" s="27"/>
      <c r="J909" s="27"/>
      <c r="K909" s="27"/>
      <c r="L909" s="27"/>
      <c r="M909" s="27"/>
      <c r="N909" s="27"/>
      <c r="O909" s="43"/>
      <c r="P909" s="27"/>
      <c r="Q909" s="27"/>
      <c r="R909" s="43"/>
      <c r="S909" s="27"/>
      <c r="T909" s="27"/>
      <c r="U909" s="27"/>
      <c r="V909" s="27"/>
      <c r="W909" s="27"/>
      <c r="X909" s="43"/>
      <c r="Y909" s="27"/>
      <c r="Z909" s="27"/>
      <c r="AA909" s="41"/>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row>
    <row r="910">
      <c r="A910" s="27"/>
      <c r="B910" s="124"/>
      <c r="C910" s="27"/>
      <c r="D910" s="27"/>
      <c r="E910" s="27"/>
      <c r="F910" s="27"/>
      <c r="G910" s="27"/>
      <c r="H910" s="27"/>
      <c r="I910" s="27"/>
      <c r="J910" s="27"/>
      <c r="K910" s="27"/>
      <c r="L910" s="27"/>
      <c r="M910" s="27"/>
      <c r="N910" s="27"/>
      <c r="O910" s="43"/>
      <c r="P910" s="27"/>
      <c r="Q910" s="27"/>
      <c r="R910" s="43"/>
      <c r="S910" s="27"/>
      <c r="T910" s="27"/>
      <c r="U910" s="27"/>
      <c r="V910" s="27"/>
      <c r="W910" s="27"/>
      <c r="X910" s="43"/>
      <c r="Y910" s="27"/>
      <c r="Z910" s="27"/>
      <c r="AA910" s="41"/>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row>
    <row r="911">
      <c r="A911" s="27"/>
      <c r="B911" s="124"/>
      <c r="C911" s="27"/>
      <c r="D911" s="27"/>
      <c r="E911" s="27"/>
      <c r="F911" s="27"/>
      <c r="G911" s="27"/>
      <c r="H911" s="27"/>
      <c r="I911" s="27"/>
      <c r="J911" s="27"/>
      <c r="K911" s="27"/>
      <c r="L911" s="27"/>
      <c r="M911" s="27"/>
      <c r="N911" s="27"/>
      <c r="O911" s="43"/>
      <c r="P911" s="27"/>
      <c r="Q911" s="27"/>
      <c r="R911" s="43"/>
      <c r="S911" s="27"/>
      <c r="T911" s="27"/>
      <c r="U911" s="27"/>
      <c r="V911" s="27"/>
      <c r="W911" s="27"/>
      <c r="X911" s="43"/>
      <c r="Y911" s="27"/>
      <c r="Z911" s="27"/>
      <c r="AA911" s="41"/>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row>
    <row r="912">
      <c r="A912" s="27"/>
      <c r="B912" s="124"/>
      <c r="C912" s="27"/>
      <c r="D912" s="27"/>
      <c r="E912" s="27"/>
      <c r="F912" s="27"/>
      <c r="G912" s="27"/>
      <c r="H912" s="27"/>
      <c r="I912" s="27"/>
      <c r="J912" s="27"/>
      <c r="K912" s="27"/>
      <c r="L912" s="27"/>
      <c r="M912" s="27"/>
      <c r="N912" s="27"/>
      <c r="O912" s="43"/>
      <c r="P912" s="27"/>
      <c r="Q912" s="27"/>
      <c r="R912" s="43"/>
      <c r="S912" s="27"/>
      <c r="T912" s="27"/>
      <c r="U912" s="27"/>
      <c r="V912" s="27"/>
      <c r="W912" s="27"/>
      <c r="X912" s="43"/>
      <c r="Y912" s="27"/>
      <c r="Z912" s="27"/>
      <c r="AA912" s="41"/>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row>
    <row r="913">
      <c r="A913" s="27"/>
      <c r="B913" s="124"/>
      <c r="C913" s="27"/>
      <c r="D913" s="27"/>
      <c r="E913" s="27"/>
      <c r="F913" s="27"/>
      <c r="G913" s="27"/>
      <c r="H913" s="27"/>
      <c r="I913" s="27"/>
      <c r="J913" s="27"/>
      <c r="K913" s="27"/>
      <c r="L913" s="27"/>
      <c r="M913" s="27"/>
      <c r="N913" s="27"/>
      <c r="O913" s="43"/>
      <c r="P913" s="27"/>
      <c r="Q913" s="27"/>
      <c r="R913" s="43"/>
      <c r="S913" s="27"/>
      <c r="T913" s="27"/>
      <c r="U913" s="27"/>
      <c r="V913" s="27"/>
      <c r="W913" s="27"/>
      <c r="X913" s="43"/>
      <c r="Y913" s="27"/>
      <c r="Z913" s="27"/>
      <c r="AA913" s="41"/>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row>
    <row r="914">
      <c r="A914" s="27"/>
      <c r="B914" s="124"/>
      <c r="C914" s="27"/>
      <c r="D914" s="27"/>
      <c r="E914" s="27"/>
      <c r="F914" s="27"/>
      <c r="G914" s="27"/>
      <c r="H914" s="27"/>
      <c r="I914" s="27"/>
      <c r="J914" s="27"/>
      <c r="K914" s="27"/>
      <c r="L914" s="27"/>
      <c r="M914" s="27"/>
      <c r="N914" s="27"/>
      <c r="O914" s="43"/>
      <c r="P914" s="27"/>
      <c r="Q914" s="27"/>
      <c r="R914" s="43"/>
      <c r="S914" s="27"/>
      <c r="T914" s="27"/>
      <c r="U914" s="27"/>
      <c r="V914" s="27"/>
      <c r="W914" s="27"/>
      <c r="X914" s="43"/>
      <c r="Y914" s="27"/>
      <c r="Z914" s="27"/>
      <c r="AA914" s="41"/>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row>
    <row r="915">
      <c r="A915" s="27"/>
      <c r="B915" s="124"/>
      <c r="C915" s="27"/>
      <c r="D915" s="27"/>
      <c r="E915" s="27"/>
      <c r="F915" s="27"/>
      <c r="G915" s="27"/>
      <c r="H915" s="27"/>
      <c r="I915" s="27"/>
      <c r="J915" s="27"/>
      <c r="K915" s="27"/>
      <c r="L915" s="27"/>
      <c r="M915" s="27"/>
      <c r="N915" s="27"/>
      <c r="O915" s="43"/>
      <c r="P915" s="27"/>
      <c r="Q915" s="27"/>
      <c r="R915" s="43"/>
      <c r="S915" s="27"/>
      <c r="T915" s="27"/>
      <c r="U915" s="27"/>
      <c r="V915" s="27"/>
      <c r="W915" s="27"/>
      <c r="X915" s="43"/>
      <c r="Y915" s="27"/>
      <c r="Z915" s="27"/>
      <c r="AA915" s="41"/>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row>
    <row r="916">
      <c r="A916" s="27"/>
      <c r="B916" s="124"/>
      <c r="C916" s="27"/>
      <c r="D916" s="27"/>
      <c r="E916" s="27"/>
      <c r="F916" s="27"/>
      <c r="G916" s="27"/>
      <c r="H916" s="27"/>
      <c r="I916" s="27"/>
      <c r="J916" s="27"/>
      <c r="K916" s="27"/>
      <c r="L916" s="27"/>
      <c r="M916" s="27"/>
      <c r="N916" s="27"/>
      <c r="O916" s="43"/>
      <c r="P916" s="27"/>
      <c r="Q916" s="27"/>
      <c r="R916" s="43"/>
      <c r="S916" s="27"/>
      <c r="T916" s="27"/>
      <c r="U916" s="27"/>
      <c r="V916" s="27"/>
      <c r="W916" s="27"/>
      <c r="X916" s="43"/>
      <c r="Y916" s="27"/>
      <c r="Z916" s="27"/>
      <c r="AA916" s="41"/>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row>
    <row r="917">
      <c r="A917" s="27"/>
      <c r="B917" s="124"/>
      <c r="C917" s="27"/>
      <c r="D917" s="27"/>
      <c r="E917" s="27"/>
      <c r="F917" s="27"/>
      <c r="G917" s="27"/>
      <c r="H917" s="27"/>
      <c r="I917" s="27"/>
      <c r="J917" s="27"/>
      <c r="K917" s="27"/>
      <c r="L917" s="27"/>
      <c r="M917" s="27"/>
      <c r="N917" s="27"/>
      <c r="O917" s="43"/>
      <c r="P917" s="27"/>
      <c r="Q917" s="27"/>
      <c r="R917" s="43"/>
      <c r="S917" s="27"/>
      <c r="T917" s="27"/>
      <c r="U917" s="27"/>
      <c r="V917" s="27"/>
      <c r="W917" s="27"/>
      <c r="X917" s="43"/>
      <c r="Y917" s="27"/>
      <c r="Z917" s="27"/>
      <c r="AA917" s="41"/>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row>
    <row r="918">
      <c r="A918" s="27"/>
      <c r="B918" s="124"/>
      <c r="C918" s="27"/>
      <c r="D918" s="27"/>
      <c r="E918" s="27"/>
      <c r="F918" s="27"/>
      <c r="G918" s="27"/>
      <c r="H918" s="27"/>
      <c r="I918" s="27"/>
      <c r="J918" s="27"/>
      <c r="K918" s="27"/>
      <c r="L918" s="27"/>
      <c r="M918" s="27"/>
      <c r="N918" s="27"/>
      <c r="O918" s="43"/>
      <c r="P918" s="27"/>
      <c r="Q918" s="27"/>
      <c r="R918" s="43"/>
      <c r="S918" s="27"/>
      <c r="T918" s="27"/>
      <c r="U918" s="27"/>
      <c r="V918" s="27"/>
      <c r="W918" s="27"/>
      <c r="X918" s="43"/>
      <c r="Y918" s="27"/>
      <c r="Z918" s="27"/>
      <c r="AA918" s="41"/>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row>
    <row r="919">
      <c r="A919" s="27"/>
      <c r="B919" s="124"/>
      <c r="C919" s="27"/>
      <c r="D919" s="27"/>
      <c r="E919" s="27"/>
      <c r="F919" s="27"/>
      <c r="G919" s="27"/>
      <c r="H919" s="27"/>
      <c r="I919" s="27"/>
      <c r="J919" s="27"/>
      <c r="K919" s="27"/>
      <c r="L919" s="27"/>
      <c r="M919" s="27"/>
      <c r="N919" s="27"/>
      <c r="O919" s="43"/>
      <c r="P919" s="27"/>
      <c r="Q919" s="27"/>
      <c r="R919" s="43"/>
      <c r="S919" s="27"/>
      <c r="T919" s="27"/>
      <c r="U919" s="27"/>
      <c r="V919" s="27"/>
      <c r="W919" s="27"/>
      <c r="X919" s="43"/>
      <c r="Y919" s="27"/>
      <c r="Z919" s="27"/>
      <c r="AA919" s="41"/>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row>
    <row r="920">
      <c r="A920" s="27"/>
      <c r="B920" s="124"/>
      <c r="C920" s="27"/>
      <c r="D920" s="27"/>
      <c r="E920" s="27"/>
      <c r="F920" s="27"/>
      <c r="G920" s="27"/>
      <c r="H920" s="27"/>
      <c r="I920" s="27"/>
      <c r="J920" s="27"/>
      <c r="K920" s="27"/>
      <c r="L920" s="27"/>
      <c r="M920" s="27"/>
      <c r="N920" s="27"/>
      <c r="O920" s="43"/>
      <c r="P920" s="27"/>
      <c r="Q920" s="27"/>
      <c r="R920" s="43"/>
      <c r="S920" s="27"/>
      <c r="T920" s="27"/>
      <c r="U920" s="27"/>
      <c r="V920" s="27"/>
      <c r="W920" s="27"/>
      <c r="X920" s="43"/>
      <c r="Y920" s="27"/>
      <c r="Z920" s="27"/>
      <c r="AA920" s="41"/>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row>
    <row r="921">
      <c r="A921" s="27"/>
      <c r="B921" s="124"/>
      <c r="C921" s="27"/>
      <c r="D921" s="27"/>
      <c r="E921" s="27"/>
      <c r="F921" s="27"/>
      <c r="G921" s="27"/>
      <c r="H921" s="27"/>
      <c r="I921" s="27"/>
      <c r="J921" s="27"/>
      <c r="K921" s="27"/>
      <c r="L921" s="27"/>
      <c r="M921" s="27"/>
      <c r="N921" s="27"/>
      <c r="O921" s="43"/>
      <c r="P921" s="27"/>
      <c r="Q921" s="27"/>
      <c r="R921" s="43"/>
      <c r="S921" s="27"/>
      <c r="T921" s="27"/>
      <c r="U921" s="27"/>
      <c r="V921" s="27"/>
      <c r="W921" s="27"/>
      <c r="X921" s="43"/>
      <c r="Y921" s="27"/>
      <c r="Z921" s="27"/>
      <c r="AA921" s="41"/>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row>
    <row r="922">
      <c r="A922" s="27"/>
      <c r="B922" s="124"/>
      <c r="C922" s="27"/>
      <c r="D922" s="27"/>
      <c r="E922" s="27"/>
      <c r="F922" s="27"/>
      <c r="G922" s="27"/>
      <c r="H922" s="27"/>
      <c r="I922" s="27"/>
      <c r="J922" s="27"/>
      <c r="K922" s="27"/>
      <c r="L922" s="27"/>
      <c r="M922" s="27"/>
      <c r="N922" s="27"/>
      <c r="O922" s="43"/>
      <c r="P922" s="27"/>
      <c r="Q922" s="27"/>
      <c r="R922" s="43"/>
      <c r="S922" s="27"/>
      <c r="T922" s="27"/>
      <c r="U922" s="27"/>
      <c r="V922" s="27"/>
      <c r="W922" s="27"/>
      <c r="X922" s="43"/>
      <c r="Y922" s="27"/>
      <c r="Z922" s="27"/>
      <c r="AA922" s="41"/>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row>
    <row r="923">
      <c r="A923" s="27"/>
      <c r="B923" s="124"/>
      <c r="C923" s="27"/>
      <c r="D923" s="27"/>
      <c r="E923" s="27"/>
      <c r="F923" s="27"/>
      <c r="G923" s="27"/>
      <c r="H923" s="27"/>
      <c r="I923" s="27"/>
      <c r="J923" s="27"/>
      <c r="K923" s="27"/>
      <c r="L923" s="27"/>
      <c r="M923" s="27"/>
      <c r="N923" s="27"/>
      <c r="O923" s="43"/>
      <c r="P923" s="27"/>
      <c r="Q923" s="27"/>
      <c r="R923" s="43"/>
      <c r="S923" s="27"/>
      <c r="T923" s="27"/>
      <c r="U923" s="27"/>
      <c r="V923" s="27"/>
      <c r="W923" s="27"/>
      <c r="X923" s="43"/>
      <c r="Y923" s="27"/>
      <c r="Z923" s="27"/>
      <c r="AA923" s="41"/>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row>
    <row r="924">
      <c r="A924" s="27"/>
      <c r="B924" s="124"/>
      <c r="C924" s="27"/>
      <c r="D924" s="27"/>
      <c r="E924" s="27"/>
      <c r="F924" s="27"/>
      <c r="G924" s="27"/>
      <c r="H924" s="27"/>
      <c r="I924" s="27"/>
      <c r="J924" s="27"/>
      <c r="K924" s="27"/>
      <c r="L924" s="27"/>
      <c r="M924" s="27"/>
      <c r="N924" s="27"/>
      <c r="O924" s="43"/>
      <c r="P924" s="27"/>
      <c r="Q924" s="27"/>
      <c r="R924" s="43"/>
      <c r="S924" s="27"/>
      <c r="T924" s="27"/>
      <c r="U924" s="27"/>
      <c r="V924" s="27"/>
      <c r="W924" s="27"/>
      <c r="X924" s="43"/>
      <c r="Y924" s="27"/>
      <c r="Z924" s="27"/>
      <c r="AA924" s="41"/>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row>
    <row r="925">
      <c r="A925" s="27"/>
      <c r="B925" s="124"/>
      <c r="C925" s="27"/>
      <c r="D925" s="27"/>
      <c r="E925" s="27"/>
      <c r="F925" s="27"/>
      <c r="G925" s="27"/>
      <c r="H925" s="27"/>
      <c r="I925" s="27"/>
      <c r="J925" s="27"/>
      <c r="K925" s="27"/>
      <c r="L925" s="27"/>
      <c r="M925" s="27"/>
      <c r="N925" s="27"/>
      <c r="O925" s="43"/>
      <c r="P925" s="27"/>
      <c r="Q925" s="27"/>
      <c r="R925" s="43"/>
      <c r="S925" s="27"/>
      <c r="T925" s="27"/>
      <c r="U925" s="27"/>
      <c r="V925" s="27"/>
      <c r="W925" s="27"/>
      <c r="X925" s="43"/>
      <c r="Y925" s="27"/>
      <c r="Z925" s="27"/>
      <c r="AA925" s="41"/>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row>
    <row r="926">
      <c r="A926" s="27"/>
      <c r="B926" s="124"/>
      <c r="C926" s="27"/>
      <c r="D926" s="27"/>
      <c r="E926" s="27"/>
      <c r="F926" s="27"/>
      <c r="G926" s="27"/>
      <c r="H926" s="27"/>
      <c r="I926" s="27"/>
      <c r="J926" s="27"/>
      <c r="K926" s="27"/>
      <c r="L926" s="27"/>
      <c r="M926" s="27"/>
      <c r="N926" s="27"/>
      <c r="O926" s="43"/>
      <c r="P926" s="27"/>
      <c r="Q926" s="27"/>
      <c r="R926" s="43"/>
      <c r="S926" s="27"/>
      <c r="T926" s="27"/>
      <c r="U926" s="27"/>
      <c r="V926" s="27"/>
      <c r="W926" s="27"/>
      <c r="X926" s="43"/>
      <c r="Y926" s="27"/>
      <c r="Z926" s="27"/>
      <c r="AA926" s="41"/>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row>
    <row r="927">
      <c r="A927" s="27"/>
      <c r="B927" s="124"/>
      <c r="C927" s="27"/>
      <c r="D927" s="27"/>
      <c r="E927" s="27"/>
      <c r="F927" s="27"/>
      <c r="G927" s="27"/>
      <c r="H927" s="27"/>
      <c r="I927" s="27"/>
      <c r="J927" s="27"/>
      <c r="K927" s="27"/>
      <c r="L927" s="27"/>
      <c r="M927" s="27"/>
      <c r="N927" s="27"/>
      <c r="O927" s="43"/>
      <c r="P927" s="27"/>
      <c r="Q927" s="27"/>
      <c r="R927" s="43"/>
      <c r="S927" s="27"/>
      <c r="T927" s="27"/>
      <c r="U927" s="27"/>
      <c r="V927" s="27"/>
      <c r="W927" s="27"/>
      <c r="X927" s="43"/>
      <c r="Y927" s="27"/>
      <c r="Z927" s="27"/>
      <c r="AA927" s="41"/>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row>
    <row r="928">
      <c r="A928" s="27"/>
      <c r="B928" s="124"/>
      <c r="C928" s="27"/>
      <c r="D928" s="27"/>
      <c r="E928" s="27"/>
      <c r="F928" s="27"/>
      <c r="G928" s="27"/>
      <c r="H928" s="27"/>
      <c r="I928" s="27"/>
      <c r="J928" s="27"/>
      <c r="K928" s="27"/>
      <c r="L928" s="27"/>
      <c r="M928" s="27"/>
      <c r="N928" s="27"/>
      <c r="O928" s="43"/>
      <c r="P928" s="27"/>
      <c r="Q928" s="27"/>
      <c r="R928" s="43"/>
      <c r="S928" s="27"/>
      <c r="T928" s="27"/>
      <c r="U928" s="27"/>
      <c r="V928" s="27"/>
      <c r="W928" s="27"/>
      <c r="X928" s="43"/>
      <c r="Y928" s="27"/>
      <c r="Z928" s="27"/>
      <c r="AA928" s="41"/>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row>
    <row r="929">
      <c r="A929" s="27"/>
      <c r="B929" s="124"/>
      <c r="C929" s="27"/>
      <c r="D929" s="27"/>
      <c r="E929" s="27"/>
      <c r="F929" s="27"/>
      <c r="G929" s="27"/>
      <c r="H929" s="27"/>
      <c r="I929" s="27"/>
      <c r="J929" s="27"/>
      <c r="K929" s="27"/>
      <c r="L929" s="27"/>
      <c r="M929" s="27"/>
      <c r="N929" s="27"/>
      <c r="O929" s="43"/>
      <c r="P929" s="27"/>
      <c r="Q929" s="27"/>
      <c r="R929" s="43"/>
      <c r="S929" s="27"/>
      <c r="T929" s="27"/>
      <c r="U929" s="27"/>
      <c r="V929" s="27"/>
      <c r="W929" s="27"/>
      <c r="X929" s="43"/>
      <c r="Y929" s="27"/>
      <c r="Z929" s="27"/>
      <c r="AA929" s="41"/>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row>
    <row r="930">
      <c r="A930" s="27"/>
      <c r="B930" s="124"/>
      <c r="C930" s="27"/>
      <c r="D930" s="27"/>
      <c r="E930" s="27"/>
      <c r="F930" s="27"/>
      <c r="G930" s="27"/>
      <c r="H930" s="27"/>
      <c r="I930" s="27"/>
      <c r="J930" s="27"/>
      <c r="K930" s="27"/>
      <c r="L930" s="27"/>
      <c r="M930" s="27"/>
      <c r="N930" s="27"/>
      <c r="O930" s="43"/>
      <c r="P930" s="27"/>
      <c r="Q930" s="27"/>
      <c r="R930" s="43"/>
      <c r="S930" s="27"/>
      <c r="T930" s="27"/>
      <c r="U930" s="27"/>
      <c r="V930" s="27"/>
      <c r="W930" s="27"/>
      <c r="X930" s="43"/>
      <c r="Y930" s="27"/>
      <c r="Z930" s="27"/>
      <c r="AA930" s="41"/>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row>
    <row r="931">
      <c r="A931" s="27"/>
      <c r="B931" s="124"/>
      <c r="C931" s="27"/>
      <c r="D931" s="27"/>
      <c r="E931" s="27"/>
      <c r="F931" s="27"/>
      <c r="G931" s="27"/>
      <c r="H931" s="27"/>
      <c r="I931" s="27"/>
      <c r="J931" s="27"/>
      <c r="K931" s="27"/>
      <c r="L931" s="27"/>
      <c r="M931" s="27"/>
      <c r="N931" s="27"/>
      <c r="O931" s="43"/>
      <c r="P931" s="27"/>
      <c r="Q931" s="27"/>
      <c r="R931" s="43"/>
      <c r="S931" s="27"/>
      <c r="T931" s="27"/>
      <c r="U931" s="27"/>
      <c r="V931" s="27"/>
      <c r="W931" s="27"/>
      <c r="X931" s="43"/>
      <c r="Y931" s="27"/>
      <c r="Z931" s="27"/>
      <c r="AA931" s="41"/>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row>
    <row r="932">
      <c r="A932" s="27"/>
      <c r="B932" s="124"/>
      <c r="C932" s="27"/>
      <c r="D932" s="27"/>
      <c r="E932" s="27"/>
      <c r="F932" s="27"/>
      <c r="G932" s="27"/>
      <c r="H932" s="27"/>
      <c r="I932" s="27"/>
      <c r="J932" s="27"/>
      <c r="K932" s="27"/>
      <c r="L932" s="27"/>
      <c r="M932" s="27"/>
      <c r="N932" s="27"/>
      <c r="O932" s="43"/>
      <c r="P932" s="27"/>
      <c r="Q932" s="27"/>
      <c r="R932" s="43"/>
      <c r="S932" s="27"/>
      <c r="T932" s="27"/>
      <c r="U932" s="27"/>
      <c r="V932" s="27"/>
      <c r="W932" s="27"/>
      <c r="X932" s="43"/>
      <c r="Y932" s="27"/>
      <c r="Z932" s="27"/>
      <c r="AA932" s="41"/>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row>
    <row r="933">
      <c r="A933" s="27"/>
      <c r="B933" s="124"/>
      <c r="C933" s="27"/>
      <c r="D933" s="27"/>
      <c r="E933" s="27"/>
      <c r="F933" s="27"/>
      <c r="G933" s="27"/>
      <c r="H933" s="27"/>
      <c r="I933" s="27"/>
      <c r="J933" s="27"/>
      <c r="K933" s="27"/>
      <c r="L933" s="27"/>
      <c r="M933" s="27"/>
      <c r="N933" s="27"/>
      <c r="O933" s="43"/>
      <c r="P933" s="27"/>
      <c r="Q933" s="27"/>
      <c r="R933" s="43"/>
      <c r="S933" s="27"/>
      <c r="T933" s="27"/>
      <c r="U933" s="27"/>
      <c r="V933" s="27"/>
      <c r="W933" s="27"/>
      <c r="X933" s="43"/>
      <c r="Y933" s="27"/>
      <c r="Z933" s="27"/>
      <c r="AA933" s="41"/>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row>
    <row r="934">
      <c r="A934" s="27"/>
      <c r="B934" s="124"/>
      <c r="C934" s="27"/>
      <c r="D934" s="27"/>
      <c r="E934" s="27"/>
      <c r="F934" s="27"/>
      <c r="G934" s="27"/>
      <c r="H934" s="27"/>
      <c r="I934" s="27"/>
      <c r="J934" s="27"/>
      <c r="K934" s="27"/>
      <c r="L934" s="27"/>
      <c r="M934" s="27"/>
      <c r="N934" s="27"/>
      <c r="O934" s="43"/>
      <c r="P934" s="27"/>
      <c r="Q934" s="27"/>
      <c r="R934" s="43"/>
      <c r="S934" s="27"/>
      <c r="T934" s="27"/>
      <c r="U934" s="27"/>
      <c r="V934" s="27"/>
      <c r="W934" s="27"/>
      <c r="X934" s="43"/>
      <c r="Y934" s="27"/>
      <c r="Z934" s="27"/>
      <c r="AA934" s="41"/>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row>
    <row r="935">
      <c r="A935" s="27"/>
      <c r="B935" s="124"/>
      <c r="C935" s="27"/>
      <c r="D935" s="27"/>
      <c r="E935" s="27"/>
      <c r="F935" s="27"/>
      <c r="G935" s="27"/>
      <c r="H935" s="27"/>
      <c r="I935" s="27"/>
      <c r="J935" s="27"/>
      <c r="K935" s="27"/>
      <c r="L935" s="27"/>
      <c r="M935" s="27"/>
      <c r="N935" s="27"/>
      <c r="O935" s="43"/>
      <c r="P935" s="27"/>
      <c r="Q935" s="27"/>
      <c r="R935" s="43"/>
      <c r="S935" s="27"/>
      <c r="T935" s="27"/>
      <c r="U935" s="27"/>
      <c r="V935" s="27"/>
      <c r="W935" s="27"/>
      <c r="X935" s="43"/>
      <c r="Y935" s="27"/>
      <c r="Z935" s="27"/>
      <c r="AA935" s="41"/>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row>
    <row r="936">
      <c r="A936" s="27"/>
      <c r="B936" s="124"/>
      <c r="C936" s="27"/>
      <c r="D936" s="27"/>
      <c r="E936" s="27"/>
      <c r="F936" s="27"/>
      <c r="G936" s="27"/>
      <c r="H936" s="27"/>
      <c r="I936" s="27"/>
      <c r="J936" s="27"/>
      <c r="K936" s="27"/>
      <c r="L936" s="27"/>
      <c r="M936" s="27"/>
      <c r="N936" s="27"/>
      <c r="O936" s="43"/>
      <c r="P936" s="27"/>
      <c r="Q936" s="27"/>
      <c r="R936" s="43"/>
      <c r="S936" s="27"/>
      <c r="T936" s="27"/>
      <c r="U936" s="27"/>
      <c r="V936" s="27"/>
      <c r="W936" s="27"/>
      <c r="X936" s="43"/>
      <c r="Y936" s="27"/>
      <c r="Z936" s="27"/>
      <c r="AA936" s="41"/>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row>
    <row r="937">
      <c r="A937" s="27"/>
      <c r="B937" s="124"/>
      <c r="C937" s="27"/>
      <c r="D937" s="27"/>
      <c r="E937" s="27"/>
      <c r="F937" s="27"/>
      <c r="G937" s="27"/>
      <c r="H937" s="27"/>
      <c r="I937" s="27"/>
      <c r="J937" s="27"/>
      <c r="K937" s="27"/>
      <c r="L937" s="27"/>
      <c r="M937" s="27"/>
      <c r="N937" s="27"/>
      <c r="O937" s="43"/>
      <c r="P937" s="27"/>
      <c r="Q937" s="27"/>
      <c r="R937" s="43"/>
      <c r="S937" s="27"/>
      <c r="T937" s="27"/>
      <c r="U937" s="27"/>
      <c r="V937" s="27"/>
      <c r="W937" s="27"/>
      <c r="X937" s="43"/>
      <c r="Y937" s="27"/>
      <c r="Z937" s="27"/>
      <c r="AA937" s="41"/>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row>
    <row r="938">
      <c r="A938" s="27"/>
      <c r="B938" s="124"/>
      <c r="C938" s="27"/>
      <c r="D938" s="27"/>
      <c r="E938" s="27"/>
      <c r="F938" s="27"/>
      <c r="G938" s="27"/>
      <c r="H938" s="27"/>
      <c r="I938" s="27"/>
      <c r="J938" s="27"/>
      <c r="K938" s="27"/>
      <c r="L938" s="27"/>
      <c r="M938" s="27"/>
      <c r="N938" s="27"/>
      <c r="O938" s="43"/>
      <c r="P938" s="27"/>
      <c r="Q938" s="27"/>
      <c r="R938" s="43"/>
      <c r="S938" s="27"/>
      <c r="T938" s="27"/>
      <c r="U938" s="27"/>
      <c r="V938" s="27"/>
      <c r="W938" s="27"/>
      <c r="X938" s="43"/>
      <c r="Y938" s="27"/>
      <c r="Z938" s="27"/>
      <c r="AA938" s="41"/>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row>
    <row r="939">
      <c r="A939" s="27"/>
      <c r="B939" s="124"/>
      <c r="C939" s="27"/>
      <c r="D939" s="27"/>
      <c r="E939" s="27"/>
      <c r="F939" s="27"/>
      <c r="G939" s="27"/>
      <c r="H939" s="27"/>
      <c r="I939" s="27"/>
      <c r="J939" s="27"/>
      <c r="K939" s="27"/>
      <c r="L939" s="27"/>
      <c r="M939" s="27"/>
      <c r="N939" s="27"/>
      <c r="O939" s="43"/>
      <c r="P939" s="27"/>
      <c r="Q939" s="27"/>
      <c r="R939" s="43"/>
      <c r="S939" s="27"/>
      <c r="T939" s="27"/>
      <c r="U939" s="27"/>
      <c r="V939" s="27"/>
      <c r="W939" s="27"/>
      <c r="X939" s="43"/>
      <c r="Y939" s="27"/>
      <c r="Z939" s="27"/>
      <c r="AA939" s="41"/>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row>
    <row r="940">
      <c r="A940" s="27"/>
      <c r="B940" s="124"/>
      <c r="C940" s="27"/>
      <c r="D940" s="27"/>
      <c r="E940" s="27"/>
      <c r="F940" s="27"/>
      <c r="G940" s="27"/>
      <c r="H940" s="27"/>
      <c r="I940" s="27"/>
      <c r="J940" s="27"/>
      <c r="K940" s="27"/>
      <c r="L940" s="27"/>
      <c r="M940" s="27"/>
      <c r="N940" s="27"/>
      <c r="O940" s="43"/>
      <c r="P940" s="27"/>
      <c r="Q940" s="27"/>
      <c r="R940" s="43"/>
      <c r="S940" s="27"/>
      <c r="T940" s="27"/>
      <c r="U940" s="27"/>
      <c r="V940" s="27"/>
      <c r="W940" s="27"/>
      <c r="X940" s="43"/>
      <c r="Y940" s="27"/>
      <c r="Z940" s="27"/>
      <c r="AA940" s="41"/>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row>
    <row r="941">
      <c r="A941" s="27"/>
      <c r="B941" s="124"/>
      <c r="C941" s="27"/>
      <c r="D941" s="27"/>
      <c r="E941" s="27"/>
      <c r="F941" s="27"/>
      <c r="G941" s="27"/>
      <c r="H941" s="27"/>
      <c r="I941" s="27"/>
      <c r="J941" s="27"/>
      <c r="K941" s="27"/>
      <c r="L941" s="27"/>
      <c r="M941" s="27"/>
      <c r="N941" s="27"/>
      <c r="O941" s="43"/>
      <c r="P941" s="27"/>
      <c r="Q941" s="27"/>
      <c r="R941" s="43"/>
      <c r="S941" s="27"/>
      <c r="T941" s="27"/>
      <c r="U941" s="27"/>
      <c r="V941" s="27"/>
      <c r="W941" s="27"/>
      <c r="X941" s="43"/>
      <c r="Y941" s="27"/>
      <c r="Z941" s="27"/>
      <c r="AA941" s="41"/>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row>
    <row r="942">
      <c r="A942" s="27"/>
      <c r="B942" s="124"/>
      <c r="C942" s="27"/>
      <c r="D942" s="27"/>
      <c r="E942" s="27"/>
      <c r="F942" s="27"/>
      <c r="G942" s="27"/>
      <c r="H942" s="27"/>
      <c r="I942" s="27"/>
      <c r="J942" s="27"/>
      <c r="K942" s="27"/>
      <c r="L942" s="27"/>
      <c r="M942" s="27"/>
      <c r="N942" s="27"/>
      <c r="O942" s="43"/>
      <c r="P942" s="27"/>
      <c r="Q942" s="27"/>
      <c r="R942" s="43"/>
      <c r="S942" s="27"/>
      <c r="T942" s="27"/>
      <c r="U942" s="27"/>
      <c r="V942" s="27"/>
      <c r="W942" s="27"/>
      <c r="X942" s="43"/>
      <c r="Y942" s="27"/>
      <c r="Z942" s="27"/>
      <c r="AA942" s="41"/>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row>
    <row r="943">
      <c r="A943" s="27"/>
      <c r="B943" s="124"/>
      <c r="C943" s="27"/>
      <c r="D943" s="27"/>
      <c r="E943" s="27"/>
      <c r="F943" s="27"/>
      <c r="G943" s="27"/>
      <c r="H943" s="27"/>
      <c r="I943" s="27"/>
      <c r="J943" s="27"/>
      <c r="K943" s="27"/>
      <c r="L943" s="27"/>
      <c r="M943" s="27"/>
      <c r="N943" s="27"/>
      <c r="O943" s="43"/>
      <c r="P943" s="27"/>
      <c r="Q943" s="27"/>
      <c r="R943" s="43"/>
      <c r="S943" s="27"/>
      <c r="T943" s="27"/>
      <c r="U943" s="27"/>
      <c r="V943" s="27"/>
      <c r="W943" s="27"/>
      <c r="X943" s="43"/>
      <c r="Y943" s="27"/>
      <c r="Z943" s="27"/>
      <c r="AA943" s="41"/>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row>
    <row r="944">
      <c r="A944" s="27"/>
      <c r="B944" s="124"/>
      <c r="C944" s="27"/>
      <c r="D944" s="27"/>
      <c r="E944" s="27"/>
      <c r="F944" s="27"/>
      <c r="G944" s="27"/>
      <c r="H944" s="27"/>
      <c r="I944" s="27"/>
      <c r="J944" s="27"/>
      <c r="K944" s="27"/>
      <c r="L944" s="27"/>
      <c r="M944" s="27"/>
      <c r="N944" s="27"/>
      <c r="O944" s="43"/>
      <c r="P944" s="27"/>
      <c r="Q944" s="27"/>
      <c r="R944" s="43"/>
      <c r="S944" s="27"/>
      <c r="T944" s="27"/>
      <c r="U944" s="27"/>
      <c r="V944" s="27"/>
      <c r="W944" s="27"/>
      <c r="X944" s="43"/>
      <c r="Y944" s="27"/>
      <c r="Z944" s="27"/>
      <c r="AA944" s="41"/>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row>
    <row r="945">
      <c r="A945" s="27"/>
      <c r="B945" s="124"/>
      <c r="C945" s="27"/>
      <c r="D945" s="27"/>
      <c r="E945" s="27"/>
      <c r="F945" s="27"/>
      <c r="G945" s="27"/>
      <c r="H945" s="27"/>
      <c r="I945" s="27"/>
      <c r="J945" s="27"/>
      <c r="K945" s="27"/>
      <c r="L945" s="27"/>
      <c r="M945" s="27"/>
      <c r="N945" s="27"/>
      <c r="O945" s="43"/>
      <c r="P945" s="27"/>
      <c r="Q945" s="27"/>
      <c r="R945" s="43"/>
      <c r="S945" s="27"/>
      <c r="T945" s="27"/>
      <c r="U945" s="27"/>
      <c r="V945" s="27"/>
      <c r="W945" s="27"/>
      <c r="X945" s="43"/>
      <c r="Y945" s="27"/>
      <c r="Z945" s="27"/>
      <c r="AA945" s="41"/>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row>
    <row r="946">
      <c r="A946" s="27"/>
      <c r="B946" s="124"/>
      <c r="C946" s="27"/>
      <c r="D946" s="27"/>
      <c r="E946" s="27"/>
      <c r="F946" s="27"/>
      <c r="G946" s="27"/>
      <c r="H946" s="27"/>
      <c r="I946" s="27"/>
      <c r="J946" s="27"/>
      <c r="K946" s="27"/>
      <c r="L946" s="27"/>
      <c r="M946" s="27"/>
      <c r="N946" s="27"/>
      <c r="O946" s="43"/>
      <c r="P946" s="27"/>
      <c r="Q946" s="27"/>
      <c r="R946" s="43"/>
      <c r="S946" s="27"/>
      <c r="T946" s="27"/>
      <c r="U946" s="27"/>
      <c r="V946" s="27"/>
      <c r="W946" s="27"/>
      <c r="X946" s="43"/>
      <c r="Y946" s="27"/>
      <c r="Z946" s="27"/>
      <c r="AA946" s="41"/>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row>
    <row r="947">
      <c r="A947" s="27"/>
      <c r="B947" s="124"/>
      <c r="C947" s="27"/>
      <c r="D947" s="27"/>
      <c r="E947" s="27"/>
      <c r="F947" s="27"/>
      <c r="G947" s="27"/>
      <c r="H947" s="27"/>
      <c r="I947" s="27"/>
      <c r="J947" s="27"/>
      <c r="K947" s="27"/>
      <c r="L947" s="27"/>
      <c r="M947" s="27"/>
      <c r="N947" s="27"/>
      <c r="O947" s="43"/>
      <c r="P947" s="27"/>
      <c r="Q947" s="27"/>
      <c r="R947" s="43"/>
      <c r="S947" s="27"/>
      <c r="T947" s="27"/>
      <c r="U947" s="27"/>
      <c r="V947" s="27"/>
      <c r="W947" s="27"/>
      <c r="X947" s="43"/>
      <c r="Y947" s="27"/>
      <c r="Z947" s="27"/>
      <c r="AA947" s="41"/>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row>
    <row r="948">
      <c r="A948" s="27"/>
      <c r="B948" s="124"/>
      <c r="C948" s="27"/>
      <c r="D948" s="27"/>
      <c r="E948" s="27"/>
      <c r="F948" s="27"/>
      <c r="G948" s="27"/>
      <c r="H948" s="27"/>
      <c r="I948" s="27"/>
      <c r="J948" s="27"/>
      <c r="K948" s="27"/>
      <c r="L948" s="27"/>
      <c r="M948" s="27"/>
      <c r="N948" s="27"/>
      <c r="O948" s="43"/>
      <c r="P948" s="27"/>
      <c r="Q948" s="27"/>
      <c r="R948" s="43"/>
      <c r="S948" s="27"/>
      <c r="T948" s="27"/>
      <c r="U948" s="27"/>
      <c r="V948" s="27"/>
      <c r="W948" s="27"/>
      <c r="X948" s="43"/>
      <c r="Y948" s="27"/>
      <c r="Z948" s="27"/>
      <c r="AA948" s="41"/>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row>
    <row r="949">
      <c r="A949" s="27"/>
      <c r="B949" s="124"/>
      <c r="C949" s="27"/>
      <c r="D949" s="27"/>
      <c r="E949" s="27"/>
      <c r="F949" s="27"/>
      <c r="G949" s="27"/>
      <c r="H949" s="27"/>
      <c r="I949" s="27"/>
      <c r="J949" s="27"/>
      <c r="K949" s="27"/>
      <c r="L949" s="27"/>
      <c r="M949" s="27"/>
      <c r="N949" s="27"/>
      <c r="O949" s="43"/>
      <c r="P949" s="27"/>
      <c r="Q949" s="27"/>
      <c r="R949" s="43"/>
      <c r="S949" s="27"/>
      <c r="T949" s="27"/>
      <c r="U949" s="27"/>
      <c r="V949" s="27"/>
      <c r="W949" s="27"/>
      <c r="X949" s="43"/>
      <c r="Y949" s="27"/>
      <c r="Z949" s="27"/>
      <c r="AA949" s="41"/>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row>
    <row r="950">
      <c r="A950" s="27"/>
      <c r="B950" s="124"/>
      <c r="C950" s="27"/>
      <c r="D950" s="27"/>
      <c r="E950" s="27"/>
      <c r="F950" s="27"/>
      <c r="G950" s="27"/>
      <c r="H950" s="27"/>
      <c r="I950" s="27"/>
      <c r="J950" s="27"/>
      <c r="K950" s="27"/>
      <c r="L950" s="27"/>
      <c r="M950" s="27"/>
      <c r="N950" s="27"/>
      <c r="O950" s="43"/>
      <c r="P950" s="27"/>
      <c r="Q950" s="27"/>
      <c r="R950" s="43"/>
      <c r="S950" s="27"/>
      <c r="T950" s="27"/>
      <c r="U950" s="27"/>
      <c r="V950" s="27"/>
      <c r="W950" s="27"/>
      <c r="X950" s="43"/>
      <c r="Y950" s="27"/>
      <c r="Z950" s="27"/>
      <c r="AA950" s="41"/>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row>
    <row r="951">
      <c r="A951" s="27"/>
      <c r="B951" s="124"/>
      <c r="C951" s="27"/>
      <c r="D951" s="27"/>
      <c r="E951" s="27"/>
      <c r="F951" s="27"/>
      <c r="G951" s="27"/>
      <c r="H951" s="27"/>
      <c r="I951" s="27"/>
      <c r="J951" s="27"/>
      <c r="K951" s="27"/>
      <c r="L951" s="27"/>
      <c r="M951" s="27"/>
      <c r="N951" s="27"/>
      <c r="O951" s="43"/>
      <c r="P951" s="27"/>
      <c r="Q951" s="27"/>
      <c r="R951" s="43"/>
      <c r="S951" s="27"/>
      <c r="T951" s="27"/>
      <c r="U951" s="27"/>
      <c r="V951" s="27"/>
      <c r="W951" s="27"/>
      <c r="X951" s="43"/>
      <c r="Y951" s="27"/>
      <c r="Z951" s="27"/>
      <c r="AA951" s="41"/>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row>
    <row r="952">
      <c r="A952" s="27"/>
      <c r="B952" s="124"/>
      <c r="C952" s="27"/>
      <c r="D952" s="27"/>
      <c r="E952" s="27"/>
      <c r="F952" s="27"/>
      <c r="G952" s="27"/>
      <c r="H952" s="27"/>
      <c r="I952" s="27"/>
      <c r="J952" s="27"/>
      <c r="K952" s="27"/>
      <c r="L952" s="27"/>
      <c r="M952" s="27"/>
      <c r="N952" s="27"/>
      <c r="O952" s="43"/>
      <c r="P952" s="27"/>
      <c r="Q952" s="27"/>
      <c r="R952" s="43"/>
      <c r="S952" s="27"/>
      <c r="T952" s="27"/>
      <c r="U952" s="27"/>
      <c r="V952" s="27"/>
      <c r="W952" s="27"/>
      <c r="X952" s="43"/>
      <c r="Y952" s="27"/>
      <c r="Z952" s="27"/>
      <c r="AA952" s="41"/>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row>
    <row r="953">
      <c r="A953" s="27"/>
      <c r="B953" s="124"/>
      <c r="C953" s="27"/>
      <c r="D953" s="27"/>
      <c r="E953" s="27"/>
      <c r="F953" s="27"/>
      <c r="G953" s="27"/>
      <c r="H953" s="27"/>
      <c r="I953" s="27"/>
      <c r="J953" s="27"/>
      <c r="K953" s="27"/>
      <c r="L953" s="27"/>
      <c r="M953" s="27"/>
      <c r="N953" s="27"/>
      <c r="O953" s="43"/>
      <c r="P953" s="27"/>
      <c r="Q953" s="27"/>
      <c r="R953" s="43"/>
      <c r="S953" s="27"/>
      <c r="T953" s="27"/>
      <c r="U953" s="27"/>
      <c r="V953" s="27"/>
      <c r="W953" s="27"/>
      <c r="X953" s="43"/>
      <c r="Y953" s="27"/>
      <c r="Z953" s="27"/>
      <c r="AA953" s="41"/>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row>
    <row r="954">
      <c r="A954" s="27"/>
      <c r="B954" s="124"/>
      <c r="C954" s="27"/>
      <c r="D954" s="27"/>
      <c r="E954" s="27"/>
      <c r="F954" s="27"/>
      <c r="G954" s="27"/>
      <c r="H954" s="27"/>
      <c r="I954" s="27"/>
      <c r="J954" s="27"/>
      <c r="K954" s="27"/>
      <c r="L954" s="27"/>
      <c r="M954" s="27"/>
      <c r="N954" s="27"/>
      <c r="O954" s="43"/>
      <c r="P954" s="27"/>
      <c r="Q954" s="27"/>
      <c r="R954" s="43"/>
      <c r="S954" s="27"/>
      <c r="T954" s="27"/>
      <c r="U954" s="27"/>
      <c r="V954" s="27"/>
      <c r="W954" s="27"/>
      <c r="X954" s="43"/>
      <c r="Y954" s="27"/>
      <c r="Z954" s="27"/>
      <c r="AA954" s="41"/>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row>
    <row r="955">
      <c r="A955" s="27"/>
      <c r="B955" s="124"/>
      <c r="C955" s="27"/>
      <c r="D955" s="27"/>
      <c r="E955" s="27"/>
      <c r="F955" s="27"/>
      <c r="G955" s="27"/>
      <c r="H955" s="27"/>
      <c r="I955" s="27"/>
      <c r="J955" s="27"/>
      <c r="K955" s="27"/>
      <c r="L955" s="27"/>
      <c r="M955" s="27"/>
      <c r="N955" s="27"/>
      <c r="O955" s="43"/>
      <c r="P955" s="27"/>
      <c r="Q955" s="27"/>
      <c r="R955" s="43"/>
      <c r="S955" s="27"/>
      <c r="T955" s="27"/>
      <c r="U955" s="27"/>
      <c r="V955" s="27"/>
      <c r="W955" s="27"/>
      <c r="X955" s="43"/>
      <c r="Y955" s="27"/>
      <c r="Z955" s="27"/>
      <c r="AA955" s="41"/>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row>
    <row r="956">
      <c r="A956" s="27"/>
      <c r="B956" s="124"/>
      <c r="C956" s="27"/>
      <c r="D956" s="27"/>
      <c r="E956" s="27"/>
      <c r="F956" s="27"/>
      <c r="G956" s="27"/>
      <c r="H956" s="27"/>
      <c r="I956" s="27"/>
      <c r="J956" s="27"/>
      <c r="K956" s="27"/>
      <c r="L956" s="27"/>
      <c r="M956" s="27"/>
      <c r="N956" s="27"/>
      <c r="O956" s="43"/>
      <c r="P956" s="27"/>
      <c r="Q956" s="27"/>
      <c r="R956" s="43"/>
      <c r="S956" s="27"/>
      <c r="T956" s="27"/>
      <c r="U956" s="27"/>
      <c r="V956" s="27"/>
      <c r="W956" s="27"/>
      <c r="X956" s="43"/>
      <c r="Y956" s="27"/>
      <c r="Z956" s="27"/>
      <c r="AA956" s="41"/>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row>
    <row r="957">
      <c r="A957" s="27"/>
      <c r="B957" s="124"/>
      <c r="C957" s="27"/>
      <c r="D957" s="27"/>
      <c r="E957" s="27"/>
      <c r="F957" s="27"/>
      <c r="G957" s="27"/>
      <c r="H957" s="27"/>
      <c r="I957" s="27"/>
      <c r="J957" s="27"/>
      <c r="K957" s="27"/>
      <c r="L957" s="27"/>
      <c r="M957" s="27"/>
      <c r="N957" s="27"/>
      <c r="O957" s="43"/>
      <c r="P957" s="27"/>
      <c r="Q957" s="27"/>
      <c r="R957" s="43"/>
      <c r="S957" s="27"/>
      <c r="T957" s="27"/>
      <c r="U957" s="27"/>
      <c r="V957" s="27"/>
      <c r="W957" s="27"/>
      <c r="X957" s="43"/>
      <c r="Y957" s="27"/>
      <c r="Z957" s="27"/>
      <c r="AA957" s="41"/>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row>
    <row r="958">
      <c r="A958" s="27"/>
      <c r="B958" s="124"/>
      <c r="C958" s="27"/>
      <c r="D958" s="27"/>
      <c r="E958" s="27"/>
      <c r="F958" s="27"/>
      <c r="G958" s="27"/>
      <c r="H958" s="27"/>
      <c r="I958" s="27"/>
      <c r="J958" s="27"/>
      <c r="K958" s="27"/>
      <c r="L958" s="27"/>
      <c r="M958" s="27"/>
      <c r="N958" s="27"/>
      <c r="O958" s="43"/>
      <c r="P958" s="27"/>
      <c r="Q958" s="27"/>
      <c r="R958" s="43"/>
      <c r="S958" s="27"/>
      <c r="T958" s="27"/>
      <c r="U958" s="27"/>
      <c r="V958" s="27"/>
      <c r="W958" s="27"/>
      <c r="X958" s="43"/>
      <c r="Y958" s="27"/>
      <c r="Z958" s="27"/>
      <c r="AA958" s="41"/>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row>
    <row r="959">
      <c r="A959" s="27"/>
      <c r="B959" s="124"/>
      <c r="C959" s="27"/>
      <c r="D959" s="27"/>
      <c r="E959" s="27"/>
      <c r="F959" s="27"/>
      <c r="G959" s="27"/>
      <c r="H959" s="27"/>
      <c r="I959" s="27"/>
      <c r="J959" s="27"/>
      <c r="K959" s="27"/>
      <c r="L959" s="27"/>
      <c r="M959" s="27"/>
      <c r="N959" s="27"/>
      <c r="O959" s="43"/>
      <c r="P959" s="27"/>
      <c r="Q959" s="27"/>
      <c r="R959" s="43"/>
      <c r="S959" s="27"/>
      <c r="T959" s="27"/>
      <c r="U959" s="27"/>
      <c r="V959" s="27"/>
      <c r="W959" s="27"/>
      <c r="X959" s="43"/>
      <c r="Y959" s="27"/>
      <c r="Z959" s="27"/>
      <c r="AA959" s="41"/>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row>
    <row r="960">
      <c r="A960" s="27"/>
      <c r="B960" s="124"/>
      <c r="C960" s="27"/>
      <c r="D960" s="27"/>
      <c r="E960" s="27"/>
      <c r="F960" s="27"/>
      <c r="G960" s="27"/>
      <c r="H960" s="27"/>
      <c r="I960" s="27"/>
      <c r="J960" s="27"/>
      <c r="K960" s="27"/>
      <c r="L960" s="27"/>
      <c r="M960" s="27"/>
      <c r="N960" s="27"/>
      <c r="O960" s="43"/>
      <c r="P960" s="27"/>
      <c r="Q960" s="27"/>
      <c r="R960" s="43"/>
      <c r="S960" s="27"/>
      <c r="T960" s="27"/>
      <c r="U960" s="27"/>
      <c r="V960" s="27"/>
      <c r="W960" s="27"/>
      <c r="X960" s="43"/>
      <c r="Y960" s="27"/>
      <c r="Z960" s="27"/>
      <c r="AA960" s="41"/>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row>
    <row r="961">
      <c r="A961" s="27"/>
      <c r="B961" s="124"/>
      <c r="C961" s="27"/>
      <c r="D961" s="27"/>
      <c r="E961" s="27"/>
      <c r="F961" s="27"/>
      <c r="G961" s="27"/>
      <c r="H961" s="27"/>
      <c r="I961" s="27"/>
      <c r="J961" s="27"/>
      <c r="K961" s="27"/>
      <c r="L961" s="27"/>
      <c r="M961" s="27"/>
      <c r="N961" s="27"/>
      <c r="O961" s="43"/>
      <c r="P961" s="27"/>
      <c r="Q961" s="27"/>
      <c r="R961" s="43"/>
      <c r="S961" s="27"/>
      <c r="T961" s="27"/>
      <c r="U961" s="27"/>
      <c r="V961" s="27"/>
      <c r="W961" s="27"/>
      <c r="X961" s="43"/>
      <c r="Y961" s="27"/>
      <c r="Z961" s="27"/>
      <c r="AA961" s="41"/>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row>
    <row r="962">
      <c r="A962" s="27"/>
      <c r="B962" s="124"/>
      <c r="C962" s="27"/>
      <c r="D962" s="27"/>
      <c r="E962" s="27"/>
      <c r="F962" s="27"/>
      <c r="G962" s="27"/>
      <c r="H962" s="27"/>
      <c r="I962" s="27"/>
      <c r="J962" s="27"/>
      <c r="K962" s="27"/>
      <c r="L962" s="27"/>
      <c r="M962" s="27"/>
      <c r="N962" s="27"/>
      <c r="O962" s="43"/>
      <c r="P962" s="27"/>
      <c r="Q962" s="27"/>
      <c r="R962" s="43"/>
      <c r="S962" s="27"/>
      <c r="T962" s="27"/>
      <c r="U962" s="27"/>
      <c r="V962" s="27"/>
      <c r="W962" s="27"/>
      <c r="X962" s="43"/>
      <c r="Y962" s="27"/>
      <c r="Z962" s="27"/>
      <c r="AA962" s="41"/>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row>
    <row r="963">
      <c r="A963" s="27"/>
      <c r="B963" s="124"/>
      <c r="C963" s="27"/>
      <c r="D963" s="27"/>
      <c r="E963" s="27"/>
      <c r="F963" s="27"/>
      <c r="G963" s="27"/>
      <c r="H963" s="27"/>
      <c r="I963" s="27"/>
      <c r="J963" s="27"/>
      <c r="K963" s="27"/>
      <c r="L963" s="27"/>
      <c r="M963" s="27"/>
      <c r="N963" s="27"/>
      <c r="O963" s="43"/>
      <c r="P963" s="27"/>
      <c r="Q963" s="27"/>
      <c r="R963" s="43"/>
      <c r="S963" s="27"/>
      <c r="T963" s="27"/>
      <c r="U963" s="27"/>
      <c r="V963" s="27"/>
      <c r="W963" s="27"/>
      <c r="X963" s="43"/>
      <c r="Y963" s="27"/>
      <c r="Z963" s="27"/>
      <c r="AA963" s="41"/>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row>
    <row r="964">
      <c r="A964" s="27"/>
      <c r="B964" s="124"/>
      <c r="C964" s="27"/>
      <c r="D964" s="27"/>
      <c r="E964" s="27"/>
      <c r="F964" s="27"/>
      <c r="G964" s="27"/>
      <c r="H964" s="27"/>
      <c r="I964" s="27"/>
      <c r="J964" s="27"/>
      <c r="K964" s="27"/>
      <c r="L964" s="27"/>
      <c r="M964" s="27"/>
      <c r="N964" s="27"/>
      <c r="O964" s="43"/>
      <c r="P964" s="27"/>
      <c r="Q964" s="27"/>
      <c r="R964" s="43"/>
      <c r="S964" s="27"/>
      <c r="T964" s="27"/>
      <c r="U964" s="27"/>
      <c r="V964" s="27"/>
      <c r="W964" s="27"/>
      <c r="X964" s="43"/>
      <c r="Y964" s="27"/>
      <c r="Z964" s="27"/>
      <c r="AA964" s="41"/>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row>
    <row r="965">
      <c r="A965" s="27"/>
      <c r="B965" s="124"/>
      <c r="C965" s="27"/>
      <c r="D965" s="27"/>
      <c r="E965" s="27"/>
      <c r="F965" s="27"/>
      <c r="G965" s="27"/>
      <c r="H965" s="27"/>
      <c r="I965" s="27"/>
      <c r="J965" s="27"/>
      <c r="K965" s="27"/>
      <c r="L965" s="27"/>
      <c r="M965" s="27"/>
      <c r="N965" s="27"/>
      <c r="O965" s="43"/>
      <c r="P965" s="27"/>
      <c r="Q965" s="27"/>
      <c r="R965" s="43"/>
      <c r="S965" s="27"/>
      <c r="T965" s="27"/>
      <c r="U965" s="27"/>
      <c r="V965" s="27"/>
      <c r="W965" s="27"/>
      <c r="X965" s="43"/>
      <c r="Y965" s="27"/>
      <c r="Z965" s="27"/>
      <c r="AA965" s="41"/>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row>
    <row r="966">
      <c r="A966" s="27"/>
      <c r="B966" s="124"/>
      <c r="C966" s="27"/>
      <c r="D966" s="27"/>
      <c r="E966" s="27"/>
      <c r="F966" s="27"/>
      <c r="G966" s="27"/>
      <c r="H966" s="27"/>
      <c r="I966" s="27"/>
      <c r="J966" s="27"/>
      <c r="K966" s="27"/>
      <c r="L966" s="27"/>
      <c r="M966" s="27"/>
      <c r="N966" s="27"/>
      <c r="O966" s="43"/>
      <c r="P966" s="27"/>
      <c r="Q966" s="27"/>
      <c r="R966" s="43"/>
      <c r="S966" s="27"/>
      <c r="T966" s="27"/>
      <c r="U966" s="27"/>
      <c r="V966" s="27"/>
      <c r="W966" s="27"/>
      <c r="X966" s="43"/>
      <c r="Y966" s="27"/>
      <c r="Z966" s="27"/>
      <c r="AA966" s="41"/>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row>
    <row r="967">
      <c r="A967" s="27"/>
      <c r="B967" s="124"/>
      <c r="C967" s="27"/>
      <c r="D967" s="27"/>
      <c r="E967" s="27"/>
      <c r="F967" s="27"/>
      <c r="G967" s="27"/>
      <c r="H967" s="27"/>
      <c r="I967" s="27"/>
      <c r="J967" s="27"/>
      <c r="K967" s="27"/>
      <c r="L967" s="27"/>
      <c r="M967" s="27"/>
      <c r="N967" s="27"/>
      <c r="O967" s="43"/>
      <c r="P967" s="27"/>
      <c r="Q967" s="27"/>
      <c r="R967" s="43"/>
      <c r="S967" s="27"/>
      <c r="T967" s="27"/>
      <c r="U967" s="27"/>
      <c r="V967" s="27"/>
      <c r="W967" s="27"/>
      <c r="X967" s="43"/>
      <c r="Y967" s="27"/>
      <c r="Z967" s="27"/>
      <c r="AA967" s="41"/>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row>
    <row r="968">
      <c r="A968" s="27"/>
      <c r="B968" s="124"/>
      <c r="C968" s="27"/>
      <c r="D968" s="27"/>
      <c r="E968" s="27"/>
      <c r="F968" s="27"/>
      <c r="G968" s="27"/>
      <c r="H968" s="27"/>
      <c r="I968" s="27"/>
      <c r="J968" s="27"/>
      <c r="K968" s="27"/>
      <c r="L968" s="27"/>
      <c r="M968" s="27"/>
      <c r="N968" s="27"/>
      <c r="O968" s="43"/>
      <c r="P968" s="27"/>
      <c r="Q968" s="27"/>
      <c r="R968" s="43"/>
      <c r="S968" s="27"/>
      <c r="T968" s="27"/>
      <c r="U968" s="27"/>
      <c r="V968" s="27"/>
      <c r="W968" s="27"/>
      <c r="X968" s="43"/>
      <c r="Y968" s="27"/>
      <c r="Z968" s="27"/>
      <c r="AA968" s="41"/>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row>
    <row r="969">
      <c r="A969" s="27"/>
      <c r="B969" s="124"/>
      <c r="C969" s="27"/>
      <c r="D969" s="27"/>
      <c r="E969" s="27"/>
      <c r="F969" s="27"/>
      <c r="G969" s="27"/>
      <c r="H969" s="27"/>
      <c r="I969" s="27"/>
      <c r="J969" s="27"/>
      <c r="K969" s="27"/>
      <c r="L969" s="27"/>
      <c r="M969" s="27"/>
      <c r="N969" s="27"/>
      <c r="O969" s="43"/>
      <c r="P969" s="27"/>
      <c r="Q969" s="27"/>
      <c r="R969" s="43"/>
      <c r="S969" s="27"/>
      <c r="T969" s="27"/>
      <c r="U969" s="27"/>
      <c r="V969" s="27"/>
      <c r="W969" s="27"/>
      <c r="X969" s="43"/>
      <c r="Y969" s="27"/>
      <c r="Z969" s="27"/>
      <c r="AA969" s="41"/>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row>
    <row r="970">
      <c r="A970" s="27"/>
      <c r="B970" s="124"/>
      <c r="C970" s="27"/>
      <c r="D970" s="27"/>
      <c r="E970" s="27"/>
      <c r="F970" s="27"/>
      <c r="G970" s="27"/>
      <c r="H970" s="27"/>
      <c r="I970" s="27"/>
      <c r="J970" s="27"/>
      <c r="K970" s="27"/>
      <c r="L970" s="27"/>
      <c r="M970" s="27"/>
      <c r="N970" s="27"/>
      <c r="O970" s="43"/>
      <c r="P970" s="27"/>
      <c r="Q970" s="27"/>
      <c r="R970" s="43"/>
      <c r="S970" s="27"/>
      <c r="T970" s="27"/>
      <c r="U970" s="27"/>
      <c r="V970" s="27"/>
      <c r="W970" s="27"/>
      <c r="X970" s="43"/>
      <c r="Y970" s="27"/>
      <c r="Z970" s="27"/>
      <c r="AA970" s="41"/>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row>
    <row r="971">
      <c r="A971" s="27"/>
      <c r="B971" s="124"/>
      <c r="C971" s="27"/>
      <c r="D971" s="27"/>
      <c r="E971" s="27"/>
      <c r="F971" s="27"/>
      <c r="G971" s="27"/>
      <c r="H971" s="27"/>
      <c r="I971" s="27"/>
      <c r="J971" s="27"/>
      <c r="K971" s="27"/>
      <c r="L971" s="27"/>
      <c r="M971" s="27"/>
      <c r="N971" s="27"/>
      <c r="O971" s="43"/>
      <c r="P971" s="27"/>
      <c r="Q971" s="27"/>
      <c r="R971" s="43"/>
      <c r="S971" s="27"/>
      <c r="T971" s="27"/>
      <c r="U971" s="27"/>
      <c r="V971" s="27"/>
      <c r="W971" s="27"/>
      <c r="X971" s="43"/>
      <c r="Y971" s="27"/>
      <c r="Z971" s="27"/>
      <c r="AA971" s="41"/>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row>
    <row r="972">
      <c r="A972" s="27"/>
      <c r="B972" s="124"/>
      <c r="C972" s="27"/>
      <c r="D972" s="27"/>
      <c r="E972" s="27"/>
      <c r="F972" s="27"/>
      <c r="G972" s="27"/>
      <c r="H972" s="27"/>
      <c r="I972" s="27"/>
      <c r="J972" s="27"/>
      <c r="K972" s="27"/>
      <c r="L972" s="27"/>
      <c r="M972" s="27"/>
      <c r="N972" s="27"/>
      <c r="O972" s="43"/>
      <c r="P972" s="27"/>
      <c r="Q972" s="27"/>
      <c r="R972" s="43"/>
      <c r="S972" s="27"/>
      <c r="T972" s="27"/>
      <c r="U972" s="27"/>
      <c r="V972" s="27"/>
      <c r="W972" s="27"/>
      <c r="X972" s="43"/>
      <c r="Y972" s="27"/>
      <c r="Z972" s="27"/>
      <c r="AA972" s="41"/>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row>
    <row r="973">
      <c r="A973" s="27"/>
      <c r="B973" s="124"/>
      <c r="C973" s="27"/>
      <c r="D973" s="27"/>
      <c r="E973" s="27"/>
      <c r="F973" s="27"/>
      <c r="G973" s="27"/>
      <c r="H973" s="27"/>
      <c r="I973" s="27"/>
      <c r="J973" s="27"/>
      <c r="K973" s="27"/>
      <c r="L973" s="27"/>
      <c r="M973" s="27"/>
      <c r="N973" s="27"/>
      <c r="O973" s="43"/>
      <c r="P973" s="27"/>
      <c r="Q973" s="27"/>
      <c r="R973" s="43"/>
      <c r="S973" s="27"/>
      <c r="T973" s="27"/>
      <c r="U973" s="27"/>
      <c r="V973" s="27"/>
      <c r="W973" s="27"/>
      <c r="X973" s="43"/>
      <c r="Y973" s="27"/>
      <c r="Z973" s="27"/>
      <c r="AA973" s="41"/>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row>
    <row r="974">
      <c r="A974" s="27"/>
      <c r="B974" s="124"/>
      <c r="C974" s="27"/>
      <c r="D974" s="27"/>
      <c r="E974" s="27"/>
      <c r="F974" s="27"/>
      <c r="G974" s="27"/>
      <c r="H974" s="27"/>
      <c r="I974" s="27"/>
      <c r="J974" s="27"/>
      <c r="K974" s="27"/>
      <c r="L974" s="27"/>
      <c r="M974" s="27"/>
      <c r="N974" s="27"/>
      <c r="O974" s="43"/>
      <c r="P974" s="27"/>
      <c r="Q974" s="27"/>
      <c r="R974" s="43"/>
      <c r="S974" s="27"/>
      <c r="T974" s="27"/>
      <c r="U974" s="27"/>
      <c r="V974" s="27"/>
      <c r="W974" s="27"/>
      <c r="X974" s="43"/>
      <c r="Y974" s="27"/>
      <c r="Z974" s="27"/>
      <c r="AA974" s="41"/>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row>
    <row r="975">
      <c r="A975" s="35"/>
      <c r="B975" s="35"/>
      <c r="C975" s="27"/>
      <c r="D975" s="35"/>
      <c r="E975" s="35"/>
      <c r="F975" s="35"/>
      <c r="G975" s="35"/>
      <c r="H975" s="35"/>
      <c r="I975" s="27"/>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row>
    <row r="976">
      <c r="A976" s="35"/>
      <c r="B976" s="35"/>
      <c r="C976" s="27"/>
      <c r="D976" s="35"/>
      <c r="E976" s="35"/>
      <c r="F976" s="35"/>
      <c r="G976" s="35"/>
      <c r="H976" s="35"/>
      <c r="I976" s="27"/>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row>
    <row r="977">
      <c r="A977" s="35"/>
      <c r="B977" s="35"/>
      <c r="C977" s="27"/>
      <c r="D977" s="35"/>
      <c r="E977" s="35"/>
      <c r="F977" s="35"/>
      <c r="G977" s="35"/>
      <c r="H977" s="35"/>
      <c r="I977" s="27"/>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row>
    <row r="978">
      <c r="A978" s="35"/>
      <c r="B978" s="35"/>
      <c r="C978" s="27"/>
      <c r="D978" s="35"/>
      <c r="E978" s="35"/>
      <c r="F978" s="35"/>
      <c r="G978" s="35"/>
      <c r="H978" s="35"/>
      <c r="I978" s="27"/>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row>
    <row r="979">
      <c r="A979" s="35"/>
      <c r="B979" s="35"/>
      <c r="C979" s="27"/>
      <c r="D979" s="35"/>
      <c r="E979" s="35"/>
      <c r="F979" s="35"/>
      <c r="G979" s="35"/>
      <c r="H979" s="35"/>
      <c r="I979" s="27"/>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row>
    <row r="980">
      <c r="A980" s="35"/>
      <c r="B980" s="35"/>
      <c r="C980" s="27"/>
      <c r="D980" s="35"/>
      <c r="E980" s="35"/>
      <c r="F980" s="35"/>
      <c r="G980" s="35"/>
      <c r="H980" s="35"/>
      <c r="I980" s="27"/>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row>
    <row r="981">
      <c r="A981" s="35"/>
      <c r="B981" s="35"/>
      <c r="C981" s="27"/>
      <c r="D981" s="35"/>
      <c r="E981" s="35"/>
      <c r="F981" s="35"/>
      <c r="G981" s="35"/>
      <c r="H981" s="35"/>
      <c r="I981" s="27"/>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row>
    <row r="982">
      <c r="A982" s="35"/>
      <c r="B982" s="35"/>
      <c r="C982" s="27"/>
      <c r="D982" s="35"/>
      <c r="E982" s="35"/>
      <c r="F982" s="35"/>
      <c r="G982" s="35"/>
      <c r="H982" s="35"/>
      <c r="I982" s="27"/>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row>
    <row r="983">
      <c r="A983" s="35"/>
      <c r="B983" s="35"/>
      <c r="C983" s="27"/>
      <c r="D983" s="35"/>
      <c r="E983" s="35"/>
      <c r="F983" s="35"/>
      <c r="G983" s="35"/>
      <c r="H983" s="35"/>
      <c r="I983" s="27"/>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row>
    <row r="984">
      <c r="A984" s="35"/>
      <c r="B984" s="35"/>
      <c r="C984" s="27"/>
      <c r="D984" s="35"/>
      <c r="E984" s="35"/>
      <c r="F984" s="35"/>
      <c r="G984" s="35"/>
      <c r="H984" s="35"/>
      <c r="I984" s="27"/>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row>
    <row r="985">
      <c r="A985" s="35"/>
      <c r="B985" s="35"/>
      <c r="C985" s="27"/>
      <c r="D985" s="35"/>
      <c r="E985" s="35"/>
      <c r="F985" s="35"/>
      <c r="G985" s="35"/>
      <c r="H985" s="35"/>
      <c r="I985" s="27"/>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row>
    <row r="986">
      <c r="A986" s="35"/>
      <c r="B986" s="35"/>
      <c r="C986" s="27"/>
      <c r="D986" s="35"/>
      <c r="E986" s="35"/>
      <c r="F986" s="35"/>
      <c r="G986" s="35"/>
      <c r="H986" s="35"/>
      <c r="I986" s="27"/>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row>
    <row r="987">
      <c r="A987" s="35"/>
      <c r="B987" s="35"/>
      <c r="C987" s="27"/>
      <c r="D987" s="35"/>
      <c r="E987" s="35"/>
      <c r="F987" s="35"/>
      <c r="G987" s="35"/>
      <c r="H987" s="35"/>
      <c r="I987" s="27"/>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row>
    <row r="988">
      <c r="A988" s="35"/>
      <c r="B988" s="35"/>
      <c r="C988" s="27"/>
      <c r="D988" s="35"/>
      <c r="E988" s="35"/>
      <c r="F988" s="35"/>
      <c r="G988" s="35"/>
      <c r="H988" s="35"/>
      <c r="I988" s="27"/>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row>
    <row r="989">
      <c r="A989" s="35"/>
      <c r="B989" s="35"/>
      <c r="C989" s="27"/>
      <c r="D989" s="35"/>
      <c r="E989" s="35"/>
      <c r="F989" s="35"/>
      <c r="G989" s="35"/>
      <c r="H989" s="35"/>
      <c r="I989" s="27"/>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row>
    <row r="990">
      <c r="A990" s="35"/>
      <c r="B990" s="35"/>
      <c r="C990" s="27"/>
      <c r="D990" s="35"/>
      <c r="E990" s="35"/>
      <c r="F990" s="35"/>
      <c r="G990" s="35"/>
      <c r="H990" s="35"/>
      <c r="I990" s="27"/>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row>
    <row r="991">
      <c r="A991" s="35"/>
      <c r="B991" s="35"/>
      <c r="C991" s="27"/>
      <c r="D991" s="35"/>
      <c r="E991" s="35"/>
      <c r="F991" s="35"/>
      <c r="G991" s="35"/>
      <c r="H991" s="35"/>
      <c r="I991" s="27"/>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row>
    <row r="992">
      <c r="A992" s="35"/>
      <c r="B992" s="35"/>
      <c r="C992" s="27"/>
      <c r="D992" s="35"/>
      <c r="E992" s="35"/>
      <c r="F992" s="35"/>
      <c r="G992" s="35"/>
      <c r="H992" s="35"/>
      <c r="I992" s="27"/>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row>
    <row r="993">
      <c r="A993" s="35"/>
      <c r="B993" s="35"/>
      <c r="C993" s="27"/>
      <c r="D993" s="35"/>
      <c r="E993" s="35"/>
      <c r="F993" s="35"/>
      <c r="G993" s="35"/>
      <c r="H993" s="35"/>
      <c r="I993" s="27"/>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row>
    <row r="994">
      <c r="A994" s="35"/>
      <c r="B994" s="35"/>
      <c r="C994" s="27"/>
      <c r="D994" s="35"/>
      <c r="E994" s="35"/>
      <c r="F994" s="35"/>
      <c r="G994" s="35"/>
      <c r="H994" s="35"/>
      <c r="I994" s="27"/>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row>
    <row r="995">
      <c r="A995" s="35"/>
      <c r="B995" s="35"/>
      <c r="C995" s="27"/>
      <c r="D995" s="35"/>
      <c r="E995" s="35"/>
      <c r="F995" s="35"/>
      <c r="G995" s="35"/>
      <c r="H995" s="35"/>
      <c r="I995" s="27"/>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row>
    <row r="996">
      <c r="A996" s="35"/>
      <c r="B996" s="35"/>
      <c r="C996" s="27"/>
      <c r="D996" s="35"/>
      <c r="E996" s="35"/>
      <c r="F996" s="35"/>
      <c r="G996" s="35"/>
      <c r="H996" s="35"/>
      <c r="I996" s="27"/>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row>
    <row r="997">
      <c r="A997" s="35"/>
      <c r="B997" s="35"/>
      <c r="C997" s="27"/>
      <c r="D997" s="35"/>
      <c r="E997" s="35"/>
      <c r="F997" s="35"/>
      <c r="G997" s="35"/>
      <c r="H997" s="35"/>
      <c r="I997" s="27"/>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row>
    <row r="998">
      <c r="A998" s="35"/>
      <c r="B998" s="35"/>
      <c r="C998" s="27"/>
      <c r="D998" s="35"/>
      <c r="E998" s="35"/>
      <c r="F998" s="35"/>
      <c r="G998" s="35"/>
      <c r="H998" s="35"/>
      <c r="I998" s="27"/>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row>
  </sheetData>
  <conditionalFormatting sqref="C1:C998">
    <cfRule type="expression" dxfId="6" priority="1">
      <formula>COUNTIF(C:C, C1) &gt; 1</formula>
    </cfRule>
  </conditionalFormatting>
  <dataValidations>
    <dataValidation type="list" allowBlank="1" sqref="AE2:AE120">
      <formula1>"Test,Chờ test,Test Review,Passed,Failed,Withdraw"</formula1>
    </dataValidation>
    <dataValidation type="list" allowBlank="1" sqref="AF2:AF120">
      <formula1>"Quỳnh,Nhiên"</formula1>
    </dataValidation>
    <dataValidation type="custom" allowBlank="1" showDropDown="1" sqref="B2:B120 M2:M120">
      <formula1>OR(NOT(ISERROR(DATEVALUE(B2))), AND(ISNUMBER(B2), LEFT(CELL("format", B2))="D"))</formula1>
    </dataValidation>
    <dataValidation type="custom" allowBlank="1" showDropDown="1" sqref="Y2:Y120">
      <formula1>OR(NOT(ISERROR(DATEVALUE(Y2))), AND(ISNUMBER(Y2), LEFT(CELL("format", Y2))="D"))</formula1>
    </dataValidation>
    <dataValidation type="list" allowBlank="1" showErrorMessage="1" sqref="AC2:AC120">
      <formula1>"Failed,Waiting list,Passed"</formula1>
    </dataValidation>
  </dataValidations>
  <hyperlinks>
    <hyperlink r:id="rId1" ref="AB5"/>
    <hyperlink r:id="rId2" ref="AH5"/>
    <hyperlink r:id="rId3" ref="AB8"/>
    <hyperlink r:id="rId4" ref="AB10"/>
    <hyperlink r:id="rId5" ref="AB12"/>
    <hyperlink r:id="rId6" ref="AB14"/>
    <hyperlink r:id="rId7" ref="AB15"/>
    <hyperlink r:id="rId8" ref="AB18"/>
    <hyperlink r:id="rId9" ref="AB19"/>
    <hyperlink r:id="rId10" ref="AH19"/>
    <hyperlink r:id="rId11" ref="AB21"/>
    <hyperlink r:id="rId12" ref="AB23"/>
    <hyperlink r:id="rId13" ref="AB24"/>
    <hyperlink r:id="rId14" ref="AB26"/>
    <hyperlink r:id="rId15" ref="AB30"/>
    <hyperlink r:id="rId16" ref="AH30"/>
    <hyperlink r:id="rId17" ref="AB31"/>
    <hyperlink r:id="rId18" ref="AB32"/>
    <hyperlink r:id="rId19" ref="AB34"/>
    <hyperlink r:id="rId20" ref="AB35"/>
    <hyperlink r:id="rId21" ref="AB37"/>
    <hyperlink r:id="rId22" ref="AB39"/>
    <hyperlink r:id="rId23" ref="AH39"/>
    <hyperlink r:id="rId24" ref="AB40"/>
    <hyperlink r:id="rId25" ref="AH40"/>
    <hyperlink r:id="rId26" ref="AB41"/>
    <hyperlink r:id="rId27" ref="AB42"/>
    <hyperlink r:id="rId28" ref="AH42"/>
    <hyperlink r:id="rId29" ref="AB43"/>
    <hyperlink r:id="rId30" ref="AH43"/>
    <hyperlink r:id="rId31" ref="AB44"/>
    <hyperlink r:id="rId32" ref="AB45"/>
    <hyperlink r:id="rId33" ref="AH45"/>
    <hyperlink r:id="rId34" ref="AB50"/>
    <hyperlink r:id="rId35" ref="AH50"/>
    <hyperlink r:id="rId36" ref="AB52"/>
    <hyperlink r:id="rId37" ref="AH52"/>
    <hyperlink r:id="rId38" ref="AB53"/>
    <hyperlink r:id="rId39" ref="AB54"/>
    <hyperlink r:id="rId40" ref="AB58"/>
    <hyperlink r:id="rId41" ref="AH63"/>
    <hyperlink r:id="rId42" ref="AB64"/>
    <hyperlink r:id="rId43" ref="AB65"/>
    <hyperlink r:id="rId44" ref="AB66"/>
    <hyperlink r:id="rId45" ref="AH66"/>
    <hyperlink r:id="rId46" ref="AB68"/>
    <hyperlink r:id="rId47" ref="AB70"/>
    <hyperlink r:id="rId48" ref="AB73"/>
    <hyperlink r:id="rId49" ref="AB74"/>
    <hyperlink r:id="rId50" ref="AH74"/>
    <hyperlink r:id="rId51" ref="AB75"/>
    <hyperlink r:id="rId52" ref="AB81"/>
    <hyperlink r:id="rId53" ref="AB82"/>
    <hyperlink r:id="rId54" ref="AB83"/>
    <hyperlink r:id="rId55" ref="AB85"/>
    <hyperlink r:id="rId56" ref="AB86"/>
    <hyperlink r:id="rId57" ref="AH86"/>
    <hyperlink r:id="rId58" ref="AB87"/>
    <hyperlink r:id="rId59" ref="AH88"/>
    <hyperlink r:id="rId60" ref="AB91"/>
    <hyperlink r:id="rId61" ref="AH91"/>
    <hyperlink r:id="rId62" ref="AB92"/>
    <hyperlink r:id="rId63" ref="AH94"/>
    <hyperlink r:id="rId64" ref="AB96"/>
    <hyperlink r:id="rId65" ref="AB97"/>
    <hyperlink r:id="rId66" ref="AB98"/>
    <hyperlink r:id="rId67" ref="AH98"/>
    <hyperlink r:id="rId68" ref="AB100"/>
    <hyperlink r:id="rId69" ref="AB101"/>
    <hyperlink r:id="rId70" ref="AH101"/>
    <hyperlink r:id="rId71" ref="AB103"/>
    <hyperlink r:id="rId72" ref="AB104"/>
    <hyperlink r:id="rId73" ref="AB107"/>
    <hyperlink r:id="rId74" ref="AH107"/>
    <hyperlink r:id="rId75" ref="AB108"/>
    <hyperlink r:id="rId76" ref="AB110"/>
    <hyperlink r:id="rId77" ref="AB113"/>
    <hyperlink r:id="rId78" ref="AB114"/>
    <hyperlink r:id="rId79" ref="Q116"/>
    <hyperlink r:id="rId80" ref="AB118"/>
    <hyperlink r:id="rId81" ref="AH118"/>
    <hyperlink r:id="rId82" ref="AB119"/>
  </hyperlinks>
  <drawing r:id="rId83"/>
  <tableParts count="1">
    <tablePart r:id="rId8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13"/>
    <col customWidth="1" min="8" max="8" width="17.25"/>
  </cols>
  <sheetData>
    <row r="1">
      <c r="A1" s="36" t="s">
        <v>6484</v>
      </c>
      <c r="B1" s="36" t="s">
        <v>6368</v>
      </c>
      <c r="C1" s="36"/>
      <c r="D1" s="36"/>
      <c r="E1" s="36"/>
    </row>
    <row r="2">
      <c r="A2" s="36" t="s">
        <v>6351</v>
      </c>
      <c r="B2" s="36" t="s">
        <v>6376</v>
      </c>
      <c r="C2" s="36" t="s">
        <v>6377</v>
      </c>
      <c r="D2" s="36" t="s">
        <v>6388</v>
      </c>
      <c r="E2" s="36" t="s">
        <v>6338</v>
      </c>
    </row>
    <row r="3">
      <c r="A3" s="36" t="s">
        <v>62</v>
      </c>
      <c r="B3" s="36">
        <v>17.0</v>
      </c>
      <c r="C3" s="36">
        <v>18.0</v>
      </c>
      <c r="D3" s="36"/>
      <c r="E3" s="36">
        <v>35.0</v>
      </c>
    </row>
    <row r="4">
      <c r="A4" s="36" t="s">
        <v>82</v>
      </c>
      <c r="B4" s="36">
        <v>12.0</v>
      </c>
      <c r="C4" s="36">
        <v>9.0</v>
      </c>
      <c r="D4" s="36"/>
      <c r="E4" s="36">
        <v>21.0</v>
      </c>
    </row>
    <row r="5">
      <c r="A5" s="36" t="s">
        <v>99</v>
      </c>
      <c r="B5" s="36">
        <v>14.0</v>
      </c>
      <c r="C5" s="36">
        <v>6.0</v>
      </c>
      <c r="D5" s="36">
        <v>1.0</v>
      </c>
      <c r="E5" s="36">
        <v>21.0</v>
      </c>
    </row>
    <row r="6">
      <c r="A6" s="36" t="s">
        <v>127</v>
      </c>
      <c r="B6" s="36">
        <v>3.0</v>
      </c>
      <c r="C6" s="36">
        <v>5.0</v>
      </c>
      <c r="D6" s="36">
        <v>1.0</v>
      </c>
      <c r="E6" s="36">
        <v>9.0</v>
      </c>
    </row>
    <row r="7">
      <c r="A7" s="36" t="s">
        <v>774</v>
      </c>
      <c r="B7" s="36">
        <v>2.0</v>
      </c>
      <c r="C7" s="36">
        <v>1.0</v>
      </c>
      <c r="D7" s="36">
        <v>1.0</v>
      </c>
      <c r="E7" s="36">
        <v>4.0</v>
      </c>
    </row>
    <row r="8">
      <c r="A8" s="36" t="s">
        <v>633</v>
      </c>
      <c r="B8" s="36">
        <v>1.0</v>
      </c>
      <c r="C8" s="36">
        <v>1.0</v>
      </c>
      <c r="D8" s="36"/>
      <c r="E8" s="36">
        <v>2.0</v>
      </c>
    </row>
    <row r="9">
      <c r="A9" s="36" t="s">
        <v>61</v>
      </c>
      <c r="B9" s="36">
        <v>12.0</v>
      </c>
      <c r="C9" s="36">
        <v>15.0</v>
      </c>
      <c r="D9" s="36"/>
      <c r="E9" s="36">
        <v>27.0</v>
      </c>
    </row>
    <row r="10">
      <c r="A10" s="36" t="s">
        <v>6338</v>
      </c>
      <c r="B10" s="36">
        <v>61.0</v>
      </c>
      <c r="C10" s="36">
        <v>54.0</v>
      </c>
      <c r="D10" s="36">
        <v>3.0</v>
      </c>
      <c r="E10" s="36">
        <v>118.0</v>
      </c>
      <c r="H10" s="44" t="s">
        <v>6485</v>
      </c>
      <c r="I10" s="125">
        <f>C10/E10</f>
        <v>0.4576271186</v>
      </c>
    </row>
    <row r="12">
      <c r="A12" s="36" t="s">
        <v>6484</v>
      </c>
      <c r="B12" s="36" t="s">
        <v>6486</v>
      </c>
      <c r="C12" s="36"/>
      <c r="D12" s="36"/>
      <c r="E12" s="36"/>
    </row>
    <row r="13">
      <c r="A13" s="36" t="s">
        <v>6351</v>
      </c>
      <c r="B13" s="36" t="s">
        <v>6487</v>
      </c>
      <c r="C13" s="36" t="s">
        <v>76</v>
      </c>
      <c r="D13" s="36" t="s">
        <v>93</v>
      </c>
      <c r="E13" s="36" t="s">
        <v>6338</v>
      </c>
    </row>
    <row r="14">
      <c r="A14" s="36" t="s">
        <v>62</v>
      </c>
      <c r="B14" s="36">
        <v>4.0</v>
      </c>
      <c r="C14" s="36"/>
      <c r="D14" s="36">
        <v>14.0</v>
      </c>
      <c r="E14" s="36">
        <v>18.0</v>
      </c>
    </row>
    <row r="15">
      <c r="A15" s="36" t="s">
        <v>82</v>
      </c>
      <c r="B15" s="36"/>
      <c r="C15" s="36"/>
      <c r="D15" s="36">
        <v>9.0</v>
      </c>
      <c r="E15" s="36">
        <v>9.0</v>
      </c>
    </row>
    <row r="16">
      <c r="A16" s="36" t="s">
        <v>99</v>
      </c>
      <c r="B16" s="36">
        <v>2.0</v>
      </c>
      <c r="C16" s="36">
        <v>4.0</v>
      </c>
      <c r="D16" s="36"/>
      <c r="E16" s="36">
        <v>6.0</v>
      </c>
    </row>
    <row r="17">
      <c r="A17" s="36" t="s">
        <v>127</v>
      </c>
      <c r="B17" s="36">
        <v>1.0</v>
      </c>
      <c r="C17" s="36"/>
      <c r="D17" s="36">
        <v>4.0</v>
      </c>
      <c r="E17" s="36">
        <v>5.0</v>
      </c>
    </row>
    <row r="18">
      <c r="A18" s="36" t="s">
        <v>774</v>
      </c>
      <c r="B18" s="36"/>
      <c r="C18" s="36">
        <v>1.0</v>
      </c>
      <c r="D18" s="36"/>
      <c r="E18" s="36">
        <v>1.0</v>
      </c>
    </row>
    <row r="19">
      <c r="A19" s="36" t="s">
        <v>633</v>
      </c>
      <c r="B19" s="36"/>
      <c r="C19" s="36"/>
      <c r="D19" s="36">
        <v>1.0</v>
      </c>
      <c r="E19" s="36">
        <v>1.0</v>
      </c>
    </row>
    <row r="20">
      <c r="A20" s="36" t="s">
        <v>61</v>
      </c>
      <c r="B20" s="36"/>
      <c r="C20" s="36"/>
      <c r="D20" s="36">
        <v>15.0</v>
      </c>
      <c r="E20" s="36">
        <v>15.0</v>
      </c>
    </row>
    <row r="21">
      <c r="A21" s="36" t="s">
        <v>6338</v>
      </c>
      <c r="B21" s="36">
        <v>7.0</v>
      </c>
      <c r="C21" s="36">
        <v>5.0</v>
      </c>
      <c r="D21" s="36">
        <v>43.0</v>
      </c>
      <c r="E21" s="36">
        <v>54.0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1.63"/>
    <col customWidth="1" min="5" max="5" width="18.5"/>
    <col customWidth="1" min="6" max="6" width="24.25"/>
    <col customWidth="1" min="7" max="8" width="31.0"/>
    <col customWidth="1" min="9" max="9" width="48.75"/>
    <col customWidth="1" min="12" max="12" width="29.88"/>
    <col customWidth="1" min="14" max="14" width="17.63"/>
    <col customWidth="1" min="16" max="16" width="15.75"/>
    <col customWidth="1" min="17" max="17" width="33.63"/>
    <col customWidth="1" min="23" max="23" width="31.0"/>
    <col hidden="1" min="25" max="27" width="12.63"/>
    <col customWidth="1" min="28" max="28" width="18.25"/>
    <col customWidth="1" min="29" max="29" width="23.88"/>
    <col customWidth="1" min="30" max="30" width="29.88"/>
    <col customWidth="1" min="31" max="31" width="23.88"/>
    <col customWidth="1" min="32" max="32" width="24.13"/>
  </cols>
  <sheetData>
    <row r="1" ht="60.75" customHeight="1">
      <c r="A1" s="126" t="s">
        <v>6347</v>
      </c>
      <c r="B1" s="126" t="s">
        <v>6348</v>
      </c>
      <c r="C1" s="126" t="s">
        <v>6349</v>
      </c>
      <c r="D1" s="126" t="s">
        <v>6350</v>
      </c>
      <c r="E1" s="126" t="s">
        <v>6351</v>
      </c>
      <c r="F1" s="126" t="s">
        <v>6352</v>
      </c>
      <c r="G1" s="126" t="s">
        <v>6353</v>
      </c>
      <c r="H1" s="126" t="s">
        <v>6354</v>
      </c>
      <c r="I1" s="126" t="s">
        <v>6355</v>
      </c>
      <c r="J1" s="126" t="s">
        <v>6356</v>
      </c>
      <c r="K1" s="126" t="s">
        <v>6357</v>
      </c>
      <c r="L1" s="126" t="s">
        <v>6358</v>
      </c>
      <c r="M1" s="126" t="s">
        <v>6359</v>
      </c>
      <c r="N1" s="126" t="s">
        <v>6360</v>
      </c>
      <c r="O1" s="126" t="s">
        <v>6361</v>
      </c>
      <c r="P1" s="126" t="s">
        <v>6362</v>
      </c>
      <c r="Q1" s="126" t="s">
        <v>6363</v>
      </c>
      <c r="R1" s="126" t="s">
        <v>6364</v>
      </c>
      <c r="S1" s="126" t="s">
        <v>6365</v>
      </c>
      <c r="T1" s="126" t="s">
        <v>6366</v>
      </c>
      <c r="U1" s="127" t="s">
        <v>53</v>
      </c>
      <c r="V1" s="128" t="s">
        <v>54</v>
      </c>
      <c r="W1" s="128" t="s">
        <v>55</v>
      </c>
      <c r="X1" s="129" t="s">
        <v>6367</v>
      </c>
      <c r="Y1" s="128" t="s">
        <v>56</v>
      </c>
      <c r="Z1" s="128" t="s">
        <v>57</v>
      </c>
      <c r="AA1" s="126" t="s">
        <v>2</v>
      </c>
      <c r="AB1" s="126" t="s">
        <v>4</v>
      </c>
      <c r="AC1" s="126" t="s">
        <v>6368</v>
      </c>
      <c r="AD1" s="126" t="s">
        <v>6369</v>
      </c>
      <c r="AE1" s="130" t="s">
        <v>6488</v>
      </c>
      <c r="AF1" s="131" t="s">
        <v>6489</v>
      </c>
      <c r="AG1" s="35"/>
      <c r="AH1" s="27"/>
      <c r="AI1" s="27"/>
      <c r="AJ1" s="27"/>
      <c r="AK1" s="27"/>
      <c r="AL1" s="27"/>
      <c r="AM1" s="27"/>
      <c r="AN1" s="27"/>
      <c r="AO1" s="27"/>
      <c r="AP1" s="27"/>
      <c r="AQ1" s="27"/>
      <c r="AR1" s="27"/>
      <c r="AS1" s="27"/>
      <c r="AT1" s="27"/>
      <c r="AU1" s="27"/>
      <c r="AV1" s="27"/>
      <c r="AW1" s="27"/>
      <c r="AX1" s="27"/>
      <c r="AY1" s="27"/>
      <c r="AZ1" s="27"/>
      <c r="BA1" s="27"/>
    </row>
    <row r="2" hidden="1">
      <c r="A2" s="35" t="s">
        <v>1332</v>
      </c>
      <c r="B2" s="132">
        <v>36765.0</v>
      </c>
      <c r="C2" s="35" t="s">
        <v>192</v>
      </c>
      <c r="D2" s="133" t="s">
        <v>193</v>
      </c>
      <c r="E2" s="35" t="s">
        <v>127</v>
      </c>
      <c r="F2" s="35" t="s">
        <v>127</v>
      </c>
      <c r="G2" s="35" t="s">
        <v>1333</v>
      </c>
      <c r="H2" s="35" t="s">
        <v>1334</v>
      </c>
      <c r="I2" s="35" t="s">
        <v>65</v>
      </c>
      <c r="J2" s="35" t="s">
        <v>1335</v>
      </c>
      <c r="K2" s="35" t="s">
        <v>1336</v>
      </c>
      <c r="L2" s="35" t="s">
        <v>132</v>
      </c>
      <c r="M2" s="134">
        <v>46203.0</v>
      </c>
      <c r="N2" s="133" t="s">
        <v>1337</v>
      </c>
      <c r="O2" s="135" t="str">
        <f>HYPERLINK("https://api.typeform.com/responses/files/c72c71eef495c4496336d90a9b5a89a923d9cd891bf8e7347c330d5cb0dd3993/Tester_Tran_Dat.pdf")</f>
        <v>https://api.typeform.com/responses/files/c72c71eef495c4496336d90a9b5a89a923d9cd891bf8e7347c330d5cb0dd3993/Tester_Tran_Dat.pdf</v>
      </c>
      <c r="P2" s="35" t="b">
        <v>1</v>
      </c>
      <c r="Q2" s="43" t="s">
        <v>1338</v>
      </c>
      <c r="R2" s="35" t="s">
        <v>1339</v>
      </c>
      <c r="S2" s="35" t="s">
        <v>72</v>
      </c>
      <c r="T2" s="35" t="s">
        <v>72</v>
      </c>
      <c r="U2" s="35" t="s">
        <v>1340</v>
      </c>
      <c r="V2" s="35"/>
      <c r="W2" s="35" t="s">
        <v>1341</v>
      </c>
      <c r="X2" s="135" t="str">
        <f>HYPERLINK("https://api.typeform.com/responses/files/9a0bfc22be986e7fdb98c945486b99c8a94178aecae3e5098bf247c960601368/Tester_Tran_Dat.pdf")</f>
        <v>https://api.typeform.com/responses/files/9a0bfc22be986e7fdb98c945486b99c8a94178aecae3e5098bf247c960601368/Tester_Tran_Dat.pdf</v>
      </c>
      <c r="Y2" s="136">
        <v>46135.53523148148</v>
      </c>
      <c r="Z2" s="35" t="s">
        <v>1342</v>
      </c>
      <c r="AA2" s="137">
        <v>2.0</v>
      </c>
      <c r="AB2" s="137" t="s">
        <v>93</v>
      </c>
      <c r="AC2" s="28" t="s">
        <v>6376</v>
      </c>
      <c r="AD2" s="27"/>
      <c r="AE2" s="28"/>
      <c r="AF2" s="137" t="str">
        <f t="shared" ref="AF2:AF21" si="1">IFERROR(
  IFS(
    AND(OR(AE2="Test",AE2="Chờ test",AE2="Test Review",AE2="Passed",AE2="Failed"), OR(E2="Game User Acquisition Intern",E2="Game Design Intern")), "Nhiên",
    AND(OR(AE2="Test",AE2="Chờ test",AE2="Test Review",AE2="Passed",AE2="Failed"), E2&lt;&gt;"Human Resources Intern", NOT(OR(E2="Game User Acquisition Intern",E2="Game Design Intern"))), "Quỳnh",
    AND(OR(AE2="Test",AE2="Chờ test",AE2="Test Review",AE2="Passed",AE2="Failed"), E2="Human Resources Intern"), "Chờ assign"
  ),
"")</f>
        <v/>
      </c>
      <c r="AG2" s="35"/>
      <c r="AH2" s="137"/>
      <c r="AI2" s="137"/>
      <c r="AJ2" s="137"/>
      <c r="AK2" s="137"/>
      <c r="AL2" s="137"/>
      <c r="AM2" s="137"/>
      <c r="AN2" s="137"/>
      <c r="AO2" s="137"/>
      <c r="AP2" s="137"/>
      <c r="AQ2" s="137"/>
      <c r="AR2" s="137"/>
      <c r="AS2" s="137"/>
      <c r="AT2" s="137"/>
      <c r="AU2" s="137"/>
      <c r="AV2" s="137"/>
      <c r="AW2" s="137"/>
      <c r="AX2" s="137"/>
      <c r="AY2" s="137"/>
      <c r="AZ2" s="137"/>
      <c r="BA2" s="137"/>
    </row>
    <row r="3" hidden="1">
      <c r="A3" s="35" t="s">
        <v>1343</v>
      </c>
      <c r="B3" s="132">
        <v>38540.0</v>
      </c>
      <c r="C3" s="35" t="s">
        <v>1344</v>
      </c>
      <c r="D3" s="133" t="s">
        <v>1345</v>
      </c>
      <c r="E3" s="35" t="s">
        <v>633</v>
      </c>
      <c r="F3" s="35"/>
      <c r="G3" s="35" t="s">
        <v>1346</v>
      </c>
      <c r="H3" s="35" t="s">
        <v>1347</v>
      </c>
      <c r="I3" s="35" t="s">
        <v>842</v>
      </c>
      <c r="J3" s="35"/>
      <c r="K3" s="35" t="s">
        <v>219</v>
      </c>
      <c r="L3" s="35" t="s">
        <v>1348</v>
      </c>
      <c r="M3" s="134">
        <v>46466.0</v>
      </c>
      <c r="N3" s="133" t="s">
        <v>1230</v>
      </c>
      <c r="O3" s="135" t="str">
        <f>HYPERLINK("https://api.typeform.com/responses/files/2cba8f639901c000b4b03facf917168791bf52b240fe6462777f8ec701264c6b/Transcript___HR_Intern___Nguyễn_Thị_Minh_Thư.pdf")</f>
        <v>https://api.typeform.com/responses/files/2cba8f639901c000b4b03facf917168791bf52b240fe6462777f8ec701264c6b/Transcript___HR_Intern___Nguyễn_Thị_Minh_Thư.pdf</v>
      </c>
      <c r="P3" s="35" t="b">
        <v>1</v>
      </c>
      <c r="Q3" s="43" t="s">
        <v>1349</v>
      </c>
      <c r="R3" s="35" t="s">
        <v>1350</v>
      </c>
      <c r="S3" s="35" t="s">
        <v>72</v>
      </c>
      <c r="T3" s="35" t="s">
        <v>72</v>
      </c>
      <c r="U3" s="35" t="s">
        <v>73</v>
      </c>
      <c r="V3" s="35"/>
      <c r="W3" s="35"/>
      <c r="X3" s="135" t="str">
        <f>HYPERLINK("https://api.typeform.com/responses/files/b5bbd37b3a8f9de90b21199cedc9f35c1fc9d382261e152268075da3a0462f61/_ENGLISH_RESUME__Nguyễn_Thị_Minh_Thư___1_.pdf")</f>
        <v>https://api.typeform.com/responses/files/b5bbd37b3a8f9de90b21199cedc9f35c1fc9d382261e152268075da3a0462f61/_ENGLISH_RESUME__Nguyễn_Thị_Minh_Thư___1_.pdf</v>
      </c>
      <c r="Y3" s="136">
        <v>46135.54357638889</v>
      </c>
      <c r="Z3" s="35" t="s">
        <v>1351</v>
      </c>
      <c r="AA3" s="137">
        <v>2.0</v>
      </c>
      <c r="AB3" s="137" t="s">
        <v>6424</v>
      </c>
      <c r="AC3" s="28" t="s">
        <v>6376</v>
      </c>
      <c r="AD3" s="27"/>
      <c r="AE3" s="28" t="s">
        <v>6403</v>
      </c>
      <c r="AF3" s="137" t="str">
        <f t="shared" si="1"/>
        <v>Chờ assign</v>
      </c>
      <c r="AG3" s="35"/>
      <c r="AH3" s="137"/>
      <c r="AI3" s="137"/>
      <c r="AJ3" s="137"/>
      <c r="AK3" s="137"/>
      <c r="AL3" s="137"/>
      <c r="AM3" s="137"/>
      <c r="AN3" s="137"/>
      <c r="AO3" s="137"/>
      <c r="AP3" s="137"/>
      <c r="AQ3" s="137"/>
      <c r="AR3" s="137"/>
      <c r="AS3" s="137"/>
      <c r="AT3" s="137"/>
      <c r="AU3" s="137"/>
      <c r="AV3" s="137"/>
      <c r="AW3" s="137"/>
      <c r="AX3" s="137"/>
      <c r="AY3" s="137"/>
      <c r="AZ3" s="137"/>
      <c r="BA3" s="137"/>
    </row>
    <row r="4" hidden="1">
      <c r="A4" s="35" t="s">
        <v>3482</v>
      </c>
      <c r="B4" s="132">
        <v>39031.0</v>
      </c>
      <c r="C4" s="35" t="s">
        <v>3483</v>
      </c>
      <c r="D4" s="133" t="s">
        <v>3484</v>
      </c>
      <c r="E4" s="35" t="s">
        <v>82</v>
      </c>
      <c r="F4" s="35" t="s">
        <v>774</v>
      </c>
      <c r="G4" s="35" t="s">
        <v>3485</v>
      </c>
      <c r="H4" s="35" t="s">
        <v>3486</v>
      </c>
      <c r="I4" s="35" t="s">
        <v>2293</v>
      </c>
      <c r="J4" s="35"/>
      <c r="K4" s="35" t="s">
        <v>169</v>
      </c>
      <c r="L4" s="35" t="s">
        <v>3487</v>
      </c>
      <c r="M4" s="134">
        <v>46858.0</v>
      </c>
      <c r="N4" s="133" t="s">
        <v>3488</v>
      </c>
      <c r="O4" s="135" t="str">
        <f>HYPERLINK("https://api.typeform.com/responses/files/abf1dec5884f570495fe11cfc8c96893b91c3cfdcc1ad86f103d6cedab961112/Transcript___Data_Analysis_Intern____Nguyễn_Thị_Khánh_Đoan.pdf")</f>
        <v>https://api.typeform.com/responses/files/abf1dec5884f570495fe11cfc8c96893b91c3cfdcc1ad86f103d6cedab961112/Transcript___Data_Analysis_Intern____Nguyễn_Thị_Khánh_Đoan.pdf</v>
      </c>
      <c r="P4" s="35" t="b">
        <v>1</v>
      </c>
      <c r="Q4" s="35" t="s">
        <v>3489</v>
      </c>
      <c r="R4" s="35" t="s">
        <v>3490</v>
      </c>
      <c r="S4" s="35" t="s">
        <v>72</v>
      </c>
      <c r="T4" s="35" t="s">
        <v>72</v>
      </c>
      <c r="U4" s="35" t="s">
        <v>90</v>
      </c>
      <c r="V4" s="35"/>
      <c r="W4" s="35" t="s">
        <v>3491</v>
      </c>
      <c r="X4" s="135" t="str">
        <f>HYPERLINK("https://api.typeform.com/responses/files/2676b600bee3f083f734be9ca742dfc88c3a11454b0ec748ba16704cb131ce67/CV___Data_Analysis_Intern___Nguyễn_Thị_Khánh_Đoan.pdf")</f>
        <v>https://api.typeform.com/responses/files/2676b600bee3f083f734be9ca742dfc88c3a11454b0ec748ba16704cb131ce67/CV___Data_Analysis_Intern___Nguyễn_Thị_Khánh_Đoan.pdf</v>
      </c>
      <c r="Y4" s="136">
        <v>46140.4447337963</v>
      </c>
      <c r="Z4" s="35" t="s">
        <v>3492</v>
      </c>
      <c r="AA4" s="137">
        <v>2.0</v>
      </c>
      <c r="AB4" s="137" t="s">
        <v>93</v>
      </c>
      <c r="AC4" s="28" t="s">
        <v>6376</v>
      </c>
      <c r="AD4" s="27"/>
      <c r="AE4" s="28"/>
      <c r="AF4" s="137" t="str">
        <f t="shared" si="1"/>
        <v/>
      </c>
      <c r="AG4" s="35"/>
      <c r="AH4" s="137"/>
      <c r="AI4" s="137"/>
      <c r="AJ4" s="137"/>
      <c r="AK4" s="137"/>
      <c r="AL4" s="137"/>
      <c r="AM4" s="137"/>
      <c r="AN4" s="137"/>
      <c r="AO4" s="137"/>
      <c r="AP4" s="137"/>
      <c r="AQ4" s="137"/>
      <c r="AR4" s="137"/>
      <c r="AS4" s="137"/>
      <c r="AT4" s="137"/>
      <c r="AU4" s="137"/>
      <c r="AV4" s="137"/>
      <c r="AW4" s="137"/>
      <c r="AX4" s="137"/>
      <c r="AY4" s="137"/>
      <c r="AZ4" s="137"/>
      <c r="BA4" s="137"/>
    </row>
    <row r="5" ht="17.25" hidden="1" customHeight="1">
      <c r="A5" s="35" t="s">
        <v>2597</v>
      </c>
      <c r="B5" s="132">
        <v>37044.0</v>
      </c>
      <c r="C5" s="35" t="s">
        <v>2598</v>
      </c>
      <c r="D5" s="133" t="s">
        <v>2599</v>
      </c>
      <c r="E5" s="35" t="s">
        <v>62</v>
      </c>
      <c r="F5" s="35" t="s">
        <v>82</v>
      </c>
      <c r="G5" s="35" t="s">
        <v>2600</v>
      </c>
      <c r="H5" s="35" t="s">
        <v>2601</v>
      </c>
      <c r="I5" s="35" t="s">
        <v>326</v>
      </c>
      <c r="J5" s="35"/>
      <c r="K5" s="35" t="s">
        <v>67</v>
      </c>
      <c r="L5" s="35" t="s">
        <v>2602</v>
      </c>
      <c r="M5" s="134">
        <v>46275.0</v>
      </c>
      <c r="N5" s="133" t="s">
        <v>328</v>
      </c>
      <c r="O5" s="135" t="str">
        <f>HYPERLINK("https://api.typeform.com/responses/files/e3ba2603ae7a2a753893aecbcbe788e185a007bfbae324de822fdded04fe0974/CV___AI_Engineer_Intern___Mai_Anh_Sơn.pdf")</f>
        <v>https://api.typeform.com/responses/files/e3ba2603ae7a2a753893aecbcbe788e185a007bfbae324de822fdded04fe0974/CV___AI_Engineer_Intern___Mai_Anh_Sơn.pdf</v>
      </c>
      <c r="P5" s="35" t="b">
        <v>1</v>
      </c>
      <c r="Q5" s="43" t="s">
        <v>2603</v>
      </c>
      <c r="R5" s="35" t="s">
        <v>2604</v>
      </c>
      <c r="S5" s="35" t="s">
        <v>72</v>
      </c>
      <c r="T5" s="35" t="s">
        <v>72</v>
      </c>
      <c r="U5" s="138" t="s">
        <v>90</v>
      </c>
      <c r="V5" s="35"/>
      <c r="W5" s="35" t="s">
        <v>2605</v>
      </c>
      <c r="X5" s="135" t="str">
        <f>HYPERLINK("https://api.typeform.com/responses/files/2fd4c7d57f5b248de6db2c980c3dd8b42483170b29f1af8145c7f7ab4d859cca/CV___AI_Engineer_Intern___Mai_Anh_Sơn.pdf")</f>
        <v>https://api.typeform.com/responses/files/2fd4c7d57f5b248de6db2c980c3dd8b42483170b29f1af8145c7f7ab4d859cca/CV___AI_Engineer_Intern___Mai_Anh_Sơn.pdf</v>
      </c>
      <c r="Y5" s="136">
        <v>46139.124189814815</v>
      </c>
      <c r="Z5" s="35" t="s">
        <v>2606</v>
      </c>
      <c r="AA5" s="137">
        <v>2.0</v>
      </c>
      <c r="AB5" s="139" t="s">
        <v>6381</v>
      </c>
      <c r="AC5" s="28" t="s">
        <v>6376</v>
      </c>
      <c r="AD5" s="28" t="s">
        <v>6490</v>
      </c>
      <c r="AE5" s="28"/>
      <c r="AF5" s="137" t="str">
        <f t="shared" si="1"/>
        <v/>
      </c>
      <c r="AG5" s="35"/>
      <c r="AH5" s="137"/>
      <c r="AI5" s="137"/>
      <c r="AJ5" s="137"/>
      <c r="AK5" s="137"/>
      <c r="AL5" s="137"/>
      <c r="AM5" s="137"/>
      <c r="AN5" s="137"/>
      <c r="AO5" s="137"/>
      <c r="AP5" s="137"/>
      <c r="AQ5" s="137"/>
      <c r="AR5" s="137"/>
      <c r="AS5" s="137"/>
      <c r="AT5" s="137"/>
      <c r="AU5" s="137"/>
      <c r="AV5" s="137"/>
      <c r="AW5" s="137"/>
      <c r="AX5" s="137"/>
      <c r="AY5" s="137"/>
      <c r="AZ5" s="137"/>
      <c r="BA5" s="137"/>
    </row>
    <row r="6" ht="17.25" hidden="1" customHeight="1">
      <c r="A6" s="35" t="s">
        <v>2769</v>
      </c>
      <c r="B6" s="132">
        <v>37632.0</v>
      </c>
      <c r="C6" s="35" t="s">
        <v>2770</v>
      </c>
      <c r="D6" s="133" t="s">
        <v>2771</v>
      </c>
      <c r="E6" s="35" t="s">
        <v>62</v>
      </c>
      <c r="F6" s="35" t="s">
        <v>82</v>
      </c>
      <c r="G6" s="35" t="s">
        <v>2772</v>
      </c>
      <c r="H6" s="35" t="s">
        <v>2773</v>
      </c>
      <c r="I6" s="35" t="s">
        <v>85</v>
      </c>
      <c r="J6" s="35"/>
      <c r="K6" s="35" t="s">
        <v>103</v>
      </c>
      <c r="L6" s="35" t="s">
        <v>2774</v>
      </c>
      <c r="M6" s="134">
        <v>45987.0</v>
      </c>
      <c r="N6" s="133" t="s">
        <v>2775</v>
      </c>
      <c r="O6" s="135" t="str">
        <f>HYPERLINK("https://api.typeform.com/responses/files/2c83f638458062caa684c4f60b3bf72b1eac859662b89b7ad315a620981f193a/Transcript___AI_Engineer_Intern___Nguyễn_Hoàng_Long.pdf")</f>
        <v>https://api.typeform.com/responses/files/2c83f638458062caa684c4f60b3bf72b1eac859662b89b7ad315a620981f193a/Transcript___AI_Engineer_Intern___Nguyễn_Hoàng_Long.pdf</v>
      </c>
      <c r="P6" s="35" t="b">
        <v>1</v>
      </c>
      <c r="Q6" s="43" t="s">
        <v>2776</v>
      </c>
      <c r="R6" s="35" t="s">
        <v>2777</v>
      </c>
      <c r="S6" s="35" t="s">
        <v>72</v>
      </c>
      <c r="T6" s="35" t="s">
        <v>72</v>
      </c>
      <c r="U6" s="138" t="s">
        <v>90</v>
      </c>
      <c r="V6" s="35"/>
      <c r="W6" s="35"/>
      <c r="X6" s="135" t="str">
        <f>HYPERLINK("https://api.typeform.com/responses/files/e412f5025cda95d7b3991201ba795a5f7fda8605fb2cbf6bacfb69cf608540b5/CV___AI_Engineer_Intern___Nguyen_Hoang_Long.pdf")</f>
        <v>https://api.typeform.com/responses/files/e412f5025cda95d7b3991201ba795a5f7fda8605fb2cbf6bacfb69cf608540b5/CV___AI_Engineer_Intern___Nguyen_Hoang_Long.pdf</v>
      </c>
      <c r="Y6" s="136">
        <v>46139.38579861111</v>
      </c>
      <c r="Z6" s="35" t="s">
        <v>2778</v>
      </c>
      <c r="AA6" s="137">
        <v>2.0</v>
      </c>
      <c r="AB6" s="139" t="s">
        <v>6381</v>
      </c>
      <c r="AC6" s="28" t="s">
        <v>6377</v>
      </c>
      <c r="AD6" s="28" t="s">
        <v>6491</v>
      </c>
      <c r="AE6" s="28" t="s">
        <v>6379</v>
      </c>
      <c r="AF6" s="137" t="str">
        <f t="shared" si="1"/>
        <v>Quỳnh</v>
      </c>
      <c r="AG6" s="35"/>
      <c r="AH6" s="137"/>
      <c r="AI6" s="137"/>
      <c r="AJ6" s="137"/>
      <c r="AK6" s="137"/>
      <c r="AL6" s="137"/>
      <c r="AM6" s="137"/>
      <c r="AN6" s="137"/>
      <c r="AO6" s="137"/>
      <c r="AP6" s="137"/>
      <c r="AQ6" s="137"/>
      <c r="AR6" s="137"/>
      <c r="AS6" s="137"/>
      <c r="AT6" s="137"/>
      <c r="AU6" s="137"/>
      <c r="AV6" s="137"/>
      <c r="AW6" s="137"/>
      <c r="AX6" s="137"/>
      <c r="AY6" s="137"/>
      <c r="AZ6" s="137"/>
      <c r="BA6" s="137"/>
    </row>
    <row r="7" ht="17.25" hidden="1" customHeight="1">
      <c r="A7" s="140" t="s">
        <v>3245</v>
      </c>
      <c r="B7" s="141">
        <v>37677.0</v>
      </c>
      <c r="C7" s="140" t="s">
        <v>3246</v>
      </c>
      <c r="D7" s="142" t="s">
        <v>3247</v>
      </c>
      <c r="E7" s="140" t="s">
        <v>62</v>
      </c>
      <c r="F7" s="140" t="s">
        <v>82</v>
      </c>
      <c r="G7" s="140" t="s">
        <v>3248</v>
      </c>
      <c r="H7" s="140" t="s">
        <v>3249</v>
      </c>
      <c r="I7" s="140" t="s">
        <v>277</v>
      </c>
      <c r="J7" s="140"/>
      <c r="K7" s="140" t="s">
        <v>103</v>
      </c>
      <c r="L7" s="140" t="s">
        <v>930</v>
      </c>
      <c r="M7" s="143">
        <v>46082.0</v>
      </c>
      <c r="N7" s="142" t="s">
        <v>2375</v>
      </c>
      <c r="O7" s="144" t="str">
        <f>HYPERLINK("https://api.typeform.com/responses/files/ca20ee235d6264931064ccf6396a75c84e14f3b0c680fb094b52a40c9a3fe08b/Transcript___AI_Engineering_Intern___Lê_Phước_Thái.pdf")</f>
        <v>https://api.typeform.com/responses/files/ca20ee235d6264931064ccf6396a75c84e14f3b0c680fb094b52a40c9a3fe08b/Transcript___AI_Engineering_Intern___Lê_Phước_Thái.pdf</v>
      </c>
      <c r="P7" s="140" t="b">
        <v>1</v>
      </c>
      <c r="Q7" s="140" t="s">
        <v>3250</v>
      </c>
      <c r="R7" s="140" t="s">
        <v>3251</v>
      </c>
      <c r="S7" s="140" t="s">
        <v>72</v>
      </c>
      <c r="T7" s="140" t="s">
        <v>72</v>
      </c>
      <c r="U7" s="140" t="s">
        <v>90</v>
      </c>
      <c r="V7" s="140"/>
      <c r="W7" s="140"/>
      <c r="X7" s="144" t="str">
        <f>HYPERLINK("https://api.typeform.com/responses/files/cd53fa376dcecae2274a86a9bbea77cfbd36d5d11776080c6dfaa03ca7037e9a/CV___AI_Engineering_Intern___Lê_Phước_Thái.pdf")</f>
        <v>https://api.typeform.com/responses/files/cd53fa376dcecae2274a86a9bbea77cfbd36d5d11776080c6dfaa03ca7037e9a/CV___AI_Engineering_Intern___Lê_Phước_Thái.pdf</v>
      </c>
      <c r="Y7" s="145">
        <v>46140.1944212963</v>
      </c>
      <c r="Z7" s="140" t="s">
        <v>3252</v>
      </c>
      <c r="AA7" s="146">
        <v>2.0</v>
      </c>
      <c r="AB7" s="147" t="s">
        <v>6381</v>
      </c>
      <c r="AC7" s="70" t="s">
        <v>6376</v>
      </c>
      <c r="AD7" s="148"/>
      <c r="AE7" s="70"/>
      <c r="AF7" s="146" t="str">
        <f t="shared" si="1"/>
        <v/>
      </c>
      <c r="AG7" s="35"/>
      <c r="AH7" s="137"/>
      <c r="AI7" s="137"/>
      <c r="AJ7" s="137"/>
      <c r="AK7" s="137"/>
      <c r="AL7" s="137"/>
      <c r="AM7" s="137"/>
      <c r="AN7" s="137"/>
      <c r="AO7" s="137"/>
      <c r="AP7" s="137"/>
      <c r="AQ7" s="137"/>
      <c r="AR7" s="137"/>
      <c r="AS7" s="137"/>
      <c r="AT7" s="137"/>
      <c r="AU7" s="137"/>
      <c r="AV7" s="137"/>
      <c r="AW7" s="137"/>
      <c r="AX7" s="137"/>
      <c r="AY7" s="137"/>
      <c r="AZ7" s="137"/>
      <c r="BA7" s="137"/>
    </row>
    <row r="8" ht="17.25" hidden="1" customHeight="1">
      <c r="A8" s="35" t="s">
        <v>1387</v>
      </c>
      <c r="B8" s="132">
        <v>38463.0</v>
      </c>
      <c r="C8" s="35" t="s">
        <v>1388</v>
      </c>
      <c r="D8" s="133" t="s">
        <v>1389</v>
      </c>
      <c r="E8" s="35" t="s">
        <v>99</v>
      </c>
      <c r="F8" s="35" t="s">
        <v>99</v>
      </c>
      <c r="G8" s="35" t="s">
        <v>1390</v>
      </c>
      <c r="H8" s="35" t="s">
        <v>1391</v>
      </c>
      <c r="I8" s="35" t="s">
        <v>85</v>
      </c>
      <c r="J8" s="35"/>
      <c r="K8" s="35" t="s">
        <v>219</v>
      </c>
      <c r="L8" s="35" t="s">
        <v>104</v>
      </c>
      <c r="M8" s="134">
        <v>46420.0</v>
      </c>
      <c r="N8" s="133" t="s">
        <v>1392</v>
      </c>
      <c r="O8" s="135" t="str">
        <f>HYPERLINK("https://api.typeform.com/responses/files/7af820a1eac76cc9484a43090d04ca998f831f4502b5a0a4f8b1031d1b73abec/Transcript___Game_Designer_Intern___Trần_Thị_Yến_Nhi.pdf")</f>
        <v>https://api.typeform.com/responses/files/7af820a1eac76cc9484a43090d04ca998f831f4502b5a0a4f8b1031d1b73abec/Transcript___Game_Designer_Intern___Trần_Thị_Yến_Nhi.pdf</v>
      </c>
      <c r="P8" s="35" t="b">
        <v>1</v>
      </c>
      <c r="Q8" s="43" t="s">
        <v>1393</v>
      </c>
      <c r="R8" s="35" t="s">
        <v>1394</v>
      </c>
      <c r="S8" s="35" t="s">
        <v>72</v>
      </c>
      <c r="T8" s="35" t="s">
        <v>72</v>
      </c>
      <c r="U8" s="35" t="s">
        <v>544</v>
      </c>
      <c r="V8" s="35"/>
      <c r="W8" s="35"/>
      <c r="X8" s="135" t="str">
        <f>HYPERLINK("https://api.typeform.com/responses/files/4e92cb6d605636c752ae7b692a37749452435c0e3aad2afd9c794780965766d9/CV___Game_Designer_Intern___Trần_Thị_Yến_Nhi.pdf")</f>
        <v>https://api.typeform.com/responses/files/4e92cb6d605636c752ae7b692a37749452435c0e3aad2afd9c794780965766d9/CV___Game_Designer_Intern___Trần_Thị_Yến_Nhi.pdf</v>
      </c>
      <c r="Y8" s="136">
        <v>46135.60068287037</v>
      </c>
      <c r="Z8" s="35" t="s">
        <v>1395</v>
      </c>
      <c r="AA8" s="137">
        <v>2.0</v>
      </c>
      <c r="AB8" s="139" t="s">
        <v>6381</v>
      </c>
      <c r="AC8" s="28" t="s">
        <v>6377</v>
      </c>
      <c r="AD8" s="27"/>
      <c r="AE8" s="28" t="s">
        <v>6379</v>
      </c>
      <c r="AF8" s="137" t="str">
        <f t="shared" si="1"/>
        <v>Nhiên</v>
      </c>
      <c r="AG8" s="35"/>
      <c r="AH8" s="137"/>
      <c r="AI8" s="137"/>
      <c r="AJ8" s="137"/>
      <c r="AK8" s="137"/>
      <c r="AL8" s="137"/>
      <c r="AM8" s="137"/>
      <c r="AN8" s="137"/>
      <c r="AO8" s="137"/>
      <c r="AP8" s="137"/>
      <c r="AQ8" s="137"/>
      <c r="AR8" s="137"/>
      <c r="AS8" s="137"/>
      <c r="AT8" s="137"/>
      <c r="AU8" s="137"/>
      <c r="AV8" s="137"/>
      <c r="AW8" s="137"/>
      <c r="AX8" s="137"/>
      <c r="AY8" s="137"/>
      <c r="AZ8" s="137"/>
      <c r="BA8" s="137"/>
    </row>
    <row r="9" ht="17.25" hidden="1" customHeight="1">
      <c r="A9" s="35" t="s">
        <v>1396</v>
      </c>
      <c r="B9" s="132">
        <v>38406.0</v>
      </c>
      <c r="C9" s="35" t="s">
        <v>1397</v>
      </c>
      <c r="D9" s="133" t="s">
        <v>1398</v>
      </c>
      <c r="E9" s="35" t="s">
        <v>61</v>
      </c>
      <c r="F9" s="35" t="s">
        <v>62</v>
      </c>
      <c r="G9" s="35" t="s">
        <v>1399</v>
      </c>
      <c r="H9" s="35" t="s">
        <v>1400</v>
      </c>
      <c r="I9" s="35" t="s">
        <v>326</v>
      </c>
      <c r="J9" s="35"/>
      <c r="K9" s="35" t="s">
        <v>219</v>
      </c>
      <c r="L9" s="35" t="s">
        <v>104</v>
      </c>
      <c r="M9" s="134">
        <v>46658.0</v>
      </c>
      <c r="N9" s="133" t="s">
        <v>299</v>
      </c>
      <c r="O9" s="135" t="str">
        <f>HYPERLINK("https://api.typeform.com/responses/files/4ff522afe17de6e87f2d0f73fc9dbd51058a7aec12cea317203f9ddb56de3535/Transcript___Unity_Game_Intern___Nguyễn_Tấn_Thắng.pdf")</f>
        <v>https://api.typeform.com/responses/files/4ff522afe17de6e87f2d0f73fc9dbd51058a7aec12cea317203f9ddb56de3535/Transcript___Unity_Game_Intern___Nguyễn_Tấn_Thắng.pdf</v>
      </c>
      <c r="P9" s="35" t="b">
        <v>0</v>
      </c>
      <c r="Q9" s="43" t="s">
        <v>1401</v>
      </c>
      <c r="R9" s="35" t="s">
        <v>1402</v>
      </c>
      <c r="S9" s="35" t="s">
        <v>72</v>
      </c>
      <c r="T9" s="35" t="s">
        <v>72</v>
      </c>
      <c r="U9" s="35" t="s">
        <v>269</v>
      </c>
      <c r="V9" s="35"/>
      <c r="W9" s="35" t="s">
        <v>1403</v>
      </c>
      <c r="X9" s="135" t="str">
        <f>HYPERLINK("https://api.typeform.com/responses/files/8d6a07f9f61d13feafb40be948be93b8b3d4dd1b6c4aebe974bd3ac21c857675/CV___Game_Unity_Intern___Nguyễn_Tấn_Thắng.pdf")</f>
        <v>https://api.typeform.com/responses/files/8d6a07f9f61d13feafb40be948be93b8b3d4dd1b6c4aebe974bd3ac21c857675/CV___Game_Unity_Intern___Nguyễn_Tấn_Thắng.pdf</v>
      </c>
      <c r="Y9" s="136">
        <v>46135.60386574074</v>
      </c>
      <c r="Z9" s="35" t="s">
        <v>1404</v>
      </c>
      <c r="AA9" s="137">
        <v>2.0</v>
      </c>
      <c r="AB9" s="137" t="s">
        <v>93</v>
      </c>
      <c r="AC9" s="28" t="s">
        <v>6376</v>
      </c>
      <c r="AD9" s="27"/>
      <c r="AE9" s="28"/>
      <c r="AF9" s="137" t="str">
        <f t="shared" si="1"/>
        <v/>
      </c>
      <c r="AG9" s="35"/>
      <c r="AH9" s="137"/>
      <c r="AI9" s="137"/>
      <c r="AJ9" s="137"/>
      <c r="AK9" s="137"/>
      <c r="AL9" s="137"/>
      <c r="AM9" s="137"/>
      <c r="AN9" s="137"/>
      <c r="AO9" s="137"/>
      <c r="AP9" s="137"/>
      <c r="AQ9" s="137"/>
      <c r="AR9" s="137"/>
      <c r="AS9" s="137"/>
      <c r="AT9" s="137"/>
      <c r="AU9" s="137"/>
      <c r="AV9" s="137"/>
      <c r="AW9" s="137"/>
      <c r="AX9" s="137"/>
      <c r="AY9" s="137"/>
      <c r="AZ9" s="137"/>
      <c r="BA9" s="137"/>
    </row>
    <row r="10" ht="17.25" hidden="1" customHeight="1">
      <c r="A10" s="35" t="s">
        <v>1405</v>
      </c>
      <c r="B10" s="132">
        <v>38528.0</v>
      </c>
      <c r="C10" s="35" t="s">
        <v>1406</v>
      </c>
      <c r="D10" s="133" t="s">
        <v>1407</v>
      </c>
      <c r="E10" s="35" t="s">
        <v>61</v>
      </c>
      <c r="F10" s="35" t="s">
        <v>99</v>
      </c>
      <c r="G10" s="35" t="s">
        <v>1408</v>
      </c>
      <c r="H10" s="35" t="s">
        <v>1409</v>
      </c>
      <c r="I10" s="35" t="s">
        <v>326</v>
      </c>
      <c r="J10" s="35"/>
      <c r="K10" s="35" t="s">
        <v>219</v>
      </c>
      <c r="L10" s="35" t="s">
        <v>104</v>
      </c>
      <c r="M10" s="134">
        <v>46631.0</v>
      </c>
      <c r="N10" s="133" t="s">
        <v>1382</v>
      </c>
      <c r="O10" s="135" t="str">
        <f>HYPERLINK("https://api.typeform.com/responses/files/cb480e503c01f85b0b809fc05d5771892c3fd0dbc580467257a4891cbb343d98/Transcript___Unity_Development_Intern___Lê_Huy_Toàn.pdf")</f>
        <v>https://api.typeform.com/responses/files/cb480e503c01f85b0b809fc05d5771892c3fd0dbc580467257a4891cbb343d98/Transcript___Unity_Development_Intern___Lê_Huy_Toàn.pdf</v>
      </c>
      <c r="P10" s="35" t="b">
        <v>1</v>
      </c>
      <c r="Q10" s="43" t="s">
        <v>1410</v>
      </c>
      <c r="R10" s="35" t="s">
        <v>1411</v>
      </c>
      <c r="S10" s="35" t="s">
        <v>72</v>
      </c>
      <c r="T10" s="35" t="s">
        <v>72</v>
      </c>
      <c r="U10" s="35" t="s">
        <v>544</v>
      </c>
      <c r="V10" s="35"/>
      <c r="W10" s="35"/>
      <c r="X10" s="135" t="str">
        <f>HYPERLINK("https://api.typeform.com/responses/files/55bc18b3f1040dd3fbeb97fa738464898f83a0786e1f9dc99e5787074a2e3c62/CV___Unity_Development_Intern___Lê_Huy_Toàn.pdf")</f>
        <v>https://api.typeform.com/responses/files/55bc18b3f1040dd3fbeb97fa738464898f83a0786e1f9dc99e5787074a2e3c62/CV___Unity_Development_Intern___Lê_Huy_Toàn.pdf</v>
      </c>
      <c r="Y10" s="136">
        <v>46135.61047453704</v>
      </c>
      <c r="Z10" s="35" t="s">
        <v>1412</v>
      </c>
      <c r="AA10" s="137">
        <v>2.0</v>
      </c>
      <c r="AB10" s="137" t="s">
        <v>93</v>
      </c>
      <c r="AC10" s="28" t="s">
        <v>6377</v>
      </c>
      <c r="AD10" s="27"/>
      <c r="AE10" s="28" t="s">
        <v>6379</v>
      </c>
      <c r="AF10" s="137" t="str">
        <f t="shared" si="1"/>
        <v>Quỳnh</v>
      </c>
      <c r="AG10" s="35"/>
      <c r="AH10" s="137"/>
      <c r="AI10" s="137"/>
      <c r="AJ10" s="137"/>
      <c r="AK10" s="137"/>
      <c r="AL10" s="137"/>
      <c r="AM10" s="137"/>
      <c r="AN10" s="137"/>
      <c r="AO10" s="137"/>
      <c r="AP10" s="137"/>
      <c r="AQ10" s="137"/>
      <c r="AR10" s="137"/>
      <c r="AS10" s="137"/>
      <c r="AT10" s="137"/>
      <c r="AU10" s="137"/>
      <c r="AV10" s="137"/>
      <c r="AW10" s="137"/>
      <c r="AX10" s="137"/>
      <c r="AY10" s="137"/>
      <c r="AZ10" s="137"/>
      <c r="BA10" s="137"/>
    </row>
    <row r="11" ht="17.25" hidden="1" customHeight="1">
      <c r="A11" s="35" t="s">
        <v>1413</v>
      </c>
      <c r="B11" s="132">
        <v>38651.0</v>
      </c>
      <c r="C11" s="35" t="s">
        <v>1414</v>
      </c>
      <c r="D11" s="133" t="s">
        <v>1415</v>
      </c>
      <c r="E11" s="35" t="s">
        <v>774</v>
      </c>
      <c r="F11" s="35" t="s">
        <v>62</v>
      </c>
      <c r="G11" s="35" t="s">
        <v>1416</v>
      </c>
      <c r="H11" s="35" t="s">
        <v>1417</v>
      </c>
      <c r="I11" s="35" t="s">
        <v>842</v>
      </c>
      <c r="J11" s="35"/>
      <c r="K11" s="35" t="s">
        <v>219</v>
      </c>
      <c r="L11" s="35" t="s">
        <v>1418</v>
      </c>
      <c r="M11" s="134">
        <v>46387.0</v>
      </c>
      <c r="N11" s="133" t="s">
        <v>447</v>
      </c>
      <c r="O11" s="135" t="str">
        <f>HYPERLINK("https://api.typeform.com/responses/files/13be79ae651a4614ae23e3e1f43f4532a86192c73dad23da60a9ee096fc333d3/Transcript___Game_user_acquisition_intern___Tiêu_Thị_Kim_Cương.pdf")</f>
        <v>https://api.typeform.com/responses/files/13be79ae651a4614ae23e3e1f43f4532a86192c73dad23da60a9ee096fc333d3/Transcript___Game_user_acquisition_intern___Tiêu_Thị_Kim_Cương.pdf</v>
      </c>
      <c r="P11" s="35" t="b">
        <v>0</v>
      </c>
      <c r="Q11" s="43" t="s">
        <v>222</v>
      </c>
      <c r="R11" s="35" t="s">
        <v>222</v>
      </c>
      <c r="S11" s="35" t="s">
        <v>72</v>
      </c>
      <c r="T11" s="35" t="s">
        <v>72</v>
      </c>
      <c r="U11" s="35" t="s">
        <v>544</v>
      </c>
      <c r="V11" s="35"/>
      <c r="W11" s="35"/>
      <c r="X11" s="135" t="str">
        <f>HYPERLINK("https://api.typeform.com/responses/files/ade457ce64618d580aea00c2bcbc72d1adb861c56dc3f0044eb2c7b2391188e9/CV_Tieu_Thi_Kim_Cuong.pdf")</f>
        <v>https://api.typeform.com/responses/files/ade457ce64618d580aea00c2bcbc72d1adb861c56dc3f0044eb2c7b2391188e9/CV_Tieu_Thi_Kim_Cuong.pdf</v>
      </c>
      <c r="Y11" s="136">
        <v>46135.61170138889</v>
      </c>
      <c r="Z11" s="35" t="s">
        <v>1419</v>
      </c>
      <c r="AA11" s="137">
        <v>2.0</v>
      </c>
      <c r="AB11" s="137"/>
      <c r="AC11" s="28" t="s">
        <v>6377</v>
      </c>
      <c r="AD11" s="28" t="s">
        <v>6492</v>
      </c>
      <c r="AE11" s="28" t="s">
        <v>6379</v>
      </c>
      <c r="AF11" s="137" t="str">
        <f t="shared" si="1"/>
        <v>Nhiên</v>
      </c>
      <c r="AG11" s="35"/>
      <c r="AH11" s="137"/>
      <c r="AI11" s="137"/>
      <c r="AJ11" s="137"/>
      <c r="AK11" s="137"/>
      <c r="AL11" s="137"/>
      <c r="AM11" s="137"/>
      <c r="AN11" s="137"/>
      <c r="AO11" s="137"/>
      <c r="AP11" s="137"/>
      <c r="AQ11" s="137"/>
      <c r="AR11" s="137"/>
      <c r="AS11" s="137"/>
      <c r="AT11" s="137"/>
      <c r="AU11" s="137"/>
      <c r="AV11" s="137"/>
      <c r="AW11" s="137"/>
      <c r="AX11" s="137"/>
      <c r="AY11" s="137"/>
      <c r="AZ11" s="137"/>
      <c r="BA11" s="137"/>
    </row>
    <row r="12" ht="17.25" hidden="1" customHeight="1">
      <c r="A12" s="35" t="s">
        <v>1420</v>
      </c>
      <c r="B12" s="132">
        <v>38549.0</v>
      </c>
      <c r="C12" s="35" t="s">
        <v>1421</v>
      </c>
      <c r="D12" s="133" t="s">
        <v>1422</v>
      </c>
      <c r="E12" s="35" t="s">
        <v>99</v>
      </c>
      <c r="F12" s="35" t="s">
        <v>61</v>
      </c>
      <c r="G12" s="35" t="s">
        <v>1423</v>
      </c>
      <c r="H12" s="35" t="s">
        <v>1424</v>
      </c>
      <c r="I12" s="35" t="s">
        <v>85</v>
      </c>
      <c r="J12" s="35"/>
      <c r="K12" s="35" t="s">
        <v>219</v>
      </c>
      <c r="L12" s="35" t="s">
        <v>1425</v>
      </c>
      <c r="M12" s="134">
        <v>46474.0</v>
      </c>
      <c r="N12" s="133" t="s">
        <v>1426</v>
      </c>
      <c r="O12" s="135" t="str">
        <f>HYPERLINK("https://api.typeform.com/responses/files/c81e02062339d77b4ede55463281bf041401409b6cfdc9d5af3fb93d3cf93fa6/Transcript___GameDesigner____TranThiThuHoai.pdf")</f>
        <v>https://api.typeform.com/responses/files/c81e02062339d77b4ede55463281bf041401409b6cfdc9d5af3fb93d3cf93fa6/Transcript___GameDesigner____TranThiThuHoai.pdf</v>
      </c>
      <c r="P12" s="35" t="b">
        <v>1</v>
      </c>
      <c r="Q12" s="43" t="s">
        <v>1427</v>
      </c>
      <c r="R12" s="35" t="s">
        <v>1428</v>
      </c>
      <c r="S12" s="35" t="s">
        <v>72</v>
      </c>
      <c r="T12" s="35" t="s">
        <v>72</v>
      </c>
      <c r="U12" s="35" t="s">
        <v>269</v>
      </c>
      <c r="V12" s="35"/>
      <c r="W12" s="35"/>
      <c r="X12" s="135" t="str">
        <f>HYPERLINK("https://api.typeform.com/responses/files/ed05f9a3db23af97e080e52354b66adb5591dce86e349593c3daf0de8f093218/CV___GameDesigner____TranThiThuHoai.pdf")</f>
        <v>https://api.typeform.com/responses/files/ed05f9a3db23af97e080e52354b66adb5591dce86e349593c3daf0de8f093218/CV___GameDesigner____TranThiThuHoai.pdf</v>
      </c>
      <c r="Y12" s="136">
        <v>46135.62946759259</v>
      </c>
      <c r="Z12" s="35" t="s">
        <v>1429</v>
      </c>
      <c r="AA12" s="137">
        <v>2.0</v>
      </c>
      <c r="AB12" s="139" t="s">
        <v>6381</v>
      </c>
      <c r="AC12" s="28" t="s">
        <v>6377</v>
      </c>
      <c r="AD12" s="27"/>
      <c r="AE12" s="28" t="s">
        <v>6379</v>
      </c>
      <c r="AF12" s="137" t="str">
        <f t="shared" si="1"/>
        <v>Nhiên</v>
      </c>
      <c r="AG12" s="35"/>
      <c r="AH12" s="137"/>
      <c r="AI12" s="137"/>
      <c r="AJ12" s="137"/>
      <c r="AK12" s="137"/>
      <c r="AL12" s="137"/>
      <c r="AM12" s="137"/>
      <c r="AN12" s="137"/>
      <c r="AO12" s="137"/>
      <c r="AP12" s="137"/>
      <c r="AQ12" s="137"/>
      <c r="AR12" s="137"/>
      <c r="AS12" s="137"/>
      <c r="AT12" s="137"/>
      <c r="AU12" s="137"/>
      <c r="AV12" s="137"/>
      <c r="AW12" s="137"/>
      <c r="AX12" s="137"/>
      <c r="AY12" s="137"/>
      <c r="AZ12" s="137"/>
      <c r="BA12" s="137"/>
    </row>
    <row r="13" ht="17.25" hidden="1" customHeight="1">
      <c r="A13" s="35" t="s">
        <v>1430</v>
      </c>
      <c r="B13" s="132">
        <v>38286.0</v>
      </c>
      <c r="C13" s="35" t="s">
        <v>1431</v>
      </c>
      <c r="D13" s="133" t="s">
        <v>1432</v>
      </c>
      <c r="E13" s="35" t="s">
        <v>633</v>
      </c>
      <c r="F13" s="35" t="s">
        <v>774</v>
      </c>
      <c r="G13" s="35" t="s">
        <v>1433</v>
      </c>
      <c r="H13" s="35" t="s">
        <v>1434</v>
      </c>
      <c r="I13" s="35" t="s">
        <v>1435</v>
      </c>
      <c r="J13" s="35"/>
      <c r="K13" s="35" t="s">
        <v>67</v>
      </c>
      <c r="L13" s="35" t="s">
        <v>1436</v>
      </c>
      <c r="M13" s="134">
        <v>46257.0</v>
      </c>
      <c r="N13" s="133" t="s">
        <v>362</v>
      </c>
      <c r="O13" s="135" t="str">
        <f>HYPERLINK("https://api.typeform.com/responses/files/a5700be2667366a8aa5cde223638e0061b4b6d204f7ecefec64362269e857402/Transcript___Human_Resource_intern___Phạm_Nguyễn_Tài_Tuệ.pdf")</f>
        <v>https://api.typeform.com/responses/files/a5700be2667366a8aa5cde223638e0061b4b6d204f7ecefec64362269e857402/Transcript___Human_Resource_intern___Phạm_Nguyễn_Tài_Tuệ.pdf</v>
      </c>
      <c r="P13" s="35" t="b">
        <v>0</v>
      </c>
      <c r="Q13" s="43" t="s">
        <v>268</v>
      </c>
      <c r="R13" s="35" t="s">
        <v>1437</v>
      </c>
      <c r="S13" s="35" t="s">
        <v>72</v>
      </c>
      <c r="T13" s="35" t="s">
        <v>72</v>
      </c>
      <c r="U13" s="35" t="s">
        <v>73</v>
      </c>
      <c r="V13" s="35"/>
      <c r="W13" s="35" t="s">
        <v>1438</v>
      </c>
      <c r="X13" s="135" t="str">
        <f>HYPERLINK("https://api.typeform.com/responses/files/7665bf1841e317ce192121e52a5ac9e48932801058b623dc344d6f7b06e31d0a/CV___Human_Resources_intern___Phạm_Nguyễn_Tài_Tuệ.pdf")</f>
        <v>https://api.typeform.com/responses/files/7665bf1841e317ce192121e52a5ac9e48932801058b623dc344d6f7b06e31d0a/CV___Human_Resources_intern___Phạm_Nguyễn_Tài_Tuệ.pdf</v>
      </c>
      <c r="Y13" s="136">
        <v>46135.642916666664</v>
      </c>
      <c r="Z13" s="35" t="s">
        <v>1439</v>
      </c>
      <c r="AA13" s="137">
        <v>2.0</v>
      </c>
      <c r="AB13" s="137" t="s">
        <v>6424</v>
      </c>
      <c r="AC13" s="28" t="s">
        <v>6376</v>
      </c>
      <c r="AD13" s="27"/>
      <c r="AE13" s="28"/>
      <c r="AF13" s="137" t="str">
        <f t="shared" si="1"/>
        <v/>
      </c>
      <c r="AG13" s="35"/>
      <c r="AH13" s="137"/>
      <c r="AI13" s="137"/>
      <c r="AJ13" s="137"/>
      <c r="AK13" s="137"/>
      <c r="AL13" s="137"/>
      <c r="AM13" s="137"/>
      <c r="AN13" s="137"/>
      <c r="AO13" s="137"/>
      <c r="AP13" s="137"/>
      <c r="AQ13" s="137"/>
      <c r="AR13" s="137"/>
      <c r="AS13" s="137"/>
      <c r="AT13" s="137"/>
      <c r="AU13" s="137"/>
      <c r="AV13" s="137"/>
      <c r="AW13" s="137"/>
      <c r="AX13" s="137"/>
      <c r="AY13" s="137"/>
      <c r="AZ13" s="137"/>
      <c r="BA13" s="137"/>
    </row>
    <row r="14" ht="17.25" hidden="1" customHeight="1">
      <c r="A14" s="149" t="s">
        <v>1440</v>
      </c>
      <c r="B14" s="150">
        <v>34100.0</v>
      </c>
      <c r="C14" s="149" t="s">
        <v>1441</v>
      </c>
      <c r="D14" s="151" t="s">
        <v>1442</v>
      </c>
      <c r="E14" s="149" t="s">
        <v>99</v>
      </c>
      <c r="F14" s="149" t="s">
        <v>127</v>
      </c>
      <c r="G14" s="149" t="s">
        <v>1443</v>
      </c>
      <c r="H14" s="149" t="s">
        <v>1444</v>
      </c>
      <c r="I14" s="149" t="s">
        <v>777</v>
      </c>
      <c r="J14" s="149"/>
      <c r="K14" s="149" t="s">
        <v>103</v>
      </c>
      <c r="L14" s="149" t="s">
        <v>1445</v>
      </c>
      <c r="M14" s="152">
        <v>46125.0</v>
      </c>
      <c r="N14" s="149" t="s">
        <v>1446</v>
      </c>
      <c r="O14" s="153" t="str">
        <f>HYPERLINK("https://api.typeform.com/responses/files/042e7060232e0f5b5de0083e7b999826b33f63306029383204b004d1db874243/Transcript___Game_Designer___Le_Minh_Quang.pdf")</f>
        <v>https://api.typeform.com/responses/files/042e7060232e0f5b5de0083e7b999826b33f63306029383204b004d1db874243/Transcript___Game_Designer___Le_Minh_Quang.pdf</v>
      </c>
      <c r="P14" s="149" t="b">
        <v>1</v>
      </c>
      <c r="Q14" s="154" t="s">
        <v>1447</v>
      </c>
      <c r="R14" s="149" t="s">
        <v>1448</v>
      </c>
      <c r="S14" s="149" t="s">
        <v>72</v>
      </c>
      <c r="T14" s="149" t="s">
        <v>72</v>
      </c>
      <c r="U14" s="149" t="s">
        <v>73</v>
      </c>
      <c r="V14" s="149"/>
      <c r="W14" s="149" t="s">
        <v>1449</v>
      </c>
      <c r="X14" s="153" t="str">
        <f>HYPERLINK("https://api.typeform.com/responses/files/1729e3ff9155ca27d81777ca57f7a0a74e225c72be0201e5681c4f0be9e12a94/CV___Game_Designer___LeMinhQuang.docx")</f>
        <v>https://api.typeform.com/responses/files/1729e3ff9155ca27d81777ca57f7a0a74e225c72be0201e5681c4f0be9e12a94/CV___Game_Designer___LeMinhQuang.docx</v>
      </c>
      <c r="Y14" s="155">
        <v>46135.643483796295</v>
      </c>
      <c r="Z14" s="149" t="s">
        <v>1450</v>
      </c>
      <c r="AA14" s="156">
        <v>2.0</v>
      </c>
      <c r="AB14" s="157" t="s">
        <v>6381</v>
      </c>
      <c r="AC14" s="92" t="s">
        <v>6376</v>
      </c>
      <c r="AD14" s="158"/>
      <c r="AE14" s="92"/>
      <c r="AF14" s="137" t="str">
        <f t="shared" si="1"/>
        <v/>
      </c>
      <c r="AG14" s="149"/>
      <c r="AH14" s="156"/>
      <c r="AI14" s="156"/>
      <c r="AJ14" s="156"/>
      <c r="AK14" s="156"/>
      <c r="AL14" s="156"/>
      <c r="AM14" s="156"/>
      <c r="AN14" s="156"/>
      <c r="AO14" s="156"/>
      <c r="AP14" s="156"/>
      <c r="AQ14" s="156"/>
      <c r="AR14" s="156"/>
      <c r="AS14" s="156"/>
      <c r="AT14" s="156"/>
      <c r="AU14" s="156"/>
      <c r="AV14" s="156"/>
      <c r="AW14" s="156"/>
      <c r="AX14" s="156"/>
      <c r="AY14" s="156"/>
      <c r="AZ14" s="156"/>
      <c r="BA14" s="156"/>
    </row>
    <row r="15" ht="17.25" hidden="1" customHeight="1">
      <c r="A15" s="35" t="s">
        <v>3549</v>
      </c>
      <c r="B15" s="132">
        <v>37671.0</v>
      </c>
      <c r="C15" s="35" t="s">
        <v>3550</v>
      </c>
      <c r="D15" s="133" t="s">
        <v>3551</v>
      </c>
      <c r="E15" s="35" t="s">
        <v>62</v>
      </c>
      <c r="F15" s="35" t="s">
        <v>82</v>
      </c>
      <c r="G15" s="35" t="s">
        <v>3552</v>
      </c>
      <c r="H15" s="35" t="s">
        <v>3553</v>
      </c>
      <c r="I15" s="35" t="s">
        <v>326</v>
      </c>
      <c r="J15" s="35"/>
      <c r="K15" s="35" t="s">
        <v>103</v>
      </c>
      <c r="L15" s="35" t="s">
        <v>624</v>
      </c>
      <c r="M15" s="134">
        <v>45965.0</v>
      </c>
      <c r="N15" s="133" t="s">
        <v>901</v>
      </c>
      <c r="O15" s="135" t="str">
        <f>HYPERLINK("https://api.typeform.com/responses/files/b95948e937dce5975288cfacb88429c674a8423691a331d6dec90a27f07132f8/Transcript___AI_Engineering_Intern___Lê_Nguyễn_Kiều_Oanh.pdf")</f>
        <v>https://api.typeform.com/responses/files/b95948e937dce5975288cfacb88429c674a8423691a331d6dec90a27f07132f8/Transcript___AI_Engineering_Intern___Lê_Nguyễn_Kiều_Oanh.pdf</v>
      </c>
      <c r="P15" s="35" t="b">
        <v>1</v>
      </c>
      <c r="Q15" s="35" t="s">
        <v>3554</v>
      </c>
      <c r="R15" s="35" t="s">
        <v>3555</v>
      </c>
      <c r="S15" s="35" t="s">
        <v>72</v>
      </c>
      <c r="T15" s="35" t="s">
        <v>72</v>
      </c>
      <c r="U15" s="138" t="s">
        <v>90</v>
      </c>
      <c r="V15" s="35"/>
      <c r="W15" s="35" t="s">
        <v>3556</v>
      </c>
      <c r="X15" s="135" t="str">
        <f>HYPERLINK("https://api.typeform.com/responses/files/f208e786487c8286d8e2352c666f467a934758082c47529b5c9d9fc6a3de7962/CV___AI_Engineering_Intern___Lê_Nguyễn_Kiều_Oanh.pdf")</f>
        <v>https://api.typeform.com/responses/files/f208e786487c8286d8e2352c666f467a934758082c47529b5c9d9fc6a3de7962/CV___AI_Engineering_Intern___Lê_Nguyễn_Kiều_Oanh.pdf</v>
      </c>
      <c r="Y15" s="136">
        <v>46140.53627314815</v>
      </c>
      <c r="Z15" s="35" t="s">
        <v>3557</v>
      </c>
      <c r="AA15" s="137">
        <v>2.0</v>
      </c>
      <c r="AB15" s="139" t="s">
        <v>6381</v>
      </c>
      <c r="AC15" s="28" t="s">
        <v>6377</v>
      </c>
      <c r="AD15" s="27"/>
      <c r="AE15" s="28" t="s">
        <v>6379</v>
      </c>
      <c r="AF15" s="137" t="str">
        <f t="shared" si="1"/>
        <v>Quỳnh</v>
      </c>
      <c r="AG15" s="35"/>
      <c r="AH15" s="137"/>
      <c r="AI15" s="137"/>
      <c r="AJ15" s="137"/>
      <c r="AK15" s="137"/>
      <c r="AL15" s="137"/>
      <c r="AM15" s="137"/>
      <c r="AN15" s="137"/>
      <c r="AO15" s="137"/>
      <c r="AP15" s="137"/>
      <c r="AQ15" s="137"/>
      <c r="AR15" s="137"/>
      <c r="AS15" s="137"/>
      <c r="AT15" s="137"/>
      <c r="AU15" s="137"/>
      <c r="AV15" s="137"/>
      <c r="AW15" s="137"/>
      <c r="AX15" s="137"/>
      <c r="AY15" s="137"/>
      <c r="AZ15" s="137"/>
      <c r="BA15" s="137"/>
    </row>
    <row r="16" ht="17.25" hidden="1" customHeight="1">
      <c r="A16" s="35" t="s">
        <v>1461</v>
      </c>
      <c r="B16" s="132">
        <v>38560.0</v>
      </c>
      <c r="C16" s="35" t="s">
        <v>1462</v>
      </c>
      <c r="D16" s="133" t="s">
        <v>1463</v>
      </c>
      <c r="E16" s="35" t="s">
        <v>99</v>
      </c>
      <c r="F16" s="35"/>
      <c r="G16" s="35" t="s">
        <v>1464</v>
      </c>
      <c r="H16" s="35" t="s">
        <v>1465</v>
      </c>
      <c r="I16" s="35" t="s">
        <v>326</v>
      </c>
      <c r="J16" s="35"/>
      <c r="K16" s="35" t="s">
        <v>219</v>
      </c>
      <c r="L16" s="35" t="s">
        <v>327</v>
      </c>
      <c r="M16" s="134">
        <v>46645.0</v>
      </c>
      <c r="N16" s="35" t="s">
        <v>1466</v>
      </c>
      <c r="O16" s="135" t="str">
        <f>HYPERLINK("https://api.typeform.com/responses/files/ade51cd4cd0b0e2d1391b134336d331e932a84bc1acd9efc4b834696fc6bb891/Transcript___Game_Design_Intern___Nguyễn_Trọng_Nhân.pdf")</f>
        <v>https://api.typeform.com/responses/files/ade51cd4cd0b0e2d1391b134336d331e932a84bc1acd9efc4b834696fc6bb891/Transcript___Game_Design_Intern___Nguyễn_Trọng_Nhân.pdf</v>
      </c>
      <c r="P16" s="35" t="b">
        <v>1</v>
      </c>
      <c r="Q16" s="43" t="s">
        <v>1467</v>
      </c>
      <c r="R16" s="35" t="s">
        <v>1468</v>
      </c>
      <c r="S16" s="35" t="s">
        <v>72</v>
      </c>
      <c r="T16" s="35" t="s">
        <v>72</v>
      </c>
      <c r="U16" s="35" t="s">
        <v>544</v>
      </c>
      <c r="V16" s="35"/>
      <c r="W16" s="35" t="s">
        <v>1469</v>
      </c>
      <c r="X16" s="135" t="str">
        <f>HYPERLINK("https://api.typeform.com/responses/files/ea1c418fe43be38fbf6fc0f12f4d1bf80a5808ee5e6e527f5def228a75fa8923/CV___Game_Design_Intern___Nguyễn_Trọng_Nhân.pdf")</f>
        <v>https://api.typeform.com/responses/files/ea1c418fe43be38fbf6fc0f12f4d1bf80a5808ee5e6e527f5def228a75fa8923/CV___Game_Design_Intern___Nguyễn_Trọng_Nhân.pdf</v>
      </c>
      <c r="Y16" s="136">
        <v>46135.675983796296</v>
      </c>
      <c r="Z16" s="35" t="s">
        <v>1470</v>
      </c>
      <c r="AA16" s="137">
        <v>2.0</v>
      </c>
      <c r="AB16" s="139" t="s">
        <v>6381</v>
      </c>
      <c r="AC16" s="28" t="s">
        <v>6377</v>
      </c>
      <c r="AD16" s="28" t="s">
        <v>6493</v>
      </c>
      <c r="AE16" s="28" t="s">
        <v>6379</v>
      </c>
      <c r="AF16" s="137" t="str">
        <f t="shared" si="1"/>
        <v>Nhiên</v>
      </c>
      <c r="AG16" s="35"/>
      <c r="AH16" s="137"/>
      <c r="AI16" s="137"/>
      <c r="AJ16" s="137"/>
      <c r="AK16" s="137"/>
      <c r="AL16" s="137"/>
      <c r="AM16" s="137"/>
      <c r="AN16" s="137"/>
      <c r="AO16" s="137"/>
      <c r="AP16" s="137"/>
      <c r="AQ16" s="137"/>
      <c r="AR16" s="137"/>
      <c r="AS16" s="137"/>
      <c r="AT16" s="137"/>
      <c r="AU16" s="137"/>
      <c r="AV16" s="137"/>
      <c r="AW16" s="137"/>
      <c r="AX16" s="137"/>
      <c r="AY16" s="137"/>
      <c r="AZ16" s="137"/>
      <c r="BA16" s="137"/>
    </row>
    <row r="17" ht="17.25" hidden="1" customHeight="1">
      <c r="A17" s="35" t="s">
        <v>2965</v>
      </c>
      <c r="B17" s="132">
        <v>38442.0</v>
      </c>
      <c r="C17" s="35" t="s">
        <v>2966</v>
      </c>
      <c r="D17" s="133" t="s">
        <v>2967</v>
      </c>
      <c r="E17" s="35" t="s">
        <v>82</v>
      </c>
      <c r="F17" s="35" t="s">
        <v>82</v>
      </c>
      <c r="G17" s="35" t="s">
        <v>2968</v>
      </c>
      <c r="H17" s="35" t="s">
        <v>2969</v>
      </c>
      <c r="I17" s="35" t="s">
        <v>1311</v>
      </c>
      <c r="J17" s="35"/>
      <c r="K17" s="35" t="s">
        <v>219</v>
      </c>
      <c r="L17" s="35" t="s">
        <v>2970</v>
      </c>
      <c r="M17" s="134">
        <v>46501.0</v>
      </c>
      <c r="N17" s="133" t="s">
        <v>2397</v>
      </c>
      <c r="O17" s="135" t="str">
        <f>HYPERLINK("https://api.typeform.com/responses/files/b4bcbc0f5e32d0ce75a8e0dfd4b941516e1a907f5f72ee2b52d84261450dee0f/Transcript_Data_Analysis_Intern_Dụng_Lan_Anh.pdf")</f>
        <v>https://api.typeform.com/responses/files/b4bcbc0f5e32d0ce75a8e0dfd4b941516e1a907f5f72ee2b52d84261450dee0f/Transcript_Data_Analysis_Intern_Dụng_Lan_Anh.pdf</v>
      </c>
      <c r="P17" s="35" t="b">
        <v>1</v>
      </c>
      <c r="Q17" s="43" t="s">
        <v>2971</v>
      </c>
      <c r="R17" s="35" t="s">
        <v>2972</v>
      </c>
      <c r="S17" s="35" t="s">
        <v>72</v>
      </c>
      <c r="T17" s="35" t="s">
        <v>72</v>
      </c>
      <c r="U17" s="35" t="s">
        <v>73</v>
      </c>
      <c r="V17" s="35"/>
      <c r="W17" s="35" t="s">
        <v>2973</v>
      </c>
      <c r="X17" s="135" t="str">
        <f>HYPERLINK("https://api.typeform.com/responses/files/3dc1e5ef408ff62767bec385b52fc2071c1cf55c97a7502da06ad90becc0c3af/CV_Data_Analysis_Intern_Dụng_Lan_Anh.pdf")</f>
        <v>https://api.typeform.com/responses/files/3dc1e5ef408ff62767bec385b52fc2071c1cf55c97a7502da06ad90becc0c3af/CV_Data_Analysis_Intern_Dụng_Lan_Anh.pdf</v>
      </c>
      <c r="Y17" s="136">
        <v>46139.66148148148</v>
      </c>
      <c r="Z17" s="35" t="s">
        <v>2974</v>
      </c>
      <c r="AA17" s="137">
        <v>2.0</v>
      </c>
      <c r="AB17" s="137" t="s">
        <v>93</v>
      </c>
      <c r="AC17" s="28" t="s">
        <v>6377</v>
      </c>
      <c r="AD17" s="27"/>
      <c r="AE17" s="28" t="s">
        <v>6403</v>
      </c>
      <c r="AF17" s="137" t="str">
        <f t="shared" si="1"/>
        <v>Quỳnh</v>
      </c>
      <c r="AG17" s="35"/>
      <c r="AH17" s="137"/>
      <c r="AI17" s="137"/>
      <c r="AJ17" s="137"/>
      <c r="AK17" s="137"/>
      <c r="AL17" s="137"/>
      <c r="AM17" s="137"/>
      <c r="AN17" s="137"/>
      <c r="AO17" s="137"/>
      <c r="AP17" s="137"/>
      <c r="AQ17" s="137"/>
      <c r="AR17" s="137"/>
      <c r="AS17" s="137"/>
      <c r="AT17" s="137"/>
      <c r="AU17" s="137"/>
      <c r="AV17" s="137"/>
      <c r="AW17" s="137"/>
      <c r="AX17" s="137"/>
      <c r="AY17" s="137"/>
      <c r="AZ17" s="137"/>
      <c r="BA17" s="137"/>
    </row>
    <row r="18" ht="17.25" hidden="1" customHeight="1">
      <c r="A18" s="35" t="s">
        <v>1720</v>
      </c>
      <c r="B18" s="132">
        <v>38306.0</v>
      </c>
      <c r="C18" s="35" t="s">
        <v>1721</v>
      </c>
      <c r="D18" s="133" t="s">
        <v>1722</v>
      </c>
      <c r="E18" s="35" t="s">
        <v>82</v>
      </c>
      <c r="F18" s="35" t="s">
        <v>62</v>
      </c>
      <c r="G18" s="35" t="s">
        <v>1723</v>
      </c>
      <c r="H18" s="35" t="s">
        <v>1724</v>
      </c>
      <c r="I18" s="35" t="s">
        <v>842</v>
      </c>
      <c r="J18" s="35"/>
      <c r="K18" s="35" t="s">
        <v>67</v>
      </c>
      <c r="L18" s="35" t="s">
        <v>1725</v>
      </c>
      <c r="M18" s="134">
        <v>46174.0</v>
      </c>
      <c r="N18" s="133" t="s">
        <v>1456</v>
      </c>
      <c r="O18" s="135" t="str">
        <f>HYPERLINK("https://api.typeform.com/responses/files/292711307ab29b35f9bcee94742066987856ee1a630728e3ee94350d85777dc6/Transcript___Data_Analysis_Intern___Nguyễn_Trương_Hoàng.pdf")</f>
        <v>https://api.typeform.com/responses/files/292711307ab29b35f9bcee94742066987856ee1a630728e3ee94350d85777dc6/Transcript___Data_Analysis_Intern___Nguyễn_Trương_Hoàng.pdf</v>
      </c>
      <c r="P18" s="35" t="b">
        <v>1</v>
      </c>
      <c r="Q18" s="43" t="s">
        <v>1726</v>
      </c>
      <c r="R18" s="35" t="s">
        <v>1727</v>
      </c>
      <c r="S18" s="35" t="s">
        <v>72</v>
      </c>
      <c r="T18" s="35" t="s">
        <v>72</v>
      </c>
      <c r="U18" s="35" t="s">
        <v>73</v>
      </c>
      <c r="V18" s="35"/>
      <c r="W18" s="35" t="s">
        <v>1728</v>
      </c>
      <c r="X18" s="135" t="str">
        <f>HYPERLINK("https://api.typeform.com/responses/files/5047292b162aa55a487e727ddba9cf14629bd292d60ffe987c7673fb9f3ac88e/CV___Data_Analysis_Intern___Nguyễn_Trương_Hoàng.pdf")</f>
        <v>https://api.typeform.com/responses/files/5047292b162aa55a487e727ddba9cf14629bd292d60ffe987c7673fb9f3ac88e/CV___Data_Analysis_Intern___Nguyễn_Trương_Hoàng.pdf</v>
      </c>
      <c r="Y18" s="136">
        <v>46136.17943287037</v>
      </c>
      <c r="Z18" s="35" t="s">
        <v>1729</v>
      </c>
      <c r="AA18" s="137">
        <v>2.0</v>
      </c>
      <c r="AB18" s="137" t="s">
        <v>93</v>
      </c>
      <c r="AC18" s="28" t="s">
        <v>6377</v>
      </c>
      <c r="AD18" s="27"/>
      <c r="AE18" s="28" t="s">
        <v>6403</v>
      </c>
      <c r="AF18" s="137" t="str">
        <f t="shared" si="1"/>
        <v>Quỳnh</v>
      </c>
      <c r="AG18" s="35"/>
      <c r="AH18" s="137"/>
      <c r="AI18" s="137"/>
      <c r="AJ18" s="137"/>
      <c r="AK18" s="137"/>
      <c r="AL18" s="137"/>
      <c r="AM18" s="137"/>
      <c r="AN18" s="137"/>
      <c r="AO18" s="137"/>
      <c r="AP18" s="137"/>
      <c r="AQ18" s="137"/>
      <c r="AR18" s="137"/>
      <c r="AS18" s="137"/>
      <c r="AT18" s="137"/>
      <c r="AU18" s="137"/>
      <c r="AV18" s="137"/>
      <c r="AW18" s="137"/>
      <c r="AX18" s="137"/>
      <c r="AY18" s="137"/>
      <c r="AZ18" s="137"/>
      <c r="BA18" s="137"/>
    </row>
    <row r="19" ht="17.25" hidden="1" customHeight="1">
      <c r="A19" s="35" t="s">
        <v>1491</v>
      </c>
      <c r="B19" s="132">
        <v>38459.0</v>
      </c>
      <c r="C19" s="35" t="s">
        <v>1492</v>
      </c>
      <c r="D19" s="133" t="s">
        <v>1493</v>
      </c>
      <c r="E19" s="35" t="s">
        <v>774</v>
      </c>
      <c r="F19" s="35" t="s">
        <v>127</v>
      </c>
      <c r="G19" s="35" t="s">
        <v>1494</v>
      </c>
      <c r="H19" s="35" t="s">
        <v>1495</v>
      </c>
      <c r="I19" s="35" t="s">
        <v>842</v>
      </c>
      <c r="J19" s="35"/>
      <c r="K19" s="35" t="s">
        <v>219</v>
      </c>
      <c r="L19" s="35" t="s">
        <v>1496</v>
      </c>
      <c r="M19" s="134">
        <v>46631.0</v>
      </c>
      <c r="N19" s="133" t="s">
        <v>288</v>
      </c>
      <c r="O19" s="135" t="str">
        <f>HYPERLINK("https://api.typeform.com/responses/files/584f0c7510b65badfa880d578fdc9598099f2f5a09bf19be80dedaf65d29bf64/Transcript___Game_User_Acquisition_Intern___Nguyễn_Minh_Quang.pdf")</f>
        <v>https://api.typeform.com/responses/files/584f0c7510b65badfa880d578fdc9598099f2f5a09bf19be80dedaf65d29bf64/Transcript___Game_User_Acquisition_Intern___Nguyễn_Minh_Quang.pdf</v>
      </c>
      <c r="P19" s="35" t="b">
        <v>0</v>
      </c>
      <c r="Q19" s="43" t="s">
        <v>300</v>
      </c>
      <c r="R19" s="35" t="s">
        <v>1497</v>
      </c>
      <c r="S19" s="35" t="s">
        <v>72</v>
      </c>
      <c r="T19" s="35" t="s">
        <v>72</v>
      </c>
      <c r="U19" s="35" t="s">
        <v>73</v>
      </c>
      <c r="V19" s="35"/>
      <c r="W19" s="35" t="s">
        <v>1498</v>
      </c>
      <c r="X19" s="135" t="str">
        <f>HYPERLINK("https://api.typeform.com/responses/files/c98def87ea6ea03b08a6f1d6f61b79afa2580ca40264ea4ae474ffecef7414f0/CV___Game_User_Acquisition_Intern___Nguyễn_Minh_Quang.pdf")</f>
        <v>https://api.typeform.com/responses/files/c98def87ea6ea03b08a6f1d6f61b79afa2580ca40264ea4ae474ffecef7414f0/CV___Game_User_Acquisition_Intern___Nguyễn_Minh_Quang.pdf</v>
      </c>
      <c r="Y19" s="136">
        <v>46135.67853009259</v>
      </c>
      <c r="Z19" s="35" t="s">
        <v>1499</v>
      </c>
      <c r="AA19" s="137">
        <v>2.0</v>
      </c>
      <c r="AB19" s="137"/>
      <c r="AC19" s="28" t="s">
        <v>6377</v>
      </c>
      <c r="AD19" s="27"/>
      <c r="AE19" s="28" t="s">
        <v>6379</v>
      </c>
      <c r="AF19" s="137" t="str">
        <f t="shared" si="1"/>
        <v>Nhiên</v>
      </c>
      <c r="AG19" s="35"/>
      <c r="AH19" s="137"/>
      <c r="AI19" s="137"/>
      <c r="AJ19" s="137"/>
      <c r="AK19" s="137"/>
      <c r="AL19" s="137"/>
      <c r="AM19" s="137"/>
      <c r="AN19" s="137"/>
      <c r="AO19" s="137"/>
      <c r="AP19" s="137"/>
      <c r="AQ19" s="137"/>
      <c r="AR19" s="137"/>
      <c r="AS19" s="137"/>
      <c r="AT19" s="137"/>
      <c r="AU19" s="137"/>
      <c r="AV19" s="137"/>
      <c r="AW19" s="137"/>
      <c r="AX19" s="137"/>
      <c r="AY19" s="137"/>
      <c r="AZ19" s="137"/>
      <c r="BA19" s="137"/>
    </row>
    <row r="20" ht="17.25" hidden="1" customHeight="1">
      <c r="A20" s="35" t="s">
        <v>1500</v>
      </c>
      <c r="B20" s="132">
        <v>38493.0</v>
      </c>
      <c r="C20" s="35" t="s">
        <v>1501</v>
      </c>
      <c r="D20" s="133" t="s">
        <v>1502</v>
      </c>
      <c r="E20" s="35" t="s">
        <v>127</v>
      </c>
      <c r="F20" s="35" t="s">
        <v>99</v>
      </c>
      <c r="G20" s="35" t="s">
        <v>1503</v>
      </c>
      <c r="H20" s="35" t="s">
        <v>1504</v>
      </c>
      <c r="I20" s="35" t="s">
        <v>326</v>
      </c>
      <c r="J20" s="35"/>
      <c r="K20" s="35" t="s">
        <v>219</v>
      </c>
      <c r="L20" s="35" t="s">
        <v>1505</v>
      </c>
      <c r="M20" s="134">
        <v>46629.0</v>
      </c>
      <c r="N20" s="133" t="s">
        <v>1321</v>
      </c>
      <c r="O20" s="135" t="str">
        <f>HYPERLINK("https://api.typeform.com/responses/files/7c64f301ba79b068b5339ef39b3f64fc732a4b597c07c4a4057964cceff0f8e6/Transcript___Game_Quality_Assurance_Intern___Đinh_Hoàng_Nam.pdf")</f>
        <v>https://api.typeform.com/responses/files/7c64f301ba79b068b5339ef39b3f64fc732a4b597c07c4a4057964cceff0f8e6/Transcript___Game_Quality_Assurance_Intern___Đinh_Hoàng_Nam.pdf</v>
      </c>
      <c r="P20" s="35" t="b">
        <v>0</v>
      </c>
      <c r="Q20" s="43" t="s">
        <v>375</v>
      </c>
      <c r="R20" s="35" t="s">
        <v>1437</v>
      </c>
      <c r="S20" s="35" t="s">
        <v>72</v>
      </c>
      <c r="T20" s="35" t="s">
        <v>72</v>
      </c>
      <c r="U20" s="35" t="s">
        <v>269</v>
      </c>
      <c r="V20" s="35"/>
      <c r="W20" s="35"/>
      <c r="X20" s="135" t="str">
        <f>HYPERLINK("https://api.typeform.com/responses/files/c33a105c480592c0acfeed82a8ee5ecd3662459c91475cd4d727e3a088d6585d/CV___Game_Quality_Assurance_Intern___Đinh_Hoàng_Nam.pdf")</f>
        <v>https://api.typeform.com/responses/files/c33a105c480592c0acfeed82a8ee5ecd3662459c91475cd4d727e3a088d6585d/CV___Game_Quality_Assurance_Intern___Đinh_Hoàng_Nam.pdf</v>
      </c>
      <c r="Y20" s="136">
        <v>46135.69181712963</v>
      </c>
      <c r="Z20" s="35" t="s">
        <v>1506</v>
      </c>
      <c r="AA20" s="137">
        <v>2.0</v>
      </c>
      <c r="AB20" s="137" t="s">
        <v>93</v>
      </c>
      <c r="AC20" s="28" t="s">
        <v>6377</v>
      </c>
      <c r="AD20" s="28" t="s">
        <v>6494</v>
      </c>
      <c r="AE20" s="28" t="s">
        <v>6379</v>
      </c>
      <c r="AF20" s="137" t="str">
        <f t="shared" si="1"/>
        <v>Quỳnh</v>
      </c>
      <c r="AG20" s="35"/>
      <c r="AH20" s="137"/>
      <c r="AI20" s="137"/>
      <c r="AJ20" s="137"/>
      <c r="AK20" s="137"/>
      <c r="AL20" s="137"/>
      <c r="AM20" s="137"/>
      <c r="AN20" s="137"/>
      <c r="AO20" s="137"/>
      <c r="AP20" s="137"/>
      <c r="AQ20" s="137"/>
      <c r="AR20" s="137"/>
      <c r="AS20" s="137"/>
      <c r="AT20" s="137"/>
      <c r="AU20" s="137"/>
      <c r="AV20" s="137"/>
      <c r="AW20" s="137"/>
      <c r="AX20" s="137"/>
      <c r="AY20" s="137"/>
      <c r="AZ20" s="137"/>
      <c r="BA20" s="137"/>
    </row>
    <row r="21" ht="17.25" hidden="1" customHeight="1">
      <c r="A21" s="35" t="s">
        <v>1507</v>
      </c>
      <c r="B21" s="132">
        <v>37992.0</v>
      </c>
      <c r="C21" s="35" t="s">
        <v>1508</v>
      </c>
      <c r="D21" s="133" t="s">
        <v>1509</v>
      </c>
      <c r="E21" s="35" t="s">
        <v>633</v>
      </c>
      <c r="F21" s="35" t="s">
        <v>774</v>
      </c>
      <c r="G21" s="35" t="s">
        <v>1510</v>
      </c>
      <c r="H21" s="35" t="s">
        <v>1511</v>
      </c>
      <c r="I21" s="35" t="s">
        <v>715</v>
      </c>
      <c r="J21" s="35"/>
      <c r="K21" s="35" t="s">
        <v>67</v>
      </c>
      <c r="L21" s="35" t="s">
        <v>1512</v>
      </c>
      <c r="M21" s="134">
        <v>46327.0</v>
      </c>
      <c r="N21" s="133" t="s">
        <v>1513</v>
      </c>
      <c r="O21" s="135" t="str">
        <f>HYPERLINK("https://api.typeform.com/responses/files/98f21de1b836e8bac282365647b82c1f034f856f9774e3e5e9fefa71ad53f4fc/Transcript___Human_Resources_Intern___Trần_Ngọc_Yến_Vy.pdf")</f>
        <v>https://api.typeform.com/responses/files/98f21de1b836e8bac282365647b82c1f034f856f9774e3e5e9fefa71ad53f4fc/Transcript___Human_Resources_Intern___Trần_Ngọc_Yến_Vy.pdf</v>
      </c>
      <c r="P21" s="35" t="b">
        <v>0</v>
      </c>
      <c r="Q21" s="43" t="s">
        <v>1514</v>
      </c>
      <c r="R21" s="35" t="s">
        <v>1515</v>
      </c>
      <c r="S21" s="35" t="s">
        <v>72</v>
      </c>
      <c r="T21" s="35" t="s">
        <v>72</v>
      </c>
      <c r="U21" s="35" t="s">
        <v>73</v>
      </c>
      <c r="V21" s="35"/>
      <c r="W21" s="35" t="s">
        <v>1516</v>
      </c>
      <c r="X21" s="135" t="str">
        <f>HYPERLINK("https://api.typeform.com/responses/files/3a79d17052c343fb7bf3cb50140f3347cca8ff494030897c24fc76eb3e4d3a04/Human_Resources_Intern___Trần_Ngọc_Yến_Vy.pdf")</f>
        <v>https://api.typeform.com/responses/files/3a79d17052c343fb7bf3cb50140f3347cca8ff494030897c24fc76eb3e4d3a04/Human_Resources_Intern___Trần_Ngọc_Yến_Vy.pdf</v>
      </c>
      <c r="Y21" s="136">
        <v>46135.705983796295</v>
      </c>
      <c r="Z21" s="35" t="s">
        <v>1517</v>
      </c>
      <c r="AA21" s="137">
        <v>2.0</v>
      </c>
      <c r="AB21" s="137" t="s">
        <v>6424</v>
      </c>
      <c r="AC21" s="28" t="s">
        <v>6376</v>
      </c>
      <c r="AD21" s="27"/>
      <c r="AE21" s="28"/>
      <c r="AF21" s="137" t="str">
        <f t="shared" si="1"/>
        <v/>
      </c>
      <c r="AG21" s="35"/>
      <c r="AH21" s="137"/>
      <c r="AI21" s="137"/>
      <c r="AJ21" s="137"/>
      <c r="AK21" s="137"/>
      <c r="AL21" s="137"/>
      <c r="AM21" s="137"/>
      <c r="AN21" s="137"/>
      <c r="AO21" s="137"/>
      <c r="AP21" s="137"/>
      <c r="AQ21" s="137"/>
      <c r="AR21" s="137"/>
      <c r="AS21" s="137"/>
      <c r="AT21" s="137"/>
      <c r="AU21" s="137"/>
      <c r="AV21" s="137"/>
      <c r="AW21" s="137"/>
      <c r="AX21" s="137"/>
      <c r="AY21" s="137"/>
      <c r="AZ21" s="137"/>
      <c r="BA21" s="137"/>
    </row>
    <row r="22" ht="17.25" customHeight="1">
      <c r="A22" s="35" t="s">
        <v>1518</v>
      </c>
      <c r="B22" s="132">
        <v>38529.0</v>
      </c>
      <c r="C22" s="35" t="s">
        <v>1519</v>
      </c>
      <c r="D22" s="133" t="s">
        <v>1520</v>
      </c>
      <c r="E22" s="35" t="s">
        <v>633</v>
      </c>
      <c r="F22" s="35" t="s">
        <v>82</v>
      </c>
      <c r="G22" s="35" t="s">
        <v>1521</v>
      </c>
      <c r="H22" s="35" t="s">
        <v>1522</v>
      </c>
      <c r="I22" s="35" t="s">
        <v>842</v>
      </c>
      <c r="J22" s="35"/>
      <c r="K22" s="35" t="s">
        <v>67</v>
      </c>
      <c r="L22" s="35" t="s">
        <v>1523</v>
      </c>
      <c r="M22" s="134">
        <v>46447.0</v>
      </c>
      <c r="N22" s="133" t="s">
        <v>1524</v>
      </c>
      <c r="O22" s="135" t="str">
        <f>HYPERLINK("https://api.typeform.com/responses/files/1b05b4cb4f2c983e25db1ea1d20da3449f26bddf190577df136e869f8f39c836/Bảng_điểm_học_tập_tiếng_Anh_sinh_viên_ĐHCQ_VLVH.pdf")</f>
        <v>https://api.typeform.com/responses/files/1b05b4cb4f2c983e25db1ea1d20da3449f26bddf190577df136e869f8f39c836/Bảng_điểm_học_tập_tiếng_Anh_sinh_viên_ĐHCQ_VLVH.pdf</v>
      </c>
      <c r="P22" s="35" t="b">
        <v>1</v>
      </c>
      <c r="Q22" s="43" t="s">
        <v>1525</v>
      </c>
      <c r="R22" s="35" t="s">
        <v>1526</v>
      </c>
      <c r="S22" s="35" t="s">
        <v>72</v>
      </c>
      <c r="T22" s="35" t="s">
        <v>72</v>
      </c>
      <c r="U22" s="35" t="s">
        <v>90</v>
      </c>
      <c r="V22" s="35"/>
      <c r="W22" s="35"/>
      <c r="X22" s="135" t="str">
        <f>HYPERLINK("https://api.typeform.com/responses/files/8b01658af8a1256653185dd3e453f03153632696b2f75b14c02ae932cee6725a/Nguyen_Mac_Gia_Huy_CV.pdf")</f>
        <v>https://api.typeform.com/responses/files/8b01658af8a1256653185dd3e453f03153632696b2f75b14c02ae932cee6725a/Nguyen_Mac_Gia_Huy_CV.pdf</v>
      </c>
      <c r="Y22" s="136">
        <v>46135.72523148148</v>
      </c>
      <c r="Z22" s="35" t="s">
        <v>1527</v>
      </c>
      <c r="AA22" s="137">
        <v>2.0</v>
      </c>
      <c r="AB22" s="137" t="s">
        <v>6424</v>
      </c>
      <c r="AC22" s="28" t="s">
        <v>6377</v>
      </c>
      <c r="AD22" s="28" t="s">
        <v>6495</v>
      </c>
      <c r="AE22" s="28" t="s">
        <v>6403</v>
      </c>
      <c r="AF22" s="137" t="s">
        <v>76</v>
      </c>
      <c r="AG22" s="35"/>
      <c r="AH22" s="137"/>
      <c r="AI22" s="137"/>
      <c r="AJ22" s="137"/>
      <c r="AK22" s="137"/>
      <c r="AL22" s="137"/>
      <c r="AM22" s="137"/>
      <c r="AN22" s="137"/>
      <c r="AO22" s="137"/>
      <c r="AP22" s="137"/>
      <c r="AQ22" s="137"/>
      <c r="AR22" s="137"/>
      <c r="AS22" s="137"/>
      <c r="AT22" s="137"/>
      <c r="AU22" s="137"/>
      <c r="AV22" s="137"/>
      <c r="AW22" s="137"/>
      <c r="AX22" s="137"/>
      <c r="AY22" s="137"/>
      <c r="AZ22" s="137"/>
      <c r="BA22" s="137"/>
    </row>
    <row r="23" ht="17.25" hidden="1" customHeight="1">
      <c r="A23" s="140" t="s">
        <v>4073</v>
      </c>
      <c r="B23" s="141">
        <v>38304.0</v>
      </c>
      <c r="C23" s="140" t="s">
        <v>4074</v>
      </c>
      <c r="D23" s="142" t="s">
        <v>4075</v>
      </c>
      <c r="E23" s="140" t="s">
        <v>62</v>
      </c>
      <c r="F23" s="140" t="s">
        <v>82</v>
      </c>
      <c r="G23" s="140" t="s">
        <v>4076</v>
      </c>
      <c r="H23" s="140" t="s">
        <v>4077</v>
      </c>
      <c r="I23" s="140" t="s">
        <v>1023</v>
      </c>
      <c r="J23" s="140"/>
      <c r="K23" s="140" t="s">
        <v>67</v>
      </c>
      <c r="L23" s="140" t="s">
        <v>1830</v>
      </c>
      <c r="M23" s="143">
        <v>46327.0</v>
      </c>
      <c r="N23" s="142" t="s">
        <v>4078</v>
      </c>
      <c r="O23" s="144" t="str">
        <f>HYPERLINK("https://api.typeform.com/responses/files/a02ea864ad4e7d50d690f2b6711684355cbc9d46e1869ef4c9db14f2a8255966/Official_Academic_Transcript_Nguyen_Ngoc_Thang.pdf")</f>
        <v>https://api.typeform.com/responses/files/a02ea864ad4e7d50d690f2b6711684355cbc9d46e1869ef4c9db14f2a8255966/Official_Academic_Transcript_Nguyen_Ngoc_Thang.pdf</v>
      </c>
      <c r="P23" s="140" t="b">
        <v>1</v>
      </c>
      <c r="Q23" s="140" t="s">
        <v>4079</v>
      </c>
      <c r="R23" s="140" t="s">
        <v>4080</v>
      </c>
      <c r="S23" s="140" t="s">
        <v>72</v>
      </c>
      <c r="T23" s="140" t="s">
        <v>72</v>
      </c>
      <c r="U23" s="140" t="s">
        <v>269</v>
      </c>
      <c r="V23" s="140"/>
      <c r="W23" s="140" t="s">
        <v>4081</v>
      </c>
      <c r="X23" s="144" t="str">
        <f>HYPERLINK("https://api.typeform.com/responses/files/ee012536d6fb4cc8c4de4d4d01eb196f8bcfebf90e85b442ca63cc151c3b821d/CV_AiEngineerIntern_NguyenNgocThang.docx")</f>
        <v>https://api.typeform.com/responses/files/ee012536d6fb4cc8c4de4d4d01eb196f8bcfebf90e85b442ca63cc151c3b821d/CV_AiEngineerIntern_NguyenNgocThang.docx</v>
      </c>
      <c r="Y23" s="145">
        <v>46142.01657407408</v>
      </c>
      <c r="Z23" s="140" t="s">
        <v>4082</v>
      </c>
      <c r="AA23" s="146">
        <v>2.0</v>
      </c>
      <c r="AB23" s="140"/>
      <c r="AC23" s="70" t="s">
        <v>6376</v>
      </c>
      <c r="AD23" s="148"/>
      <c r="AE23" s="70"/>
      <c r="AF23" s="146" t="str">
        <f t="shared" ref="AF23:AF32" si="2">IFERROR(
  IFS(
    AND(OR(AE23="Test",AE23="Chờ test",AE23="Test Review",AE23="Passed",AE23="Failed"), OR(E23="Game User Acquisition Intern",E23="Game Design Intern")), "Nhiên",
    AND(OR(AE23="Test",AE23="Chờ test",AE23="Test Review",AE23="Passed",AE23="Failed"), E23&lt;&gt;"Human Resources Intern", NOT(OR(E23="Game User Acquisition Intern",E23="Game Design Intern"))), "Quỳnh",
    AND(OR(AE23="Test",AE23="Chờ test",AE23="Test Review",AE23="Passed",AE23="Failed"), E23="Human Resources Intern"), "Chờ assign"
  ),
"")</f>
        <v/>
      </c>
      <c r="AG23" s="35"/>
      <c r="AH23" s="137"/>
      <c r="AI23" s="137"/>
      <c r="AJ23" s="137"/>
      <c r="AK23" s="137"/>
      <c r="AL23" s="137"/>
      <c r="AM23" s="137"/>
      <c r="AN23" s="137"/>
      <c r="AO23" s="137"/>
      <c r="AP23" s="137"/>
      <c r="AQ23" s="137"/>
      <c r="AR23" s="137"/>
      <c r="AS23" s="137"/>
      <c r="AT23" s="137"/>
      <c r="AU23" s="137"/>
      <c r="AV23" s="137"/>
      <c r="AW23" s="137"/>
      <c r="AX23" s="137"/>
      <c r="AY23" s="137"/>
      <c r="AZ23" s="137"/>
      <c r="BA23" s="137"/>
    </row>
    <row r="24" ht="17.25" hidden="1" customHeight="1">
      <c r="A24" s="35" t="s">
        <v>2705</v>
      </c>
      <c r="B24" s="132">
        <v>37901.0</v>
      </c>
      <c r="C24" s="35" t="s">
        <v>2706</v>
      </c>
      <c r="D24" s="133" t="s">
        <v>2707</v>
      </c>
      <c r="E24" s="35" t="s">
        <v>82</v>
      </c>
      <c r="F24" s="35" t="s">
        <v>62</v>
      </c>
      <c r="G24" s="35" t="s">
        <v>2708</v>
      </c>
      <c r="H24" s="35" t="s">
        <v>2709</v>
      </c>
      <c r="I24" s="35" t="s">
        <v>2281</v>
      </c>
      <c r="J24" s="35"/>
      <c r="K24" s="35" t="s">
        <v>103</v>
      </c>
      <c r="L24" s="35" t="s">
        <v>2710</v>
      </c>
      <c r="M24" s="134">
        <v>46005.0</v>
      </c>
      <c r="N24" s="133" t="s">
        <v>542</v>
      </c>
      <c r="O24" s="135" t="str">
        <f>HYPERLINK("https://api.typeform.com/responses/files/1e0b5c69bb915f4cef3e4d72ecaecb4698d8aecd476686304ca68c379973ff84/Transcript___Data_Analysis_Intern___Nguyễn_Thị_Ngọc_Minh.pdf")</f>
        <v>https://api.typeform.com/responses/files/1e0b5c69bb915f4cef3e4d72ecaecb4698d8aecd476686304ca68c379973ff84/Transcript___Data_Analysis_Intern___Nguyễn_Thị_Ngọc_Minh.pdf</v>
      </c>
      <c r="P24" s="35" t="b">
        <v>1</v>
      </c>
      <c r="Q24" s="43" t="s">
        <v>2711</v>
      </c>
      <c r="R24" s="35" t="s">
        <v>2712</v>
      </c>
      <c r="S24" s="35" t="s">
        <v>72</v>
      </c>
      <c r="T24" s="35" t="s">
        <v>72</v>
      </c>
      <c r="U24" s="35" t="s">
        <v>236</v>
      </c>
      <c r="V24" s="35"/>
      <c r="W24" s="35" t="s">
        <v>2713</v>
      </c>
      <c r="X24" s="135" t="str">
        <f>HYPERLINK("https://api.typeform.com/responses/files/21eab4ca6e6f047df38c831e8e8b2a517192f1c93a36847d3ca69549c5faacb1/CV___Data_Analysis_Intern___Nguyễn_Thị_Ngọc_Minh.pdf")</f>
        <v>https://api.typeform.com/responses/files/21eab4ca6e6f047df38c831e8e8b2a517192f1c93a36847d3ca69549c5faacb1/CV___Data_Analysis_Intern___Nguyễn_Thị_Ngọc_Minh.pdf</v>
      </c>
      <c r="Y24" s="136">
        <v>46139.32252314815</v>
      </c>
      <c r="Z24" s="35" t="s">
        <v>2714</v>
      </c>
      <c r="AA24" s="137">
        <v>2.0</v>
      </c>
      <c r="AB24" s="137" t="s">
        <v>93</v>
      </c>
      <c r="AC24" s="28" t="s">
        <v>6376</v>
      </c>
      <c r="AD24" s="27"/>
      <c r="AE24" s="28"/>
      <c r="AF24" s="137" t="str">
        <f t="shared" si="2"/>
        <v/>
      </c>
      <c r="AG24" s="35"/>
      <c r="AH24" s="137"/>
      <c r="AI24" s="137"/>
      <c r="AJ24" s="137"/>
      <c r="AK24" s="137"/>
      <c r="AL24" s="137"/>
      <c r="AM24" s="137"/>
      <c r="AN24" s="137"/>
      <c r="AO24" s="137"/>
      <c r="AP24" s="137"/>
      <c r="AQ24" s="137"/>
      <c r="AR24" s="137"/>
      <c r="AS24" s="137"/>
      <c r="AT24" s="137"/>
      <c r="AU24" s="137"/>
      <c r="AV24" s="137"/>
      <c r="AW24" s="137"/>
      <c r="AX24" s="137"/>
      <c r="AY24" s="137"/>
      <c r="AZ24" s="137"/>
      <c r="BA24" s="137"/>
    </row>
    <row r="25" ht="17.25" hidden="1" customHeight="1">
      <c r="A25" s="35" t="s">
        <v>1548</v>
      </c>
      <c r="B25" s="132">
        <v>38309.0</v>
      </c>
      <c r="C25" s="35" t="s">
        <v>1549</v>
      </c>
      <c r="D25" s="133" t="s">
        <v>1550</v>
      </c>
      <c r="E25" s="35" t="s">
        <v>61</v>
      </c>
      <c r="F25" s="35" t="s">
        <v>62</v>
      </c>
      <c r="G25" s="35" t="s">
        <v>1551</v>
      </c>
      <c r="H25" s="35" t="s">
        <v>1552</v>
      </c>
      <c r="I25" s="35" t="s">
        <v>130</v>
      </c>
      <c r="J25" s="35"/>
      <c r="K25" s="35" t="s">
        <v>67</v>
      </c>
      <c r="L25" s="35" t="s">
        <v>132</v>
      </c>
      <c r="M25" s="134">
        <v>46256.0</v>
      </c>
      <c r="N25" s="133" t="s">
        <v>1553</v>
      </c>
      <c r="O25" s="135" t="str">
        <f>HYPERLINK("https://api.typeform.com/responses/files/ab9413ff9c189224d30207d5eae81f03aeb358121e26dfd486f8535ad2171b5e/Transcript___Unity_Development_Intern___Nguyễn_Gia_Huy.pdf")</f>
        <v>https://api.typeform.com/responses/files/ab9413ff9c189224d30207d5eae81f03aeb358121e26dfd486f8535ad2171b5e/Transcript___Unity_Development_Intern___Nguyễn_Gia_Huy.pdf</v>
      </c>
      <c r="P25" s="35" t="b">
        <v>1</v>
      </c>
      <c r="Q25" s="43" t="s">
        <v>1554</v>
      </c>
      <c r="R25" s="35" t="s">
        <v>1555</v>
      </c>
      <c r="S25" s="35" t="s">
        <v>72</v>
      </c>
      <c r="T25" s="35" t="s">
        <v>72</v>
      </c>
      <c r="U25" s="35" t="s">
        <v>1556</v>
      </c>
      <c r="V25" s="35"/>
      <c r="W25" s="35" t="s">
        <v>1557</v>
      </c>
      <c r="X25" s="135" t="str">
        <f>HYPERLINK("https://api.typeform.com/responses/files/18f1a5b8965e8431845ae05ef68b8e8e8bdf9f72c9b3c1124666baeae56e8182/CV___Unity_Developmet_Intern___Nguyễn_Gia_Huy.pdf")</f>
        <v>https://api.typeform.com/responses/files/18f1a5b8965e8431845ae05ef68b8e8e8bdf9f72c9b3c1124666baeae56e8182/CV___Unity_Developmet_Intern___Nguyễn_Gia_Huy.pdf</v>
      </c>
      <c r="Y25" s="136">
        <v>46135.75787037037</v>
      </c>
      <c r="Z25" s="35" t="s">
        <v>1558</v>
      </c>
      <c r="AA25" s="137">
        <v>2.0</v>
      </c>
      <c r="AB25" s="137" t="s">
        <v>93</v>
      </c>
      <c r="AC25" s="28" t="s">
        <v>6376</v>
      </c>
      <c r="AD25" s="27"/>
      <c r="AE25" s="28"/>
      <c r="AF25" s="137" t="str">
        <f t="shared" si="2"/>
        <v/>
      </c>
      <c r="AG25" s="35"/>
      <c r="AH25" s="137"/>
      <c r="AI25" s="137"/>
      <c r="AJ25" s="137"/>
      <c r="AK25" s="137"/>
      <c r="AL25" s="137"/>
      <c r="AM25" s="137"/>
      <c r="AN25" s="137"/>
      <c r="AO25" s="137"/>
      <c r="AP25" s="137"/>
      <c r="AQ25" s="137"/>
      <c r="AR25" s="137"/>
      <c r="AS25" s="137"/>
      <c r="AT25" s="137"/>
      <c r="AU25" s="137"/>
      <c r="AV25" s="137"/>
      <c r="AW25" s="137"/>
      <c r="AX25" s="137"/>
      <c r="AY25" s="137"/>
      <c r="AZ25" s="137"/>
      <c r="BA25" s="137"/>
    </row>
    <row r="26" ht="17.25" hidden="1" customHeight="1">
      <c r="A26" s="35" t="s">
        <v>3063</v>
      </c>
      <c r="B26" s="132">
        <v>38594.0</v>
      </c>
      <c r="C26" s="35" t="s">
        <v>3064</v>
      </c>
      <c r="D26" s="133" t="s">
        <v>3065</v>
      </c>
      <c r="E26" s="159" t="s">
        <v>82</v>
      </c>
      <c r="F26" s="35" t="s">
        <v>82</v>
      </c>
      <c r="G26" s="35" t="s">
        <v>3066</v>
      </c>
      <c r="H26" s="35" t="s">
        <v>3067</v>
      </c>
      <c r="I26" s="35" t="s">
        <v>326</v>
      </c>
      <c r="J26" s="35"/>
      <c r="K26" s="35" t="s">
        <v>219</v>
      </c>
      <c r="L26" s="35" t="s">
        <v>384</v>
      </c>
      <c r="M26" s="134">
        <v>46631.0</v>
      </c>
      <c r="N26" s="133" t="s">
        <v>3068</v>
      </c>
      <c r="O26" s="135" t="str">
        <f>HYPERLINK("https://api.typeform.com/responses/files/0178355bda90ffad9ca953a4b6eb9e17fc24b31cbf585257cc87e2bf3247e164/Transcript___AI_Engineer_Intern___Nguyễn_Đồng_Thanh.png")</f>
        <v>https://api.typeform.com/responses/files/0178355bda90ffad9ca953a4b6eb9e17fc24b31cbf585257cc87e2bf3247e164/Transcript___AI_Engineer_Intern___Nguyễn_Đồng_Thanh.png</v>
      </c>
      <c r="P26" s="35" t="b">
        <v>0</v>
      </c>
      <c r="Q26" s="35" t="s">
        <v>3069</v>
      </c>
      <c r="R26" s="35" t="s">
        <v>3070</v>
      </c>
      <c r="S26" s="35" t="s">
        <v>72</v>
      </c>
      <c r="T26" s="35" t="s">
        <v>72</v>
      </c>
      <c r="U26" s="138" t="s">
        <v>73</v>
      </c>
      <c r="V26" s="35"/>
      <c r="W26" s="35" t="s">
        <v>3071</v>
      </c>
      <c r="X26" s="135" t="str">
        <f>HYPERLINK("https://api.typeform.com/responses/files/25ab38e23037137bc16de3dd62334bf293e04a363954386779d6d0c26fdeddd8/CV___AI_Engineer_Intern___Nguyễn_Đồng_Thanh.pdf")</f>
        <v>https://api.typeform.com/responses/files/25ab38e23037137bc16de3dd62334bf293e04a363954386779d6d0c26fdeddd8/CV___AI_Engineer_Intern___Nguyễn_Đồng_Thanh.pdf</v>
      </c>
      <c r="Y26" s="136">
        <v>46140.08491898148</v>
      </c>
      <c r="Z26" s="35" t="s">
        <v>3072</v>
      </c>
      <c r="AA26" s="137">
        <v>2.0</v>
      </c>
      <c r="AB26" s="139" t="s">
        <v>6381</v>
      </c>
      <c r="AC26" s="28" t="s">
        <v>6377</v>
      </c>
      <c r="AD26" s="160" t="s">
        <v>6496</v>
      </c>
      <c r="AE26" s="28" t="s">
        <v>6403</v>
      </c>
      <c r="AF26" s="137" t="str">
        <f t="shared" si="2"/>
        <v>Quỳnh</v>
      </c>
      <c r="AG26" s="35"/>
      <c r="AH26" s="137"/>
      <c r="AI26" s="137"/>
      <c r="AJ26" s="137"/>
      <c r="AK26" s="137"/>
      <c r="AL26" s="137"/>
      <c r="AM26" s="137"/>
      <c r="AN26" s="137"/>
      <c r="AO26" s="137"/>
      <c r="AP26" s="137"/>
      <c r="AQ26" s="137"/>
      <c r="AR26" s="137"/>
      <c r="AS26" s="137"/>
      <c r="AT26" s="137"/>
      <c r="AU26" s="137"/>
      <c r="AV26" s="137"/>
      <c r="AW26" s="137"/>
      <c r="AX26" s="137"/>
      <c r="AY26" s="137"/>
      <c r="AZ26" s="137"/>
      <c r="BA26" s="137"/>
    </row>
    <row r="27" ht="17.25" hidden="1" customHeight="1">
      <c r="A27" s="35" t="s">
        <v>1569</v>
      </c>
      <c r="B27" s="132">
        <v>37503.0</v>
      </c>
      <c r="C27" s="35" t="s">
        <v>1570</v>
      </c>
      <c r="D27" s="133" t="s">
        <v>1571</v>
      </c>
      <c r="E27" s="35" t="s">
        <v>127</v>
      </c>
      <c r="F27" s="35" t="s">
        <v>61</v>
      </c>
      <c r="G27" s="35" t="s">
        <v>1572</v>
      </c>
      <c r="H27" s="35" t="s">
        <v>1573</v>
      </c>
      <c r="I27" s="35" t="s">
        <v>326</v>
      </c>
      <c r="J27" s="35"/>
      <c r="K27" s="35" t="s">
        <v>103</v>
      </c>
      <c r="L27" s="35" t="s">
        <v>941</v>
      </c>
      <c r="M27" s="134">
        <v>45820.0</v>
      </c>
      <c r="N27" s="133" t="s">
        <v>147</v>
      </c>
      <c r="O27" s="135" t="str">
        <f>HYPERLINK("https://api.typeform.com/responses/files/75cbc0bc41d09a0f4a4a54fef7cbc14bdaed981d5e49a83d6fe55d6e296accb0/Transcript___Game_QA_Intern___Trần_Xuân_Lộc.pdf")</f>
        <v>https://api.typeform.com/responses/files/75cbc0bc41d09a0f4a4a54fef7cbc14bdaed981d5e49a83d6fe55d6e296accb0/Transcript___Game_QA_Intern___Trần_Xuân_Lộc.pdf</v>
      </c>
      <c r="P27" s="35" t="b">
        <v>1</v>
      </c>
      <c r="Q27" s="43" t="s">
        <v>1574</v>
      </c>
      <c r="R27" s="35" t="s">
        <v>1575</v>
      </c>
      <c r="S27" s="35" t="s">
        <v>72</v>
      </c>
      <c r="T27" s="35" t="s">
        <v>72</v>
      </c>
      <c r="U27" s="35" t="s">
        <v>73</v>
      </c>
      <c r="V27" s="35"/>
      <c r="W27" s="35" t="s">
        <v>1576</v>
      </c>
      <c r="X27" s="135" t="str">
        <f>HYPERLINK("https://api.typeform.com/responses/files/cb63645e800d86e6294ee66d856b27e6071d32ed4ec002ba4be943bb46c8ea4f/CV___Game_QA_Intern___Trần_Xuân_Lộc.pdf")</f>
        <v>https://api.typeform.com/responses/files/cb63645e800d86e6294ee66d856b27e6071d32ed4ec002ba4be943bb46c8ea4f/CV___Game_QA_Intern___Trần_Xuân_Lộc.pdf</v>
      </c>
      <c r="Y27" s="136">
        <v>46135.782847222225</v>
      </c>
      <c r="Z27" s="35" t="s">
        <v>1577</v>
      </c>
      <c r="AA27" s="137">
        <v>2.0</v>
      </c>
      <c r="AB27" s="137" t="s">
        <v>93</v>
      </c>
      <c r="AC27" s="28" t="s">
        <v>6388</v>
      </c>
      <c r="AD27" s="28" t="s">
        <v>6497</v>
      </c>
      <c r="AE27" s="28"/>
      <c r="AF27" s="137" t="str">
        <f t="shared" si="2"/>
        <v/>
      </c>
      <c r="AG27" s="35"/>
      <c r="AH27" s="137"/>
      <c r="AI27" s="137"/>
      <c r="AJ27" s="137"/>
      <c r="AK27" s="137"/>
      <c r="AL27" s="137"/>
      <c r="AM27" s="137"/>
      <c r="AN27" s="137"/>
      <c r="AO27" s="137"/>
      <c r="AP27" s="137"/>
      <c r="AQ27" s="137"/>
      <c r="AR27" s="137"/>
      <c r="AS27" s="137"/>
      <c r="AT27" s="137"/>
      <c r="AU27" s="137"/>
      <c r="AV27" s="137"/>
      <c r="AW27" s="137"/>
      <c r="AX27" s="137"/>
      <c r="AY27" s="137"/>
      <c r="AZ27" s="137"/>
      <c r="BA27" s="137"/>
    </row>
    <row r="28" ht="17.25" hidden="1" customHeight="1">
      <c r="A28" s="35" t="s">
        <v>3919</v>
      </c>
      <c r="B28" s="132">
        <v>37801.0</v>
      </c>
      <c r="C28" s="35" t="s">
        <v>3920</v>
      </c>
      <c r="D28" s="133" t="s">
        <v>3921</v>
      </c>
      <c r="E28" s="35" t="s">
        <v>62</v>
      </c>
      <c r="F28" s="35" t="s">
        <v>62</v>
      </c>
      <c r="G28" s="35" t="s">
        <v>3922</v>
      </c>
      <c r="H28" s="35" t="s">
        <v>3923</v>
      </c>
      <c r="I28" s="35" t="s">
        <v>326</v>
      </c>
      <c r="J28" s="35"/>
      <c r="K28" s="35" t="s">
        <v>103</v>
      </c>
      <c r="L28" s="35" t="s">
        <v>412</v>
      </c>
      <c r="M28" s="134">
        <v>46202.0</v>
      </c>
      <c r="N28" s="133" t="s">
        <v>2503</v>
      </c>
      <c r="O28" s="135" t="str">
        <f>HYPERLINK("https://api.typeform.com/responses/files/b11b18c345840677e79ac926e2a55d8d64aa18aff3ad7c6127858f7f673507bb/Transcript___AI_Engineering_Intern___Nguyễn_Văn_Trí.pdf")</f>
        <v>https://api.typeform.com/responses/files/b11b18c345840677e79ac926e2a55d8d64aa18aff3ad7c6127858f7f673507bb/Transcript___AI_Engineering_Intern___Nguyễn_Văn_Trí.pdf</v>
      </c>
      <c r="P28" s="35" t="b">
        <v>1</v>
      </c>
      <c r="Q28" s="35" t="s">
        <v>3924</v>
      </c>
      <c r="R28" s="35" t="s">
        <v>3925</v>
      </c>
      <c r="S28" s="35" t="s">
        <v>72</v>
      </c>
      <c r="T28" s="35" t="s">
        <v>72</v>
      </c>
      <c r="U28" s="138" t="s">
        <v>90</v>
      </c>
      <c r="V28" s="35"/>
      <c r="W28" s="35"/>
      <c r="X28" s="135" t="str">
        <f>HYPERLINK("https://api.typeform.com/responses/files/2393332c90925568a8fcd106144d3847442b182e9d912b46525fb045ec343e8b/CV___AI_Engineering_Intern___Nguyễn_Văn_Trí.pdf")</f>
        <v>https://api.typeform.com/responses/files/2393332c90925568a8fcd106144d3847442b182e9d912b46525fb045ec343e8b/CV___AI_Engineering_Intern___Nguyễn_Văn_Trí.pdf</v>
      </c>
      <c r="Y28" s="136">
        <v>46141.44351851852</v>
      </c>
      <c r="Z28" s="35" t="s">
        <v>3926</v>
      </c>
      <c r="AA28" s="137">
        <v>2.0</v>
      </c>
      <c r="AB28" s="139" t="s">
        <v>6381</v>
      </c>
      <c r="AC28" s="28" t="s">
        <v>6376</v>
      </c>
      <c r="AD28" s="28" t="s">
        <v>6410</v>
      </c>
      <c r="AE28" s="28"/>
      <c r="AF28" s="137" t="str">
        <f t="shared" si="2"/>
        <v/>
      </c>
      <c r="AG28" s="149"/>
      <c r="AH28" s="156"/>
      <c r="AI28" s="156"/>
      <c r="AJ28" s="156"/>
      <c r="AK28" s="156"/>
      <c r="AL28" s="156"/>
      <c r="AM28" s="156"/>
      <c r="AN28" s="156"/>
      <c r="AO28" s="156"/>
      <c r="AP28" s="156"/>
      <c r="AQ28" s="156"/>
      <c r="AR28" s="156"/>
      <c r="AS28" s="156"/>
      <c r="AT28" s="156"/>
      <c r="AU28" s="156"/>
      <c r="AV28" s="156"/>
      <c r="AW28" s="156"/>
      <c r="AX28" s="156"/>
      <c r="AY28" s="156"/>
      <c r="AZ28" s="156"/>
      <c r="BA28" s="156"/>
    </row>
    <row r="29" ht="17.25" hidden="1" customHeight="1">
      <c r="A29" s="35" t="s">
        <v>1588</v>
      </c>
      <c r="B29" s="132">
        <v>38389.0</v>
      </c>
      <c r="C29" s="35" t="s">
        <v>1589</v>
      </c>
      <c r="D29" s="133" t="s">
        <v>1590</v>
      </c>
      <c r="E29" s="35" t="s">
        <v>61</v>
      </c>
      <c r="F29" s="35" t="s">
        <v>127</v>
      </c>
      <c r="G29" s="35" t="s">
        <v>1591</v>
      </c>
      <c r="H29" s="35" t="s">
        <v>1592</v>
      </c>
      <c r="I29" s="35" t="s">
        <v>715</v>
      </c>
      <c r="J29" s="35"/>
      <c r="K29" s="35" t="s">
        <v>219</v>
      </c>
      <c r="L29" s="35" t="s">
        <v>930</v>
      </c>
      <c r="M29" s="134">
        <v>46507.0</v>
      </c>
      <c r="N29" s="133" t="s">
        <v>602</v>
      </c>
      <c r="O29" s="135" t="str">
        <f>HYPERLINK("https://api.typeform.com/responses/files/9ab689d81a6526d051058a5624797bfe005d9bf1a332091f9d67641a52859de8/Transcript___Unity_Development_Intern___Lê_Trọng_Thiện.pdf")</f>
        <v>https://api.typeform.com/responses/files/9ab689d81a6526d051058a5624797bfe005d9bf1a332091f9d67641a52859de8/Transcript___Unity_Development_Intern___Lê_Trọng_Thiện.pdf</v>
      </c>
      <c r="P29" s="35" t="b">
        <v>0</v>
      </c>
      <c r="Q29" s="43" t="s">
        <v>268</v>
      </c>
      <c r="R29" s="35" t="s">
        <v>1593</v>
      </c>
      <c r="S29" s="35" t="s">
        <v>72</v>
      </c>
      <c r="T29" s="35" t="s">
        <v>72</v>
      </c>
      <c r="U29" s="35" t="s">
        <v>269</v>
      </c>
      <c r="V29" s="35"/>
      <c r="W29" s="35"/>
      <c r="X29" s="135" t="str">
        <f>HYPERLINK("https://api.typeform.com/responses/files/6bbcf7fa805bde1e13fac793f8f3d11287b529e5ac038ece7c108d7ae5f9be49/CV___Unity_Development_Intern___Lê_Trọng_Thiện.pdf")</f>
        <v>https://api.typeform.com/responses/files/6bbcf7fa805bde1e13fac793f8f3d11287b529e5ac038ece7c108d7ae5f9be49/CV___Unity_Development_Intern___Lê_Trọng_Thiện.pdf</v>
      </c>
      <c r="Y29" s="136">
        <v>46135.84476851852</v>
      </c>
      <c r="Z29" s="35" t="s">
        <v>1594</v>
      </c>
      <c r="AA29" s="137">
        <v>2.0</v>
      </c>
      <c r="AB29" s="137" t="s">
        <v>93</v>
      </c>
      <c r="AC29" s="28" t="s">
        <v>6376</v>
      </c>
      <c r="AD29" s="27"/>
      <c r="AE29" s="28"/>
      <c r="AF29" s="137" t="str">
        <f t="shared" si="2"/>
        <v/>
      </c>
      <c r="AG29" s="35"/>
      <c r="AH29" s="137"/>
      <c r="AI29" s="137"/>
      <c r="AJ29" s="137"/>
      <c r="AK29" s="137"/>
      <c r="AL29" s="137"/>
      <c r="AM29" s="137"/>
      <c r="AN29" s="137"/>
      <c r="AO29" s="137"/>
      <c r="AP29" s="137"/>
      <c r="AQ29" s="137"/>
      <c r="AR29" s="137"/>
      <c r="AS29" s="137"/>
      <c r="AT29" s="137"/>
      <c r="AU29" s="137"/>
      <c r="AV29" s="137"/>
      <c r="AW29" s="137"/>
      <c r="AX29" s="137"/>
      <c r="AY29" s="137"/>
      <c r="AZ29" s="137"/>
      <c r="BA29" s="137"/>
    </row>
    <row r="30" ht="17.25" hidden="1" customHeight="1">
      <c r="A30" s="140" t="s">
        <v>1595</v>
      </c>
      <c r="B30" s="141">
        <v>38557.0</v>
      </c>
      <c r="C30" s="140" t="s">
        <v>1596</v>
      </c>
      <c r="D30" s="142" t="s">
        <v>1597</v>
      </c>
      <c r="E30" s="140" t="s">
        <v>774</v>
      </c>
      <c r="F30" s="140"/>
      <c r="G30" s="140" t="s">
        <v>1598</v>
      </c>
      <c r="H30" s="140" t="s">
        <v>1599</v>
      </c>
      <c r="I30" s="140" t="s">
        <v>65</v>
      </c>
      <c r="J30" s="140" t="s">
        <v>1600</v>
      </c>
      <c r="K30" s="140" t="s">
        <v>219</v>
      </c>
      <c r="L30" s="140" t="s">
        <v>1348</v>
      </c>
      <c r="M30" s="143">
        <v>46752.0</v>
      </c>
      <c r="N30" s="142" t="s">
        <v>1601</v>
      </c>
      <c r="O30" s="144" t="str">
        <f>HYPERLINK("https://api.typeform.com/responses/files/bf34bc1232b3493200bbba5149887984f94c05a7daacd43efbddaea1a36d5a9f/Transcript___UA_Marketing___Nguyễn_Hoàng_Minh.pdf")</f>
        <v>https://api.typeform.com/responses/files/bf34bc1232b3493200bbba5149887984f94c05a7daacd43efbddaea1a36d5a9f/Transcript___UA_Marketing___Nguyễn_Hoàng_Minh.pdf</v>
      </c>
      <c r="P30" s="140" t="b">
        <v>1</v>
      </c>
      <c r="Q30" s="161" t="s">
        <v>1602</v>
      </c>
      <c r="R30" s="140" t="s">
        <v>1603</v>
      </c>
      <c r="S30" s="140" t="s">
        <v>72</v>
      </c>
      <c r="T30" s="140" t="s">
        <v>72</v>
      </c>
      <c r="U30" s="140" t="s">
        <v>73</v>
      </c>
      <c r="V30" s="140"/>
      <c r="W30" s="140"/>
      <c r="X30" s="144" t="str">
        <f>HYPERLINK("https://api.typeform.com/responses/files/64a2560b044836b404a193ed5e753735fc8cb52361273c613a5bde0f457587ae/Transcript___UA_Marketing___Nguyễn_Hoàng_Minh.pdf")</f>
        <v>https://api.typeform.com/responses/files/64a2560b044836b404a193ed5e753735fc8cb52361273c613a5bde0f457587ae/Transcript___UA_Marketing___Nguyễn_Hoàng_Minh.pdf</v>
      </c>
      <c r="Y30" s="145">
        <v>46136.02017361111</v>
      </c>
      <c r="Z30" s="140" t="s">
        <v>1604</v>
      </c>
      <c r="AA30" s="146">
        <v>2.0</v>
      </c>
      <c r="AB30" s="146"/>
      <c r="AC30" s="70" t="s">
        <v>6376</v>
      </c>
      <c r="AD30" s="148"/>
      <c r="AE30" s="70"/>
      <c r="AF30" s="137" t="str">
        <f t="shared" si="2"/>
        <v/>
      </c>
      <c r="AG30" s="140"/>
      <c r="AH30" s="146"/>
      <c r="AI30" s="146"/>
      <c r="AJ30" s="146"/>
      <c r="AK30" s="146"/>
      <c r="AL30" s="146"/>
      <c r="AM30" s="146"/>
      <c r="AN30" s="146"/>
      <c r="AO30" s="146"/>
      <c r="AP30" s="146"/>
      <c r="AQ30" s="146"/>
      <c r="AR30" s="146"/>
      <c r="AS30" s="146"/>
      <c r="AT30" s="146"/>
      <c r="AU30" s="146"/>
      <c r="AV30" s="146"/>
      <c r="AW30" s="146"/>
      <c r="AX30" s="146"/>
      <c r="AY30" s="146"/>
      <c r="AZ30" s="146"/>
      <c r="BA30" s="146"/>
    </row>
    <row r="31" ht="17.25" hidden="1" customHeight="1">
      <c r="A31" s="140" t="s">
        <v>3954</v>
      </c>
      <c r="B31" s="141">
        <v>38530.0</v>
      </c>
      <c r="C31" s="140" t="s">
        <v>3955</v>
      </c>
      <c r="D31" s="142" t="s">
        <v>3956</v>
      </c>
      <c r="E31" s="140" t="s">
        <v>62</v>
      </c>
      <c r="F31" s="140" t="s">
        <v>62</v>
      </c>
      <c r="G31" s="140" t="s">
        <v>3957</v>
      </c>
      <c r="H31" s="140" t="s">
        <v>3958</v>
      </c>
      <c r="I31" s="140" t="s">
        <v>715</v>
      </c>
      <c r="J31" s="140"/>
      <c r="K31" s="140" t="s">
        <v>219</v>
      </c>
      <c r="L31" s="140" t="s">
        <v>930</v>
      </c>
      <c r="M31" s="143">
        <v>46680.0</v>
      </c>
      <c r="N31" s="142" t="s">
        <v>3959</v>
      </c>
      <c r="O31" s="144" t="str">
        <f>HYPERLINK("https://api.typeform.com/responses/files/ee860ca48d9683da61b7aa8fbf68cbac7ae049de7ec2906f07c6ef1229259f0c/Transcript___AI_Engineering_Intern___Phạm_Hồng_Nhân.pdf")</f>
        <v>https://api.typeform.com/responses/files/ee860ca48d9683da61b7aa8fbf68cbac7ae049de7ec2906f07c6ef1229259f0c/Transcript___AI_Engineering_Intern___Phạm_Hồng_Nhân.pdf</v>
      </c>
      <c r="P31" s="140" t="b">
        <v>0</v>
      </c>
      <c r="Q31" s="140" t="s">
        <v>3960</v>
      </c>
      <c r="R31" s="140" t="s">
        <v>3961</v>
      </c>
      <c r="S31" s="140" t="s">
        <v>72</v>
      </c>
      <c r="T31" s="140" t="s">
        <v>72</v>
      </c>
      <c r="U31" s="140" t="s">
        <v>3962</v>
      </c>
      <c r="V31" s="140"/>
      <c r="W31" s="140"/>
      <c r="X31" s="144" t="str">
        <f>HYPERLINK("https://api.typeform.com/responses/files/d817dd14c9201142cf9bd328a3e0f1b7ef9ffc9f4ebb9e0adac406a9b4135390/CV___AI_Engineering_Intern___Phạm_Hồng_Nhân.pdf")</f>
        <v>https://api.typeform.com/responses/files/d817dd14c9201142cf9bd328a3e0f1b7ef9ffc9f4ebb9e0adac406a9b4135390/CV___AI_Engineering_Intern___Phạm_Hồng_Nhân.pdf</v>
      </c>
      <c r="Y31" s="145">
        <v>46141.5434375</v>
      </c>
      <c r="Z31" s="140" t="s">
        <v>3963</v>
      </c>
      <c r="AA31" s="146">
        <v>2.0</v>
      </c>
      <c r="AB31" s="147" t="s">
        <v>6381</v>
      </c>
      <c r="AC31" s="70" t="s">
        <v>6376</v>
      </c>
      <c r="AD31" s="148"/>
      <c r="AE31" s="70"/>
      <c r="AF31" s="146" t="str">
        <f t="shared" si="2"/>
        <v/>
      </c>
      <c r="AG31" s="140"/>
      <c r="AH31" s="146"/>
      <c r="AI31" s="146"/>
      <c r="AJ31" s="146"/>
      <c r="AK31" s="146"/>
      <c r="AL31" s="146"/>
      <c r="AM31" s="146"/>
      <c r="AN31" s="146"/>
      <c r="AO31" s="146"/>
      <c r="AP31" s="146"/>
      <c r="AQ31" s="146"/>
      <c r="AR31" s="146"/>
      <c r="AS31" s="146"/>
      <c r="AT31" s="146"/>
      <c r="AU31" s="146"/>
      <c r="AV31" s="146"/>
      <c r="AW31" s="146"/>
      <c r="AX31" s="146"/>
      <c r="AY31" s="146"/>
      <c r="AZ31" s="146"/>
      <c r="BA31" s="146"/>
    </row>
    <row r="32" ht="17.25" hidden="1" customHeight="1">
      <c r="A32" s="140" t="s">
        <v>2485</v>
      </c>
      <c r="B32" s="141">
        <v>38230.0</v>
      </c>
      <c r="C32" s="140" t="s">
        <v>2486</v>
      </c>
      <c r="D32" s="142" t="s">
        <v>2487</v>
      </c>
      <c r="E32" s="140" t="s">
        <v>62</v>
      </c>
      <c r="F32" s="140" t="s">
        <v>82</v>
      </c>
      <c r="G32" s="140" t="s">
        <v>2488</v>
      </c>
      <c r="H32" s="140" t="s">
        <v>2489</v>
      </c>
      <c r="I32" s="140" t="s">
        <v>65</v>
      </c>
      <c r="J32" s="140" t="s">
        <v>2490</v>
      </c>
      <c r="K32" s="140" t="s">
        <v>103</v>
      </c>
      <c r="L32" s="140" t="s">
        <v>2491</v>
      </c>
      <c r="M32" s="143">
        <v>46118.0</v>
      </c>
      <c r="N32" s="142" t="s">
        <v>2492</v>
      </c>
      <c r="O32" s="144" t="str">
        <f>HYPERLINK("https://api.typeform.com/responses/files/bb788f3bf50b366e0465dd44960796f637a34cf190603d4d467bed2a7653bd26/Transcript_AI_Engineer_Intern_TranGiaHy.pdf")</f>
        <v>https://api.typeform.com/responses/files/bb788f3bf50b366e0465dd44960796f637a34cf190603d4d467bed2a7653bd26/Transcript_AI_Engineer_Intern_TranGiaHy.pdf</v>
      </c>
      <c r="P32" s="140" t="b">
        <v>1</v>
      </c>
      <c r="Q32" s="161" t="s">
        <v>2493</v>
      </c>
      <c r="R32" s="140" t="s">
        <v>2494</v>
      </c>
      <c r="S32" s="140" t="s">
        <v>72</v>
      </c>
      <c r="T32" s="140" t="s">
        <v>72</v>
      </c>
      <c r="U32" s="140" t="s">
        <v>236</v>
      </c>
      <c r="V32" s="140"/>
      <c r="W32" s="140" t="s">
        <v>2495</v>
      </c>
      <c r="X32" s="144" t="str">
        <f>HYPERLINK("https://api.typeform.com/responses/files/3c7c11e92b5df2357cdae867f6469a6e2aabaa06c8c59f714c0210e5d9511ad2/CV_AI_Engineer_Intern_TranGiaHy.pdf")</f>
        <v>https://api.typeform.com/responses/files/3c7c11e92b5df2357cdae867f6469a6e2aabaa06c8c59f714c0210e5d9511ad2/CV_AI_Engineer_Intern_TranGiaHy.pdf</v>
      </c>
      <c r="Y32" s="145">
        <v>46138.29846064815</v>
      </c>
      <c r="Z32" s="140" t="s">
        <v>2496</v>
      </c>
      <c r="AA32" s="146">
        <v>2.0</v>
      </c>
      <c r="AB32" s="147" t="s">
        <v>6381</v>
      </c>
      <c r="AC32" s="70" t="s">
        <v>6376</v>
      </c>
      <c r="AD32" s="148"/>
      <c r="AE32" s="70"/>
      <c r="AF32" s="146" t="str">
        <f t="shared" si="2"/>
        <v/>
      </c>
      <c r="AG32" s="140"/>
      <c r="AH32" s="146"/>
      <c r="AI32" s="146"/>
      <c r="AJ32" s="146"/>
      <c r="AK32" s="146"/>
      <c r="AL32" s="146"/>
      <c r="AM32" s="146"/>
      <c r="AN32" s="146"/>
      <c r="AO32" s="146"/>
      <c r="AP32" s="146"/>
      <c r="AQ32" s="146"/>
      <c r="AR32" s="146"/>
      <c r="AS32" s="146"/>
      <c r="AT32" s="146"/>
      <c r="AU32" s="146"/>
      <c r="AV32" s="146"/>
      <c r="AW32" s="146"/>
      <c r="AX32" s="146"/>
      <c r="AY32" s="146"/>
      <c r="AZ32" s="146"/>
      <c r="BA32" s="146"/>
    </row>
    <row r="33" ht="17.25" customHeight="1">
      <c r="A33" s="35" t="s">
        <v>1625</v>
      </c>
      <c r="B33" s="132">
        <v>38123.0</v>
      </c>
      <c r="C33" s="35" t="s">
        <v>1626</v>
      </c>
      <c r="D33" s="133" t="s">
        <v>1627</v>
      </c>
      <c r="E33" s="35" t="s">
        <v>633</v>
      </c>
      <c r="F33" s="35" t="s">
        <v>633</v>
      </c>
      <c r="G33" s="35" t="s">
        <v>1628</v>
      </c>
      <c r="H33" s="35" t="s">
        <v>1629</v>
      </c>
      <c r="I33" s="35" t="s">
        <v>244</v>
      </c>
      <c r="J33" s="35"/>
      <c r="K33" s="35" t="s">
        <v>67</v>
      </c>
      <c r="L33" s="35" t="s">
        <v>1630</v>
      </c>
      <c r="M33" s="134">
        <v>46172.0</v>
      </c>
      <c r="N33" s="133" t="s">
        <v>890</v>
      </c>
      <c r="O33" s="135" t="str">
        <f>HYPERLINK("https://api.typeform.com/responses/files/25afaa42268e83793c46a32f43a66f83fb94c98cfe4753b6b55616a50fa9b1f3/Transcript___HR_Intern___Lương_Nguyệt_Thuý.PNG")</f>
        <v>https://api.typeform.com/responses/files/25afaa42268e83793c46a32f43a66f83fb94c98cfe4753b6b55616a50fa9b1f3/Transcript___HR_Intern___Lương_Nguyệt_Thuý.PNG</v>
      </c>
      <c r="P33" s="35" t="b">
        <v>0</v>
      </c>
      <c r="Q33" s="43" t="s">
        <v>375</v>
      </c>
      <c r="R33" s="35" t="s">
        <v>1631</v>
      </c>
      <c r="S33" s="35" t="s">
        <v>72</v>
      </c>
      <c r="T33" s="35" t="s">
        <v>72</v>
      </c>
      <c r="U33" s="35" t="s">
        <v>1632</v>
      </c>
      <c r="V33" s="35"/>
      <c r="W33" s="35" t="s">
        <v>1633</v>
      </c>
      <c r="X33" s="135" t="str">
        <f>HYPERLINK("https://api.typeform.com/responses/files/6bd3714e7b6965587c535bc2fe4ab68546cec9a70f734546cbf3099daab383e0/CV_LUONG_NGUYET_THUY.pdf")</f>
        <v>https://api.typeform.com/responses/files/6bd3714e7b6965587c535bc2fe4ab68546cec9a70f734546cbf3099daab383e0/CV_LUONG_NGUYET_THUY.pdf</v>
      </c>
      <c r="Y33" s="136">
        <v>46136.0815162037</v>
      </c>
      <c r="Z33" s="35" t="s">
        <v>1634</v>
      </c>
      <c r="AA33" s="137">
        <v>2.0</v>
      </c>
      <c r="AB33" s="137" t="s">
        <v>6424</v>
      </c>
      <c r="AC33" s="28" t="s">
        <v>6377</v>
      </c>
      <c r="AD33" s="27"/>
      <c r="AE33" s="28" t="s">
        <v>6397</v>
      </c>
      <c r="AF33" s="137" t="s">
        <v>93</v>
      </c>
      <c r="AG33" s="35"/>
      <c r="AH33" s="137"/>
      <c r="AI33" s="137"/>
      <c r="AJ33" s="137"/>
      <c r="AK33" s="137"/>
      <c r="AL33" s="137"/>
      <c r="AM33" s="137"/>
      <c r="AN33" s="137"/>
      <c r="AO33" s="137"/>
      <c r="AP33" s="137"/>
      <c r="AQ33" s="137"/>
      <c r="AR33" s="137"/>
      <c r="AS33" s="137"/>
      <c r="AT33" s="137"/>
      <c r="AU33" s="137"/>
      <c r="AV33" s="137"/>
      <c r="AW33" s="137"/>
      <c r="AX33" s="137"/>
      <c r="AY33" s="137"/>
      <c r="AZ33" s="137"/>
      <c r="BA33" s="137"/>
    </row>
    <row r="34" ht="17.25" hidden="1" customHeight="1">
      <c r="A34" s="35" t="s">
        <v>1635</v>
      </c>
      <c r="B34" s="132">
        <v>38709.0</v>
      </c>
      <c r="C34" s="35" t="s">
        <v>1636</v>
      </c>
      <c r="D34" s="133" t="s">
        <v>1637</v>
      </c>
      <c r="E34" s="35" t="s">
        <v>633</v>
      </c>
      <c r="F34" s="35" t="s">
        <v>774</v>
      </c>
      <c r="G34" s="35" t="s">
        <v>1638</v>
      </c>
      <c r="H34" s="35" t="s">
        <v>1639</v>
      </c>
      <c r="I34" s="35" t="s">
        <v>842</v>
      </c>
      <c r="J34" s="35"/>
      <c r="K34" s="35" t="s">
        <v>219</v>
      </c>
      <c r="L34" s="35" t="s">
        <v>684</v>
      </c>
      <c r="M34" s="134">
        <v>46388.0</v>
      </c>
      <c r="N34" s="133" t="s">
        <v>890</v>
      </c>
      <c r="O34" s="135" t="str">
        <f>HYPERLINK("https://api.typeform.com/responses/files/65277d9e9a53570364314c6c8da69772882ab82a0f5c61c2d06b3dabece5c9ae/Transcript___Human_Resources_Intern___Hoàng_Kim_Tùng.pdf")</f>
        <v>https://api.typeform.com/responses/files/65277d9e9a53570364314c6c8da69772882ab82a0f5c61c2d06b3dabece5c9ae/Transcript___Human_Resources_Intern___Hoàng_Kim_Tùng.pdf</v>
      </c>
      <c r="P34" s="35" t="b">
        <v>0</v>
      </c>
      <c r="Q34" s="43" t="s">
        <v>222</v>
      </c>
      <c r="R34" s="35" t="s">
        <v>1640</v>
      </c>
      <c r="S34" s="35" t="s">
        <v>72</v>
      </c>
      <c r="T34" s="35" t="s">
        <v>72</v>
      </c>
      <c r="U34" s="35" t="s">
        <v>73</v>
      </c>
      <c r="V34" s="35"/>
      <c r="W34" s="35" t="s">
        <v>1641</v>
      </c>
      <c r="X34" s="135" t="str">
        <f>HYPERLINK("https://api.typeform.com/responses/files/cf66b5a0dbef6b5eb79dd81e5a045092e7837d78de1a0decffd781439879b434/CV___Human_Resources_Intern___Hoàng_Kim_Tùng.pdf")</f>
        <v>https://api.typeform.com/responses/files/cf66b5a0dbef6b5eb79dd81e5a045092e7837d78de1a0decffd781439879b434/CV___Human_Resources_Intern___Hoàng_Kim_Tùng.pdf</v>
      </c>
      <c r="Y34" s="136">
        <v>46136.091203703705</v>
      </c>
      <c r="Z34" s="35" t="s">
        <v>1642</v>
      </c>
      <c r="AA34" s="137">
        <v>2.0</v>
      </c>
      <c r="AB34" s="137" t="s">
        <v>6424</v>
      </c>
      <c r="AC34" s="28" t="s">
        <v>6376</v>
      </c>
      <c r="AD34" s="27"/>
      <c r="AE34" s="28"/>
      <c r="AF34" s="137" t="str">
        <f t="shared" ref="AF34:AF35" si="3">IFERROR(
  IFS(
    AND(OR(AE34="Test",AE34="Chờ test",AE34="Test Review",AE34="Passed",AE34="Failed"), OR(E34="Game User Acquisition Intern",E34="Game Design Intern")), "Nhiên",
    AND(OR(AE34="Test",AE34="Chờ test",AE34="Test Review",AE34="Passed",AE34="Failed"), E34&lt;&gt;"Human Resources Intern", NOT(OR(E34="Game User Acquisition Intern",E34="Game Design Intern"))), "Quỳnh",
    AND(OR(AE34="Test",AE34="Chờ test",AE34="Test Review",AE34="Passed",AE34="Failed"), E34="Human Resources Intern"), "Chờ assign"
  ),
"")</f>
        <v/>
      </c>
      <c r="AG34" s="35"/>
      <c r="AH34" s="137"/>
      <c r="AI34" s="137"/>
      <c r="AJ34" s="137"/>
      <c r="AK34" s="137"/>
      <c r="AL34" s="137"/>
      <c r="AM34" s="137"/>
      <c r="AN34" s="137"/>
      <c r="AO34" s="137"/>
      <c r="AP34" s="137"/>
      <c r="AQ34" s="137"/>
      <c r="AR34" s="137"/>
      <c r="AS34" s="137"/>
      <c r="AT34" s="137"/>
      <c r="AU34" s="137"/>
      <c r="AV34" s="137"/>
      <c r="AW34" s="137"/>
      <c r="AX34" s="137"/>
      <c r="AY34" s="137"/>
      <c r="AZ34" s="137"/>
      <c r="BA34" s="137"/>
    </row>
    <row r="35" ht="17.25" hidden="1" customHeight="1">
      <c r="A35" s="140" t="s">
        <v>2147</v>
      </c>
      <c r="B35" s="141">
        <v>38077.0</v>
      </c>
      <c r="C35" s="140" t="s">
        <v>2148</v>
      </c>
      <c r="D35" s="142" t="s">
        <v>2149</v>
      </c>
      <c r="E35" s="140" t="s">
        <v>62</v>
      </c>
      <c r="F35" s="140" t="s">
        <v>99</v>
      </c>
      <c r="G35" s="140" t="s">
        <v>2150</v>
      </c>
      <c r="H35" s="140" t="s">
        <v>2151</v>
      </c>
      <c r="I35" s="140" t="s">
        <v>715</v>
      </c>
      <c r="J35" s="140"/>
      <c r="K35" s="140" t="s">
        <v>67</v>
      </c>
      <c r="L35" s="140" t="s">
        <v>612</v>
      </c>
      <c r="M35" s="143">
        <v>46356.0</v>
      </c>
      <c r="N35" s="142" t="s">
        <v>2152</v>
      </c>
      <c r="O35" s="144" t="str">
        <f>HYPERLINK("https://api.typeform.com/responses/files/36b94f173ca890df77c1838af7507e864bf7e8e84f352ce970ab5d554d8441f7/Transcript___AI_Engineering_Intern___Tôn_Võ_Hoài_Khiêm.pdf")</f>
        <v>https://api.typeform.com/responses/files/36b94f173ca890df77c1838af7507e864bf7e8e84f352ce970ab5d554d8441f7/Transcript___AI_Engineering_Intern___Tôn_Võ_Hoài_Khiêm.pdf</v>
      </c>
      <c r="P35" s="140" t="b">
        <v>1</v>
      </c>
      <c r="Q35" s="161" t="s">
        <v>2153</v>
      </c>
      <c r="R35" s="140" t="s">
        <v>2154</v>
      </c>
      <c r="S35" s="140" t="s">
        <v>72</v>
      </c>
      <c r="T35" s="140" t="s">
        <v>72</v>
      </c>
      <c r="U35" s="140" t="s">
        <v>73</v>
      </c>
      <c r="V35" s="140"/>
      <c r="W35" s="140" t="s">
        <v>2155</v>
      </c>
      <c r="X35" s="144" t="str">
        <f>HYPERLINK("https://api.typeform.com/responses/files/ec94a34a2f04f95f732ad8afc50ad38b411eee39895c56fee6321900f22599af/CV_AI_Engineering_Intern_Tôn_Võ_Hoài_Khiêm.pdf")</f>
        <v>https://api.typeform.com/responses/files/ec94a34a2f04f95f732ad8afc50ad38b411eee39895c56fee6321900f22599af/CV_AI_Engineering_Intern_Tôn_Võ_Hoài_Khiêm.pdf</v>
      </c>
      <c r="Y35" s="145">
        <v>46137.169756944444</v>
      </c>
      <c r="Z35" s="140" t="s">
        <v>2156</v>
      </c>
      <c r="AA35" s="146">
        <v>2.0</v>
      </c>
      <c r="AB35" s="147" t="s">
        <v>6381</v>
      </c>
      <c r="AC35" s="70" t="s">
        <v>6376</v>
      </c>
      <c r="AD35" s="148"/>
      <c r="AE35" s="70"/>
      <c r="AF35" s="146" t="str">
        <f t="shared" si="3"/>
        <v/>
      </c>
      <c r="AG35" s="140"/>
      <c r="AH35" s="146"/>
      <c r="AI35" s="146"/>
      <c r="AJ35" s="146"/>
      <c r="AK35" s="146"/>
      <c r="AL35" s="146"/>
      <c r="AM35" s="146"/>
      <c r="AN35" s="146"/>
      <c r="AO35" s="146"/>
      <c r="AP35" s="146"/>
      <c r="AQ35" s="146"/>
      <c r="AR35" s="146"/>
      <c r="AS35" s="146"/>
      <c r="AT35" s="146"/>
      <c r="AU35" s="146"/>
      <c r="AV35" s="146"/>
      <c r="AW35" s="146"/>
      <c r="AX35" s="146"/>
      <c r="AY35" s="146"/>
      <c r="AZ35" s="146"/>
      <c r="BA35" s="146"/>
    </row>
    <row r="36" ht="17.25" customHeight="1">
      <c r="A36" s="162" t="s">
        <v>1653</v>
      </c>
      <c r="B36" s="163">
        <v>38219.0</v>
      </c>
      <c r="C36" s="162" t="s">
        <v>1654</v>
      </c>
      <c r="D36" s="164" t="s">
        <v>1655</v>
      </c>
      <c r="E36" s="162" t="s">
        <v>633</v>
      </c>
      <c r="F36" s="162" t="s">
        <v>633</v>
      </c>
      <c r="G36" s="162" t="s">
        <v>1656</v>
      </c>
      <c r="H36" s="162" t="s">
        <v>1657</v>
      </c>
      <c r="I36" s="162" t="s">
        <v>715</v>
      </c>
      <c r="J36" s="162"/>
      <c r="K36" s="162" t="s">
        <v>67</v>
      </c>
      <c r="L36" s="162" t="s">
        <v>1658</v>
      </c>
      <c r="M36" s="165">
        <v>46327.0</v>
      </c>
      <c r="N36" s="164" t="s">
        <v>1659</v>
      </c>
      <c r="O36" s="135" t="str">
        <f>HYPERLINK("https://api.typeform.com/responses/files/10b080ac4267ed3dcf7becd9fbd9b34530b363f9a13c2b83b7b1a7c2294df481/Transcript___HR_Intern___TRẦN_THỊ_THU_LƯƠNG.pdf")</f>
        <v>https://api.typeform.com/responses/files/10b080ac4267ed3dcf7becd9fbd9b34530b363f9a13c2b83b7b1a7c2294df481/Transcript___HR_Intern___TRẦN_THỊ_THU_LƯƠNG.pdf</v>
      </c>
      <c r="P36" s="162" t="b">
        <v>0</v>
      </c>
      <c r="Q36" s="166" t="s">
        <v>1660</v>
      </c>
      <c r="R36" s="162" t="s">
        <v>1660</v>
      </c>
      <c r="S36" s="162" t="s">
        <v>72</v>
      </c>
      <c r="T36" s="162" t="s">
        <v>72</v>
      </c>
      <c r="U36" s="162" t="s">
        <v>90</v>
      </c>
      <c r="V36" s="162"/>
      <c r="W36" s="162" t="s">
        <v>1661</v>
      </c>
      <c r="X36" s="135" t="str">
        <f>HYPERLINK("https://api.typeform.com/responses/files/f3b6b33923de782a59f02ff23413ef9752f08150250d5d417e46544b5568e948/CV___HR_INTERN___TRAN_THI_THU_LUONG.pdf")</f>
        <v>https://api.typeform.com/responses/files/f3b6b33923de782a59f02ff23413ef9752f08150250d5d417e46544b5568e948/CV___HR_INTERN___TRAN_THI_THU_LUONG.pdf</v>
      </c>
      <c r="Y36" s="167">
        <v>46136.111597222225</v>
      </c>
      <c r="Z36" s="162" t="s">
        <v>1662</v>
      </c>
      <c r="AA36" s="168">
        <v>2.0</v>
      </c>
      <c r="AB36" s="168" t="s">
        <v>6424</v>
      </c>
      <c r="AC36" s="111" t="s">
        <v>6377</v>
      </c>
      <c r="AD36" s="111" t="s">
        <v>6498</v>
      </c>
      <c r="AE36" s="111" t="s">
        <v>6377</v>
      </c>
      <c r="AF36" s="168" t="s">
        <v>76</v>
      </c>
      <c r="AG36" s="162"/>
      <c r="AH36" s="168"/>
      <c r="AI36" s="168"/>
      <c r="AJ36" s="168"/>
      <c r="AK36" s="168"/>
      <c r="AL36" s="168"/>
      <c r="AM36" s="168"/>
      <c r="AN36" s="168"/>
      <c r="AO36" s="168"/>
      <c r="AP36" s="168"/>
      <c r="AQ36" s="168"/>
      <c r="AR36" s="168"/>
      <c r="AS36" s="168"/>
      <c r="AT36" s="168"/>
      <c r="AU36" s="168"/>
      <c r="AV36" s="168"/>
      <c r="AW36" s="168"/>
      <c r="AX36" s="168"/>
      <c r="AY36" s="168"/>
      <c r="AZ36" s="168"/>
      <c r="BA36" s="168"/>
    </row>
    <row r="37" ht="17.25" hidden="1" customHeight="1">
      <c r="A37" s="140" t="s">
        <v>1605</v>
      </c>
      <c r="B37" s="141">
        <v>38066.0</v>
      </c>
      <c r="C37" s="140" t="s">
        <v>1606</v>
      </c>
      <c r="D37" s="142" t="s">
        <v>1607</v>
      </c>
      <c r="E37" s="140" t="s">
        <v>62</v>
      </c>
      <c r="F37" s="140" t="s">
        <v>62</v>
      </c>
      <c r="G37" s="140" t="s">
        <v>1608</v>
      </c>
      <c r="H37" s="140" t="s">
        <v>1609</v>
      </c>
      <c r="I37" s="140" t="s">
        <v>1610</v>
      </c>
      <c r="J37" s="140"/>
      <c r="K37" s="140" t="s">
        <v>67</v>
      </c>
      <c r="L37" s="140" t="s">
        <v>624</v>
      </c>
      <c r="M37" s="143">
        <v>46315.0</v>
      </c>
      <c r="N37" s="142" t="s">
        <v>780</v>
      </c>
      <c r="O37" s="144" t="str">
        <f>HYPERLINK("https://api.typeform.com/responses/files/5e52d1820c9135cfda68525f48ecbc80911f4ded100766e7ce2d03d328557a84/Diem__1_.xlsx")</f>
        <v>https://api.typeform.com/responses/files/5e52d1820c9135cfda68525f48ecbc80911f4ded100766e7ce2d03d328557a84/Diem__1_.xlsx</v>
      </c>
      <c r="P37" s="140" t="b">
        <v>0</v>
      </c>
      <c r="Q37" s="161" t="s">
        <v>1611</v>
      </c>
      <c r="R37" s="140" t="s">
        <v>1612</v>
      </c>
      <c r="S37" s="140" t="s">
        <v>72</v>
      </c>
      <c r="T37" s="140" t="s">
        <v>72</v>
      </c>
      <c r="U37" s="140" t="s">
        <v>73</v>
      </c>
      <c r="V37" s="140"/>
      <c r="W37" s="140" t="s">
        <v>1613</v>
      </c>
      <c r="X37" s="144" t="str">
        <f>HYPERLINK("https://api.typeform.com/responses/files/4e49a5e0859e72688b6b88789db0b045157c5af7aeb8bd2200a3f2d2d95c7d6e/Nguyen_Tran_Nhut_Nam_CV__2___1_.pdf")</f>
        <v>https://api.typeform.com/responses/files/4e49a5e0859e72688b6b88789db0b045157c5af7aeb8bd2200a3f2d2d95c7d6e/Nguyen_Tran_Nhut_Nam_CV__2___1_.pdf</v>
      </c>
      <c r="Y37" s="145">
        <v>46136.046631944446</v>
      </c>
      <c r="Z37" s="140" t="s">
        <v>1614</v>
      </c>
      <c r="AA37" s="146">
        <v>2.0</v>
      </c>
      <c r="AB37" s="147" t="s">
        <v>6381</v>
      </c>
      <c r="AC37" s="70" t="s">
        <v>6376</v>
      </c>
      <c r="AD37" s="148"/>
      <c r="AE37" s="70"/>
      <c r="AF37" s="146" t="str">
        <f t="shared" ref="AF37:AF102" si="4">IFERROR(
  IFS(
    AND(OR(AE37="Test",AE37="Chờ test",AE37="Test Review",AE37="Passed",AE37="Failed"), OR(E37="Game User Acquisition Intern",E37="Game Design Intern")), "Nhiên",
    AND(OR(AE37="Test",AE37="Chờ test",AE37="Test Review",AE37="Passed",AE37="Failed"), E37&lt;&gt;"Human Resources Intern", NOT(OR(E37="Game User Acquisition Intern",E37="Game Design Intern"))), "Quỳnh",
    AND(OR(AE37="Test",AE37="Chờ test",AE37="Test Review",AE37="Passed",AE37="Failed"), E37="Human Resources Intern"), "Chờ assign"
  ),
"")</f>
        <v/>
      </c>
      <c r="AG37" s="140"/>
      <c r="AH37" s="146"/>
      <c r="AI37" s="146"/>
      <c r="AJ37" s="146"/>
      <c r="AK37" s="146"/>
      <c r="AL37" s="146"/>
      <c r="AM37" s="146"/>
      <c r="AN37" s="146"/>
      <c r="AO37" s="146"/>
      <c r="AP37" s="146"/>
      <c r="AQ37" s="146"/>
      <c r="AR37" s="146"/>
      <c r="AS37" s="146"/>
      <c r="AT37" s="146"/>
      <c r="AU37" s="146"/>
      <c r="AV37" s="146"/>
      <c r="AW37" s="146"/>
      <c r="AX37" s="146"/>
      <c r="AY37" s="146"/>
      <c r="AZ37" s="146"/>
      <c r="BA37" s="146"/>
    </row>
    <row r="38" ht="17.25" hidden="1" customHeight="1">
      <c r="A38" s="35" t="s">
        <v>1672</v>
      </c>
      <c r="B38" s="132">
        <v>36660.0</v>
      </c>
      <c r="C38" s="35" t="s">
        <v>1673</v>
      </c>
      <c r="D38" s="133" t="s">
        <v>1674</v>
      </c>
      <c r="E38" s="35" t="s">
        <v>127</v>
      </c>
      <c r="F38" s="35" t="s">
        <v>99</v>
      </c>
      <c r="G38" s="35" t="s">
        <v>1675</v>
      </c>
      <c r="H38" s="35" t="s">
        <v>1676</v>
      </c>
      <c r="I38" s="35" t="s">
        <v>65</v>
      </c>
      <c r="J38" s="35" t="s">
        <v>1677</v>
      </c>
      <c r="K38" s="35" t="s">
        <v>103</v>
      </c>
      <c r="L38" s="35" t="s">
        <v>1678</v>
      </c>
      <c r="M38" s="134">
        <v>46064.0</v>
      </c>
      <c r="N38" s="133" t="s">
        <v>1679</v>
      </c>
      <c r="O38" s="135" t="str">
        <f>HYPERLINK("https://api.typeform.com/responses/files/935667d0588c4e420f4011e7c8d6742ec82dcccd85694f4317be52077188c293/UTS_Transcript.pdf")</f>
        <v>https://api.typeform.com/responses/files/935667d0588c4e420f4011e7c8d6742ec82dcccd85694f4317be52077188c293/UTS_Transcript.pdf</v>
      </c>
      <c r="P38" s="35" t="b">
        <v>0</v>
      </c>
      <c r="Q38" s="43" t="s">
        <v>1437</v>
      </c>
      <c r="R38" s="35" t="s">
        <v>1437</v>
      </c>
      <c r="S38" s="35" t="s">
        <v>72</v>
      </c>
      <c r="T38" s="35" t="s">
        <v>72</v>
      </c>
      <c r="U38" s="35" t="s">
        <v>224</v>
      </c>
      <c r="V38" s="35"/>
      <c r="W38" s="35"/>
      <c r="X38" s="135" t="str">
        <f>HYPERLINK("https://api.typeform.com/responses/files/6ad56dfb03cbc18270ad30d8f5d21b92d1a114ca2116a84405f5ac980dba0cd9/CV___NQN.pdf")</f>
        <v>https://api.typeform.com/responses/files/6ad56dfb03cbc18270ad30d8f5d21b92d1a114ca2116a84405f5ac980dba0cd9/CV___NQN.pdf</v>
      </c>
      <c r="Y38" s="136">
        <v>46136.13431712963</v>
      </c>
      <c r="Z38" s="35" t="s">
        <v>1680</v>
      </c>
      <c r="AA38" s="137">
        <v>2.0</v>
      </c>
      <c r="AB38" s="137" t="s">
        <v>93</v>
      </c>
      <c r="AC38" s="28" t="s">
        <v>6376</v>
      </c>
      <c r="AD38" s="27"/>
      <c r="AE38" s="28"/>
      <c r="AF38" s="137" t="str">
        <f t="shared" si="4"/>
        <v/>
      </c>
      <c r="AG38" s="35"/>
      <c r="AH38" s="137"/>
      <c r="AI38" s="137"/>
      <c r="AJ38" s="137"/>
      <c r="AK38" s="137"/>
      <c r="AL38" s="137"/>
      <c r="AM38" s="137"/>
      <c r="AN38" s="137"/>
      <c r="AO38" s="137"/>
      <c r="AP38" s="137"/>
      <c r="AQ38" s="137"/>
      <c r="AR38" s="137"/>
      <c r="AS38" s="137"/>
      <c r="AT38" s="137"/>
      <c r="AU38" s="137"/>
      <c r="AV38" s="137"/>
      <c r="AW38" s="137"/>
      <c r="AX38" s="137"/>
      <c r="AY38" s="137"/>
      <c r="AZ38" s="137"/>
      <c r="BA38" s="137"/>
    </row>
    <row r="39" ht="17.25" hidden="1" customHeight="1">
      <c r="A39" s="35" t="s">
        <v>1681</v>
      </c>
      <c r="B39" s="132">
        <v>38056.0</v>
      </c>
      <c r="C39" s="35" t="s">
        <v>1682</v>
      </c>
      <c r="D39" s="133" t="s">
        <v>1683</v>
      </c>
      <c r="E39" s="35" t="s">
        <v>61</v>
      </c>
      <c r="F39" s="35" t="s">
        <v>127</v>
      </c>
      <c r="G39" s="35" t="s">
        <v>1684</v>
      </c>
      <c r="H39" s="35" t="s">
        <v>1685</v>
      </c>
      <c r="I39" s="35" t="s">
        <v>715</v>
      </c>
      <c r="J39" s="35"/>
      <c r="K39" s="35" t="s">
        <v>67</v>
      </c>
      <c r="L39" s="35" t="s">
        <v>612</v>
      </c>
      <c r="M39" s="134">
        <v>46266.0</v>
      </c>
      <c r="N39" s="133" t="s">
        <v>1686</v>
      </c>
      <c r="O39" s="135" t="str">
        <f>HYPERLINK("https://api.typeform.com/responses/files/21c4bc321fe354b2545299dccf8e8543f227dc372158d7b8e6aef2dbec53356c/Transcript___Unity_Development_Intern___Hồ_Trọng_Nghĩa.pdf")</f>
        <v>https://api.typeform.com/responses/files/21c4bc321fe354b2545299dccf8e8543f227dc372158d7b8e6aef2dbec53356c/Transcript___Unity_Development_Intern___Hồ_Trọng_Nghĩa.pdf</v>
      </c>
      <c r="P39" s="35" t="b">
        <v>1</v>
      </c>
      <c r="Q39" s="43" t="s">
        <v>1687</v>
      </c>
      <c r="R39" s="35" t="s">
        <v>1688</v>
      </c>
      <c r="S39" s="35" t="s">
        <v>72</v>
      </c>
      <c r="T39" s="35" t="s">
        <v>72</v>
      </c>
      <c r="U39" s="35" t="s">
        <v>594</v>
      </c>
      <c r="V39" s="35"/>
      <c r="W39" s="35" t="s">
        <v>1689</v>
      </c>
      <c r="X39" s="135" t="str">
        <f>HYPERLINK("https://api.typeform.com/responses/files/d714c4a52e4bf8dbfae5bc9421a3ce56ebbcb3365dc17a415328beac3009ccc5/CV___Unity_Development_Intern___Hồ_Trọng_Nghĩa.pdf")</f>
        <v>https://api.typeform.com/responses/files/d714c4a52e4bf8dbfae5bc9421a3ce56ebbcb3365dc17a415328beac3009ccc5/CV___Unity_Development_Intern___Hồ_Trọng_Nghĩa.pdf</v>
      </c>
      <c r="Y39" s="136">
        <v>46136.136712962965</v>
      </c>
      <c r="Z39" s="35" t="s">
        <v>1690</v>
      </c>
      <c r="AA39" s="137">
        <v>2.0</v>
      </c>
      <c r="AB39" s="137" t="s">
        <v>93</v>
      </c>
      <c r="AC39" s="28" t="s">
        <v>6376</v>
      </c>
      <c r="AD39" s="27"/>
      <c r="AE39" s="28"/>
      <c r="AF39" s="137" t="str">
        <f t="shared" si="4"/>
        <v/>
      </c>
      <c r="AG39" s="35"/>
      <c r="AH39" s="137"/>
      <c r="AI39" s="137"/>
      <c r="AJ39" s="137"/>
      <c r="AK39" s="137"/>
      <c r="AL39" s="137"/>
      <c r="AM39" s="137"/>
      <c r="AN39" s="137"/>
      <c r="AO39" s="137"/>
      <c r="AP39" s="137"/>
      <c r="AQ39" s="137"/>
      <c r="AR39" s="137"/>
      <c r="AS39" s="137"/>
      <c r="AT39" s="137"/>
      <c r="AU39" s="137"/>
      <c r="AV39" s="137"/>
      <c r="AW39" s="137"/>
      <c r="AX39" s="137"/>
      <c r="AY39" s="137"/>
      <c r="AZ39" s="137"/>
      <c r="BA39" s="137"/>
    </row>
    <row r="40" ht="17.25" hidden="1" customHeight="1">
      <c r="A40" s="140" t="s">
        <v>1368</v>
      </c>
      <c r="B40" s="141">
        <v>37869.0</v>
      </c>
      <c r="C40" s="140" t="s">
        <v>1369</v>
      </c>
      <c r="D40" s="142" t="s">
        <v>1370</v>
      </c>
      <c r="E40" s="140" t="s">
        <v>62</v>
      </c>
      <c r="F40" s="140" t="s">
        <v>62</v>
      </c>
      <c r="G40" s="140" t="s">
        <v>1371</v>
      </c>
      <c r="H40" s="140" t="s">
        <v>1372</v>
      </c>
      <c r="I40" s="140" t="s">
        <v>244</v>
      </c>
      <c r="J40" s="140"/>
      <c r="K40" s="140" t="s">
        <v>67</v>
      </c>
      <c r="L40" s="140" t="s">
        <v>930</v>
      </c>
      <c r="M40" s="143">
        <v>46172.0</v>
      </c>
      <c r="N40" s="142" t="s">
        <v>483</v>
      </c>
      <c r="O40" s="144" t="str">
        <f>HYPERLINK("https://api.typeform.com/responses/files/d48547519ac1eb435adc75998e195e0adae0c24502c95c213756f3585433215f/Transcript___AI_Engineer__Intern___La_Nguyễn_Quốc_Thịnh.png")</f>
        <v>https://api.typeform.com/responses/files/d48547519ac1eb435adc75998e195e0adae0c24502c95c213756f3585433215f/Transcript___AI_Engineer__Intern___La_Nguyễn_Quốc_Thịnh.png</v>
      </c>
      <c r="P40" s="140" t="b">
        <v>1</v>
      </c>
      <c r="Q40" s="161" t="s">
        <v>1373</v>
      </c>
      <c r="R40" s="140" t="s">
        <v>1374</v>
      </c>
      <c r="S40" s="140" t="s">
        <v>72</v>
      </c>
      <c r="T40" s="140" t="s">
        <v>72</v>
      </c>
      <c r="U40" s="140" t="s">
        <v>90</v>
      </c>
      <c r="V40" s="140"/>
      <c r="W40" s="140"/>
      <c r="X40" s="144" t="str">
        <f>HYPERLINK("https://api.typeform.com/responses/files/03e1463949ac53cc1771740fad979d578511e3510695eddc264b8b344c9eef55/CV___AI_Engineer_Intern___La_Nguyễn_Quốc_Thịnh.pdf")</f>
        <v>https://api.typeform.com/responses/files/03e1463949ac53cc1771740fad979d578511e3510695eddc264b8b344c9eef55/CV___AI_Engineer_Intern___La_Nguyễn_Quốc_Thịnh.pdf</v>
      </c>
      <c r="Y40" s="145">
        <v>46135.5775</v>
      </c>
      <c r="Z40" s="140" t="s">
        <v>1375</v>
      </c>
      <c r="AA40" s="146">
        <v>2.0</v>
      </c>
      <c r="AB40" s="147" t="s">
        <v>6381</v>
      </c>
      <c r="AC40" s="70" t="s">
        <v>6376</v>
      </c>
      <c r="AD40" s="148"/>
      <c r="AE40" s="70"/>
      <c r="AF40" s="146" t="str">
        <f t="shared" si="4"/>
        <v/>
      </c>
      <c r="AG40" s="140"/>
      <c r="AH40" s="146"/>
      <c r="AI40" s="146"/>
      <c r="AJ40" s="146"/>
      <c r="AK40" s="146"/>
      <c r="AL40" s="146"/>
      <c r="AM40" s="146"/>
      <c r="AN40" s="146"/>
      <c r="AO40" s="146"/>
      <c r="AP40" s="146"/>
      <c r="AQ40" s="146"/>
      <c r="AR40" s="146"/>
      <c r="AS40" s="146"/>
      <c r="AT40" s="146"/>
      <c r="AU40" s="146"/>
      <c r="AV40" s="146"/>
      <c r="AW40" s="146"/>
      <c r="AX40" s="146"/>
      <c r="AY40" s="146"/>
      <c r="AZ40" s="146"/>
      <c r="BA40" s="146"/>
    </row>
    <row r="41" ht="17.25" hidden="1" customHeight="1">
      <c r="A41" s="35" t="s">
        <v>2674</v>
      </c>
      <c r="B41" s="132">
        <v>38364.0</v>
      </c>
      <c r="C41" s="35" t="s">
        <v>2675</v>
      </c>
      <c r="D41" s="133" t="s">
        <v>2676</v>
      </c>
      <c r="E41" s="35" t="s">
        <v>82</v>
      </c>
      <c r="F41" s="35"/>
      <c r="G41" s="35" t="s">
        <v>2677</v>
      </c>
      <c r="H41" s="35" t="s">
        <v>2678</v>
      </c>
      <c r="I41" s="35" t="s">
        <v>2281</v>
      </c>
      <c r="J41" s="35"/>
      <c r="K41" s="35" t="s">
        <v>219</v>
      </c>
      <c r="L41" s="35" t="s">
        <v>2679</v>
      </c>
      <c r="M41" s="134">
        <v>46376.0</v>
      </c>
      <c r="N41" s="35" t="s">
        <v>2680</v>
      </c>
      <c r="O41" s="135" t="str">
        <f>HYPERLINK("https://api.typeform.com/responses/files/d0c8a57b5d79a7596d83078269d23aef8d697b73b36e1a85fc831bcb9c88f43a/Transcript___Data_Analysis_Intern___Lê_Thị_Bích_Trà.pdf")</f>
        <v>https://api.typeform.com/responses/files/d0c8a57b5d79a7596d83078269d23aef8d697b73b36e1a85fc831bcb9c88f43a/Transcript___Data_Analysis_Intern___Lê_Thị_Bích_Trà.pdf</v>
      </c>
      <c r="P41" s="35" t="b">
        <v>0</v>
      </c>
      <c r="Q41" s="43" t="s">
        <v>2681</v>
      </c>
      <c r="R41" s="35" t="s">
        <v>2682</v>
      </c>
      <c r="S41" s="35" t="s">
        <v>72</v>
      </c>
      <c r="T41" s="35" t="s">
        <v>72</v>
      </c>
      <c r="U41" s="35" t="s">
        <v>90</v>
      </c>
      <c r="V41" s="35"/>
      <c r="W41" s="35"/>
      <c r="X41" s="135" t="str">
        <f>HYPERLINK("https://api.typeform.com/responses/files/ae673a5934b47d0e8d18e2a86e0b8bb21b4a474a1bd723e94c307a7d2914fe69/CV___Data_Analysis_Intern___Lê_Thị_Bích_Trà.pdf")</f>
        <v>https://api.typeform.com/responses/files/ae673a5934b47d0e8d18e2a86e0b8bb21b4a474a1bd723e94c307a7d2914fe69/CV___Data_Analysis_Intern___Lê_Thị_Bích_Trà.pdf</v>
      </c>
      <c r="Y41" s="136">
        <v>46139.27107638889</v>
      </c>
      <c r="Z41" s="35" t="s">
        <v>2683</v>
      </c>
      <c r="AA41" s="137">
        <v>2.0</v>
      </c>
      <c r="AB41" s="137" t="s">
        <v>93</v>
      </c>
      <c r="AC41" s="28" t="s">
        <v>6377</v>
      </c>
      <c r="AD41" s="27"/>
      <c r="AE41" s="28" t="s">
        <v>6403</v>
      </c>
      <c r="AF41" s="137" t="str">
        <f t="shared" si="4"/>
        <v>Quỳnh</v>
      </c>
      <c r="AG41" s="35"/>
      <c r="AH41" s="137"/>
      <c r="AI41" s="137"/>
      <c r="AJ41" s="137"/>
      <c r="AK41" s="137"/>
      <c r="AL41" s="137"/>
      <c r="AM41" s="137"/>
      <c r="AN41" s="137"/>
      <c r="AO41" s="137"/>
      <c r="AP41" s="137"/>
      <c r="AQ41" s="137"/>
      <c r="AR41" s="137"/>
      <c r="AS41" s="137"/>
      <c r="AT41" s="137"/>
      <c r="AU41" s="137"/>
      <c r="AV41" s="137"/>
      <c r="AW41" s="137"/>
      <c r="AX41" s="137"/>
      <c r="AY41" s="137"/>
      <c r="AZ41" s="137"/>
      <c r="BA41" s="137"/>
    </row>
    <row r="42" ht="17.25" hidden="1" customHeight="1">
      <c r="A42" s="35" t="s">
        <v>1710</v>
      </c>
      <c r="B42" s="132">
        <v>37846.0</v>
      </c>
      <c r="C42" s="35" t="s">
        <v>1711</v>
      </c>
      <c r="D42" s="133" t="s">
        <v>1712</v>
      </c>
      <c r="E42" s="35" t="s">
        <v>61</v>
      </c>
      <c r="F42" s="35" t="s">
        <v>99</v>
      </c>
      <c r="G42" s="35" t="s">
        <v>1713</v>
      </c>
      <c r="H42" s="35" t="s">
        <v>1714</v>
      </c>
      <c r="I42" s="35" t="s">
        <v>65</v>
      </c>
      <c r="J42" s="35" t="s">
        <v>1715</v>
      </c>
      <c r="K42" s="35" t="s">
        <v>103</v>
      </c>
      <c r="L42" s="35" t="s">
        <v>1183</v>
      </c>
      <c r="M42" s="134">
        <v>45992.0</v>
      </c>
      <c r="N42" s="133" t="s">
        <v>1553</v>
      </c>
      <c r="O42" s="135" t="str">
        <f>HYPERLINK("https://api.typeform.com/responses/files/d7191e22981cfde4646f4c5ff6726c2e65b576e93aee8930178f57c607526b5f/Transcript___Unity_Development_Intern___Bui_Khanh_Duy.pdf")</f>
        <v>https://api.typeform.com/responses/files/d7191e22981cfde4646f4c5ff6726c2e65b576e93aee8930178f57c607526b5f/Transcript___Unity_Development_Intern___Bui_Khanh_Duy.pdf</v>
      </c>
      <c r="P42" s="35" t="b">
        <v>1</v>
      </c>
      <c r="Q42" s="43" t="s">
        <v>1716</v>
      </c>
      <c r="R42" s="35" t="s">
        <v>1717</v>
      </c>
      <c r="S42" s="35" t="s">
        <v>72</v>
      </c>
      <c r="T42" s="35" t="s">
        <v>72</v>
      </c>
      <c r="U42" s="35" t="s">
        <v>188</v>
      </c>
      <c r="V42" s="35"/>
      <c r="W42" s="35" t="s">
        <v>1718</v>
      </c>
      <c r="X42" s="135" t="str">
        <f>HYPERLINK("https://api.typeform.com/responses/files/a122fcef4700e4c370e1e6e5952de9a136a6de491c1e0b8bdeee746b99e82c88/CV___Unity_Development_Intern___Bui_Khanh_Duy.pdf")</f>
        <v>https://api.typeform.com/responses/files/a122fcef4700e4c370e1e6e5952de9a136a6de491c1e0b8bdeee746b99e82c88/CV___Unity_Development_Intern___Bui_Khanh_Duy.pdf</v>
      </c>
      <c r="Y42" s="136">
        <v>46136.178391203706</v>
      </c>
      <c r="Z42" s="35" t="s">
        <v>1719</v>
      </c>
      <c r="AA42" s="137">
        <v>2.0</v>
      </c>
      <c r="AB42" s="137" t="s">
        <v>93</v>
      </c>
      <c r="AC42" s="28" t="s">
        <v>6376</v>
      </c>
      <c r="AD42" s="27"/>
      <c r="AE42" s="28"/>
      <c r="AF42" s="137" t="str">
        <f t="shared" si="4"/>
        <v/>
      </c>
      <c r="AG42" s="35"/>
      <c r="AH42" s="137"/>
      <c r="AI42" s="137"/>
      <c r="AJ42" s="137"/>
      <c r="AK42" s="137"/>
      <c r="AL42" s="137"/>
      <c r="AM42" s="137"/>
      <c r="AN42" s="137"/>
      <c r="AO42" s="137"/>
      <c r="AP42" s="137"/>
      <c r="AQ42" s="137"/>
      <c r="AR42" s="137"/>
      <c r="AS42" s="137"/>
      <c r="AT42" s="137"/>
      <c r="AU42" s="137"/>
      <c r="AV42" s="137"/>
      <c r="AW42" s="137"/>
      <c r="AX42" s="137"/>
      <c r="AY42" s="137"/>
      <c r="AZ42" s="137"/>
      <c r="BA42" s="137"/>
    </row>
    <row r="43" ht="17.25" hidden="1" customHeight="1">
      <c r="A43" s="35" t="s">
        <v>1730</v>
      </c>
      <c r="B43" s="132">
        <v>37987.0</v>
      </c>
      <c r="C43" s="35" t="s">
        <v>1731</v>
      </c>
      <c r="D43" s="133" t="s">
        <v>1732</v>
      </c>
      <c r="E43" s="35" t="s">
        <v>82</v>
      </c>
      <c r="F43" s="35"/>
      <c r="G43" s="35" t="s">
        <v>1733</v>
      </c>
      <c r="H43" s="35" t="s">
        <v>1734</v>
      </c>
      <c r="I43" s="35" t="s">
        <v>85</v>
      </c>
      <c r="J43" s="35"/>
      <c r="K43" s="35" t="s">
        <v>103</v>
      </c>
      <c r="L43" s="35" t="s">
        <v>551</v>
      </c>
      <c r="M43" s="134">
        <v>46174.0</v>
      </c>
      <c r="N43" s="133" t="s">
        <v>1735</v>
      </c>
      <c r="O43" s="135" t="str">
        <f>HYPERLINK("https://api.typeform.com/responses/files/6c6dff641f6f23da55dae027a9f27a71b24a4538ff0013002b58e91e1f912f73/Transcript___Data_Analysis_Intern___Phạm_Cao_Trí.pdf")</f>
        <v>https://api.typeform.com/responses/files/6c6dff641f6f23da55dae027a9f27a71b24a4538ff0013002b58e91e1f912f73/Transcript___Data_Analysis_Intern___Phạm_Cao_Trí.pdf</v>
      </c>
      <c r="P43" s="35" t="b">
        <v>0</v>
      </c>
      <c r="Q43" s="43" t="s">
        <v>1437</v>
      </c>
      <c r="R43" s="35" t="s">
        <v>1437</v>
      </c>
      <c r="S43" s="35" t="s">
        <v>72</v>
      </c>
      <c r="T43" s="35" t="s">
        <v>72</v>
      </c>
      <c r="U43" s="35" t="s">
        <v>1736</v>
      </c>
      <c r="V43" s="35"/>
      <c r="W43" s="35" t="s">
        <v>1737</v>
      </c>
      <c r="X43" s="135" t="str">
        <f>HYPERLINK("https://api.typeform.com/responses/files/de281c3a41f7bfef656239176b4b1bab1abdfcb588265f4469634939b246b3fb/CV___Data_Analysis_Intern___Phạm_Cao_Trí.pdf")</f>
        <v>https://api.typeform.com/responses/files/de281c3a41f7bfef656239176b4b1bab1abdfcb588265f4469634939b246b3fb/CV___Data_Analysis_Intern___Phạm_Cao_Trí.pdf</v>
      </c>
      <c r="Y43" s="136">
        <v>46136.19876157407</v>
      </c>
      <c r="Z43" s="35" t="s">
        <v>1738</v>
      </c>
      <c r="AA43" s="137">
        <v>2.0</v>
      </c>
      <c r="AB43" s="137" t="s">
        <v>93</v>
      </c>
      <c r="AC43" s="28" t="s">
        <v>6377</v>
      </c>
      <c r="AD43" s="28" t="s">
        <v>6499</v>
      </c>
      <c r="AE43" s="28" t="s">
        <v>6403</v>
      </c>
      <c r="AF43" s="137" t="str">
        <f t="shared" si="4"/>
        <v>Quỳnh</v>
      </c>
      <c r="AG43" s="35"/>
      <c r="AH43" s="137"/>
      <c r="AI43" s="137"/>
      <c r="AJ43" s="137"/>
      <c r="AK43" s="137"/>
      <c r="AL43" s="137"/>
      <c r="AM43" s="137"/>
      <c r="AN43" s="137"/>
      <c r="AO43" s="137"/>
      <c r="AP43" s="137"/>
      <c r="AQ43" s="137"/>
      <c r="AR43" s="137"/>
      <c r="AS43" s="137"/>
      <c r="AT43" s="137"/>
      <c r="AU43" s="137"/>
      <c r="AV43" s="137"/>
      <c r="AW43" s="137"/>
      <c r="AX43" s="137"/>
      <c r="AY43" s="137"/>
      <c r="AZ43" s="137"/>
      <c r="BA43" s="137"/>
    </row>
    <row r="44" ht="17.25" hidden="1" customHeight="1">
      <c r="A44" s="35" t="s">
        <v>3412</v>
      </c>
      <c r="B44" s="132">
        <v>38480.0</v>
      </c>
      <c r="C44" s="35" t="s">
        <v>3413</v>
      </c>
      <c r="D44" s="133" t="s">
        <v>3414</v>
      </c>
      <c r="E44" s="35" t="s">
        <v>82</v>
      </c>
      <c r="F44" s="35" t="s">
        <v>82</v>
      </c>
      <c r="G44" s="35" t="s">
        <v>3415</v>
      </c>
      <c r="H44" s="35" t="s">
        <v>3416</v>
      </c>
      <c r="I44" s="35" t="s">
        <v>1069</v>
      </c>
      <c r="J44" s="35"/>
      <c r="K44" s="35" t="s">
        <v>219</v>
      </c>
      <c r="L44" s="35" t="s">
        <v>132</v>
      </c>
      <c r="M44" s="134">
        <v>46966.0</v>
      </c>
      <c r="N44" s="133" t="s">
        <v>3417</v>
      </c>
      <c r="O44" s="135" t="str">
        <f>HYPERLINK("https://api.typeform.com/responses/files/cbcd39da2dcf70f373a71eee2b80a8ce0952bb8b213151d3c5ae190c2dfd058f/Transcript___Data_Analysts_Intern___Nguyen_Ngoc_Phuong.pdf")</f>
        <v>https://api.typeform.com/responses/files/cbcd39da2dcf70f373a71eee2b80a8ce0952bb8b213151d3c5ae190c2dfd058f/Transcript___Data_Analysts_Intern___Nguyen_Ngoc_Phuong.pdf</v>
      </c>
      <c r="P44" s="35" t="b">
        <v>1</v>
      </c>
      <c r="Q44" s="35" t="s">
        <v>3418</v>
      </c>
      <c r="R44" s="35" t="s">
        <v>3419</v>
      </c>
      <c r="S44" s="35" t="s">
        <v>72</v>
      </c>
      <c r="T44" s="35" t="s">
        <v>72</v>
      </c>
      <c r="U44" s="35" t="s">
        <v>73</v>
      </c>
      <c r="V44" s="35"/>
      <c r="W44" s="35" t="s">
        <v>3420</v>
      </c>
      <c r="X44" s="135" t="str">
        <f>HYPERLINK("https://api.typeform.com/responses/files/ff120effb801bf1b9b4087ecdd4849e4f25ba4acfaa24f4df8fbda05c13096ac/CV___Data_Analysts_Intern___Nguyen_Ngoc_Phuong.pdf")</f>
        <v>https://api.typeform.com/responses/files/ff120effb801bf1b9b4087ecdd4849e4f25ba4acfaa24f4df8fbda05c13096ac/CV___Data_Analysts_Intern___Nguyen_Ngoc_Phuong.pdf</v>
      </c>
      <c r="Y44" s="136">
        <v>46140.365219907406</v>
      </c>
      <c r="Z44" s="35" t="s">
        <v>3421</v>
      </c>
      <c r="AA44" s="137">
        <v>2.0</v>
      </c>
      <c r="AB44" s="137" t="s">
        <v>93</v>
      </c>
      <c r="AC44" s="28" t="s">
        <v>6377</v>
      </c>
      <c r="AD44" s="28" t="s">
        <v>6500</v>
      </c>
      <c r="AE44" s="28" t="s">
        <v>6403</v>
      </c>
      <c r="AF44" s="137" t="str">
        <f t="shared" si="4"/>
        <v>Quỳnh</v>
      </c>
      <c r="AG44" s="35"/>
      <c r="AH44" s="137"/>
      <c r="AI44" s="137"/>
      <c r="AJ44" s="137"/>
      <c r="AK44" s="137"/>
      <c r="AL44" s="137"/>
      <c r="AM44" s="137"/>
      <c r="AN44" s="137"/>
      <c r="AO44" s="137"/>
      <c r="AP44" s="137"/>
      <c r="AQ44" s="137"/>
      <c r="AR44" s="137"/>
      <c r="AS44" s="137"/>
      <c r="AT44" s="137"/>
      <c r="AU44" s="137"/>
      <c r="AV44" s="137"/>
      <c r="AW44" s="137"/>
      <c r="AX44" s="137"/>
      <c r="AY44" s="137"/>
      <c r="AZ44" s="137"/>
      <c r="BA44" s="137"/>
    </row>
    <row r="45" ht="17.25" hidden="1" customHeight="1">
      <c r="A45" s="140" t="s">
        <v>1739</v>
      </c>
      <c r="B45" s="141">
        <v>37316.0</v>
      </c>
      <c r="C45" s="140" t="s">
        <v>1740</v>
      </c>
      <c r="D45" s="142" t="s">
        <v>1741</v>
      </c>
      <c r="E45" s="140" t="s">
        <v>62</v>
      </c>
      <c r="F45" s="140" t="s">
        <v>127</v>
      </c>
      <c r="G45" s="140" t="s">
        <v>1742</v>
      </c>
      <c r="H45" s="140" t="s">
        <v>1743</v>
      </c>
      <c r="I45" s="140" t="s">
        <v>277</v>
      </c>
      <c r="J45" s="140"/>
      <c r="K45" s="140" t="s">
        <v>103</v>
      </c>
      <c r="L45" s="140" t="s">
        <v>399</v>
      </c>
      <c r="M45" s="143">
        <v>46185.0</v>
      </c>
      <c r="N45" s="142" t="s">
        <v>685</v>
      </c>
      <c r="O45" s="144" t="str">
        <f>HYPERLINK("https://api.typeform.com/responses/files/e6c09eff031621405c7d00589362cc38b214af28a7d02015c5d24132d6a85c10/Bang_Diem_Tran_Tuan_Anh.pdf")</f>
        <v>https://api.typeform.com/responses/files/e6c09eff031621405c7d00589362cc38b214af28a7d02015c5d24132d6a85c10/Bang_Diem_Tran_Tuan_Anh.pdf</v>
      </c>
      <c r="P45" s="140" t="b">
        <v>1</v>
      </c>
      <c r="Q45" s="161" t="s">
        <v>1744</v>
      </c>
      <c r="R45" s="140" t="s">
        <v>1745</v>
      </c>
      <c r="S45" s="140" t="s">
        <v>72</v>
      </c>
      <c r="T45" s="140" t="s">
        <v>72</v>
      </c>
      <c r="U45" s="140" t="s">
        <v>224</v>
      </c>
      <c r="V45" s="140"/>
      <c r="W45" s="140" t="s">
        <v>1746</v>
      </c>
      <c r="X45" s="144" t="str">
        <f>HYPERLINK("https://api.typeform.com/responses/files/cf48a5443514676098912afc851e26ae5a366cbe4eaa3f72759608730371ca3a/CV_AI_Engineer__TUAN_ANH_TRAN.pdf")</f>
        <v>https://api.typeform.com/responses/files/cf48a5443514676098912afc851e26ae5a366cbe4eaa3f72759608730371ca3a/CV_AI_Engineer__TUAN_ANH_TRAN.pdf</v>
      </c>
      <c r="Y45" s="145">
        <v>46136.201840277776</v>
      </c>
      <c r="Z45" s="140" t="s">
        <v>1747</v>
      </c>
      <c r="AA45" s="146">
        <v>2.0</v>
      </c>
      <c r="AB45" s="147" t="s">
        <v>6381</v>
      </c>
      <c r="AC45" s="70" t="s">
        <v>6376</v>
      </c>
      <c r="AD45" s="148"/>
      <c r="AE45" s="70"/>
      <c r="AF45" s="146" t="str">
        <f t="shared" si="4"/>
        <v/>
      </c>
      <c r="AG45" s="140"/>
      <c r="AH45" s="146"/>
      <c r="AI45" s="146"/>
      <c r="AJ45" s="146"/>
      <c r="AK45" s="146"/>
      <c r="AL45" s="146"/>
      <c r="AM45" s="146"/>
      <c r="AN45" s="146"/>
      <c r="AO45" s="146"/>
      <c r="AP45" s="146"/>
      <c r="AQ45" s="146"/>
      <c r="AR45" s="146"/>
      <c r="AS45" s="146"/>
      <c r="AT45" s="146"/>
      <c r="AU45" s="146"/>
      <c r="AV45" s="146"/>
      <c r="AW45" s="146"/>
      <c r="AX45" s="146"/>
      <c r="AY45" s="146"/>
      <c r="AZ45" s="146"/>
      <c r="BA45" s="146"/>
    </row>
    <row r="46" ht="17.25" hidden="1" customHeight="1">
      <c r="A46" s="35" t="s">
        <v>1748</v>
      </c>
      <c r="B46" s="132">
        <v>38003.0</v>
      </c>
      <c r="C46" s="35" t="s">
        <v>1749</v>
      </c>
      <c r="D46" s="133" t="s">
        <v>1750</v>
      </c>
      <c r="E46" s="35" t="s">
        <v>61</v>
      </c>
      <c r="F46" s="35" t="s">
        <v>127</v>
      </c>
      <c r="G46" s="35" t="s">
        <v>1751</v>
      </c>
      <c r="H46" s="35" t="s">
        <v>1752</v>
      </c>
      <c r="I46" s="35" t="s">
        <v>65</v>
      </c>
      <c r="J46" s="35" t="s">
        <v>182</v>
      </c>
      <c r="K46" s="35" t="s">
        <v>103</v>
      </c>
      <c r="L46" s="35" t="s">
        <v>399</v>
      </c>
      <c r="M46" s="134">
        <v>46203.0</v>
      </c>
      <c r="N46" s="35" t="s">
        <v>1753</v>
      </c>
      <c r="O46" s="135" t="str">
        <f>HYPERLINK("https://api.typeform.com/responses/files/8b27164459c77e116788cb2285d1ce88af76c14b68aa40293878c7a4d2c19287/Transcript_UnityDevelopmentIntern_LeNguyenKhang.pdf")</f>
        <v>https://api.typeform.com/responses/files/8b27164459c77e116788cb2285d1ce88af76c14b68aa40293878c7a4d2c19287/Transcript_UnityDevelopmentIntern_LeNguyenKhang.pdf</v>
      </c>
      <c r="P46" s="35" t="b">
        <v>0</v>
      </c>
      <c r="Q46" s="43" t="s">
        <v>1754</v>
      </c>
      <c r="R46" s="35" t="s">
        <v>1755</v>
      </c>
      <c r="S46" s="35" t="s">
        <v>72</v>
      </c>
      <c r="T46" s="35" t="s">
        <v>72</v>
      </c>
      <c r="U46" s="35" t="s">
        <v>90</v>
      </c>
      <c r="V46" s="35"/>
      <c r="W46" s="35" t="s">
        <v>1756</v>
      </c>
      <c r="X46" s="135" t="str">
        <f>HYPERLINK("https://api.typeform.com/responses/files/1d0425a0a1e0cca1fbf7d821afaa8c3ce02049955a21b8ccb2e9cb76af9f8621/CV_UnityDevelopmentIntern_LeNguyenKhang.pdf")</f>
        <v>https://api.typeform.com/responses/files/1d0425a0a1e0cca1fbf7d821afaa8c3ce02049955a21b8ccb2e9cb76af9f8621/CV_UnityDevelopmentIntern_LeNguyenKhang.pdf</v>
      </c>
      <c r="Y46" s="136">
        <v>46136.20385416667</v>
      </c>
      <c r="Z46" s="35" t="s">
        <v>1757</v>
      </c>
      <c r="AA46" s="137">
        <v>2.0</v>
      </c>
      <c r="AB46" s="137" t="s">
        <v>93</v>
      </c>
      <c r="AC46" s="28" t="s">
        <v>6376</v>
      </c>
      <c r="AD46" s="27"/>
      <c r="AE46" s="28"/>
      <c r="AF46" s="137" t="str">
        <f t="shared" si="4"/>
        <v/>
      </c>
      <c r="AG46" s="35"/>
      <c r="AH46" s="137"/>
      <c r="AI46" s="137"/>
      <c r="AJ46" s="137"/>
      <c r="AK46" s="137"/>
      <c r="AL46" s="137"/>
      <c r="AM46" s="137"/>
      <c r="AN46" s="137"/>
      <c r="AO46" s="137"/>
      <c r="AP46" s="137"/>
      <c r="AQ46" s="137"/>
      <c r="AR46" s="137"/>
      <c r="AS46" s="137"/>
      <c r="AT46" s="137"/>
      <c r="AU46" s="137"/>
      <c r="AV46" s="137"/>
      <c r="AW46" s="137"/>
      <c r="AX46" s="137"/>
      <c r="AY46" s="137"/>
      <c r="AZ46" s="137"/>
      <c r="BA46" s="137"/>
    </row>
    <row r="47" ht="17.25" hidden="1" customHeight="1">
      <c r="A47" s="35" t="s">
        <v>1758</v>
      </c>
      <c r="B47" s="132">
        <v>37357.0</v>
      </c>
      <c r="C47" s="35" t="s">
        <v>1759</v>
      </c>
      <c r="D47" s="133" t="s">
        <v>1760</v>
      </c>
      <c r="E47" s="35" t="s">
        <v>99</v>
      </c>
      <c r="F47" s="35"/>
      <c r="G47" s="35" t="s">
        <v>1761</v>
      </c>
      <c r="H47" s="35" t="s">
        <v>1762</v>
      </c>
      <c r="I47" s="35" t="s">
        <v>1610</v>
      </c>
      <c r="J47" s="35"/>
      <c r="K47" s="35" t="s">
        <v>103</v>
      </c>
      <c r="L47" s="35" t="s">
        <v>1678</v>
      </c>
      <c r="M47" s="134">
        <v>46136.0</v>
      </c>
      <c r="N47" s="133" t="s">
        <v>483</v>
      </c>
      <c r="O47" s="135" t="str">
        <f>HYPERLINK("https://api.typeform.com/responses/files/993e90684571374724efbfa034cf290112a676bd990579db69617a8b8e6d544f/DHNT___GD.pdf")</f>
        <v>https://api.typeform.com/responses/files/993e90684571374724efbfa034cf290112a676bd990579db69617a8b8e6d544f/DHNT___GD.pdf</v>
      </c>
      <c r="P47" s="35" t="b">
        <v>1</v>
      </c>
      <c r="Q47" s="43" t="s">
        <v>1763</v>
      </c>
      <c r="R47" s="35" t="s">
        <v>1764</v>
      </c>
      <c r="S47" s="35" t="s">
        <v>72</v>
      </c>
      <c r="T47" s="35" t="s">
        <v>72</v>
      </c>
      <c r="U47" s="35" t="s">
        <v>73</v>
      </c>
      <c r="V47" s="35"/>
      <c r="W47" s="35" t="s">
        <v>1765</v>
      </c>
      <c r="X47" s="135" t="str">
        <f>HYPERLINK("https://api.typeform.com/responses/files/2f34efcafbb797967b51d58a35cb0609cedb535e3c59599f222374fbbb88e273/DHNT___GD.pdf")</f>
        <v>https://api.typeform.com/responses/files/2f34efcafbb797967b51d58a35cb0609cedb535e3c59599f222374fbbb88e273/DHNT___GD.pdf</v>
      </c>
      <c r="Y47" s="136">
        <v>46136.227118055554</v>
      </c>
      <c r="Z47" s="35" t="s">
        <v>1766</v>
      </c>
      <c r="AA47" s="137">
        <v>2.0</v>
      </c>
      <c r="AB47" s="139" t="s">
        <v>6381</v>
      </c>
      <c r="AC47" s="28" t="s">
        <v>6377</v>
      </c>
      <c r="AD47" s="27"/>
      <c r="AE47" s="28" t="s">
        <v>6379</v>
      </c>
      <c r="AF47" s="137" t="str">
        <f t="shared" si="4"/>
        <v>Nhiên</v>
      </c>
      <c r="AG47" s="35"/>
      <c r="AH47" s="137"/>
      <c r="AI47" s="137"/>
      <c r="AJ47" s="137"/>
      <c r="AK47" s="137"/>
      <c r="AL47" s="137"/>
      <c r="AM47" s="137"/>
      <c r="AN47" s="137"/>
      <c r="AO47" s="137"/>
      <c r="AP47" s="137"/>
      <c r="AQ47" s="137"/>
      <c r="AR47" s="137"/>
      <c r="AS47" s="137"/>
      <c r="AT47" s="137"/>
      <c r="AU47" s="137"/>
      <c r="AV47" s="137"/>
      <c r="AW47" s="137"/>
      <c r="AX47" s="137"/>
      <c r="AY47" s="137"/>
      <c r="AZ47" s="137"/>
      <c r="BA47" s="137"/>
    </row>
    <row r="48" ht="17.25" hidden="1" customHeight="1">
      <c r="A48" s="35" t="s">
        <v>3520</v>
      </c>
      <c r="B48" s="132">
        <v>38554.0</v>
      </c>
      <c r="C48" s="35" t="s">
        <v>3521</v>
      </c>
      <c r="D48" s="133" t="s">
        <v>3522</v>
      </c>
      <c r="E48" s="35" t="s">
        <v>82</v>
      </c>
      <c r="F48" s="35"/>
      <c r="G48" s="35" t="s">
        <v>3523</v>
      </c>
      <c r="H48" s="35" t="s">
        <v>3524</v>
      </c>
      <c r="I48" s="35" t="s">
        <v>85</v>
      </c>
      <c r="J48" s="35"/>
      <c r="K48" s="35" t="s">
        <v>219</v>
      </c>
      <c r="L48" s="35" t="s">
        <v>220</v>
      </c>
      <c r="M48" s="134">
        <v>46388.0</v>
      </c>
      <c r="N48" s="133" t="s">
        <v>1583</v>
      </c>
      <c r="O48" s="135" t="str">
        <f>HYPERLINK("https://api.typeform.com/responses/files/255e5cbffa6645c86f1fdc8a1835a47854db0aea59bcf97108502c351da73e6e/Bảng_điểm_Tran_Dai_Hai.pdf")</f>
        <v>https://api.typeform.com/responses/files/255e5cbffa6645c86f1fdc8a1835a47854db0aea59bcf97108502c351da73e6e/Bảng_điểm_Tran_Dai_Hai.pdf</v>
      </c>
      <c r="P48" s="35" t="b">
        <v>1</v>
      </c>
      <c r="Q48" s="35" t="s">
        <v>3525</v>
      </c>
      <c r="R48" s="35" t="s">
        <v>3526</v>
      </c>
      <c r="S48" s="35" t="s">
        <v>72</v>
      </c>
      <c r="T48" s="35" t="s">
        <v>72</v>
      </c>
      <c r="U48" s="35" t="s">
        <v>90</v>
      </c>
      <c r="V48" s="35"/>
      <c r="W48" s="35" t="s">
        <v>3527</v>
      </c>
      <c r="X48" s="135" t="str">
        <f>HYPERLINK("https://api.typeform.com/responses/files/c0b7cb95bba05f6cd4b33daedf94d486a797fdb8f08a7138b7274b864f0b01ad/CV_Data_Analysis_Intern_TranDaiHai.pdf")</f>
        <v>https://api.typeform.com/responses/files/c0b7cb95bba05f6cd4b33daedf94d486a797fdb8f08a7138b7274b864f0b01ad/CV_Data_Analysis_Intern_TranDaiHai.pdf</v>
      </c>
      <c r="Y48" s="136">
        <v>46140.46277777778</v>
      </c>
      <c r="Z48" s="35" t="s">
        <v>3528</v>
      </c>
      <c r="AA48" s="137">
        <v>2.0</v>
      </c>
      <c r="AB48" s="137" t="s">
        <v>93</v>
      </c>
      <c r="AC48" s="28" t="s">
        <v>6377</v>
      </c>
      <c r="AD48" s="27"/>
      <c r="AE48" s="28" t="s">
        <v>6403</v>
      </c>
      <c r="AF48" s="137" t="str">
        <f t="shared" si="4"/>
        <v>Quỳnh</v>
      </c>
      <c r="AG48" s="35"/>
      <c r="AH48" s="137"/>
      <c r="AI48" s="137"/>
      <c r="AJ48" s="137"/>
      <c r="AK48" s="137"/>
      <c r="AL48" s="137"/>
      <c r="AM48" s="137"/>
      <c r="AN48" s="137"/>
      <c r="AO48" s="137"/>
      <c r="AP48" s="137"/>
      <c r="AQ48" s="137"/>
      <c r="AR48" s="137"/>
      <c r="AS48" s="137"/>
      <c r="AT48" s="137"/>
      <c r="AU48" s="137"/>
      <c r="AV48" s="137"/>
      <c r="AW48" s="137"/>
      <c r="AX48" s="137"/>
      <c r="AY48" s="137"/>
      <c r="AZ48" s="137"/>
      <c r="BA48" s="137"/>
    </row>
    <row r="49" ht="17.25" hidden="1" customHeight="1">
      <c r="A49" s="35" t="s">
        <v>1778</v>
      </c>
      <c r="B49" s="132">
        <v>38398.0</v>
      </c>
      <c r="C49" s="35" t="s">
        <v>1779</v>
      </c>
      <c r="D49" s="133" t="s">
        <v>1780</v>
      </c>
      <c r="E49" s="35" t="s">
        <v>61</v>
      </c>
      <c r="F49" s="35" t="s">
        <v>62</v>
      </c>
      <c r="G49" s="35" t="s">
        <v>1781</v>
      </c>
      <c r="H49" s="35" t="s">
        <v>1782</v>
      </c>
      <c r="I49" s="35" t="s">
        <v>715</v>
      </c>
      <c r="J49" s="35"/>
      <c r="K49" s="35" t="s">
        <v>219</v>
      </c>
      <c r="L49" s="35" t="s">
        <v>399</v>
      </c>
      <c r="M49" s="134">
        <v>46514.0</v>
      </c>
      <c r="N49" s="133" t="s">
        <v>317</v>
      </c>
      <c r="O49" s="135" t="str">
        <f>HYPERLINK("https://api.typeform.com/responses/files/c4b19cc25d48a9f9db63bc6e2d18db1c4824924e0547a8a63c61e6d5f57e22b3/Transcript_Unity_Development_Intern_Nguyễn_Vạn_Xuân.pdf")</f>
        <v>https://api.typeform.com/responses/files/c4b19cc25d48a9f9db63bc6e2d18db1c4824924e0547a8a63c61e6d5f57e22b3/Transcript_Unity_Development_Intern_Nguyễn_Vạn_Xuân.pdf</v>
      </c>
      <c r="P49" s="35" t="b">
        <v>1</v>
      </c>
      <c r="Q49" s="43" t="s">
        <v>1783</v>
      </c>
      <c r="R49" s="35" t="s">
        <v>1784</v>
      </c>
      <c r="S49" s="35" t="s">
        <v>72</v>
      </c>
      <c r="T49" s="35" t="s">
        <v>72</v>
      </c>
      <c r="U49" s="35" t="s">
        <v>269</v>
      </c>
      <c r="V49" s="35"/>
      <c r="W49" s="35" t="s">
        <v>1785</v>
      </c>
      <c r="X49" s="135" t="str">
        <f>HYPERLINK("https://api.typeform.com/responses/files/27aeec639985f7ea3c57b1ad1182995701f0515e4f1d3dbc1874535177cc3248/CV_Unity_Development_Intern_Nguyễn_Vạn_Xuân.pdf")</f>
        <v>https://api.typeform.com/responses/files/27aeec639985f7ea3c57b1ad1182995701f0515e4f1d3dbc1874535177cc3248/CV_Unity_Development_Intern_Nguyễn_Vạn_Xuân.pdf</v>
      </c>
      <c r="Y49" s="136">
        <v>46136.23008101852</v>
      </c>
      <c r="Z49" s="35" t="s">
        <v>1786</v>
      </c>
      <c r="AA49" s="137">
        <v>2.0</v>
      </c>
      <c r="AB49" s="137" t="s">
        <v>93</v>
      </c>
      <c r="AC49" s="28" t="s">
        <v>6377</v>
      </c>
      <c r="AD49" s="28" t="s">
        <v>6501</v>
      </c>
      <c r="AE49" s="28" t="s">
        <v>6379</v>
      </c>
      <c r="AF49" s="137" t="str">
        <f t="shared" si="4"/>
        <v>Quỳnh</v>
      </c>
      <c r="AG49" s="35"/>
      <c r="AH49" s="137"/>
      <c r="AI49" s="137"/>
      <c r="AJ49" s="137"/>
      <c r="AK49" s="137"/>
      <c r="AL49" s="137"/>
      <c r="AM49" s="137"/>
      <c r="AN49" s="137"/>
      <c r="AO49" s="137"/>
      <c r="AP49" s="137"/>
      <c r="AQ49" s="137"/>
      <c r="AR49" s="137"/>
      <c r="AS49" s="137"/>
      <c r="AT49" s="137"/>
      <c r="AU49" s="137"/>
      <c r="AV49" s="137"/>
      <c r="AW49" s="137"/>
      <c r="AX49" s="137"/>
      <c r="AY49" s="137"/>
      <c r="AZ49" s="137"/>
      <c r="BA49" s="137"/>
    </row>
    <row r="50" ht="17.25" hidden="1" customHeight="1">
      <c r="A50" s="140" t="s">
        <v>1958</v>
      </c>
      <c r="B50" s="141">
        <v>38235.0</v>
      </c>
      <c r="C50" s="140" t="s">
        <v>1959</v>
      </c>
      <c r="D50" s="142" t="s">
        <v>1960</v>
      </c>
      <c r="E50" s="140" t="s">
        <v>62</v>
      </c>
      <c r="F50" s="140" t="s">
        <v>82</v>
      </c>
      <c r="G50" s="140" t="s">
        <v>1961</v>
      </c>
      <c r="H50" s="140" t="s">
        <v>1962</v>
      </c>
      <c r="I50" s="140" t="s">
        <v>1069</v>
      </c>
      <c r="J50" s="140"/>
      <c r="K50" s="140" t="s">
        <v>67</v>
      </c>
      <c r="L50" s="140" t="s">
        <v>624</v>
      </c>
      <c r="M50" s="143">
        <v>46544.0</v>
      </c>
      <c r="N50" s="142" t="s">
        <v>1686</v>
      </c>
      <c r="O50" s="144" t="str">
        <f>HYPERLINK("https://api.typeform.com/responses/files/36dbd07f5c2ef9d6d53657cf4975b2836fcac711ca93aad780f766bea253c461/Transcript_AI_Engineer_Intern_NgoQuangMinh.pdf")</f>
        <v>https://api.typeform.com/responses/files/36dbd07f5c2ef9d6d53657cf4975b2836fcac711ca93aad780f766bea253c461/Transcript_AI_Engineer_Intern_NgoQuangMinh.pdf</v>
      </c>
      <c r="P50" s="140" t="b">
        <v>1</v>
      </c>
      <c r="Q50" s="161" t="s">
        <v>1963</v>
      </c>
      <c r="R50" s="140" t="s">
        <v>1964</v>
      </c>
      <c r="S50" s="140" t="s">
        <v>72</v>
      </c>
      <c r="T50" s="140" t="s">
        <v>72</v>
      </c>
      <c r="U50" s="140" t="s">
        <v>269</v>
      </c>
      <c r="V50" s="140"/>
      <c r="W50" s="140" t="s">
        <v>1965</v>
      </c>
      <c r="X50" s="144" t="str">
        <f>HYPERLINK("https://api.typeform.com/responses/files/d000a9351138af1e1162ba320edfade993daf3434fbd3422112f2c5940ee5a36/CV_AIEngineer_NgoQuangMinh.pdf")</f>
        <v>https://api.typeform.com/responses/files/d000a9351138af1e1162ba320edfade993daf3434fbd3422112f2c5940ee5a36/CV_AIEngineer_NgoQuangMinh.pdf</v>
      </c>
      <c r="Y50" s="145">
        <v>46136.41596064815</v>
      </c>
      <c r="Z50" s="140" t="s">
        <v>1966</v>
      </c>
      <c r="AA50" s="146">
        <v>2.0</v>
      </c>
      <c r="AB50" s="147" t="s">
        <v>6381</v>
      </c>
      <c r="AC50" s="70" t="s">
        <v>6376</v>
      </c>
      <c r="AD50" s="148"/>
      <c r="AE50" s="70"/>
      <c r="AF50" s="146" t="str">
        <f t="shared" si="4"/>
        <v/>
      </c>
      <c r="AG50" s="140"/>
      <c r="AH50" s="146"/>
      <c r="AI50" s="146"/>
      <c r="AJ50" s="146"/>
      <c r="AK50" s="146"/>
      <c r="AL50" s="146"/>
      <c r="AM50" s="146"/>
      <c r="AN50" s="146"/>
      <c r="AO50" s="146"/>
      <c r="AP50" s="146"/>
      <c r="AQ50" s="146"/>
      <c r="AR50" s="146"/>
      <c r="AS50" s="146"/>
      <c r="AT50" s="146"/>
      <c r="AU50" s="146"/>
      <c r="AV50" s="146"/>
      <c r="AW50" s="146"/>
      <c r="AX50" s="146"/>
      <c r="AY50" s="146"/>
      <c r="AZ50" s="146"/>
      <c r="BA50" s="146"/>
    </row>
    <row r="51" ht="17.25" hidden="1" customHeight="1">
      <c r="A51" s="140" t="s">
        <v>3646</v>
      </c>
      <c r="B51" s="141">
        <v>38545.0</v>
      </c>
      <c r="C51" s="140" t="s">
        <v>3647</v>
      </c>
      <c r="D51" s="142" t="s">
        <v>3648</v>
      </c>
      <c r="E51" s="140" t="s">
        <v>62</v>
      </c>
      <c r="F51" s="140" t="s">
        <v>99</v>
      </c>
      <c r="G51" s="140" t="s">
        <v>3649</v>
      </c>
      <c r="H51" s="140" t="s">
        <v>3650</v>
      </c>
      <c r="I51" s="140" t="s">
        <v>715</v>
      </c>
      <c r="J51" s="140"/>
      <c r="K51" s="140" t="s">
        <v>219</v>
      </c>
      <c r="L51" s="140" t="s">
        <v>399</v>
      </c>
      <c r="M51" s="143">
        <v>46566.0</v>
      </c>
      <c r="N51" s="142" t="s">
        <v>1686</v>
      </c>
      <c r="O51" s="144" t="str">
        <f>HYPERLINK("https://api.typeform.com/responses/files/e2eda6d7f75cc8b4c6db25ede274e1f31b8a66c83a67d4ba8e18dd33da0176bb/Phòng_Đào_tạo___Academic_Affairs_Office.pdf")</f>
        <v>https://api.typeform.com/responses/files/e2eda6d7f75cc8b4c6db25ede274e1f31b8a66c83a67d4ba8e18dd33da0176bb/Phòng_Đào_tạo___Academic_Affairs_Office.pdf</v>
      </c>
      <c r="P51" s="140" t="b">
        <v>0</v>
      </c>
      <c r="Q51" s="140" t="s">
        <v>222</v>
      </c>
      <c r="R51" s="140" t="s">
        <v>3651</v>
      </c>
      <c r="S51" s="140" t="s">
        <v>72</v>
      </c>
      <c r="T51" s="140" t="s">
        <v>3652</v>
      </c>
      <c r="U51" s="140" t="s">
        <v>2389</v>
      </c>
      <c r="V51" s="140"/>
      <c r="W51" s="140" t="s">
        <v>3653</v>
      </c>
      <c r="X51" s="144" t="str">
        <f>HYPERLINK("https://api.typeform.com/responses/files/b19946b6c647d9e736fd39ba852073f4a37d774c472758564410ca7e62b1298f/Nguyen_Thanh_Phong_CV_imaage_.pdf")</f>
        <v>https://api.typeform.com/responses/files/b19946b6c647d9e736fd39ba852073f4a37d774c472758564410ca7e62b1298f/Nguyen_Thanh_Phong_CV_imaage_.pdf</v>
      </c>
      <c r="Y51" s="145">
        <v>46140.633043981485</v>
      </c>
      <c r="Z51" s="140" t="s">
        <v>3654</v>
      </c>
      <c r="AA51" s="146">
        <v>2.0</v>
      </c>
      <c r="AB51" s="147" t="s">
        <v>6381</v>
      </c>
      <c r="AC51" s="70" t="s">
        <v>6376</v>
      </c>
      <c r="AD51" s="148"/>
      <c r="AE51" s="70"/>
      <c r="AF51" s="146" t="str">
        <f t="shared" si="4"/>
        <v/>
      </c>
      <c r="AG51" s="140"/>
      <c r="AH51" s="146"/>
      <c r="AI51" s="146"/>
      <c r="AJ51" s="146"/>
      <c r="AK51" s="146"/>
      <c r="AL51" s="146"/>
      <c r="AM51" s="146"/>
      <c r="AN51" s="146"/>
      <c r="AO51" s="146"/>
      <c r="AP51" s="146"/>
      <c r="AQ51" s="146"/>
      <c r="AR51" s="146"/>
      <c r="AS51" s="146"/>
      <c r="AT51" s="146"/>
      <c r="AU51" s="146"/>
      <c r="AV51" s="146"/>
      <c r="AW51" s="146"/>
      <c r="AX51" s="146"/>
      <c r="AY51" s="146"/>
      <c r="AZ51" s="146"/>
      <c r="BA51" s="146"/>
    </row>
    <row r="52" ht="17.25" hidden="1" customHeight="1">
      <c r="A52" s="35" t="s">
        <v>1807</v>
      </c>
      <c r="B52" s="132">
        <v>38577.0</v>
      </c>
      <c r="C52" s="35" t="s">
        <v>1808</v>
      </c>
      <c r="D52" s="133" t="s">
        <v>1809</v>
      </c>
      <c r="E52" s="35" t="s">
        <v>61</v>
      </c>
      <c r="F52" s="35" t="s">
        <v>99</v>
      </c>
      <c r="G52" s="35" t="s">
        <v>1810</v>
      </c>
      <c r="H52" s="35" t="s">
        <v>1811</v>
      </c>
      <c r="I52" s="35" t="s">
        <v>715</v>
      </c>
      <c r="J52" s="35"/>
      <c r="K52" s="35" t="s">
        <v>219</v>
      </c>
      <c r="L52" s="35" t="s">
        <v>399</v>
      </c>
      <c r="M52" s="134">
        <v>46692.0</v>
      </c>
      <c r="N52" s="133" t="s">
        <v>1321</v>
      </c>
      <c r="O52" s="135" t="str">
        <f>HYPERLINK("https://api.typeform.com/responses/files/41e439c62e972b26b0b7fe6a63c2bfccbb5f63b0a5183e7e8de9fa9b98905688/Transcript___Unity_Development_Intern___Nguyễn_Thế_Anh.pdf")</f>
        <v>https://api.typeform.com/responses/files/41e439c62e972b26b0b7fe6a63c2bfccbb5f63b0a5183e7e8de9fa9b98905688/Transcript___Unity_Development_Intern___Nguyễn_Thế_Anh.pdf</v>
      </c>
      <c r="P52" s="35" t="b">
        <v>1</v>
      </c>
      <c r="Q52" s="43" t="s">
        <v>1812</v>
      </c>
      <c r="R52" s="35" t="s">
        <v>1813</v>
      </c>
      <c r="S52" s="35" t="s">
        <v>72</v>
      </c>
      <c r="T52" s="35" t="s">
        <v>72</v>
      </c>
      <c r="U52" s="35" t="s">
        <v>269</v>
      </c>
      <c r="V52" s="35"/>
      <c r="W52" s="35" t="s">
        <v>1814</v>
      </c>
      <c r="X52" s="135" t="str">
        <f>HYPERLINK("https://api.typeform.com/responses/files/22eef717f49843147f0b83095d5338bf389a06de53e0ed72639f724719b3e23e/CV___Unity_Development_Intern___Nguyễn_Thế_Anh.pdf")</f>
        <v>https://api.typeform.com/responses/files/22eef717f49843147f0b83095d5338bf389a06de53e0ed72639f724719b3e23e/CV___Unity_Development_Intern___Nguyễn_Thế_Anh.pdf</v>
      </c>
      <c r="Y52" s="136">
        <v>46136.25809027778</v>
      </c>
      <c r="Z52" s="35" t="s">
        <v>1815</v>
      </c>
      <c r="AA52" s="137">
        <v>2.0</v>
      </c>
      <c r="AB52" s="137" t="s">
        <v>93</v>
      </c>
      <c r="AC52" s="28" t="s">
        <v>6377</v>
      </c>
      <c r="AD52" s="27"/>
      <c r="AE52" s="28" t="s">
        <v>6379</v>
      </c>
      <c r="AF52" s="137" t="str">
        <f t="shared" si="4"/>
        <v>Quỳnh</v>
      </c>
      <c r="AG52" s="35"/>
      <c r="AH52" s="137"/>
      <c r="AI52" s="137"/>
      <c r="AJ52" s="137"/>
      <c r="AK52" s="137"/>
      <c r="AL52" s="137"/>
      <c r="AM52" s="137"/>
      <c r="AN52" s="137"/>
      <c r="AO52" s="137"/>
      <c r="AP52" s="137"/>
      <c r="AQ52" s="137"/>
      <c r="AR52" s="137"/>
      <c r="AS52" s="137"/>
      <c r="AT52" s="137"/>
      <c r="AU52" s="137"/>
      <c r="AV52" s="137"/>
      <c r="AW52" s="137"/>
      <c r="AX52" s="137"/>
      <c r="AY52" s="137"/>
      <c r="AZ52" s="137"/>
      <c r="BA52" s="137"/>
    </row>
    <row r="53" ht="17.25" hidden="1" customHeight="1">
      <c r="A53" s="140" t="s">
        <v>1930</v>
      </c>
      <c r="B53" s="141">
        <v>37545.0</v>
      </c>
      <c r="C53" s="140" t="s">
        <v>1931</v>
      </c>
      <c r="D53" s="142" t="s">
        <v>1932</v>
      </c>
      <c r="E53" s="140" t="s">
        <v>62</v>
      </c>
      <c r="F53" s="140" t="s">
        <v>62</v>
      </c>
      <c r="G53" s="140" t="s">
        <v>1933</v>
      </c>
      <c r="H53" s="140" t="s">
        <v>1934</v>
      </c>
      <c r="I53" s="140" t="s">
        <v>65</v>
      </c>
      <c r="J53" s="140" t="s">
        <v>349</v>
      </c>
      <c r="K53" s="140" t="s">
        <v>103</v>
      </c>
      <c r="L53" s="140" t="s">
        <v>412</v>
      </c>
      <c r="M53" s="143">
        <v>45983.0</v>
      </c>
      <c r="N53" s="142" t="s">
        <v>1935</v>
      </c>
      <c r="O53" s="144" t="str">
        <f>HYPERLINK("https://api.typeform.com/responses/files/8ea9dbf7744b5e97d5ab4b9470f0be1ae88eb8e059fb2b08e685e55ca2998810/Transcript___AI_Intern___Hoàng_Thanh_Lâm.pdf")</f>
        <v>https://api.typeform.com/responses/files/8ea9dbf7744b5e97d5ab4b9470f0be1ae88eb8e059fb2b08e685e55ca2998810/Transcript___AI_Intern___Hoàng_Thanh_Lâm.pdf</v>
      </c>
      <c r="P53" s="140" t="b">
        <v>1</v>
      </c>
      <c r="Q53" s="161" t="s">
        <v>1936</v>
      </c>
      <c r="R53" s="140" t="s">
        <v>1937</v>
      </c>
      <c r="S53" s="140" t="s">
        <v>72</v>
      </c>
      <c r="T53" s="140" t="s">
        <v>72</v>
      </c>
      <c r="U53" s="140" t="s">
        <v>90</v>
      </c>
      <c r="V53" s="140"/>
      <c r="W53" s="140" t="s">
        <v>1938</v>
      </c>
      <c r="X53" s="144" t="str">
        <f>HYPERLINK("https://api.typeform.com/responses/files/3644b02b007f257358dcf0b77c47fa4282638f12a0e5ec904fd4f1367660b2a8/HoangThanhLam_AI.pdf")</f>
        <v>https://api.typeform.com/responses/files/3644b02b007f257358dcf0b77c47fa4282638f12a0e5ec904fd4f1367660b2a8/HoangThanhLam_AI.pdf</v>
      </c>
      <c r="Y53" s="145">
        <v>46136.36142361111</v>
      </c>
      <c r="Z53" s="140" t="s">
        <v>1939</v>
      </c>
      <c r="AA53" s="146">
        <v>2.0</v>
      </c>
      <c r="AB53" s="147" t="s">
        <v>6381</v>
      </c>
      <c r="AC53" s="70" t="s">
        <v>6376</v>
      </c>
      <c r="AD53" s="148"/>
      <c r="AE53" s="70"/>
      <c r="AF53" s="146" t="str">
        <f t="shared" si="4"/>
        <v/>
      </c>
      <c r="AG53" s="140"/>
      <c r="AH53" s="146"/>
      <c r="AI53" s="146"/>
      <c r="AJ53" s="146"/>
      <c r="AK53" s="146"/>
      <c r="AL53" s="146"/>
      <c r="AM53" s="146"/>
      <c r="AN53" s="146"/>
      <c r="AO53" s="146"/>
      <c r="AP53" s="146"/>
      <c r="AQ53" s="146"/>
      <c r="AR53" s="146"/>
      <c r="AS53" s="146"/>
      <c r="AT53" s="146"/>
      <c r="AU53" s="146"/>
      <c r="AV53" s="146"/>
      <c r="AW53" s="146"/>
      <c r="AX53" s="146"/>
      <c r="AY53" s="146"/>
      <c r="AZ53" s="146"/>
      <c r="BA53" s="146"/>
    </row>
    <row r="54" ht="17.25" hidden="1" customHeight="1">
      <c r="A54" s="149" t="s">
        <v>1825</v>
      </c>
      <c r="B54" s="150">
        <v>37911.0</v>
      </c>
      <c r="C54" s="149" t="s">
        <v>1826</v>
      </c>
      <c r="D54" s="151" t="s">
        <v>1827</v>
      </c>
      <c r="E54" s="149" t="s">
        <v>99</v>
      </c>
      <c r="F54" s="149"/>
      <c r="G54" s="149" t="s">
        <v>1828</v>
      </c>
      <c r="H54" s="149" t="s">
        <v>1829</v>
      </c>
      <c r="I54" s="149" t="s">
        <v>116</v>
      </c>
      <c r="J54" s="149"/>
      <c r="K54" s="149" t="s">
        <v>103</v>
      </c>
      <c r="L54" s="149" t="s">
        <v>1830</v>
      </c>
      <c r="M54" s="152">
        <v>45990.0</v>
      </c>
      <c r="N54" s="151" t="s">
        <v>1524</v>
      </c>
      <c r="O54" s="153" t="str">
        <f>HYPERLINK("https://api.typeform.com/responses/files/daa9f3364f0ddcdbad63991f09afbeda13a19753ddf15e13e500655e18589a86/Transcript___Game_Design_Intern___Nguyễn_Quốc_Anh_Quân.jpg")</f>
        <v>https://api.typeform.com/responses/files/daa9f3364f0ddcdbad63991f09afbeda13a19753ddf15e13e500655e18589a86/Transcript___Game_Design_Intern___Nguyễn_Quốc_Anh_Quân.jpg</v>
      </c>
      <c r="P54" s="149" t="b">
        <v>1</v>
      </c>
      <c r="Q54" s="154" t="s">
        <v>1831</v>
      </c>
      <c r="R54" s="149" t="s">
        <v>1832</v>
      </c>
      <c r="S54" s="149" t="s">
        <v>72</v>
      </c>
      <c r="T54" s="149" t="s">
        <v>72</v>
      </c>
      <c r="U54" s="149" t="s">
        <v>73</v>
      </c>
      <c r="V54" s="149"/>
      <c r="W54" s="149" t="s">
        <v>1833</v>
      </c>
      <c r="X54" s="153" t="str">
        <f>HYPERLINK("https://api.typeform.com/responses/files/9568a81a5135a921775336fedb5a8672c18977908b41bd017bac05916c87c5a6/CV___Game_Design_Intern___Nguyễn_Quốc_Anh_Quân.pdf")</f>
        <v>https://api.typeform.com/responses/files/9568a81a5135a921775336fedb5a8672c18977908b41bd017bac05916c87c5a6/CV___Game_Design_Intern___Nguyễn_Quốc_Anh_Quân.pdf</v>
      </c>
      <c r="Y54" s="155">
        <v>46136.270150462966</v>
      </c>
      <c r="Z54" s="149" t="s">
        <v>1834</v>
      </c>
      <c r="AA54" s="156">
        <v>2.0</v>
      </c>
      <c r="AB54" s="157" t="s">
        <v>6381</v>
      </c>
      <c r="AC54" s="92" t="s">
        <v>6376</v>
      </c>
      <c r="AD54" s="158"/>
      <c r="AE54" s="92"/>
      <c r="AF54" s="137" t="str">
        <f t="shared" si="4"/>
        <v/>
      </c>
      <c r="AG54" s="149"/>
      <c r="AH54" s="156"/>
      <c r="AI54" s="156"/>
      <c r="AJ54" s="156"/>
      <c r="AK54" s="156"/>
      <c r="AL54" s="156"/>
      <c r="AM54" s="156"/>
      <c r="AN54" s="156"/>
      <c r="AO54" s="156"/>
      <c r="AP54" s="156"/>
      <c r="AQ54" s="156"/>
      <c r="AR54" s="156"/>
      <c r="AS54" s="156"/>
      <c r="AT54" s="156"/>
      <c r="AU54" s="156"/>
      <c r="AV54" s="156"/>
      <c r="AW54" s="156"/>
      <c r="AX54" s="156"/>
      <c r="AY54" s="156"/>
      <c r="AZ54" s="156"/>
      <c r="BA54" s="156"/>
    </row>
    <row r="55" ht="17.25" hidden="1" customHeight="1">
      <c r="A55" s="140" t="s">
        <v>4064</v>
      </c>
      <c r="B55" s="141">
        <v>38285.0</v>
      </c>
      <c r="C55" s="140" t="s">
        <v>4065</v>
      </c>
      <c r="D55" s="142" t="s">
        <v>4066</v>
      </c>
      <c r="E55" s="140" t="s">
        <v>62</v>
      </c>
      <c r="F55" s="140" t="s">
        <v>82</v>
      </c>
      <c r="G55" s="140" t="s">
        <v>4067</v>
      </c>
      <c r="H55" s="140" t="s">
        <v>4068</v>
      </c>
      <c r="I55" s="140" t="s">
        <v>244</v>
      </c>
      <c r="J55" s="140"/>
      <c r="K55" s="140" t="s">
        <v>103</v>
      </c>
      <c r="L55" s="140" t="s">
        <v>399</v>
      </c>
      <c r="M55" s="143">
        <v>45930.0</v>
      </c>
      <c r="N55" s="142" t="s">
        <v>4069</v>
      </c>
      <c r="O55" s="144" t="str">
        <f>HYPERLINK("https://api.typeform.com/responses/files/87233d5708452ce06be8d9f9f160d21f400a6b0e48dcef025af54471bf9ecf75/Transcript___AI_Engineering_Intern___Nguyễn_Đình_Việt_Hoàng.pdf")</f>
        <v>https://api.typeform.com/responses/files/87233d5708452ce06be8d9f9f160d21f400a6b0e48dcef025af54471bf9ecf75/Transcript___AI_Engineering_Intern___Nguyễn_Đình_Việt_Hoàng.pdf</v>
      </c>
      <c r="P55" s="140" t="b">
        <v>0</v>
      </c>
      <c r="Q55" s="140" t="s">
        <v>4070</v>
      </c>
      <c r="R55" s="140" t="s">
        <v>4071</v>
      </c>
      <c r="S55" s="140" t="s">
        <v>72</v>
      </c>
      <c r="T55" s="140" t="s">
        <v>72</v>
      </c>
      <c r="U55" s="140" t="s">
        <v>73</v>
      </c>
      <c r="V55" s="140"/>
      <c r="W55" s="140"/>
      <c r="X55" s="144" t="str">
        <f>HYPERLINK("https://api.typeform.com/responses/files/ab976404941f7e211205d225136058918e6301881e757faea14238fba2a55215/CV_AI_Engineering_Intern_NguyenDinhVietHoang.pdf")</f>
        <v>https://api.typeform.com/responses/files/ab976404941f7e211205d225136058918e6301881e757faea14238fba2a55215/CV_AI_Engineering_Intern_NguyenDinhVietHoang.pdf</v>
      </c>
      <c r="Y55" s="145">
        <v>46141.75680555555</v>
      </c>
      <c r="Z55" s="140" t="s">
        <v>4072</v>
      </c>
      <c r="AA55" s="146">
        <v>2.0</v>
      </c>
      <c r="AB55" s="147" t="s">
        <v>6381</v>
      </c>
      <c r="AC55" s="70" t="s">
        <v>6376</v>
      </c>
      <c r="AD55" s="148"/>
      <c r="AE55" s="70"/>
      <c r="AF55" s="146" t="str">
        <f t="shared" si="4"/>
        <v/>
      </c>
      <c r="AG55" s="140"/>
      <c r="AH55" s="146"/>
      <c r="AI55" s="146"/>
      <c r="AJ55" s="146"/>
      <c r="AK55" s="146"/>
      <c r="AL55" s="146"/>
      <c r="AM55" s="146"/>
      <c r="AN55" s="146"/>
      <c r="AO55" s="146"/>
      <c r="AP55" s="146"/>
      <c r="AQ55" s="146"/>
      <c r="AR55" s="146"/>
      <c r="AS55" s="146"/>
      <c r="AT55" s="146"/>
      <c r="AU55" s="146"/>
      <c r="AV55" s="146"/>
      <c r="AW55" s="146"/>
      <c r="AX55" s="146"/>
      <c r="AY55" s="146"/>
      <c r="AZ55" s="146"/>
      <c r="BA55" s="146"/>
    </row>
    <row r="56" ht="17.25" hidden="1" customHeight="1">
      <c r="A56" s="35" t="s">
        <v>1846</v>
      </c>
      <c r="B56" s="132">
        <v>38627.0</v>
      </c>
      <c r="C56" s="35" t="s">
        <v>1847</v>
      </c>
      <c r="D56" s="133" t="s">
        <v>1848</v>
      </c>
      <c r="E56" s="35" t="s">
        <v>61</v>
      </c>
      <c r="F56" s="35" t="s">
        <v>99</v>
      </c>
      <c r="G56" s="35" t="s">
        <v>1849</v>
      </c>
      <c r="H56" s="35" t="s">
        <v>1850</v>
      </c>
      <c r="I56" s="35" t="s">
        <v>85</v>
      </c>
      <c r="J56" s="35"/>
      <c r="K56" s="35" t="s">
        <v>219</v>
      </c>
      <c r="L56" s="35" t="s">
        <v>1851</v>
      </c>
      <c r="M56" s="134">
        <v>46722.0</v>
      </c>
      <c r="N56" s="133" t="s">
        <v>1852</v>
      </c>
      <c r="O56" s="135" t="str">
        <f>HYPERLINK("https://api.typeform.com/responses/files/5a7ba1a6db9a45d610b9b04d5a58a2615dc1c6ddf19286b4256893c2aae6b0d5/Transcript___Unity_Development_Intern___Game_Design_Intern___Nguyễn_Võ_Ngọc_Bảo.pdf")</f>
        <v>https://api.typeform.com/responses/files/5a7ba1a6db9a45d610b9b04d5a58a2615dc1c6ddf19286b4256893c2aae6b0d5/Transcript___Unity_Development_Intern___Game_Design_Intern___Nguyễn_Võ_Ngọc_Bảo.pdf</v>
      </c>
      <c r="P56" s="35" t="b">
        <v>1</v>
      </c>
      <c r="Q56" s="43" t="s">
        <v>1853</v>
      </c>
      <c r="R56" s="35" t="s">
        <v>1854</v>
      </c>
      <c r="S56" s="35" t="s">
        <v>72</v>
      </c>
      <c r="T56" s="35" t="s">
        <v>72</v>
      </c>
      <c r="U56" s="35" t="s">
        <v>269</v>
      </c>
      <c r="V56" s="35"/>
      <c r="W56" s="35" t="s">
        <v>1855</v>
      </c>
      <c r="X56" s="135" t="str">
        <f>HYPERLINK("https://api.typeform.com/responses/files/6fe800b2b1e34aecdbc5fbb93f3931848b3c34993a6f4277afecb8e8ba97b8b3/CV___Unity_Development_Intern___Game_Design_Intern___Nguyễn_Võ_Ngọc_Bảo.pdf")</f>
        <v>https://api.typeform.com/responses/files/6fe800b2b1e34aecdbc5fbb93f3931848b3c34993a6f4277afecb8e8ba97b8b3/CV___Unity_Development_Intern___Game_Design_Intern___Nguyễn_Võ_Ngọc_Bảo.pdf</v>
      </c>
      <c r="Y56" s="136">
        <v>46136.3034375</v>
      </c>
      <c r="Z56" s="35" t="s">
        <v>1856</v>
      </c>
      <c r="AA56" s="137">
        <v>2.0</v>
      </c>
      <c r="AB56" s="137" t="s">
        <v>93</v>
      </c>
      <c r="AC56" s="28" t="s">
        <v>6377</v>
      </c>
      <c r="AD56" s="27"/>
      <c r="AE56" s="28" t="s">
        <v>6379</v>
      </c>
      <c r="AF56" s="137" t="str">
        <f t="shared" si="4"/>
        <v>Quỳnh</v>
      </c>
      <c r="AG56" s="35"/>
      <c r="AH56" s="137"/>
      <c r="AI56" s="137"/>
      <c r="AJ56" s="137"/>
      <c r="AK56" s="137"/>
      <c r="AL56" s="137"/>
      <c r="AM56" s="137"/>
      <c r="AN56" s="137"/>
      <c r="AO56" s="137"/>
      <c r="AP56" s="137"/>
      <c r="AQ56" s="137"/>
      <c r="AR56" s="137"/>
      <c r="AS56" s="137"/>
      <c r="AT56" s="137"/>
      <c r="AU56" s="137"/>
      <c r="AV56" s="137"/>
      <c r="AW56" s="137"/>
      <c r="AX56" s="137"/>
      <c r="AY56" s="137"/>
      <c r="AZ56" s="137"/>
      <c r="BA56" s="137"/>
    </row>
    <row r="57" ht="17.25" hidden="1" customHeight="1">
      <c r="A57" s="35" t="s">
        <v>1857</v>
      </c>
      <c r="B57" s="132">
        <v>38277.0</v>
      </c>
      <c r="C57" s="35" t="s">
        <v>1858</v>
      </c>
      <c r="D57" s="133" t="s">
        <v>1859</v>
      </c>
      <c r="E57" s="35" t="s">
        <v>127</v>
      </c>
      <c r="F57" s="35" t="s">
        <v>62</v>
      </c>
      <c r="G57" s="35" t="s">
        <v>1860</v>
      </c>
      <c r="H57" s="35" t="s">
        <v>1861</v>
      </c>
      <c r="I57" s="35" t="s">
        <v>715</v>
      </c>
      <c r="J57" s="35"/>
      <c r="K57" s="35" t="s">
        <v>219</v>
      </c>
      <c r="L57" s="35" t="s">
        <v>399</v>
      </c>
      <c r="M57" s="134">
        <v>46569.0</v>
      </c>
      <c r="N57" s="133" t="s">
        <v>1862</v>
      </c>
      <c r="O57" s="135" t="str">
        <f>HYPERLINK("https://api.typeform.com/responses/files/2fb834cb4b2d5d58d06dbfa40f8f690f366e51ef894fc036789cf15b2f3c91cd/Transcript___Game_Quality_Assurance___Bui_Dinh_An_Loc.pdf")</f>
        <v>https://api.typeform.com/responses/files/2fb834cb4b2d5d58d06dbfa40f8f690f366e51ef894fc036789cf15b2f3c91cd/Transcript___Game_Quality_Assurance___Bui_Dinh_An_Loc.pdf</v>
      </c>
      <c r="P57" s="35" t="b">
        <v>1</v>
      </c>
      <c r="Q57" s="43" t="s">
        <v>1863</v>
      </c>
      <c r="R57" s="35" t="s">
        <v>1864</v>
      </c>
      <c r="S57" s="35" t="s">
        <v>72</v>
      </c>
      <c r="T57" s="35" t="s">
        <v>72</v>
      </c>
      <c r="U57" s="35" t="s">
        <v>90</v>
      </c>
      <c r="V57" s="35"/>
      <c r="W57" s="35" t="s">
        <v>1865</v>
      </c>
      <c r="X57" s="135" t="str">
        <f>HYPERLINK("https://api.typeform.com/responses/files/cfdb7ea3485d356b18aecf1fadc5ba4825cb0b3c5fbd962d3343ecb697e665b7/CV___Game_Quality_Assurance___Bui_Dinh_An_Loc.pdf")</f>
        <v>https://api.typeform.com/responses/files/cfdb7ea3485d356b18aecf1fadc5ba4825cb0b3c5fbd962d3343ecb697e665b7/CV___Game_Quality_Assurance___Bui_Dinh_An_Loc.pdf</v>
      </c>
      <c r="Y57" s="136">
        <v>46136.30902777778</v>
      </c>
      <c r="Z57" s="35" t="s">
        <v>1866</v>
      </c>
      <c r="AA57" s="137">
        <v>2.0</v>
      </c>
      <c r="AB57" s="137" t="s">
        <v>93</v>
      </c>
      <c r="AC57" s="28" t="s">
        <v>6376</v>
      </c>
      <c r="AD57" s="28" t="s">
        <v>6502</v>
      </c>
      <c r="AE57" s="28"/>
      <c r="AF57" s="137" t="str">
        <f t="shared" si="4"/>
        <v/>
      </c>
      <c r="AG57" s="35"/>
      <c r="AH57" s="137"/>
      <c r="AI57" s="137"/>
      <c r="AJ57" s="137"/>
      <c r="AK57" s="137"/>
      <c r="AL57" s="137"/>
      <c r="AM57" s="137"/>
      <c r="AN57" s="137"/>
      <c r="AO57" s="137"/>
      <c r="AP57" s="137"/>
      <c r="AQ57" s="137"/>
      <c r="AR57" s="137"/>
      <c r="AS57" s="137"/>
      <c r="AT57" s="137"/>
      <c r="AU57" s="137"/>
      <c r="AV57" s="137"/>
      <c r="AW57" s="137"/>
      <c r="AX57" s="137"/>
      <c r="AY57" s="137"/>
      <c r="AZ57" s="137"/>
      <c r="BA57" s="137"/>
    </row>
    <row r="58" ht="17.25" hidden="1" customHeight="1">
      <c r="A58" s="35" t="s">
        <v>1867</v>
      </c>
      <c r="B58" s="132">
        <v>38153.0</v>
      </c>
      <c r="C58" s="35" t="s">
        <v>1868</v>
      </c>
      <c r="D58" s="133" t="s">
        <v>1869</v>
      </c>
      <c r="E58" s="35" t="s">
        <v>127</v>
      </c>
      <c r="F58" s="35" t="s">
        <v>99</v>
      </c>
      <c r="G58" s="35" t="s">
        <v>1870</v>
      </c>
      <c r="H58" s="35" t="s">
        <v>1871</v>
      </c>
      <c r="I58" s="35" t="s">
        <v>65</v>
      </c>
      <c r="J58" s="35" t="s">
        <v>1872</v>
      </c>
      <c r="K58" s="35" t="s">
        <v>67</v>
      </c>
      <c r="L58" s="35" t="s">
        <v>909</v>
      </c>
      <c r="M58" s="134">
        <v>46280.0</v>
      </c>
      <c r="N58" s="35" t="s">
        <v>1873</v>
      </c>
      <c r="O58" s="135" t="str">
        <f>HYPERLINK("https://api.typeform.com/responses/files/3e1e6d282fd5db8865c853012ccf0e6a5803e8e49320ff8fe93ea79ea007e117/Transcript___Game_Quality_Assurance_Intern___Lê_Thành_Công.xlsx")</f>
        <v>https://api.typeform.com/responses/files/3e1e6d282fd5db8865c853012ccf0e6a5803e8e49320ff8fe93ea79ea007e117/Transcript___Game_Quality_Assurance_Intern___Lê_Thành_Công.xlsx</v>
      </c>
      <c r="P58" s="35" t="b">
        <v>1</v>
      </c>
      <c r="Q58" s="43" t="s">
        <v>1874</v>
      </c>
      <c r="R58" s="35" t="s">
        <v>1875</v>
      </c>
      <c r="S58" s="35" t="s">
        <v>72</v>
      </c>
      <c r="T58" s="35" t="s">
        <v>72</v>
      </c>
      <c r="U58" s="35" t="s">
        <v>90</v>
      </c>
      <c r="V58" s="35"/>
      <c r="W58" s="35" t="s">
        <v>1876</v>
      </c>
      <c r="X58" s="135" t="str">
        <f>HYPERLINK("https://api.typeform.com/responses/files/3de2ff45629517cb53afa44320f437c3060824726e2dadcb2e55fee329faf8c4/CV___Game_Quality_Assurance_Intern___Lê_Thành_Công.pdf")</f>
        <v>https://api.typeform.com/responses/files/3de2ff45629517cb53afa44320f437c3060824726e2dadcb2e55fee329faf8c4/CV___Game_Quality_Assurance_Intern___Lê_Thành_Công.pdf</v>
      </c>
      <c r="Y58" s="136">
        <v>46136.31043981481</v>
      </c>
      <c r="Z58" s="35" t="s">
        <v>1877</v>
      </c>
      <c r="AA58" s="137">
        <v>2.0</v>
      </c>
      <c r="AB58" s="137" t="s">
        <v>93</v>
      </c>
      <c r="AC58" s="28" t="s">
        <v>6377</v>
      </c>
      <c r="AD58" s="28" t="s">
        <v>6503</v>
      </c>
      <c r="AE58" s="28" t="s">
        <v>6379</v>
      </c>
      <c r="AF58" s="137" t="str">
        <f t="shared" si="4"/>
        <v>Quỳnh</v>
      </c>
      <c r="AG58" s="35"/>
      <c r="AH58" s="137"/>
      <c r="AI58" s="137"/>
      <c r="AJ58" s="137"/>
      <c r="AK58" s="137"/>
      <c r="AL58" s="137"/>
      <c r="AM58" s="137"/>
      <c r="AN58" s="137"/>
      <c r="AO58" s="137"/>
      <c r="AP58" s="137"/>
      <c r="AQ58" s="137"/>
      <c r="AR58" s="137"/>
      <c r="AS58" s="137"/>
      <c r="AT58" s="137"/>
      <c r="AU58" s="137"/>
      <c r="AV58" s="137"/>
      <c r="AW58" s="137"/>
      <c r="AX58" s="137"/>
      <c r="AY58" s="137"/>
      <c r="AZ58" s="137"/>
      <c r="BA58" s="137"/>
    </row>
    <row r="59" ht="17.25" hidden="1" customHeight="1">
      <c r="A59" s="35" t="s">
        <v>4056</v>
      </c>
      <c r="B59" s="132">
        <v>38455.0</v>
      </c>
      <c r="C59" s="35" t="s">
        <v>4057</v>
      </c>
      <c r="D59" s="133" t="s">
        <v>4058</v>
      </c>
      <c r="E59" s="35" t="s">
        <v>82</v>
      </c>
      <c r="F59" s="35" t="s">
        <v>774</v>
      </c>
      <c r="G59" s="35" t="s">
        <v>4059</v>
      </c>
      <c r="H59" s="35" t="s">
        <v>4060</v>
      </c>
      <c r="I59" s="35" t="s">
        <v>85</v>
      </c>
      <c r="J59" s="35"/>
      <c r="K59" s="35" t="s">
        <v>219</v>
      </c>
      <c r="L59" s="35" t="s">
        <v>726</v>
      </c>
      <c r="M59" s="134">
        <v>38455.0</v>
      </c>
      <c r="N59" s="133" t="s">
        <v>1291</v>
      </c>
      <c r="O59" s="135" t="str">
        <f>HYPERLINK("https://api.typeform.com/responses/files/4f829ff9d06f5d2febf1c7c0bf9e6334782970b55c4be61771adaae121c0cb47/Transcript.pdf")</f>
        <v>https://api.typeform.com/responses/files/4f829ff9d06f5d2febf1c7c0bf9e6334782970b55c4be61771adaae121c0cb47/Transcript.pdf</v>
      </c>
      <c r="P59" s="35" t="b">
        <v>0</v>
      </c>
      <c r="Q59" s="35" t="s">
        <v>222</v>
      </c>
      <c r="R59" s="35" t="s">
        <v>4061</v>
      </c>
      <c r="S59" s="35" t="s">
        <v>72</v>
      </c>
      <c r="T59" s="35" t="s">
        <v>72</v>
      </c>
      <c r="U59" s="35" t="s">
        <v>269</v>
      </c>
      <c r="V59" s="35"/>
      <c r="W59" s="35" t="s">
        <v>4062</v>
      </c>
      <c r="X59" s="135" t="str">
        <f>HYPERLINK("https://api.typeform.com/responses/files/39a3bd88d0298c65b3530c10c7c67391b7895fd8b5571d04496a4921597a346d/CV___Data_Analysis_Intern___Nguyễn_Thị_Hồng_Nhung.pdf")</f>
        <v>https://api.typeform.com/responses/files/39a3bd88d0298c65b3530c10c7c67391b7895fd8b5571d04496a4921597a346d/CV___Data_Analysis_Intern___Nguyễn_Thị_Hồng_Nhung.pdf</v>
      </c>
      <c r="Y59" s="136">
        <v>46141.70946759259</v>
      </c>
      <c r="Z59" s="35" t="s">
        <v>4063</v>
      </c>
      <c r="AA59" s="137">
        <v>2.0</v>
      </c>
      <c r="AB59" s="137" t="s">
        <v>93</v>
      </c>
      <c r="AC59" s="28" t="s">
        <v>6376</v>
      </c>
      <c r="AD59" s="27"/>
      <c r="AE59" s="28"/>
      <c r="AF59" s="137" t="str">
        <f t="shared" si="4"/>
        <v/>
      </c>
      <c r="AG59" s="35"/>
      <c r="AH59" s="137"/>
      <c r="AI59" s="137"/>
      <c r="AJ59" s="137"/>
      <c r="AK59" s="137"/>
      <c r="AL59" s="137"/>
      <c r="AM59" s="137"/>
      <c r="AN59" s="137"/>
      <c r="AO59" s="137"/>
      <c r="AP59" s="137"/>
      <c r="AQ59" s="137"/>
      <c r="AR59" s="137"/>
      <c r="AS59" s="137"/>
      <c r="AT59" s="137"/>
      <c r="AU59" s="137"/>
      <c r="AV59" s="137"/>
      <c r="AW59" s="137"/>
      <c r="AX59" s="137"/>
      <c r="AY59" s="137"/>
      <c r="AZ59" s="137"/>
      <c r="BA59" s="137"/>
    </row>
    <row r="60" ht="17.25" hidden="1" customHeight="1">
      <c r="A60" s="140" t="s">
        <v>1887</v>
      </c>
      <c r="B60" s="141">
        <v>39269.0</v>
      </c>
      <c r="C60" s="140" t="s">
        <v>1888</v>
      </c>
      <c r="D60" s="142" t="s">
        <v>1889</v>
      </c>
      <c r="E60" s="140" t="s">
        <v>774</v>
      </c>
      <c r="F60" s="140" t="s">
        <v>99</v>
      </c>
      <c r="G60" s="140" t="s">
        <v>1890</v>
      </c>
      <c r="H60" s="140" t="s">
        <v>1891</v>
      </c>
      <c r="I60" s="140" t="s">
        <v>338</v>
      </c>
      <c r="J60" s="140"/>
      <c r="K60" s="140" t="s">
        <v>1892</v>
      </c>
      <c r="L60" s="140" t="s">
        <v>1893</v>
      </c>
      <c r="M60" s="143">
        <v>47366.0</v>
      </c>
      <c r="N60" s="142" t="s">
        <v>1894</v>
      </c>
      <c r="O60" s="144" t="str">
        <f>HYPERLINK("https://api.typeform.com/responses/files/813e9e03552f70a19dd7e144a5a3146542aef77bd44767957c89e7abe791eccc/bảng_điểm.pdf")</f>
        <v>https://api.typeform.com/responses/files/813e9e03552f70a19dd7e144a5a3146542aef77bd44767957c89e7abe791eccc/bảng_điểm.pdf</v>
      </c>
      <c r="P60" s="140" t="b">
        <v>1</v>
      </c>
      <c r="Q60" s="161" t="s">
        <v>1895</v>
      </c>
      <c r="R60" s="140" t="s">
        <v>1896</v>
      </c>
      <c r="S60" s="140" t="s">
        <v>72</v>
      </c>
      <c r="T60" s="140" t="s">
        <v>72</v>
      </c>
      <c r="U60" s="140" t="s">
        <v>224</v>
      </c>
      <c r="V60" s="140"/>
      <c r="W60" s="140" t="s">
        <v>1897</v>
      </c>
      <c r="X60" s="144" t="str">
        <f>HYPERLINK("https://api.typeform.com/responses/files/ddc50a01be8397f407d65479254922bc5dd1a3e227b35cb52821931304652d58/cv_nguyentanthanh_compressed.pdf")</f>
        <v>https://api.typeform.com/responses/files/ddc50a01be8397f407d65479254922bc5dd1a3e227b35cb52821931304652d58/cv_nguyentanthanh_compressed.pdf</v>
      </c>
      <c r="Y60" s="145">
        <v>46136.34206018518</v>
      </c>
      <c r="Z60" s="140" t="s">
        <v>1898</v>
      </c>
      <c r="AA60" s="146">
        <v>2.0</v>
      </c>
      <c r="AB60" s="146"/>
      <c r="AC60" s="70" t="s">
        <v>6376</v>
      </c>
      <c r="AD60" s="148"/>
      <c r="AE60" s="70"/>
      <c r="AF60" s="137" t="str">
        <f t="shared" si="4"/>
        <v/>
      </c>
      <c r="AG60" s="140"/>
      <c r="AH60" s="146"/>
      <c r="AI60" s="146"/>
      <c r="AJ60" s="146"/>
      <c r="AK60" s="146"/>
      <c r="AL60" s="146"/>
      <c r="AM60" s="146"/>
      <c r="AN60" s="146"/>
      <c r="AO60" s="146"/>
      <c r="AP60" s="146"/>
      <c r="AQ60" s="146"/>
      <c r="AR60" s="146"/>
      <c r="AS60" s="146"/>
      <c r="AT60" s="146"/>
      <c r="AU60" s="146"/>
      <c r="AV60" s="146"/>
      <c r="AW60" s="146"/>
      <c r="AX60" s="146"/>
      <c r="AY60" s="146"/>
      <c r="AZ60" s="146"/>
      <c r="BA60" s="146"/>
    </row>
    <row r="61" ht="17.25" hidden="1" customHeight="1">
      <c r="A61" s="35" t="s">
        <v>1899</v>
      </c>
      <c r="B61" s="132">
        <v>38101.0</v>
      </c>
      <c r="C61" s="35" t="s">
        <v>1900</v>
      </c>
      <c r="D61" s="133" t="s">
        <v>1901</v>
      </c>
      <c r="E61" s="35" t="s">
        <v>774</v>
      </c>
      <c r="F61" s="35"/>
      <c r="G61" s="35" t="s">
        <v>1902</v>
      </c>
      <c r="H61" s="35" t="s">
        <v>1903</v>
      </c>
      <c r="I61" s="35" t="s">
        <v>338</v>
      </c>
      <c r="J61" s="35"/>
      <c r="K61" s="35" t="s">
        <v>67</v>
      </c>
      <c r="L61" s="35" t="s">
        <v>1496</v>
      </c>
      <c r="M61" s="134">
        <v>46244.0</v>
      </c>
      <c r="N61" s="133" t="s">
        <v>901</v>
      </c>
      <c r="O61" s="135" t="str">
        <f>HYPERLINK("https://api.typeform.com/responses/files/bb22ce6a0cc24d8866cc62a2e40c04ecea85d87e0de30d856bb37e49b27777e8/Transcript___Game_User_Acquisition_Intern___Nguyễn_Mai_Phương.pdf")</f>
        <v>https://api.typeform.com/responses/files/bb22ce6a0cc24d8866cc62a2e40c04ecea85d87e0de30d856bb37e49b27777e8/Transcript___Game_User_Acquisition_Intern___Nguyễn_Mai_Phương.pdf</v>
      </c>
      <c r="P61" s="35" t="b">
        <v>0</v>
      </c>
      <c r="Q61" s="43" t="s">
        <v>1904</v>
      </c>
      <c r="R61" s="35" t="s">
        <v>1905</v>
      </c>
      <c r="S61" s="35" t="s">
        <v>72</v>
      </c>
      <c r="T61" s="35" t="s">
        <v>72</v>
      </c>
      <c r="U61" s="35" t="s">
        <v>73</v>
      </c>
      <c r="V61" s="35"/>
      <c r="W61" s="35" t="s">
        <v>1906</v>
      </c>
      <c r="X61" s="135" t="str">
        <f>HYPERLINK("https://api.typeform.com/responses/files/77f65b69612debff73a8e4e0c654e22560abba65d81e63b187fdaee8db7a434b/CV___Game_User_Acquisition_Intern___Nguyễn_Mai_Phương.pdf")</f>
        <v>https://api.typeform.com/responses/files/77f65b69612debff73a8e4e0c654e22560abba65d81e63b187fdaee8db7a434b/CV___Game_User_Acquisition_Intern___Nguyễn_Mai_Phương.pdf</v>
      </c>
      <c r="Y61" s="136">
        <v>46136.34747685185</v>
      </c>
      <c r="Z61" s="35" t="s">
        <v>1907</v>
      </c>
      <c r="AA61" s="137">
        <v>2.0</v>
      </c>
      <c r="AB61" s="137"/>
      <c r="AC61" s="28" t="s">
        <v>6377</v>
      </c>
      <c r="AD61" s="27"/>
      <c r="AE61" s="28" t="s">
        <v>6379</v>
      </c>
      <c r="AF61" s="137" t="str">
        <f t="shared" si="4"/>
        <v>Nhiên</v>
      </c>
      <c r="AG61" s="35"/>
      <c r="AH61" s="137"/>
      <c r="AI61" s="137"/>
      <c r="AJ61" s="137"/>
      <c r="AK61" s="137"/>
      <c r="AL61" s="137"/>
      <c r="AM61" s="137"/>
      <c r="AN61" s="137"/>
      <c r="AO61" s="137"/>
      <c r="AP61" s="137"/>
      <c r="AQ61" s="137"/>
      <c r="AR61" s="137"/>
      <c r="AS61" s="137"/>
      <c r="AT61" s="137"/>
      <c r="AU61" s="137"/>
      <c r="AV61" s="137"/>
      <c r="AW61" s="137"/>
      <c r="AX61" s="137"/>
      <c r="AY61" s="137"/>
      <c r="AZ61" s="137"/>
      <c r="BA61" s="137"/>
    </row>
    <row r="62" ht="17.25" hidden="1" customHeight="1">
      <c r="A62" s="35" t="s">
        <v>1908</v>
      </c>
      <c r="B62" s="132">
        <v>37488.0</v>
      </c>
      <c r="C62" s="35" t="s">
        <v>1909</v>
      </c>
      <c r="D62" s="133" t="s">
        <v>1910</v>
      </c>
      <c r="E62" s="35" t="s">
        <v>127</v>
      </c>
      <c r="F62" s="35" t="s">
        <v>82</v>
      </c>
      <c r="G62" s="35" t="s">
        <v>1911</v>
      </c>
      <c r="H62" s="35" t="s">
        <v>1912</v>
      </c>
      <c r="I62" s="35" t="s">
        <v>144</v>
      </c>
      <c r="J62" s="35"/>
      <c r="K62" s="35" t="s">
        <v>103</v>
      </c>
      <c r="L62" s="35" t="s">
        <v>1913</v>
      </c>
      <c r="M62" s="134">
        <v>45565.0</v>
      </c>
      <c r="N62" s="133" t="s">
        <v>159</v>
      </c>
      <c r="O62" s="135" t="str">
        <f>HYPERLINK("https://api.typeform.com/responses/files/b115b669892fd543e2f8da8c16ab7f001b30882048406f020e1ef796da8381e7/Transcript___Game_QA_Intern___Nguyễn_Hồng_Luân.jpg")</f>
        <v>https://api.typeform.com/responses/files/b115b669892fd543e2f8da8c16ab7f001b30882048406f020e1ef796da8381e7/Transcript___Game_QA_Intern___Nguyễn_Hồng_Luân.jpg</v>
      </c>
      <c r="P62" s="35" t="b">
        <v>1</v>
      </c>
      <c r="Q62" s="43" t="s">
        <v>1914</v>
      </c>
      <c r="R62" s="35" t="s">
        <v>1915</v>
      </c>
      <c r="S62" s="35" t="s">
        <v>72</v>
      </c>
      <c r="T62" s="35" t="s">
        <v>72</v>
      </c>
      <c r="U62" s="35" t="s">
        <v>224</v>
      </c>
      <c r="V62" s="35"/>
      <c r="W62" s="35" t="s">
        <v>1916</v>
      </c>
      <c r="X62" s="135" t="str">
        <f>HYPERLINK("https://api.typeform.com/responses/files/dd5cc6382b90a6982bd9fb894e15d23b5ad18b13fb1a3da89ce4969771857807/CV___Game_QA_Intern___Nguyễn_Hồng_Luân.pdf")</f>
        <v>https://api.typeform.com/responses/files/dd5cc6382b90a6982bd9fb894e15d23b5ad18b13fb1a3da89ce4969771857807/CV___Game_QA_Intern___Nguyễn_Hồng_Luân.pdf</v>
      </c>
      <c r="Y62" s="136">
        <v>46136.35146990741</v>
      </c>
      <c r="Z62" s="35" t="s">
        <v>1917</v>
      </c>
      <c r="AA62" s="137">
        <v>2.0</v>
      </c>
      <c r="AB62" s="137" t="s">
        <v>93</v>
      </c>
      <c r="AC62" s="28" t="s">
        <v>6376</v>
      </c>
      <c r="AD62" s="27"/>
      <c r="AE62" s="28"/>
      <c r="AF62" s="137" t="str">
        <f t="shared" si="4"/>
        <v/>
      </c>
      <c r="AG62" s="35"/>
      <c r="AH62" s="137"/>
      <c r="AI62" s="137"/>
      <c r="AJ62" s="137"/>
      <c r="AK62" s="137"/>
      <c r="AL62" s="137"/>
      <c r="AM62" s="137"/>
      <c r="AN62" s="137"/>
      <c r="AO62" s="137"/>
      <c r="AP62" s="137"/>
      <c r="AQ62" s="137"/>
      <c r="AR62" s="137"/>
      <c r="AS62" s="137"/>
      <c r="AT62" s="137"/>
      <c r="AU62" s="137"/>
      <c r="AV62" s="137"/>
      <c r="AW62" s="137"/>
      <c r="AX62" s="137"/>
      <c r="AY62" s="137"/>
      <c r="AZ62" s="137"/>
      <c r="BA62" s="137"/>
    </row>
    <row r="63" ht="17.25" hidden="1" customHeight="1">
      <c r="A63" s="140" t="s">
        <v>1918</v>
      </c>
      <c r="B63" s="141">
        <v>37848.0</v>
      </c>
      <c r="C63" s="140" t="s">
        <v>1919</v>
      </c>
      <c r="D63" s="142" t="s">
        <v>1920</v>
      </c>
      <c r="E63" s="140" t="s">
        <v>774</v>
      </c>
      <c r="F63" s="140" t="s">
        <v>99</v>
      </c>
      <c r="G63" s="140" t="s">
        <v>1921</v>
      </c>
      <c r="H63" s="140" t="s">
        <v>1922</v>
      </c>
      <c r="I63" s="140" t="s">
        <v>116</v>
      </c>
      <c r="J63" s="140"/>
      <c r="K63" s="140" t="s">
        <v>67</v>
      </c>
      <c r="L63" s="140" t="s">
        <v>1923</v>
      </c>
      <c r="M63" s="143">
        <v>46548.0</v>
      </c>
      <c r="N63" s="142" t="s">
        <v>458</v>
      </c>
      <c r="O63" s="144" t="str">
        <f>HYPERLINK("https://api.typeform.com/responses/files/091b9282f0a37e47ce9b3e6ecff6cabfbb19e3b57f0e613018038266def2f283/A0.png")</f>
        <v>https://api.typeform.com/responses/files/091b9282f0a37e47ce9b3e6ecff6cabfbb19e3b57f0e613018038266def2f283/A0.png</v>
      </c>
      <c r="P63" s="140" t="b">
        <v>1</v>
      </c>
      <c r="Q63" s="161" t="s">
        <v>1924</v>
      </c>
      <c r="R63" s="140" t="s">
        <v>1925</v>
      </c>
      <c r="S63" s="140" t="s">
        <v>1926</v>
      </c>
      <c r="T63" s="140" t="s">
        <v>1927</v>
      </c>
      <c r="U63" s="140" t="s">
        <v>1340</v>
      </c>
      <c r="V63" s="140"/>
      <c r="W63" s="140" t="s">
        <v>1928</v>
      </c>
      <c r="X63" s="144" t="str">
        <f>HYPERLINK("https://api.typeform.com/responses/files/263f5303c93dfd73af231f4a388b247c2d13728422b584d6f7bee390e020e553/CV___Game_User_Acquisition_and_Game_Design_Intern___Phạm_Anh_Đức_.pdf")</f>
        <v>https://api.typeform.com/responses/files/263f5303c93dfd73af231f4a388b247c2d13728422b584d6f7bee390e020e553/CV___Game_User_Acquisition_and_Game_Design_Intern___Phạm_Anh_Đức_.pdf</v>
      </c>
      <c r="Y63" s="145">
        <v>46136.35787037037</v>
      </c>
      <c r="Z63" s="140" t="s">
        <v>1929</v>
      </c>
      <c r="AA63" s="146">
        <v>2.0</v>
      </c>
      <c r="AB63" s="146"/>
      <c r="AC63" s="70" t="s">
        <v>6376</v>
      </c>
      <c r="AD63" s="148"/>
      <c r="AE63" s="70"/>
      <c r="AF63" s="137" t="str">
        <f t="shared" si="4"/>
        <v/>
      </c>
      <c r="AG63" s="140"/>
      <c r="AH63" s="146"/>
      <c r="AI63" s="146"/>
      <c r="AJ63" s="146"/>
      <c r="AK63" s="146"/>
      <c r="AL63" s="146"/>
      <c r="AM63" s="146"/>
      <c r="AN63" s="146"/>
      <c r="AO63" s="146"/>
      <c r="AP63" s="146"/>
      <c r="AQ63" s="146"/>
      <c r="AR63" s="146"/>
      <c r="AS63" s="146"/>
      <c r="AT63" s="146"/>
      <c r="AU63" s="146"/>
      <c r="AV63" s="146"/>
      <c r="AW63" s="146"/>
      <c r="AX63" s="146"/>
      <c r="AY63" s="146"/>
      <c r="AZ63" s="146"/>
      <c r="BA63" s="146"/>
    </row>
    <row r="64" ht="17.25" hidden="1" customHeight="1">
      <c r="A64" s="140" t="s">
        <v>1995</v>
      </c>
      <c r="B64" s="141">
        <v>37991.0</v>
      </c>
      <c r="C64" s="140" t="s">
        <v>1996</v>
      </c>
      <c r="D64" s="142" t="s">
        <v>1997</v>
      </c>
      <c r="E64" s="140" t="s">
        <v>62</v>
      </c>
      <c r="F64" s="140" t="s">
        <v>82</v>
      </c>
      <c r="G64" s="140" t="s">
        <v>1998</v>
      </c>
      <c r="H64" s="140" t="s">
        <v>1999</v>
      </c>
      <c r="I64" s="140" t="s">
        <v>85</v>
      </c>
      <c r="J64" s="140"/>
      <c r="K64" s="140" t="s">
        <v>67</v>
      </c>
      <c r="L64" s="140" t="s">
        <v>581</v>
      </c>
      <c r="M64" s="143">
        <v>46327.0</v>
      </c>
      <c r="N64" s="142" t="s">
        <v>362</v>
      </c>
      <c r="O64" s="144" t="str">
        <f>HYPERLINK("https://api.typeform.com/responses/files/39b3d0e9ead852359a6608bbf40aa23ca71aad423fcf74c510d3efdb08e5dda2/Transcript___AI_Engineer_Intern___Trần_Tấn_Tài.pdf")</f>
        <v>https://api.typeform.com/responses/files/39b3d0e9ead852359a6608bbf40aa23ca71aad423fcf74c510d3efdb08e5dda2/Transcript___AI_Engineer_Intern___Trần_Tấn_Tài.pdf</v>
      </c>
      <c r="P64" s="140" t="b">
        <v>1</v>
      </c>
      <c r="Q64" s="161" t="s">
        <v>2000</v>
      </c>
      <c r="R64" s="140" t="s">
        <v>2001</v>
      </c>
      <c r="S64" s="140" t="s">
        <v>72</v>
      </c>
      <c r="T64" s="140" t="s">
        <v>72</v>
      </c>
      <c r="U64" s="140" t="s">
        <v>269</v>
      </c>
      <c r="V64" s="140"/>
      <c r="W64" s="140" t="s">
        <v>2002</v>
      </c>
      <c r="X64" s="144" t="str">
        <f>HYPERLINK("https://api.typeform.com/responses/files/0ff4e76862ab310c05dd711baea026025a84fb073eee3d42652d6cd4cfa26eb6/CV___AI_Engineer_Intern___Trần_Tấn_Tài.pdf")</f>
        <v>https://api.typeform.com/responses/files/0ff4e76862ab310c05dd711baea026025a84fb073eee3d42652d6cd4cfa26eb6/CV___AI_Engineer_Intern___Trần_Tấn_Tài.pdf</v>
      </c>
      <c r="Y64" s="145">
        <v>46136.48747685185</v>
      </c>
      <c r="Z64" s="140" t="s">
        <v>2003</v>
      </c>
      <c r="AA64" s="146">
        <v>2.0</v>
      </c>
      <c r="AB64" s="147" t="s">
        <v>6381</v>
      </c>
      <c r="AC64" s="70" t="s">
        <v>6376</v>
      </c>
      <c r="AD64" s="148"/>
      <c r="AE64" s="70"/>
      <c r="AF64" s="146" t="str">
        <f t="shared" si="4"/>
        <v/>
      </c>
      <c r="AG64" s="140"/>
      <c r="AH64" s="146"/>
      <c r="AI64" s="146"/>
      <c r="AJ64" s="146"/>
      <c r="AK64" s="146"/>
      <c r="AL64" s="146"/>
      <c r="AM64" s="146"/>
      <c r="AN64" s="146"/>
      <c r="AO64" s="146"/>
      <c r="AP64" s="146"/>
      <c r="AQ64" s="146"/>
      <c r="AR64" s="146"/>
      <c r="AS64" s="146"/>
      <c r="AT64" s="146"/>
      <c r="AU64" s="146"/>
      <c r="AV64" s="146"/>
      <c r="AW64" s="146"/>
      <c r="AX64" s="146"/>
      <c r="AY64" s="146"/>
      <c r="AZ64" s="146"/>
      <c r="BA64" s="146"/>
    </row>
    <row r="65" ht="17.25" hidden="1" customHeight="1">
      <c r="A65" s="35" t="s">
        <v>1940</v>
      </c>
      <c r="B65" s="132">
        <v>37625.0</v>
      </c>
      <c r="C65" s="35" t="s">
        <v>1941</v>
      </c>
      <c r="D65" s="133" t="s">
        <v>1942</v>
      </c>
      <c r="E65" s="35" t="s">
        <v>61</v>
      </c>
      <c r="F65" s="35" t="s">
        <v>99</v>
      </c>
      <c r="G65" s="35" t="s">
        <v>1943</v>
      </c>
      <c r="H65" s="35" t="s">
        <v>1944</v>
      </c>
      <c r="I65" s="35" t="s">
        <v>338</v>
      </c>
      <c r="J65" s="35"/>
      <c r="K65" s="35" t="s">
        <v>103</v>
      </c>
      <c r="L65" s="35" t="s">
        <v>1945</v>
      </c>
      <c r="M65" s="134">
        <v>45883.0</v>
      </c>
      <c r="N65" s="133" t="s">
        <v>1382</v>
      </c>
      <c r="O65" s="135" t="str">
        <f>HYPERLINK("https://api.typeform.com/responses/files/b3284c184c8db7ed6a081bc74836dc6ca5a0b749dfafdd22a3664f903d1e4cc8/Transcript___Unity_Developement_Intern___Nguyễn_Hũu_Tuấn_Tú.pdf")</f>
        <v>https://api.typeform.com/responses/files/b3284c184c8db7ed6a081bc74836dc6ca5a0b749dfafdd22a3664f903d1e4cc8/Transcript___Unity_Developement_Intern___Nguyễn_Hũu_Tuấn_Tú.pdf</v>
      </c>
      <c r="P65" s="35" t="b">
        <v>1</v>
      </c>
      <c r="Q65" s="43" t="s">
        <v>1946</v>
      </c>
      <c r="R65" s="35" t="s">
        <v>1947</v>
      </c>
      <c r="S65" s="35" t="s">
        <v>72</v>
      </c>
      <c r="T65" s="35" t="s">
        <v>72</v>
      </c>
      <c r="U65" s="35" t="s">
        <v>73</v>
      </c>
      <c r="V65" s="35"/>
      <c r="W65" s="35" t="s">
        <v>1948</v>
      </c>
      <c r="X65" s="135" t="str">
        <f>HYPERLINK("https://api.typeform.com/responses/files/39246f473991932515e06c4f2bedd55cd43f1bcfb2cfa7cb3ed9efdbcb0ac886/CV___Unity_Development_Intern___Nguyễn_Hũu_Tuấn_Tú.pdf")</f>
        <v>https://api.typeform.com/responses/files/39246f473991932515e06c4f2bedd55cd43f1bcfb2cfa7cb3ed9efdbcb0ac886/CV___Unity_Development_Intern___Nguyễn_Hũu_Tuấn_Tú.pdf</v>
      </c>
      <c r="Y65" s="136">
        <v>46136.36486111111</v>
      </c>
      <c r="Z65" s="35" t="s">
        <v>1949</v>
      </c>
      <c r="AA65" s="137">
        <v>2.0</v>
      </c>
      <c r="AB65" s="137" t="s">
        <v>93</v>
      </c>
      <c r="AC65" s="28" t="s">
        <v>6388</v>
      </c>
      <c r="AD65" s="28" t="s">
        <v>6504</v>
      </c>
      <c r="AE65" s="28"/>
      <c r="AF65" s="137" t="str">
        <f t="shared" si="4"/>
        <v/>
      </c>
      <c r="AG65" s="35"/>
      <c r="AH65" s="137"/>
      <c r="AI65" s="137"/>
      <c r="AJ65" s="137"/>
      <c r="AK65" s="137"/>
      <c r="AL65" s="137"/>
      <c r="AM65" s="137"/>
      <c r="AN65" s="137"/>
      <c r="AO65" s="137"/>
      <c r="AP65" s="137"/>
      <c r="AQ65" s="137"/>
      <c r="AR65" s="137"/>
      <c r="AS65" s="137"/>
      <c r="AT65" s="137"/>
      <c r="AU65" s="137"/>
      <c r="AV65" s="137"/>
      <c r="AW65" s="137"/>
      <c r="AX65" s="137"/>
      <c r="AY65" s="137"/>
      <c r="AZ65" s="137"/>
      <c r="BA65" s="137"/>
    </row>
    <row r="66" ht="17.25" hidden="1" customHeight="1">
      <c r="A66" s="35" t="s">
        <v>2157</v>
      </c>
      <c r="B66" s="132">
        <v>38035.0</v>
      </c>
      <c r="C66" s="35" t="s">
        <v>2158</v>
      </c>
      <c r="D66" s="133" t="s">
        <v>2159</v>
      </c>
      <c r="E66" s="35" t="s">
        <v>99</v>
      </c>
      <c r="F66" s="35" t="s">
        <v>61</v>
      </c>
      <c r="G66" s="35" t="s">
        <v>2160</v>
      </c>
      <c r="H66" s="35" t="s">
        <v>2161</v>
      </c>
      <c r="I66" s="35" t="s">
        <v>326</v>
      </c>
      <c r="J66" s="35"/>
      <c r="K66" s="35" t="s">
        <v>67</v>
      </c>
      <c r="L66" s="35" t="s">
        <v>132</v>
      </c>
      <c r="M66" s="134">
        <v>46327.0</v>
      </c>
      <c r="N66" s="133" t="s">
        <v>780</v>
      </c>
      <c r="O66" s="135" t="str">
        <f>HYPERLINK("https://api.typeform.com/responses/files/a0f35d866b4e3b34269e0244f179069efe3571350d3289600dc1d5ea52bdfd9f/Transcript___SunRiserIntern___NguyenNhatHieu.pdf")</f>
        <v>https://api.typeform.com/responses/files/a0f35d866b4e3b34269e0244f179069efe3571350d3289600dc1d5ea52bdfd9f/Transcript___SunRiserIntern___NguyenNhatHieu.pdf</v>
      </c>
      <c r="P66" s="35" t="b">
        <v>1</v>
      </c>
      <c r="Q66" s="43" t="s">
        <v>2162</v>
      </c>
      <c r="R66" s="35" t="s">
        <v>2163</v>
      </c>
      <c r="S66" s="35" t="s">
        <v>72</v>
      </c>
      <c r="T66" s="35" t="s">
        <v>72</v>
      </c>
      <c r="U66" s="35" t="s">
        <v>269</v>
      </c>
      <c r="V66" s="35"/>
      <c r="W66" s="35"/>
      <c r="X66" s="135" t="str">
        <f>HYPERLINK("https://api.typeform.com/responses/files/fc1876af3166874f97d8dc1046f8f5dc9d2c304af19adfd784a95fd5343196b1/CV___SunRiserIntern___NguyenNhatHieu.pdf")</f>
        <v>https://api.typeform.com/responses/files/fc1876af3166874f97d8dc1046f8f5dc9d2c304af19adfd784a95fd5343196b1/CV___SunRiserIntern___NguyenNhatHieu.pdf</v>
      </c>
      <c r="Y66" s="136">
        <v>46137.17172453704</v>
      </c>
      <c r="Z66" s="35" t="s">
        <v>2164</v>
      </c>
      <c r="AA66" s="137">
        <v>2.0</v>
      </c>
      <c r="AB66" s="139" t="s">
        <v>6381</v>
      </c>
      <c r="AC66" s="28" t="s">
        <v>6377</v>
      </c>
      <c r="AD66" s="27"/>
      <c r="AE66" s="28" t="s">
        <v>6379</v>
      </c>
      <c r="AF66" s="137" t="str">
        <f t="shared" si="4"/>
        <v>Nhiên</v>
      </c>
      <c r="AG66" s="35"/>
      <c r="AH66" s="137"/>
      <c r="AI66" s="137"/>
      <c r="AJ66" s="137"/>
      <c r="AK66" s="137"/>
      <c r="AL66" s="137"/>
      <c r="AM66" s="137"/>
      <c r="AN66" s="137"/>
      <c r="AO66" s="137"/>
      <c r="AP66" s="137"/>
      <c r="AQ66" s="137"/>
      <c r="AR66" s="137"/>
      <c r="AS66" s="137"/>
      <c r="AT66" s="137"/>
      <c r="AU66" s="137"/>
      <c r="AV66" s="137"/>
      <c r="AW66" s="137"/>
      <c r="AX66" s="137"/>
      <c r="AY66" s="137"/>
      <c r="AZ66" s="137"/>
      <c r="BA66" s="137"/>
    </row>
    <row r="67" ht="17.25" hidden="1" customHeight="1">
      <c r="A67" s="140" t="s">
        <v>3472</v>
      </c>
      <c r="B67" s="141">
        <v>37689.0</v>
      </c>
      <c r="C67" s="140" t="s">
        <v>3473</v>
      </c>
      <c r="D67" s="142" t="s">
        <v>3474</v>
      </c>
      <c r="E67" s="140" t="s">
        <v>62</v>
      </c>
      <c r="F67" s="140"/>
      <c r="G67" s="140" t="s">
        <v>3475</v>
      </c>
      <c r="H67" s="140" t="s">
        <v>3476</v>
      </c>
      <c r="I67" s="140" t="s">
        <v>85</v>
      </c>
      <c r="J67" s="140"/>
      <c r="K67" s="140" t="s">
        <v>103</v>
      </c>
      <c r="L67" s="140" t="s">
        <v>3386</v>
      </c>
      <c r="M67" s="143">
        <v>45986.0</v>
      </c>
      <c r="N67" s="142" t="s">
        <v>3477</v>
      </c>
      <c r="O67" s="144" t="str">
        <f>HYPERLINK("https://api.typeform.com/responses/files/7affece3b59943dec900f944585b8f6098547bee27f0d851d8730286fb224466/Transcript___AI_Engineer_Intern___Cu_Thanh_Tuong.pdf")</f>
        <v>https://api.typeform.com/responses/files/7affece3b59943dec900f944585b8f6098547bee27f0d851d8730286fb224466/Transcript___AI_Engineer_Intern___Cu_Thanh_Tuong.pdf</v>
      </c>
      <c r="P67" s="140" t="b">
        <v>1</v>
      </c>
      <c r="Q67" s="140" t="s">
        <v>3478</v>
      </c>
      <c r="R67" s="140" t="s">
        <v>3479</v>
      </c>
      <c r="S67" s="140" t="s">
        <v>72</v>
      </c>
      <c r="T67" s="140" t="s">
        <v>72</v>
      </c>
      <c r="U67" s="140" t="s">
        <v>90</v>
      </c>
      <c r="V67" s="140"/>
      <c r="W67" s="140" t="s">
        <v>3480</v>
      </c>
      <c r="X67" s="144" t="str">
        <f>HYPERLINK("https://api.typeform.com/responses/files/fe9151fc1a562e17a5fc228c643d57ec4064fec1c3de823e2395283ce3afc94a/CuThanhTuong_AI_Engineer.pdf")</f>
        <v>https://api.typeform.com/responses/files/fe9151fc1a562e17a5fc228c643d57ec4064fec1c3de823e2395283ce3afc94a/CuThanhTuong_AI_Engineer.pdf</v>
      </c>
      <c r="Y67" s="145">
        <v>46140.43388888889</v>
      </c>
      <c r="Z67" s="140" t="s">
        <v>3481</v>
      </c>
      <c r="AA67" s="146">
        <v>2.0</v>
      </c>
      <c r="AB67" s="147" t="s">
        <v>6381</v>
      </c>
      <c r="AC67" s="70" t="s">
        <v>6376</v>
      </c>
      <c r="AD67" s="148"/>
      <c r="AE67" s="70"/>
      <c r="AF67" s="146" t="str">
        <f t="shared" si="4"/>
        <v/>
      </c>
      <c r="AG67" s="140"/>
      <c r="AH67" s="146"/>
      <c r="AI67" s="146"/>
      <c r="AJ67" s="146"/>
      <c r="AK67" s="146"/>
      <c r="AL67" s="146"/>
      <c r="AM67" s="146"/>
      <c r="AN67" s="146"/>
      <c r="AO67" s="146"/>
      <c r="AP67" s="146"/>
      <c r="AQ67" s="146"/>
      <c r="AR67" s="146"/>
      <c r="AS67" s="146"/>
      <c r="AT67" s="146"/>
      <c r="AU67" s="146"/>
      <c r="AV67" s="146"/>
      <c r="AW67" s="146"/>
      <c r="AX67" s="146"/>
      <c r="AY67" s="146"/>
      <c r="AZ67" s="146"/>
      <c r="BA67" s="146"/>
    </row>
    <row r="68" ht="17.25" hidden="1" customHeight="1">
      <c r="A68" s="35" t="s">
        <v>1967</v>
      </c>
      <c r="B68" s="132">
        <v>38237.0</v>
      </c>
      <c r="C68" s="35" t="s">
        <v>1968</v>
      </c>
      <c r="D68" s="133" t="s">
        <v>1969</v>
      </c>
      <c r="E68" s="35" t="s">
        <v>127</v>
      </c>
      <c r="F68" s="35" t="s">
        <v>127</v>
      </c>
      <c r="G68" s="35" t="s">
        <v>1970</v>
      </c>
      <c r="H68" s="35" t="s">
        <v>1971</v>
      </c>
      <c r="I68" s="35" t="s">
        <v>116</v>
      </c>
      <c r="J68" s="35"/>
      <c r="K68" s="35" t="s">
        <v>67</v>
      </c>
      <c r="L68" s="35" t="s">
        <v>624</v>
      </c>
      <c r="M68" s="134">
        <v>46305.0</v>
      </c>
      <c r="N68" s="133" t="s">
        <v>171</v>
      </c>
      <c r="O68" s="135" t="str">
        <f>HYPERLINK("https://api.typeform.com/responses/files/51a8a9fa736587e4e6f0f61d651cc6df8caf17573d80eca4de2b72375202bcac/Transcript___Game_Quality_Assurance_Intern___Nguyễn_Thị_Như_Quỳnh.pdf")</f>
        <v>https://api.typeform.com/responses/files/51a8a9fa736587e4e6f0f61d651cc6df8caf17573d80eca4de2b72375202bcac/Transcript___Game_Quality_Assurance_Intern___Nguyễn_Thị_Như_Quỳnh.pdf</v>
      </c>
      <c r="P68" s="35" t="b">
        <v>1</v>
      </c>
      <c r="Q68" s="43" t="s">
        <v>1972</v>
      </c>
      <c r="R68" s="35" t="s">
        <v>1973</v>
      </c>
      <c r="S68" s="35" t="s">
        <v>72</v>
      </c>
      <c r="T68" s="35" t="s">
        <v>72</v>
      </c>
      <c r="U68" s="35" t="s">
        <v>90</v>
      </c>
      <c r="V68" s="35"/>
      <c r="W68" s="35" t="s">
        <v>1974</v>
      </c>
      <c r="X68" s="135" t="str">
        <f>HYPERLINK("https://api.typeform.com/responses/files/248a6c5a13c3812531d5b9b01697e7b35c5d6decbddde34cf4ff993a1a7ed113/CV___Game_Quality_Assurance_Intern___Nguyễn_Thị_Như_Quỳnh.pdf")</f>
        <v>https://api.typeform.com/responses/files/248a6c5a13c3812531d5b9b01697e7b35c5d6decbddde34cf4ff993a1a7ed113/CV___Game_Quality_Assurance_Intern___Nguyễn_Thị_Như_Quỳnh.pdf</v>
      </c>
      <c r="Y68" s="136">
        <v>46136.420277777775</v>
      </c>
      <c r="Z68" s="35" t="s">
        <v>1975</v>
      </c>
      <c r="AA68" s="137">
        <v>2.0</v>
      </c>
      <c r="AB68" s="137" t="s">
        <v>93</v>
      </c>
      <c r="AC68" s="28" t="s">
        <v>6377</v>
      </c>
      <c r="AD68" s="27"/>
      <c r="AE68" s="28" t="s">
        <v>6379</v>
      </c>
      <c r="AF68" s="137" t="str">
        <f t="shared" si="4"/>
        <v>Quỳnh</v>
      </c>
      <c r="AG68" s="35"/>
      <c r="AH68" s="137"/>
      <c r="AI68" s="137"/>
      <c r="AJ68" s="137"/>
      <c r="AK68" s="137"/>
      <c r="AL68" s="137"/>
      <c r="AM68" s="137"/>
      <c r="AN68" s="137"/>
      <c r="AO68" s="137"/>
      <c r="AP68" s="137"/>
      <c r="AQ68" s="137"/>
      <c r="AR68" s="137"/>
      <c r="AS68" s="137"/>
      <c r="AT68" s="137"/>
      <c r="AU68" s="137"/>
      <c r="AV68" s="137"/>
      <c r="AW68" s="137"/>
      <c r="AX68" s="137"/>
      <c r="AY68" s="137"/>
      <c r="AZ68" s="137"/>
      <c r="BA68" s="137"/>
    </row>
    <row r="69" ht="17.25" hidden="1" customHeight="1">
      <c r="A69" s="35" t="s">
        <v>1976</v>
      </c>
      <c r="B69" s="132">
        <v>37939.0</v>
      </c>
      <c r="C69" s="35" t="s">
        <v>1977</v>
      </c>
      <c r="D69" s="133" t="s">
        <v>1978</v>
      </c>
      <c r="E69" s="35" t="s">
        <v>61</v>
      </c>
      <c r="F69" s="35" t="s">
        <v>99</v>
      </c>
      <c r="G69" s="35" t="s">
        <v>1979</v>
      </c>
      <c r="H69" s="35" t="s">
        <v>1980</v>
      </c>
      <c r="I69" s="35" t="s">
        <v>65</v>
      </c>
      <c r="J69" s="35" t="s">
        <v>1981</v>
      </c>
      <c r="K69" s="35" t="s">
        <v>103</v>
      </c>
      <c r="L69" s="35" t="s">
        <v>624</v>
      </c>
      <c r="M69" s="134">
        <v>45745.0</v>
      </c>
      <c r="N69" s="133" t="s">
        <v>1382</v>
      </c>
      <c r="O69" s="135" t="str">
        <f>HYPERLINK("https://api.typeform.com/responses/files/fa26aa048cf2bb84981b5c55cb18d81d0e9e9633969e6ce26f146b6d2dc7b8ca/Nguyen_Khai_Transcript.pdf")</f>
        <v>https://api.typeform.com/responses/files/fa26aa048cf2bb84981b5c55cb18d81d0e9e9633969e6ce26f146b6d2dc7b8ca/Nguyen_Khai_Transcript.pdf</v>
      </c>
      <c r="P69" s="35" t="b">
        <v>1</v>
      </c>
      <c r="Q69" s="43" t="s">
        <v>1982</v>
      </c>
      <c r="R69" s="35" t="s">
        <v>1983</v>
      </c>
      <c r="S69" s="35" t="s">
        <v>72</v>
      </c>
      <c r="T69" s="35" t="s">
        <v>72</v>
      </c>
      <c r="U69" s="35" t="s">
        <v>73</v>
      </c>
      <c r="V69" s="35"/>
      <c r="W69" s="35"/>
      <c r="X69" s="135" t="str">
        <f>HYPERLINK("https://api.typeform.com/responses/files/54d6563b0dbb68dd27ae84b6822142f7ce45c85f07e8e544dce9fed7eb496eb6/Nguyen_Khai_Resume_Unity_Developer.pdf")</f>
        <v>https://api.typeform.com/responses/files/54d6563b0dbb68dd27ae84b6822142f7ce45c85f07e8e544dce9fed7eb496eb6/Nguyen_Khai_Resume_Unity_Developer.pdf</v>
      </c>
      <c r="Y69" s="136">
        <v>46136.42811342593</v>
      </c>
      <c r="Z69" s="35" t="s">
        <v>1984</v>
      </c>
      <c r="AA69" s="137">
        <v>2.0</v>
      </c>
      <c r="AB69" s="137" t="s">
        <v>93</v>
      </c>
      <c r="AC69" s="28" t="s">
        <v>6376</v>
      </c>
      <c r="AD69" s="27"/>
      <c r="AE69" s="28"/>
      <c r="AF69" s="137" t="str">
        <f t="shared" si="4"/>
        <v/>
      </c>
      <c r="AG69" s="35"/>
      <c r="AH69" s="137"/>
      <c r="AI69" s="137"/>
      <c r="AJ69" s="137"/>
      <c r="AK69" s="137"/>
      <c r="AL69" s="137"/>
      <c r="AM69" s="137"/>
      <c r="AN69" s="137"/>
      <c r="AO69" s="137"/>
      <c r="AP69" s="137"/>
      <c r="AQ69" s="137"/>
      <c r="AR69" s="137"/>
      <c r="AS69" s="137"/>
      <c r="AT69" s="137"/>
      <c r="AU69" s="137"/>
      <c r="AV69" s="137"/>
      <c r="AW69" s="137"/>
      <c r="AX69" s="137"/>
      <c r="AY69" s="137"/>
      <c r="AZ69" s="137"/>
      <c r="BA69" s="137"/>
    </row>
    <row r="70" ht="17.25" hidden="1" customHeight="1">
      <c r="A70" s="169" t="s">
        <v>1985</v>
      </c>
      <c r="B70" s="170">
        <v>38037.0</v>
      </c>
      <c r="C70" s="169" t="s">
        <v>1986</v>
      </c>
      <c r="D70" s="171" t="s">
        <v>1987</v>
      </c>
      <c r="E70" s="169" t="s">
        <v>99</v>
      </c>
      <c r="F70" s="169" t="s">
        <v>127</v>
      </c>
      <c r="G70" s="169" t="s">
        <v>1988</v>
      </c>
      <c r="H70" s="169" t="s">
        <v>1989</v>
      </c>
      <c r="I70" s="169" t="s">
        <v>715</v>
      </c>
      <c r="J70" s="169"/>
      <c r="K70" s="169" t="s">
        <v>67</v>
      </c>
      <c r="L70" s="169" t="s">
        <v>399</v>
      </c>
      <c r="M70" s="172">
        <v>46503.0</v>
      </c>
      <c r="N70" s="171" t="s">
        <v>1990</v>
      </c>
      <c r="O70" s="173" t="str">
        <f>HYPERLINK("https://api.typeform.com/responses/files/2d50a96957fd2030a5bf6d6eb4f551b770414cd4439d7d0646e873e359727303/Transcript___Game_Design_Intern___Trần_Ngọc_Khánh_Huy.pdf")</f>
        <v>https://api.typeform.com/responses/files/2d50a96957fd2030a5bf6d6eb4f551b770414cd4439d7d0646e873e359727303/Transcript___Game_Design_Intern___Trần_Ngọc_Khánh_Huy.pdf</v>
      </c>
      <c r="P70" s="169" t="b">
        <v>1</v>
      </c>
      <c r="Q70" s="174" t="s">
        <v>1991</v>
      </c>
      <c r="R70" s="169" t="s">
        <v>1992</v>
      </c>
      <c r="S70" s="169" t="s">
        <v>72</v>
      </c>
      <c r="T70" s="169" t="s">
        <v>72</v>
      </c>
      <c r="U70" s="169" t="s">
        <v>73</v>
      </c>
      <c r="V70" s="169"/>
      <c r="W70" s="169" t="s">
        <v>1993</v>
      </c>
      <c r="X70" s="173" t="str">
        <f>HYPERLINK("https://api.typeform.com/responses/files/e6fa2621a868c4b0c2763181784a0078294ff895cc65ebd74d525b6e865cce7f/CV___Game_Design_Intern___Trần_Ngọc_Khánh_Huy.pdf")</f>
        <v>https://api.typeform.com/responses/files/e6fa2621a868c4b0c2763181784a0078294ff895cc65ebd74d525b6e865cce7f/CV___Game_Design_Intern___Trần_Ngọc_Khánh_Huy.pdf</v>
      </c>
      <c r="Y70" s="175">
        <v>46136.466527777775</v>
      </c>
      <c r="Z70" s="169" t="s">
        <v>1994</v>
      </c>
      <c r="AA70" s="176">
        <v>2.0</v>
      </c>
      <c r="AB70" s="177" t="s">
        <v>6381</v>
      </c>
      <c r="AC70" s="178" t="s">
        <v>6376</v>
      </c>
      <c r="AD70" s="178" t="s">
        <v>6505</v>
      </c>
      <c r="AE70" s="178"/>
      <c r="AF70" s="137" t="str">
        <f t="shared" si="4"/>
        <v/>
      </c>
      <c r="AG70" s="169"/>
      <c r="AH70" s="176"/>
      <c r="AI70" s="176"/>
      <c r="AJ70" s="176"/>
      <c r="AK70" s="176"/>
      <c r="AL70" s="176"/>
      <c r="AM70" s="176"/>
      <c r="AN70" s="176"/>
      <c r="AO70" s="176"/>
      <c r="AP70" s="176"/>
      <c r="AQ70" s="176"/>
      <c r="AR70" s="176"/>
      <c r="AS70" s="176"/>
      <c r="AT70" s="176"/>
      <c r="AU70" s="176"/>
      <c r="AV70" s="176"/>
      <c r="AW70" s="176"/>
      <c r="AX70" s="176"/>
      <c r="AY70" s="176"/>
      <c r="AZ70" s="176"/>
      <c r="BA70" s="176"/>
    </row>
    <row r="71" ht="17.25" hidden="1" customHeight="1">
      <c r="A71" s="140" t="s">
        <v>3858</v>
      </c>
      <c r="B71" s="141">
        <v>38019.0</v>
      </c>
      <c r="C71" s="140" t="s">
        <v>3859</v>
      </c>
      <c r="D71" s="142" t="s">
        <v>3860</v>
      </c>
      <c r="E71" s="140" t="s">
        <v>62</v>
      </c>
      <c r="F71" s="140" t="s">
        <v>127</v>
      </c>
      <c r="G71" s="140" t="s">
        <v>3861</v>
      </c>
      <c r="H71" s="140" t="s">
        <v>3862</v>
      </c>
      <c r="I71" s="140" t="s">
        <v>277</v>
      </c>
      <c r="J71" s="140"/>
      <c r="K71" s="140" t="s">
        <v>67</v>
      </c>
      <c r="L71" s="140" t="s">
        <v>3863</v>
      </c>
      <c r="M71" s="143">
        <v>46387.0</v>
      </c>
      <c r="N71" s="142" t="s">
        <v>159</v>
      </c>
      <c r="O71" s="144" t="str">
        <f>HYPERLINK("https://api.typeform.com/responses/files/cf219a7dad9e144cd43ef8d910ba56f9e6b66d3fce5d3533e1007f756e668af4/Vu_Bich_Vi___CV.pdf")</f>
        <v>https://api.typeform.com/responses/files/cf219a7dad9e144cd43ef8d910ba56f9e6b66d3fce5d3533e1007f756e668af4/Vu_Bich_Vi___CV.pdf</v>
      </c>
      <c r="P71" s="140" t="b">
        <v>0</v>
      </c>
      <c r="Q71" s="140" t="s">
        <v>3864</v>
      </c>
      <c r="R71" s="140" t="s">
        <v>3865</v>
      </c>
      <c r="S71" s="140" t="s">
        <v>72</v>
      </c>
      <c r="T71" s="140" t="s">
        <v>72</v>
      </c>
      <c r="U71" s="140" t="s">
        <v>224</v>
      </c>
      <c r="V71" s="140"/>
      <c r="W71" s="140" t="s">
        <v>3866</v>
      </c>
      <c r="X71" s="144" t="str">
        <f>HYPERLINK("https://api.typeform.com/responses/files/9a3d87d8710b7d68286ffc5f4902e4305588fc40b43731d0bd40de18b23dd130/Vu_Bich_Vi___CV.pdf")</f>
        <v>https://api.typeform.com/responses/files/9a3d87d8710b7d68286ffc5f4902e4305588fc40b43731d0bd40de18b23dd130/Vu_Bich_Vi___CV.pdf</v>
      </c>
      <c r="Y71" s="145">
        <v>46141.36369212963</v>
      </c>
      <c r="Z71" s="140" t="s">
        <v>3867</v>
      </c>
      <c r="AA71" s="146">
        <v>2.0</v>
      </c>
      <c r="AB71" s="147" t="s">
        <v>6381</v>
      </c>
      <c r="AC71" s="70" t="s">
        <v>6376</v>
      </c>
      <c r="AD71" s="148"/>
      <c r="AE71" s="70"/>
      <c r="AF71" s="146" t="str">
        <f t="shared" si="4"/>
        <v/>
      </c>
      <c r="AG71" s="140"/>
      <c r="AH71" s="146"/>
      <c r="AI71" s="146"/>
      <c r="AJ71" s="146"/>
      <c r="AK71" s="146"/>
      <c r="AL71" s="146"/>
      <c r="AM71" s="146"/>
      <c r="AN71" s="146"/>
      <c r="AO71" s="146"/>
      <c r="AP71" s="146"/>
      <c r="AQ71" s="146"/>
      <c r="AR71" s="146"/>
      <c r="AS71" s="146"/>
      <c r="AT71" s="146"/>
      <c r="AU71" s="146"/>
      <c r="AV71" s="146"/>
      <c r="AW71" s="146"/>
      <c r="AX71" s="146"/>
      <c r="AY71" s="146"/>
      <c r="AZ71" s="146"/>
      <c r="BA71" s="146"/>
    </row>
    <row r="72" ht="17.25" hidden="1" customHeight="1">
      <c r="A72" s="140" t="s">
        <v>3858</v>
      </c>
      <c r="B72" s="141">
        <v>38019.0</v>
      </c>
      <c r="C72" s="140" t="s">
        <v>3859</v>
      </c>
      <c r="D72" s="142" t="s">
        <v>3860</v>
      </c>
      <c r="E72" s="140" t="s">
        <v>62</v>
      </c>
      <c r="F72" s="140" t="s">
        <v>127</v>
      </c>
      <c r="G72" s="140" t="s">
        <v>3868</v>
      </c>
      <c r="H72" s="140" t="s">
        <v>3869</v>
      </c>
      <c r="I72" s="140" t="s">
        <v>277</v>
      </c>
      <c r="J72" s="140"/>
      <c r="K72" s="140" t="s">
        <v>67</v>
      </c>
      <c r="L72" s="140" t="s">
        <v>3863</v>
      </c>
      <c r="M72" s="143">
        <v>46387.0</v>
      </c>
      <c r="N72" s="142" t="s">
        <v>159</v>
      </c>
      <c r="O72" s="144" t="str">
        <f>HYPERLINK("https://api.typeform.com/responses/files/1ed1016c2ceef7755cd1cd1a96f90677ad608497fc33751520d945074a4706e3/Vu_Bich_Vi___CV.pdf")</f>
        <v>https://api.typeform.com/responses/files/1ed1016c2ceef7755cd1cd1a96f90677ad608497fc33751520d945074a4706e3/Vu_Bich_Vi___CV.pdf</v>
      </c>
      <c r="P72" s="140" t="b">
        <v>0</v>
      </c>
      <c r="Q72" s="140" t="s">
        <v>3864</v>
      </c>
      <c r="R72" s="140" t="s">
        <v>3865</v>
      </c>
      <c r="S72" s="140" t="s">
        <v>72</v>
      </c>
      <c r="T72" s="140" t="s">
        <v>72</v>
      </c>
      <c r="U72" s="140" t="s">
        <v>224</v>
      </c>
      <c r="V72" s="140"/>
      <c r="W72" s="140" t="s">
        <v>3866</v>
      </c>
      <c r="X72" s="144" t="str">
        <f>HYPERLINK("https://api.typeform.com/responses/files/710ca171bf1a3e7412a3ea1cb0874bc4ff48828da4c55ebd750b08e1a9e20ecf/Vu_Bich_Vi___CV.pdf")</f>
        <v>https://api.typeform.com/responses/files/710ca171bf1a3e7412a3ea1cb0874bc4ff48828da4c55ebd750b08e1a9e20ecf/Vu_Bich_Vi___CV.pdf</v>
      </c>
      <c r="Y72" s="145">
        <v>46141.366423611114</v>
      </c>
      <c r="Z72" s="140" t="s">
        <v>3870</v>
      </c>
      <c r="AA72" s="146">
        <v>2.0</v>
      </c>
      <c r="AB72" s="147" t="s">
        <v>6381</v>
      </c>
      <c r="AC72" s="70" t="s">
        <v>6376</v>
      </c>
      <c r="AD72" s="148"/>
      <c r="AE72" s="70"/>
      <c r="AF72" s="146" t="str">
        <f t="shared" si="4"/>
        <v/>
      </c>
      <c r="AG72" s="140"/>
      <c r="AH72" s="146"/>
      <c r="AI72" s="146"/>
      <c r="AJ72" s="146"/>
      <c r="AK72" s="146"/>
      <c r="AL72" s="146"/>
      <c r="AM72" s="146"/>
      <c r="AN72" s="146"/>
      <c r="AO72" s="146"/>
      <c r="AP72" s="146"/>
      <c r="AQ72" s="146"/>
      <c r="AR72" s="146"/>
      <c r="AS72" s="146"/>
      <c r="AT72" s="146"/>
      <c r="AU72" s="146"/>
      <c r="AV72" s="146"/>
      <c r="AW72" s="146"/>
      <c r="AX72" s="146"/>
      <c r="AY72" s="146"/>
      <c r="AZ72" s="146"/>
      <c r="BA72" s="146"/>
    </row>
    <row r="73" ht="17.25" hidden="1" customHeight="1">
      <c r="A73" s="35" t="s">
        <v>2013</v>
      </c>
      <c r="B73" s="132">
        <v>38693.0</v>
      </c>
      <c r="C73" s="35" t="s">
        <v>2014</v>
      </c>
      <c r="D73" s="133" t="s">
        <v>2015</v>
      </c>
      <c r="E73" s="35" t="s">
        <v>61</v>
      </c>
      <c r="F73" s="35" t="s">
        <v>127</v>
      </c>
      <c r="G73" s="35" t="s">
        <v>2016</v>
      </c>
      <c r="H73" s="35" t="s">
        <v>2017</v>
      </c>
      <c r="I73" s="35" t="s">
        <v>326</v>
      </c>
      <c r="J73" s="35"/>
      <c r="K73" s="35" t="s">
        <v>219</v>
      </c>
      <c r="L73" s="35" t="s">
        <v>1830</v>
      </c>
      <c r="M73" s="134">
        <v>46690.0</v>
      </c>
      <c r="N73" s="133" t="s">
        <v>591</v>
      </c>
      <c r="O73" s="135" t="str">
        <f>HYPERLINK("https://api.typeform.com/responses/files/f496a5d40a426306854bbc378c8b4770000ae3775ca94c7865a21571c594d52f/Transcipt___Unity_Development_Intern___Phạm_Thành_Đạt.pdf")</f>
        <v>https://api.typeform.com/responses/files/f496a5d40a426306854bbc378c8b4770000ae3775ca94c7865a21571c594d52f/Transcipt___Unity_Development_Intern___Phạm_Thành_Đạt.pdf</v>
      </c>
      <c r="P73" s="35" t="b">
        <v>1</v>
      </c>
      <c r="Q73" s="43" t="s">
        <v>2018</v>
      </c>
      <c r="R73" s="35" t="s">
        <v>2019</v>
      </c>
      <c r="S73" s="35" t="s">
        <v>72</v>
      </c>
      <c r="T73" s="35" t="s">
        <v>72</v>
      </c>
      <c r="U73" s="35" t="s">
        <v>544</v>
      </c>
      <c r="V73" s="35"/>
      <c r="W73" s="35" t="s">
        <v>2020</v>
      </c>
      <c r="X73" s="135" t="str">
        <f>HYPERLINK("https://api.typeform.com/responses/files/ff2f315b86ab6d1e20c3f4de7e77530bf11f5c8a84b22b319ffb4c2ebe8e6c66/CV___Unity_Development_Intern___Phạm_Thành_Đạt.pdf")</f>
        <v>https://api.typeform.com/responses/files/ff2f315b86ab6d1e20c3f4de7e77530bf11f5c8a84b22b319ffb4c2ebe8e6c66/CV___Unity_Development_Intern___Phạm_Thành_Đạt.pdf</v>
      </c>
      <c r="Y73" s="136">
        <v>46136.52689814815</v>
      </c>
      <c r="Z73" s="35" t="s">
        <v>2021</v>
      </c>
      <c r="AA73" s="137">
        <v>2.0</v>
      </c>
      <c r="AB73" s="137" t="s">
        <v>93</v>
      </c>
      <c r="AC73" s="28" t="s">
        <v>6377</v>
      </c>
      <c r="AD73" s="28" t="s">
        <v>6506</v>
      </c>
      <c r="AE73" s="28" t="s">
        <v>6379</v>
      </c>
      <c r="AF73" s="137" t="str">
        <f t="shared" si="4"/>
        <v>Quỳnh</v>
      </c>
      <c r="AG73" s="35"/>
      <c r="AH73" s="137"/>
      <c r="AI73" s="137"/>
      <c r="AJ73" s="137"/>
      <c r="AK73" s="137"/>
      <c r="AL73" s="137"/>
      <c r="AM73" s="137"/>
      <c r="AN73" s="137"/>
      <c r="AO73" s="137"/>
      <c r="AP73" s="137"/>
      <c r="AQ73" s="137"/>
      <c r="AR73" s="137"/>
      <c r="AS73" s="137"/>
      <c r="AT73" s="137"/>
      <c r="AU73" s="137"/>
      <c r="AV73" s="137"/>
      <c r="AW73" s="137"/>
      <c r="AX73" s="137"/>
      <c r="AY73" s="137"/>
      <c r="AZ73" s="137"/>
      <c r="BA73" s="137"/>
    </row>
    <row r="74" ht="17.25" hidden="1" customHeight="1">
      <c r="A74" s="149" t="s">
        <v>2246</v>
      </c>
      <c r="B74" s="150">
        <v>38045.0</v>
      </c>
      <c r="C74" s="149" t="s">
        <v>2247</v>
      </c>
      <c r="D74" s="151" t="s">
        <v>2248</v>
      </c>
      <c r="E74" s="149" t="s">
        <v>99</v>
      </c>
      <c r="F74" s="149" t="s">
        <v>61</v>
      </c>
      <c r="G74" s="149" t="s">
        <v>2249</v>
      </c>
      <c r="H74" s="149" t="s">
        <v>2250</v>
      </c>
      <c r="I74" s="149" t="s">
        <v>144</v>
      </c>
      <c r="J74" s="149"/>
      <c r="K74" s="149" t="s">
        <v>2251</v>
      </c>
      <c r="L74" s="149" t="s">
        <v>170</v>
      </c>
      <c r="M74" s="152">
        <v>46257.0</v>
      </c>
      <c r="N74" s="151" t="s">
        <v>105</v>
      </c>
      <c r="O74" s="153" t="str">
        <f>HYPERLINK("https://api.typeform.com/responses/files/8cd8f6b03488f8d36b7aeeabecdbb683c81b616f6b48a8efe65909d08dca4e93/Bảng_điểm___Game_Developer__Game_Designer___Lâm_Thành_Trung.xlsx")</f>
        <v>https://api.typeform.com/responses/files/8cd8f6b03488f8d36b7aeeabecdbb683c81b616f6b48a8efe65909d08dca4e93/Bảng_điểm___Game_Developer__Game_Designer___Lâm_Thành_Trung.xlsx</v>
      </c>
      <c r="P74" s="149" t="b">
        <v>1</v>
      </c>
      <c r="Q74" s="154" t="s">
        <v>2252</v>
      </c>
      <c r="R74" s="149" t="s">
        <v>2253</v>
      </c>
      <c r="S74" s="149" t="s">
        <v>72</v>
      </c>
      <c r="T74" s="149" t="s">
        <v>72</v>
      </c>
      <c r="U74" s="149" t="s">
        <v>594</v>
      </c>
      <c r="V74" s="149"/>
      <c r="W74" s="149" t="s">
        <v>2254</v>
      </c>
      <c r="X74" s="153" t="str">
        <f>HYPERLINK("https://api.typeform.com/responses/files/396395c45680a0e8187303509957c4f407520960b832cbef9571305cec30319e/CV___Game_Developer__Game_Designer___Lâm_Thành_Trung.pdf")</f>
        <v>https://api.typeform.com/responses/files/396395c45680a0e8187303509957c4f407520960b832cbef9571305cec30319e/CV___Game_Developer__Game_Designer___Lâm_Thành_Trung.pdf</v>
      </c>
      <c r="Y74" s="155">
        <v>46137.32392361111</v>
      </c>
      <c r="Z74" s="149" t="s">
        <v>2255</v>
      </c>
      <c r="AA74" s="156">
        <v>2.0</v>
      </c>
      <c r="AB74" s="157" t="s">
        <v>6381</v>
      </c>
      <c r="AC74" s="92" t="s">
        <v>6376</v>
      </c>
      <c r="AD74" s="158"/>
      <c r="AE74" s="92"/>
      <c r="AF74" s="137" t="str">
        <f t="shared" si="4"/>
        <v/>
      </c>
      <c r="AG74" s="149"/>
      <c r="AH74" s="156"/>
      <c r="AI74" s="156"/>
      <c r="AJ74" s="156"/>
      <c r="AK74" s="156"/>
      <c r="AL74" s="156"/>
      <c r="AM74" s="156"/>
      <c r="AN74" s="156"/>
      <c r="AO74" s="156"/>
      <c r="AP74" s="156"/>
      <c r="AQ74" s="156"/>
      <c r="AR74" s="156"/>
      <c r="AS74" s="156"/>
      <c r="AT74" s="156"/>
      <c r="AU74" s="156"/>
      <c r="AV74" s="156"/>
      <c r="AW74" s="156"/>
      <c r="AX74" s="156"/>
      <c r="AY74" s="156"/>
      <c r="AZ74" s="156"/>
      <c r="BA74" s="156"/>
    </row>
    <row r="75" ht="17.25" hidden="1" customHeight="1">
      <c r="A75" s="140" t="s">
        <v>2587</v>
      </c>
      <c r="B75" s="141">
        <v>38344.0</v>
      </c>
      <c r="C75" s="140" t="s">
        <v>2588</v>
      </c>
      <c r="D75" s="142" t="s">
        <v>2589</v>
      </c>
      <c r="E75" s="140" t="s">
        <v>62</v>
      </c>
      <c r="F75" s="140" t="s">
        <v>82</v>
      </c>
      <c r="G75" s="140" t="s">
        <v>2590</v>
      </c>
      <c r="H75" s="140" t="s">
        <v>2591</v>
      </c>
      <c r="I75" s="140" t="s">
        <v>326</v>
      </c>
      <c r="J75" s="140"/>
      <c r="K75" s="140" t="s">
        <v>219</v>
      </c>
      <c r="L75" s="140" t="s">
        <v>132</v>
      </c>
      <c r="M75" s="143">
        <v>46607.0</v>
      </c>
      <c r="N75" s="142" t="s">
        <v>2592</v>
      </c>
      <c r="O75" s="144" t="str">
        <f>HYPERLINK("https://api.typeform.com/responses/files/52f67e76f031affe6d5faaf0fd8e31a01d1798b5bec5a0f67b5af832f33ce78e/Transcript___AI_Engineer_Intern___Lai_Ngoc_Phuong_Nam.pdf")</f>
        <v>https://api.typeform.com/responses/files/52f67e76f031affe6d5faaf0fd8e31a01d1798b5bec5a0f67b5af832f33ce78e/Transcript___AI_Engineer_Intern___Lai_Ngoc_Phuong_Nam.pdf</v>
      </c>
      <c r="P75" s="140" t="b">
        <v>1</v>
      </c>
      <c r="Q75" s="161" t="s">
        <v>2593</v>
      </c>
      <c r="R75" s="140" t="s">
        <v>2594</v>
      </c>
      <c r="S75" s="140" t="s">
        <v>72</v>
      </c>
      <c r="T75" s="140" t="s">
        <v>72</v>
      </c>
      <c r="U75" s="140" t="s">
        <v>90</v>
      </c>
      <c r="V75" s="140"/>
      <c r="W75" s="140" t="s">
        <v>2595</v>
      </c>
      <c r="X75" s="144" t="str">
        <f>HYPERLINK("https://api.typeform.com/responses/files/782fd12e657afeaa5f7a63a19d27303c02044c068201e4b67ccd05fbcbef98fc/main_tex__16_.pdf")</f>
        <v>https://api.typeform.com/responses/files/782fd12e657afeaa5f7a63a19d27303c02044c068201e4b67ccd05fbcbef98fc/main_tex__16_.pdf</v>
      </c>
      <c r="Y75" s="145">
        <v>46139.12100694444</v>
      </c>
      <c r="Z75" s="140" t="s">
        <v>2596</v>
      </c>
      <c r="AA75" s="146">
        <v>2.0</v>
      </c>
      <c r="AB75" s="147" t="s">
        <v>6381</v>
      </c>
      <c r="AC75" s="70" t="s">
        <v>6376</v>
      </c>
      <c r="AD75" s="148"/>
      <c r="AE75" s="70"/>
      <c r="AF75" s="146" t="str">
        <f t="shared" si="4"/>
        <v/>
      </c>
      <c r="AG75" s="140"/>
      <c r="AH75" s="146"/>
      <c r="AI75" s="146"/>
      <c r="AJ75" s="146"/>
      <c r="AK75" s="146"/>
      <c r="AL75" s="146"/>
      <c r="AM75" s="146"/>
      <c r="AN75" s="146"/>
      <c r="AO75" s="146"/>
      <c r="AP75" s="146"/>
      <c r="AQ75" s="146"/>
      <c r="AR75" s="146"/>
      <c r="AS75" s="146"/>
      <c r="AT75" s="146"/>
      <c r="AU75" s="146"/>
      <c r="AV75" s="146"/>
      <c r="AW75" s="146"/>
      <c r="AX75" s="146"/>
      <c r="AY75" s="146"/>
      <c r="AZ75" s="146"/>
      <c r="BA75" s="146"/>
    </row>
    <row r="76" ht="17.25" hidden="1" customHeight="1">
      <c r="A76" s="35" t="s">
        <v>3160</v>
      </c>
      <c r="B76" s="132">
        <v>38456.0</v>
      </c>
      <c r="C76" s="35" t="s">
        <v>3161</v>
      </c>
      <c r="D76" s="133" t="s">
        <v>3162</v>
      </c>
      <c r="E76" s="35" t="s">
        <v>82</v>
      </c>
      <c r="F76" s="35" t="s">
        <v>62</v>
      </c>
      <c r="G76" s="35" t="s">
        <v>3163</v>
      </c>
      <c r="H76" s="35" t="s">
        <v>3164</v>
      </c>
      <c r="I76" s="35" t="s">
        <v>85</v>
      </c>
      <c r="J76" s="35"/>
      <c r="K76" s="35" t="s">
        <v>219</v>
      </c>
      <c r="L76" s="35" t="s">
        <v>220</v>
      </c>
      <c r="M76" s="134">
        <v>46538.0</v>
      </c>
      <c r="N76" s="35" t="s">
        <v>3165</v>
      </c>
      <c r="O76" s="135" t="str">
        <f>HYPERLINK("https://api.typeform.com/responses/files/a82fd054e4f7f7dbd845aba82116ec73700a31dcfe562db375c3ae23d734a0a6/Transcript___Data_Analysis_Intern___Nguyễn_Thanh_Quân.html")</f>
        <v>https://api.typeform.com/responses/files/a82fd054e4f7f7dbd845aba82116ec73700a31dcfe562db375c3ae23d734a0a6/Transcript___Data_Analysis_Intern___Nguyễn_Thanh_Quân.html</v>
      </c>
      <c r="P76" s="35" t="b">
        <v>1</v>
      </c>
      <c r="Q76" s="35" t="s">
        <v>3166</v>
      </c>
      <c r="R76" s="35" t="s">
        <v>3167</v>
      </c>
      <c r="S76" s="35" t="s">
        <v>72</v>
      </c>
      <c r="T76" s="35" t="s">
        <v>72</v>
      </c>
      <c r="U76" s="35" t="s">
        <v>3168</v>
      </c>
      <c r="V76" s="35"/>
      <c r="W76" s="35"/>
      <c r="X76" s="135" t="str">
        <f>HYPERLINK("https://api.typeform.com/responses/files/cfb3606fd962c9d53dfa9fa5d84763fceade3a4eeaa23f32a283a3830e861ecf/CV___Data_Analysis_Intern___Nguyễn_Thanh_Quân.pdf")</f>
        <v>https://api.typeform.com/responses/files/cfb3606fd962c9d53dfa9fa5d84763fceade3a4eeaa23f32a283a3830e861ecf/CV___Data_Analysis_Intern___Nguyễn_Thanh_Quân.pdf</v>
      </c>
      <c r="Y76" s="136">
        <v>46140.16939814815</v>
      </c>
      <c r="Z76" s="35" t="s">
        <v>3169</v>
      </c>
      <c r="AA76" s="137">
        <v>2.0</v>
      </c>
      <c r="AB76" s="137" t="s">
        <v>93</v>
      </c>
      <c r="AC76" s="28" t="s">
        <v>6377</v>
      </c>
      <c r="AD76" s="27"/>
      <c r="AE76" s="28" t="s">
        <v>6403</v>
      </c>
      <c r="AF76" s="137" t="str">
        <f t="shared" si="4"/>
        <v>Quỳnh</v>
      </c>
      <c r="AG76" s="35"/>
      <c r="AH76" s="137"/>
      <c r="AI76" s="137"/>
      <c r="AJ76" s="137"/>
      <c r="AK76" s="137"/>
      <c r="AL76" s="137"/>
      <c r="AM76" s="137"/>
      <c r="AN76" s="137"/>
      <c r="AO76" s="137"/>
      <c r="AP76" s="137"/>
      <c r="AQ76" s="137"/>
      <c r="AR76" s="137"/>
      <c r="AS76" s="137"/>
      <c r="AT76" s="137"/>
      <c r="AU76" s="137"/>
      <c r="AV76" s="137"/>
      <c r="AW76" s="137"/>
      <c r="AX76" s="137"/>
      <c r="AY76" s="137"/>
      <c r="AZ76" s="137"/>
      <c r="BA76" s="137"/>
    </row>
    <row r="77" ht="17.25" hidden="1" customHeight="1">
      <c r="A77" s="140" t="s">
        <v>4271</v>
      </c>
      <c r="B77" s="141">
        <v>38903.0</v>
      </c>
      <c r="C77" s="140" t="s">
        <v>4272</v>
      </c>
      <c r="D77" s="142" t="s">
        <v>4273</v>
      </c>
      <c r="E77" s="140" t="s">
        <v>62</v>
      </c>
      <c r="F77" s="140"/>
      <c r="G77" s="140" t="s">
        <v>4274</v>
      </c>
      <c r="H77" s="140" t="s">
        <v>4275</v>
      </c>
      <c r="I77" s="140" t="s">
        <v>85</v>
      </c>
      <c r="J77" s="140"/>
      <c r="K77" s="140" t="s">
        <v>169</v>
      </c>
      <c r="L77" s="140" t="s">
        <v>590</v>
      </c>
      <c r="M77" s="143">
        <v>47081.0</v>
      </c>
      <c r="N77" s="142" t="s">
        <v>2592</v>
      </c>
      <c r="O77" s="144" t="str">
        <f>HYPERLINK("https://api.typeform.com/responses/files/8da4d66f7e53b06f638fd4b8ff02cb60b3d821ca8b9d6a3b8e3494f7b09ebef6/Transcript.pdf")</f>
        <v>https://api.typeform.com/responses/files/8da4d66f7e53b06f638fd4b8ff02cb60b3d821ca8b9d6a3b8e3494f7b09ebef6/Transcript.pdf</v>
      </c>
      <c r="P77" s="140" t="b">
        <v>1</v>
      </c>
      <c r="Q77" s="140" t="s">
        <v>4276</v>
      </c>
      <c r="R77" s="140" t="s">
        <v>4277</v>
      </c>
      <c r="S77" s="140" t="s">
        <v>72</v>
      </c>
      <c r="T77" s="140" t="s">
        <v>72</v>
      </c>
      <c r="U77" s="140" t="s">
        <v>90</v>
      </c>
      <c r="V77" s="140"/>
      <c r="W77" s="140" t="s">
        <v>4278</v>
      </c>
      <c r="X77" s="144" t="str">
        <f>HYPERLINK("https://api.typeform.com/responses/files/5b959ab2875fb31c399829403a835cc7c091bb91a15fd80ddce77999bf7522a3/24522014.pdf")</f>
        <v>https://api.typeform.com/responses/files/5b959ab2875fb31c399829403a835cc7c091bb91a15fd80ddce77999bf7522a3/24522014.pdf</v>
      </c>
      <c r="Y77" s="145">
        <v>46143.23337962963</v>
      </c>
      <c r="Z77" s="140" t="s">
        <v>4279</v>
      </c>
      <c r="AA77" s="146">
        <v>2.0</v>
      </c>
      <c r="AB77" s="147" t="s">
        <v>6381</v>
      </c>
      <c r="AC77" s="70" t="s">
        <v>6376</v>
      </c>
      <c r="AD77" s="148"/>
      <c r="AE77" s="70"/>
      <c r="AF77" s="146" t="str">
        <f t="shared" si="4"/>
        <v/>
      </c>
      <c r="AG77" s="140"/>
      <c r="AH77" s="146"/>
      <c r="AI77" s="146"/>
      <c r="AJ77" s="146"/>
      <c r="AK77" s="146"/>
      <c r="AL77" s="146"/>
      <c r="AM77" s="146"/>
      <c r="AN77" s="146"/>
      <c r="AO77" s="146"/>
      <c r="AP77" s="146"/>
      <c r="AQ77" s="146"/>
      <c r="AR77" s="146"/>
      <c r="AS77" s="146"/>
      <c r="AT77" s="146"/>
      <c r="AU77" s="146"/>
      <c r="AV77" s="146"/>
      <c r="AW77" s="146"/>
      <c r="AX77" s="146"/>
      <c r="AY77" s="146"/>
      <c r="AZ77" s="146"/>
      <c r="BA77" s="146"/>
    </row>
    <row r="78" ht="17.25" hidden="1" customHeight="1">
      <c r="A78" s="35" t="s">
        <v>2058</v>
      </c>
      <c r="B78" s="132">
        <v>38763.0</v>
      </c>
      <c r="C78" s="35" t="s">
        <v>2059</v>
      </c>
      <c r="D78" s="133" t="s">
        <v>2060</v>
      </c>
      <c r="E78" s="35" t="s">
        <v>61</v>
      </c>
      <c r="F78" s="35" t="s">
        <v>99</v>
      </c>
      <c r="G78" s="35" t="s">
        <v>2061</v>
      </c>
      <c r="H78" s="35" t="s">
        <v>2062</v>
      </c>
      <c r="I78" s="35" t="s">
        <v>144</v>
      </c>
      <c r="J78" s="35"/>
      <c r="K78" s="35" t="s">
        <v>169</v>
      </c>
      <c r="L78" s="35" t="s">
        <v>2063</v>
      </c>
      <c r="M78" s="134">
        <v>46249.0</v>
      </c>
      <c r="N78" s="133" t="s">
        <v>171</v>
      </c>
      <c r="O78" s="135" t="str">
        <f>HYPERLINK("https://api.typeform.com/responses/files/0bb19491fbc3d3bf3b6c47ed8971b454b1c09b3da098ad8a79be6de38a65d32b/Transcript___Unity_Development_Intern___Trần_Nguyễn_Khắc_Duy.pdf")</f>
        <v>https://api.typeform.com/responses/files/0bb19491fbc3d3bf3b6c47ed8971b454b1c09b3da098ad8a79be6de38a65d32b/Transcript___Unity_Development_Intern___Trần_Nguyễn_Khắc_Duy.pdf</v>
      </c>
      <c r="P78" s="35" t="b">
        <v>1</v>
      </c>
      <c r="Q78" s="43" t="s">
        <v>2064</v>
      </c>
      <c r="R78" s="35" t="s">
        <v>2065</v>
      </c>
      <c r="S78" s="35" t="s">
        <v>72</v>
      </c>
      <c r="T78" s="35" t="s">
        <v>72</v>
      </c>
      <c r="U78" s="35" t="s">
        <v>90</v>
      </c>
      <c r="V78" s="35"/>
      <c r="W78" s="35" t="s">
        <v>2066</v>
      </c>
      <c r="X78" s="135" t="str">
        <f>HYPERLINK("https://api.typeform.com/responses/files/0a0827c8537b5c310fee9d8b9e42631767d56b1167d891946bf181b4b09e2e84/CV___Unity_Development_Intern___Trần_Nguyễn_Khắc_Duy.pdf")</f>
        <v>https://api.typeform.com/responses/files/0a0827c8537b5c310fee9d8b9e42631767d56b1167d891946bf181b4b09e2e84/CV___Unity_Development_Intern___Trần_Nguyễn_Khắc_Duy.pdf</v>
      </c>
      <c r="Y78" s="136">
        <v>46136.68325231481</v>
      </c>
      <c r="Z78" s="35" t="s">
        <v>2067</v>
      </c>
      <c r="AA78" s="137">
        <v>2.0</v>
      </c>
      <c r="AB78" s="137" t="s">
        <v>93</v>
      </c>
      <c r="AC78" s="28" t="s">
        <v>6377</v>
      </c>
      <c r="AD78" s="27"/>
      <c r="AE78" s="28" t="s">
        <v>6379</v>
      </c>
      <c r="AF78" s="137" t="str">
        <f t="shared" si="4"/>
        <v>Quỳnh</v>
      </c>
      <c r="AG78" s="35"/>
      <c r="AH78" s="137"/>
      <c r="AI78" s="137"/>
      <c r="AJ78" s="137"/>
      <c r="AK78" s="137"/>
      <c r="AL78" s="137"/>
      <c r="AM78" s="137"/>
      <c r="AN78" s="137"/>
      <c r="AO78" s="137"/>
      <c r="AP78" s="137"/>
      <c r="AQ78" s="137"/>
      <c r="AR78" s="137"/>
      <c r="AS78" s="137"/>
      <c r="AT78" s="137"/>
      <c r="AU78" s="137"/>
      <c r="AV78" s="137"/>
      <c r="AW78" s="137"/>
      <c r="AX78" s="137"/>
      <c r="AY78" s="137"/>
      <c r="AZ78" s="137"/>
      <c r="BA78" s="137"/>
    </row>
    <row r="79" ht="17.25" hidden="1" customHeight="1">
      <c r="A79" s="35" t="s">
        <v>2068</v>
      </c>
      <c r="B79" s="132">
        <v>38299.0</v>
      </c>
      <c r="C79" s="35" t="s">
        <v>2069</v>
      </c>
      <c r="D79" s="133" t="s">
        <v>2070</v>
      </c>
      <c r="E79" s="35" t="s">
        <v>61</v>
      </c>
      <c r="F79" s="35"/>
      <c r="G79" s="35" t="s">
        <v>2071</v>
      </c>
      <c r="H79" s="35" t="s">
        <v>2072</v>
      </c>
      <c r="I79" s="35" t="s">
        <v>85</v>
      </c>
      <c r="J79" s="35"/>
      <c r="K79" s="35" t="s">
        <v>103</v>
      </c>
      <c r="L79" s="35" t="s">
        <v>1183</v>
      </c>
      <c r="M79" s="134">
        <v>46183.0</v>
      </c>
      <c r="N79" s="133" t="s">
        <v>171</v>
      </c>
      <c r="O79" s="135" t="str">
        <f>HYPERLINK("https://api.typeform.com/responses/files/d6210b6edabf43e7717528f3700a689fe09e97f2dbb64fc528d4717d3facc154/Transcript___Game_Developer_Intern___Mai_Hoàng_Hưng.pdf")</f>
        <v>https://api.typeform.com/responses/files/d6210b6edabf43e7717528f3700a689fe09e97f2dbb64fc528d4717d3facc154/Transcript___Game_Developer_Intern___Mai_Hoàng_Hưng.pdf</v>
      </c>
      <c r="P79" s="35" t="b">
        <v>1</v>
      </c>
      <c r="Q79" s="43" t="s">
        <v>2073</v>
      </c>
      <c r="R79" s="35" t="s">
        <v>2074</v>
      </c>
      <c r="S79" s="35" t="s">
        <v>72</v>
      </c>
      <c r="T79" s="35" t="s">
        <v>72</v>
      </c>
      <c r="U79" s="35" t="s">
        <v>90</v>
      </c>
      <c r="V79" s="35"/>
      <c r="W79" s="35"/>
      <c r="X79" s="135" t="str">
        <f>HYPERLINK("https://api.typeform.com/responses/files/d9217378a5bf01270ada4620453e50e9ba6854ac0e5294571a4ee1c77f393bd6/CV___Game_Developer_Intern___Mai_Hoàng_Hưng.pdf")</f>
        <v>https://api.typeform.com/responses/files/d9217378a5bf01270ada4620453e50e9ba6854ac0e5294571a4ee1c77f393bd6/CV___Game_Developer_Intern___Mai_Hoàng_Hưng.pdf</v>
      </c>
      <c r="Y79" s="136">
        <v>46136.725648148145</v>
      </c>
      <c r="Z79" s="35" t="s">
        <v>2075</v>
      </c>
      <c r="AA79" s="137">
        <v>2.0</v>
      </c>
      <c r="AB79" s="137" t="s">
        <v>93</v>
      </c>
      <c r="AC79" s="28" t="s">
        <v>6377</v>
      </c>
      <c r="AD79" s="28" t="s">
        <v>6507</v>
      </c>
      <c r="AE79" s="28" t="s">
        <v>6379</v>
      </c>
      <c r="AF79" s="137" t="str">
        <f t="shared" si="4"/>
        <v>Quỳnh</v>
      </c>
      <c r="AG79" s="35"/>
      <c r="AH79" s="137"/>
      <c r="AI79" s="137"/>
      <c r="AJ79" s="137"/>
      <c r="AK79" s="137"/>
      <c r="AL79" s="137"/>
      <c r="AM79" s="137"/>
      <c r="AN79" s="137"/>
      <c r="AO79" s="137"/>
      <c r="AP79" s="137"/>
      <c r="AQ79" s="137"/>
      <c r="AR79" s="137"/>
      <c r="AS79" s="137"/>
      <c r="AT79" s="137"/>
      <c r="AU79" s="137"/>
      <c r="AV79" s="137"/>
      <c r="AW79" s="137"/>
      <c r="AX79" s="137"/>
      <c r="AY79" s="137"/>
      <c r="AZ79" s="137"/>
      <c r="BA79" s="137"/>
    </row>
    <row r="80" ht="17.25" hidden="1" customHeight="1">
      <c r="A80" s="35" t="s">
        <v>2803</v>
      </c>
      <c r="B80" s="132">
        <v>38547.0</v>
      </c>
      <c r="C80" s="35" t="s">
        <v>3734</v>
      </c>
      <c r="D80" s="133" t="s">
        <v>3735</v>
      </c>
      <c r="E80" s="35" t="s">
        <v>82</v>
      </c>
      <c r="F80" s="35"/>
      <c r="G80" s="35" t="s">
        <v>3736</v>
      </c>
      <c r="H80" s="35" t="s">
        <v>3737</v>
      </c>
      <c r="I80" s="35" t="s">
        <v>1023</v>
      </c>
      <c r="J80" s="35" t="s">
        <v>3738</v>
      </c>
      <c r="K80" s="35" t="s">
        <v>67</v>
      </c>
      <c r="L80" s="35" t="s">
        <v>1830</v>
      </c>
      <c r="M80" s="134">
        <v>46658.0</v>
      </c>
      <c r="N80" s="133" t="s">
        <v>3739</v>
      </c>
      <c r="O80" s="135" t="str">
        <f>HYPERLINK("https://api.typeform.com/responses/files/45dc1c0b82b25e54a63451a68110ea7db7e8d71ea600f0d96524eafa9e5425cf/Transcript___Data_Analysis_Intern___Nguy.pdf")</f>
        <v>https://api.typeform.com/responses/files/45dc1c0b82b25e54a63451a68110ea7db7e8d71ea600f0d96524eafa9e5425cf/Transcript___Data_Analysis_Intern___Nguy.pdf</v>
      </c>
      <c r="P80" s="35" t="b">
        <v>0</v>
      </c>
      <c r="Q80" s="35" t="s">
        <v>375</v>
      </c>
      <c r="R80" s="35" t="s">
        <v>3740</v>
      </c>
      <c r="S80" s="35" t="s">
        <v>72</v>
      </c>
      <c r="T80" s="35" t="s">
        <v>72</v>
      </c>
      <c r="U80" s="35" t="s">
        <v>90</v>
      </c>
      <c r="V80" s="35"/>
      <c r="W80" s="35" t="s">
        <v>3741</v>
      </c>
      <c r="X80" s="135" t="str">
        <f>HYPERLINK("https://api.typeform.com/responses/files/48ab9a266ecc1f882a60e6d794e59f73029f2c78f59f38d3954364f460f2fdd0/CV___Data_Analysis_Intern___Nguyen_Thanh_Danh.pdf")</f>
        <v>https://api.typeform.com/responses/files/48ab9a266ecc1f882a60e6d794e59f73029f2c78f59f38d3954364f460f2fdd0/CV___Data_Analysis_Intern___Nguyen_Thanh_Danh.pdf</v>
      </c>
      <c r="Y80" s="136">
        <v>46141.14078703704</v>
      </c>
      <c r="Z80" s="35" t="s">
        <v>3742</v>
      </c>
      <c r="AA80" s="137">
        <v>2.0</v>
      </c>
      <c r="AB80" s="137" t="s">
        <v>93</v>
      </c>
      <c r="AC80" s="28" t="s">
        <v>6377</v>
      </c>
      <c r="AD80" s="27"/>
      <c r="AE80" s="28" t="s">
        <v>6403</v>
      </c>
      <c r="AF80" s="137" t="str">
        <f t="shared" si="4"/>
        <v>Quỳnh</v>
      </c>
      <c r="AG80" s="35"/>
      <c r="AH80" s="137"/>
      <c r="AI80" s="137"/>
      <c r="AJ80" s="137"/>
      <c r="AK80" s="137"/>
      <c r="AL80" s="137"/>
      <c r="AM80" s="137"/>
      <c r="AN80" s="137"/>
      <c r="AO80" s="137"/>
      <c r="AP80" s="137"/>
      <c r="AQ80" s="137"/>
      <c r="AR80" s="137"/>
      <c r="AS80" s="137"/>
      <c r="AT80" s="137"/>
      <c r="AU80" s="137"/>
      <c r="AV80" s="137"/>
      <c r="AW80" s="137"/>
      <c r="AX80" s="137"/>
      <c r="AY80" s="137"/>
      <c r="AZ80" s="137"/>
      <c r="BA80" s="137"/>
    </row>
    <row r="81" ht="17.25" hidden="1" customHeight="1">
      <c r="A81" s="35" t="s">
        <v>2088</v>
      </c>
      <c r="B81" s="132">
        <v>38000.0</v>
      </c>
      <c r="C81" s="35" t="s">
        <v>2089</v>
      </c>
      <c r="D81" s="133" t="s">
        <v>2090</v>
      </c>
      <c r="E81" s="35" t="s">
        <v>61</v>
      </c>
      <c r="F81" s="35" t="s">
        <v>99</v>
      </c>
      <c r="G81" s="35" t="s">
        <v>2091</v>
      </c>
      <c r="H81" s="35" t="s">
        <v>2092</v>
      </c>
      <c r="I81" s="35" t="s">
        <v>326</v>
      </c>
      <c r="J81" s="35"/>
      <c r="K81" s="35" t="s">
        <v>67</v>
      </c>
      <c r="L81" s="35" t="s">
        <v>104</v>
      </c>
      <c r="M81" s="134">
        <v>46266.0</v>
      </c>
      <c r="N81" s="133" t="s">
        <v>2093</v>
      </c>
      <c r="O81" s="135" t="str">
        <f>HYPERLINK("https://api.typeform.com/responses/files/481835c088e8a0948bfb2927c07fc4cea9d757e5391a89bad84444da058f6897/Transcript___Unity_Development_Intern___Huỳnh_Nguyễn_Minh_Khang.png")</f>
        <v>https://api.typeform.com/responses/files/481835c088e8a0948bfb2927c07fc4cea9d757e5391a89bad84444da058f6897/Transcript___Unity_Development_Intern___Huỳnh_Nguyễn_Minh_Khang.png</v>
      </c>
      <c r="P81" s="35" t="b">
        <v>1</v>
      </c>
      <c r="Q81" s="43" t="s">
        <v>2094</v>
      </c>
      <c r="R81" s="35" t="s">
        <v>2095</v>
      </c>
      <c r="S81" s="35" t="s">
        <v>72</v>
      </c>
      <c r="T81" s="35" t="s">
        <v>72</v>
      </c>
      <c r="U81" s="35" t="s">
        <v>236</v>
      </c>
      <c r="V81" s="35"/>
      <c r="W81" s="35"/>
      <c r="X81" s="135" t="str">
        <f>HYPERLINK("https://api.typeform.com/responses/files/37abed34f4972e76fab29030f022a1b594c77f6c2c065e1c640325e6fb93ae76/CV___Unity_Development_Intern___Huỳnh_Nguyễn_Minh_Khang.pdf")</f>
        <v>https://api.typeform.com/responses/files/37abed34f4972e76fab29030f022a1b594c77f6c2c065e1c640325e6fb93ae76/CV___Unity_Development_Intern___Huỳnh_Nguyễn_Minh_Khang.pdf</v>
      </c>
      <c r="Y81" s="136">
        <v>46136.73075231481</v>
      </c>
      <c r="Z81" s="35" t="s">
        <v>2096</v>
      </c>
      <c r="AA81" s="137">
        <v>2.0</v>
      </c>
      <c r="AB81" s="137" t="s">
        <v>93</v>
      </c>
      <c r="AC81" s="28" t="s">
        <v>6377</v>
      </c>
      <c r="AD81" s="27"/>
      <c r="AE81" s="28" t="s">
        <v>6379</v>
      </c>
      <c r="AF81" s="137" t="str">
        <f t="shared" si="4"/>
        <v>Quỳnh</v>
      </c>
      <c r="AG81" s="35"/>
      <c r="AH81" s="137"/>
      <c r="AI81" s="137"/>
      <c r="AJ81" s="137"/>
      <c r="AK81" s="137"/>
      <c r="AL81" s="137"/>
      <c r="AM81" s="137"/>
      <c r="AN81" s="137"/>
      <c r="AO81" s="137"/>
      <c r="AP81" s="137"/>
      <c r="AQ81" s="137"/>
      <c r="AR81" s="137"/>
      <c r="AS81" s="137"/>
      <c r="AT81" s="137"/>
      <c r="AU81" s="137"/>
      <c r="AV81" s="137"/>
      <c r="AW81" s="137"/>
      <c r="AX81" s="137"/>
      <c r="AY81" s="137"/>
      <c r="AZ81" s="137"/>
      <c r="BA81" s="137"/>
    </row>
    <row r="82" ht="17.25" hidden="1" customHeight="1">
      <c r="A82" s="35" t="s">
        <v>2097</v>
      </c>
      <c r="B82" s="132">
        <v>35964.0</v>
      </c>
      <c r="C82" s="35" t="s">
        <v>2098</v>
      </c>
      <c r="D82" s="133" t="s">
        <v>2099</v>
      </c>
      <c r="E82" s="35" t="s">
        <v>127</v>
      </c>
      <c r="F82" s="35" t="s">
        <v>99</v>
      </c>
      <c r="G82" s="35" t="s">
        <v>2100</v>
      </c>
      <c r="H82" s="35" t="s">
        <v>2101</v>
      </c>
      <c r="I82" s="35" t="s">
        <v>65</v>
      </c>
      <c r="J82" s="35" t="s">
        <v>2102</v>
      </c>
      <c r="K82" s="35" t="s">
        <v>2103</v>
      </c>
      <c r="L82" s="35" t="s">
        <v>2104</v>
      </c>
      <c r="M82" s="134">
        <v>44900.0</v>
      </c>
      <c r="N82" s="35" t="s">
        <v>268</v>
      </c>
      <c r="O82" s="135" t="str">
        <f>HYPERLINK("https://api.typeform.com/responses/files/0b2baf95a989b0b0215a709b2a68d58c2a8dbe64c31f72fc4fa930edf65711d6/CV___Game_Quality_Assurance_Intern___TON_THAT_MINH_TOAN.pdf")</f>
        <v>https://api.typeform.com/responses/files/0b2baf95a989b0b0215a709b2a68d58c2a8dbe64c31f72fc4fa930edf65711d6/CV___Game_Quality_Assurance_Intern___TON_THAT_MINH_TOAN.pdf</v>
      </c>
      <c r="P82" s="35" t="b">
        <v>0</v>
      </c>
      <c r="Q82" s="43" t="s">
        <v>1514</v>
      </c>
      <c r="R82" s="35" t="s">
        <v>1514</v>
      </c>
      <c r="S82" s="35" t="s">
        <v>72</v>
      </c>
      <c r="T82" s="35" t="s">
        <v>72</v>
      </c>
      <c r="U82" s="35" t="s">
        <v>73</v>
      </c>
      <c r="V82" s="35"/>
      <c r="W82" s="35" t="s">
        <v>2105</v>
      </c>
      <c r="X82" s="135" t="str">
        <f>HYPERLINK("https://api.typeform.com/responses/files/74929b6f0a1955b0b5de0e73a2a81ca216a9aef0f3221f93788ba649b1303f39/CV___Game_Quality_Assurance_Intern___TON_THAT_MINH_TOAN.pdf")</f>
        <v>https://api.typeform.com/responses/files/74929b6f0a1955b0b5de0e73a2a81ca216a9aef0f3221f93788ba649b1303f39/CV___Game_Quality_Assurance_Intern___TON_THAT_MINH_TOAN.pdf</v>
      </c>
      <c r="Y82" s="136">
        <v>46136.78501157407</v>
      </c>
      <c r="Z82" s="35" t="s">
        <v>2106</v>
      </c>
      <c r="AA82" s="137">
        <v>2.0</v>
      </c>
      <c r="AB82" s="137" t="s">
        <v>93</v>
      </c>
      <c r="AC82" s="28" t="s">
        <v>6376</v>
      </c>
      <c r="AD82" s="28" t="s">
        <v>6508</v>
      </c>
      <c r="AE82" s="28"/>
      <c r="AF82" s="137" t="str">
        <f t="shared" si="4"/>
        <v/>
      </c>
      <c r="AG82" s="35"/>
      <c r="AH82" s="137"/>
      <c r="AI82" s="137"/>
      <c r="AJ82" s="137"/>
      <c r="AK82" s="137"/>
      <c r="AL82" s="137"/>
      <c r="AM82" s="137"/>
      <c r="AN82" s="137"/>
      <c r="AO82" s="137"/>
      <c r="AP82" s="137"/>
      <c r="AQ82" s="137"/>
      <c r="AR82" s="137"/>
      <c r="AS82" s="137"/>
      <c r="AT82" s="137"/>
      <c r="AU82" s="137"/>
      <c r="AV82" s="137"/>
      <c r="AW82" s="137"/>
      <c r="AX82" s="137"/>
      <c r="AY82" s="137"/>
      <c r="AZ82" s="137"/>
      <c r="BA82" s="137"/>
    </row>
    <row r="83" ht="17.25" hidden="1" customHeight="1">
      <c r="A83" s="35" t="s">
        <v>2107</v>
      </c>
      <c r="B83" s="132">
        <v>37624.0</v>
      </c>
      <c r="C83" s="35" t="s">
        <v>2108</v>
      </c>
      <c r="D83" s="133" t="s">
        <v>2109</v>
      </c>
      <c r="E83" s="35" t="s">
        <v>61</v>
      </c>
      <c r="F83" s="35"/>
      <c r="G83" s="35" t="s">
        <v>2110</v>
      </c>
      <c r="H83" s="35" t="s">
        <v>2111</v>
      </c>
      <c r="I83" s="35" t="s">
        <v>277</v>
      </c>
      <c r="J83" s="35"/>
      <c r="K83" s="35" t="s">
        <v>103</v>
      </c>
      <c r="L83" s="35" t="s">
        <v>930</v>
      </c>
      <c r="M83" s="134">
        <v>46327.0</v>
      </c>
      <c r="N83" s="133" t="s">
        <v>685</v>
      </c>
      <c r="O83" s="135" t="str">
        <f>HYPERLINK("https://api.typeform.com/responses/files/c8d8d43c467bf0a3c1c1769327819e9dc2efe02f6fa1c8ac8f0b3bbd583135b4/Transcript___Unity_Developer_Intern___Hoàng_Nhân_Khánh.pdf")</f>
        <v>https://api.typeform.com/responses/files/c8d8d43c467bf0a3c1c1769327819e9dc2efe02f6fa1c8ac8f0b3bbd583135b4/Transcript___Unity_Developer_Intern___Hoàng_Nhân_Khánh.pdf</v>
      </c>
      <c r="P83" s="35" t="b">
        <v>1</v>
      </c>
      <c r="Q83" s="43" t="s">
        <v>2112</v>
      </c>
      <c r="R83" s="35" t="s">
        <v>2113</v>
      </c>
      <c r="S83" s="35" t="s">
        <v>72</v>
      </c>
      <c r="T83" s="35" t="s">
        <v>72</v>
      </c>
      <c r="U83" s="35" t="s">
        <v>403</v>
      </c>
      <c r="V83" s="35" t="s">
        <v>676</v>
      </c>
      <c r="W83" s="35" t="s">
        <v>2114</v>
      </c>
      <c r="X83" s="135" t="str">
        <f>HYPERLINK("https://api.typeform.com/responses/files/b94716b02d3a2cc50efdbcd21c79fc1de9d264a0c8e69cbd3bcdadb29c54aad8/CV___Unity_Developer_Intern___Hoàng_Nhân_Khánh.pdf")</f>
        <v>https://api.typeform.com/responses/files/b94716b02d3a2cc50efdbcd21c79fc1de9d264a0c8e69cbd3bcdadb29c54aad8/CV___Unity_Developer_Intern___Hoàng_Nhân_Khánh.pdf</v>
      </c>
      <c r="Y83" s="136">
        <v>46136.86739583333</v>
      </c>
      <c r="Z83" s="35" t="s">
        <v>2115</v>
      </c>
      <c r="AA83" s="137">
        <v>2.0</v>
      </c>
      <c r="AB83" s="137" t="s">
        <v>93</v>
      </c>
      <c r="AC83" s="28" t="s">
        <v>6376</v>
      </c>
      <c r="AD83" s="27"/>
      <c r="AE83" s="28"/>
      <c r="AF83" s="137" t="str">
        <f t="shared" si="4"/>
        <v/>
      </c>
      <c r="AG83" s="35"/>
      <c r="AH83" s="137"/>
      <c r="AI83" s="137"/>
      <c r="AJ83" s="137"/>
      <c r="AK83" s="137"/>
      <c r="AL83" s="137"/>
      <c r="AM83" s="137"/>
      <c r="AN83" s="137"/>
      <c r="AO83" s="137"/>
      <c r="AP83" s="137"/>
      <c r="AQ83" s="137"/>
      <c r="AR83" s="137"/>
      <c r="AS83" s="137"/>
      <c r="AT83" s="137"/>
      <c r="AU83" s="137"/>
      <c r="AV83" s="137"/>
      <c r="AW83" s="137"/>
      <c r="AX83" s="137"/>
      <c r="AY83" s="137"/>
      <c r="AZ83" s="137"/>
      <c r="BA83" s="137"/>
    </row>
    <row r="84" ht="17.25" hidden="1" customHeight="1">
      <c r="A84" s="35" t="s">
        <v>2116</v>
      </c>
      <c r="B84" s="132">
        <v>38690.0</v>
      </c>
      <c r="C84" s="35" t="s">
        <v>2117</v>
      </c>
      <c r="D84" s="133" t="s">
        <v>2118</v>
      </c>
      <c r="E84" s="35" t="s">
        <v>61</v>
      </c>
      <c r="F84" s="35" t="s">
        <v>99</v>
      </c>
      <c r="G84" s="35" t="s">
        <v>2119</v>
      </c>
      <c r="H84" s="35" t="s">
        <v>2120</v>
      </c>
      <c r="I84" s="35" t="s">
        <v>468</v>
      </c>
      <c r="J84" s="35" t="s">
        <v>2121</v>
      </c>
      <c r="K84" s="35" t="s">
        <v>219</v>
      </c>
      <c r="L84" s="35" t="s">
        <v>132</v>
      </c>
      <c r="M84" s="134">
        <v>46478.0</v>
      </c>
      <c r="N84" s="35" t="s">
        <v>2122</v>
      </c>
      <c r="O84" s="135" t="str">
        <f>HYPERLINK("https://api.typeform.com/responses/files/044e30eabdff46b8b40b14b3b3d13f519d050e1fd5e0fbb9735c6716dd7264c9/CV_UnityDevelopment_NguyễnXuânHoài.pdf")</f>
        <v>https://api.typeform.com/responses/files/044e30eabdff46b8b40b14b3b3d13f519d050e1fd5e0fbb9735c6716dd7264c9/CV_UnityDevelopment_NguyễnXuânHoài.pdf</v>
      </c>
      <c r="P84" s="35" t="b">
        <v>0</v>
      </c>
      <c r="Q84" s="43" t="s">
        <v>2123</v>
      </c>
      <c r="R84" s="35" t="s">
        <v>2124</v>
      </c>
      <c r="S84" s="35" t="s">
        <v>72</v>
      </c>
      <c r="T84" s="35" t="s">
        <v>72</v>
      </c>
      <c r="U84" s="35" t="s">
        <v>73</v>
      </c>
      <c r="V84" s="35"/>
      <c r="W84" s="35" t="s">
        <v>2125</v>
      </c>
      <c r="X84" s="135" t="str">
        <f>HYPERLINK("https://api.typeform.com/responses/files/976f9b2bf8ec0f9090ecee13b0e1995ca593b17f11824b5fca311dc56c2dc603/CV_UnityDevelopment_NguyễnXuânHoài.pdf")</f>
        <v>https://api.typeform.com/responses/files/976f9b2bf8ec0f9090ecee13b0e1995ca593b17f11824b5fca311dc56c2dc603/CV_UnityDevelopment_NguyễnXuânHoài.pdf</v>
      </c>
      <c r="Y84" s="136">
        <v>46137.11875</v>
      </c>
      <c r="Z84" s="35" t="s">
        <v>2126</v>
      </c>
      <c r="AA84" s="137">
        <v>2.0</v>
      </c>
      <c r="AB84" s="137" t="s">
        <v>93</v>
      </c>
      <c r="AC84" s="28" t="s">
        <v>6376</v>
      </c>
      <c r="AD84" s="27"/>
      <c r="AE84" s="28"/>
      <c r="AF84" s="137" t="str">
        <f t="shared" si="4"/>
        <v/>
      </c>
      <c r="AG84" s="35"/>
      <c r="AH84" s="137"/>
      <c r="AI84" s="137"/>
      <c r="AJ84" s="137"/>
      <c r="AK84" s="137"/>
      <c r="AL84" s="137"/>
      <c r="AM84" s="137"/>
      <c r="AN84" s="137"/>
      <c r="AO84" s="137"/>
      <c r="AP84" s="137"/>
      <c r="AQ84" s="137"/>
      <c r="AR84" s="137"/>
      <c r="AS84" s="137"/>
      <c r="AT84" s="137"/>
      <c r="AU84" s="137"/>
      <c r="AV84" s="137"/>
      <c r="AW84" s="137"/>
      <c r="AX84" s="137"/>
      <c r="AY84" s="137"/>
      <c r="AZ84" s="137"/>
      <c r="BA84" s="137"/>
    </row>
    <row r="85" ht="17.25" hidden="1" customHeight="1">
      <c r="A85" s="140" t="s">
        <v>2918</v>
      </c>
      <c r="B85" s="141">
        <v>38585.0</v>
      </c>
      <c r="C85" s="140" t="s">
        <v>2919</v>
      </c>
      <c r="D85" s="142" t="s">
        <v>2920</v>
      </c>
      <c r="E85" s="140" t="s">
        <v>62</v>
      </c>
      <c r="F85" s="140" t="s">
        <v>82</v>
      </c>
      <c r="G85" s="140" t="s">
        <v>2921</v>
      </c>
      <c r="H85" s="140" t="s">
        <v>2922</v>
      </c>
      <c r="I85" s="140" t="s">
        <v>338</v>
      </c>
      <c r="J85" s="140"/>
      <c r="K85" s="140" t="s">
        <v>219</v>
      </c>
      <c r="L85" s="140" t="s">
        <v>570</v>
      </c>
      <c r="M85" s="143">
        <v>46508.0</v>
      </c>
      <c r="N85" s="142" t="s">
        <v>147</v>
      </c>
      <c r="O85" s="144" t="str">
        <f>HYPERLINK("https://api.typeform.com/responses/files/319c68364c602301a01cd8d8fab42d04435ea8cb884b93b4a9634f62ced99b24/Transcripit___AI_Engineer_Intern___Phạm_Thanh_Tùng.pdf")</f>
        <v>https://api.typeform.com/responses/files/319c68364c602301a01cd8d8fab42d04435ea8cb884b93b4a9634f62ced99b24/Transcripit___AI_Engineer_Intern___Phạm_Thanh_Tùng.pdf</v>
      </c>
      <c r="P85" s="140" t="b">
        <v>1</v>
      </c>
      <c r="Q85" s="161" t="s">
        <v>2923</v>
      </c>
      <c r="R85" s="140" t="s">
        <v>2924</v>
      </c>
      <c r="S85" s="140" t="s">
        <v>72</v>
      </c>
      <c r="T85" s="140" t="s">
        <v>72</v>
      </c>
      <c r="U85" s="140" t="s">
        <v>90</v>
      </c>
      <c r="V85" s="140"/>
      <c r="W85" s="140"/>
      <c r="X85" s="144" t="str">
        <f>HYPERLINK("https://api.typeform.com/responses/files/6a2413899bebd7adfa73a2c1dfd53d5c2d5870f423439e228ea905ec1aadda27/CV___AI_Engineer_Intern___Phạm_Thanh_Tùng.pdf")</f>
        <v>https://api.typeform.com/responses/files/6a2413899bebd7adfa73a2c1dfd53d5c2d5870f423439e228ea905ec1aadda27/CV___AI_Engineer_Intern___Phạm_Thanh_Tùng.pdf</v>
      </c>
      <c r="Y85" s="145">
        <v>46139.63552083333</v>
      </c>
      <c r="Z85" s="140" t="s">
        <v>2925</v>
      </c>
      <c r="AA85" s="146">
        <v>2.0</v>
      </c>
      <c r="AB85" s="147" t="s">
        <v>6381</v>
      </c>
      <c r="AC85" s="70" t="s">
        <v>6376</v>
      </c>
      <c r="AD85" s="148"/>
      <c r="AE85" s="70"/>
      <c r="AF85" s="146" t="str">
        <f t="shared" si="4"/>
        <v/>
      </c>
      <c r="AG85" s="140"/>
      <c r="AH85" s="146"/>
      <c r="AI85" s="146"/>
      <c r="AJ85" s="146"/>
      <c r="AK85" s="146"/>
      <c r="AL85" s="146"/>
      <c r="AM85" s="146"/>
      <c r="AN85" s="146"/>
      <c r="AO85" s="146"/>
      <c r="AP85" s="146"/>
      <c r="AQ85" s="146"/>
      <c r="AR85" s="146"/>
      <c r="AS85" s="146"/>
      <c r="AT85" s="146"/>
      <c r="AU85" s="146"/>
      <c r="AV85" s="146"/>
      <c r="AW85" s="146"/>
      <c r="AX85" s="146"/>
      <c r="AY85" s="146"/>
      <c r="AZ85" s="146"/>
      <c r="BA85" s="146"/>
    </row>
    <row r="86" ht="17.25" hidden="1" customHeight="1">
      <c r="A86" s="140" t="s">
        <v>2823</v>
      </c>
      <c r="B86" s="141">
        <v>38227.0</v>
      </c>
      <c r="C86" s="140" t="s">
        <v>2824</v>
      </c>
      <c r="D86" s="142" t="s">
        <v>2825</v>
      </c>
      <c r="E86" s="140" t="s">
        <v>62</v>
      </c>
      <c r="F86" s="140" t="s">
        <v>82</v>
      </c>
      <c r="G86" s="140" t="s">
        <v>2826</v>
      </c>
      <c r="H86" s="140" t="s">
        <v>2827</v>
      </c>
      <c r="I86" s="140" t="s">
        <v>65</v>
      </c>
      <c r="J86" s="140" t="s">
        <v>2828</v>
      </c>
      <c r="K86" s="140" t="s">
        <v>67</v>
      </c>
      <c r="L86" s="140" t="s">
        <v>384</v>
      </c>
      <c r="M86" s="143">
        <v>46181.0</v>
      </c>
      <c r="N86" s="142" t="s">
        <v>374</v>
      </c>
      <c r="O86" s="144" t="str">
        <f>HYPERLINK("https://api.typeform.com/responses/files/ab2b46d5b049036c4edb4465f2561fe171bba806d64cba2ffceaf2eefdd6029f/CV___AI_Engineer_Intern___Lê_Quân_Đạt.pdf")</f>
        <v>https://api.typeform.com/responses/files/ab2b46d5b049036c4edb4465f2561fe171bba806d64cba2ffceaf2eefdd6029f/CV___AI_Engineer_Intern___Lê_Quân_Đạt.pdf</v>
      </c>
      <c r="P86" s="140" t="b">
        <v>1</v>
      </c>
      <c r="Q86" s="161" t="s">
        <v>2829</v>
      </c>
      <c r="R86" s="140" t="s">
        <v>2830</v>
      </c>
      <c r="S86" s="140" t="s">
        <v>72</v>
      </c>
      <c r="T86" s="140" t="s">
        <v>72</v>
      </c>
      <c r="U86" s="140" t="s">
        <v>90</v>
      </c>
      <c r="V86" s="140"/>
      <c r="W86" s="140"/>
      <c r="X86" s="144" t="str">
        <f>HYPERLINK("https://api.typeform.com/responses/files/53834e495979bc232776a0ccc0f1e5fa8bfb7e5836c71ec87d7a7020c05d6fa8/CV___AI_Engineer_Intern___Lê_Quân_Đạt.pdf")</f>
        <v>https://api.typeform.com/responses/files/53834e495979bc232776a0ccc0f1e5fa8bfb7e5836c71ec87d7a7020c05d6fa8/CV___AI_Engineer_Intern___Lê_Quân_Đạt.pdf</v>
      </c>
      <c r="Y86" s="145">
        <v>46139.4259375</v>
      </c>
      <c r="Z86" s="140" t="s">
        <v>2831</v>
      </c>
      <c r="AA86" s="146">
        <v>2.0</v>
      </c>
      <c r="AB86" s="147" t="s">
        <v>6381</v>
      </c>
      <c r="AC86" s="70" t="s">
        <v>6376</v>
      </c>
      <c r="AD86" s="148"/>
      <c r="AE86" s="70"/>
      <c r="AF86" s="146" t="str">
        <f t="shared" si="4"/>
        <v/>
      </c>
      <c r="AG86" s="35"/>
      <c r="AH86" s="137"/>
      <c r="AI86" s="137"/>
      <c r="AJ86" s="137"/>
      <c r="AK86" s="137"/>
      <c r="AL86" s="137"/>
      <c r="AM86" s="137"/>
      <c r="AN86" s="137"/>
      <c r="AO86" s="137"/>
      <c r="AP86" s="137"/>
      <c r="AQ86" s="137"/>
      <c r="AR86" s="137"/>
      <c r="AS86" s="137"/>
      <c r="AT86" s="137"/>
      <c r="AU86" s="137"/>
      <c r="AV86" s="137"/>
      <c r="AW86" s="137"/>
      <c r="AX86" s="137"/>
      <c r="AY86" s="137"/>
      <c r="AZ86" s="137"/>
      <c r="BA86" s="137"/>
    </row>
    <row r="87" ht="17.25" hidden="1" customHeight="1">
      <c r="A87" s="140" t="s">
        <v>2823</v>
      </c>
      <c r="B87" s="141">
        <v>38227.0</v>
      </c>
      <c r="C87" s="140" t="s">
        <v>2824</v>
      </c>
      <c r="D87" s="142" t="s">
        <v>2825</v>
      </c>
      <c r="E87" s="140" t="s">
        <v>62</v>
      </c>
      <c r="F87" s="140" t="s">
        <v>82</v>
      </c>
      <c r="G87" s="140" t="s">
        <v>3398</v>
      </c>
      <c r="H87" s="140" t="s">
        <v>3399</v>
      </c>
      <c r="I87" s="140" t="s">
        <v>65</v>
      </c>
      <c r="J87" s="140" t="s">
        <v>2828</v>
      </c>
      <c r="K87" s="140" t="s">
        <v>67</v>
      </c>
      <c r="L87" s="140" t="s">
        <v>384</v>
      </c>
      <c r="M87" s="143">
        <v>46181.0</v>
      </c>
      <c r="N87" s="142" t="s">
        <v>374</v>
      </c>
      <c r="O87" s="144" t="str">
        <f>HYPERLINK("https://api.typeform.com/responses/files/6ea7b197f3bdd72d5cc46dd869aef8f53efe1d1d260067f40b3cf1041f0ff071/Transcript___AI_Engineer_Intern___Lê_Quân_Đạt.pdf")</f>
        <v>https://api.typeform.com/responses/files/6ea7b197f3bdd72d5cc46dd869aef8f53efe1d1d260067f40b3cf1041f0ff071/Transcript___AI_Engineer_Intern___Lê_Quân_Đạt.pdf</v>
      </c>
      <c r="P87" s="140" t="b">
        <v>1</v>
      </c>
      <c r="Q87" s="140" t="s">
        <v>3400</v>
      </c>
      <c r="R87" s="140" t="s">
        <v>2830</v>
      </c>
      <c r="S87" s="140" t="s">
        <v>72</v>
      </c>
      <c r="T87" s="140" t="s">
        <v>72</v>
      </c>
      <c r="U87" s="140" t="s">
        <v>236</v>
      </c>
      <c r="V87" s="140"/>
      <c r="W87" s="140"/>
      <c r="X87" s="144" t="str">
        <f>HYPERLINK("https://api.typeform.com/responses/files/e0724417490800dd8a50523074390fde2f181c09dd3c7e0940c78cb4728b1ed0/CV___AI_Engineer_Intern___Lê_Quân_Đạt.pdf")</f>
        <v>https://api.typeform.com/responses/files/e0724417490800dd8a50523074390fde2f181c09dd3c7e0940c78cb4728b1ed0/CV___AI_Engineer_Intern___Lê_Quân_Đạt.pdf</v>
      </c>
      <c r="Y87" s="145">
        <v>46140.33982638889</v>
      </c>
      <c r="Z87" s="140" t="s">
        <v>3401</v>
      </c>
      <c r="AA87" s="146">
        <v>2.0</v>
      </c>
      <c r="AB87" s="147" t="s">
        <v>6381</v>
      </c>
      <c r="AC87" s="70" t="s">
        <v>6376</v>
      </c>
      <c r="AD87" s="148"/>
      <c r="AE87" s="70"/>
      <c r="AF87" s="146" t="str">
        <f t="shared" si="4"/>
        <v/>
      </c>
      <c r="AG87" s="35"/>
      <c r="AH87" s="137"/>
      <c r="AI87" s="137"/>
      <c r="AJ87" s="137"/>
      <c r="AK87" s="137"/>
      <c r="AL87" s="137"/>
      <c r="AM87" s="137"/>
      <c r="AN87" s="137"/>
      <c r="AO87" s="137"/>
      <c r="AP87" s="137"/>
      <c r="AQ87" s="137"/>
      <c r="AR87" s="137"/>
      <c r="AS87" s="137"/>
      <c r="AT87" s="137"/>
      <c r="AU87" s="137"/>
      <c r="AV87" s="137"/>
      <c r="AW87" s="137"/>
      <c r="AX87" s="137"/>
      <c r="AY87" s="137"/>
      <c r="AZ87" s="137"/>
      <c r="BA87" s="137"/>
    </row>
    <row r="88" ht="17.25" hidden="1" customHeight="1">
      <c r="A88" s="35" t="s">
        <v>2456</v>
      </c>
      <c r="B88" s="132">
        <v>38709.0</v>
      </c>
      <c r="C88" s="35" t="s">
        <v>2457</v>
      </c>
      <c r="D88" s="133" t="s">
        <v>2458</v>
      </c>
      <c r="E88" s="35" t="s">
        <v>99</v>
      </c>
      <c r="F88" s="35" t="s">
        <v>61</v>
      </c>
      <c r="G88" s="35" t="s">
        <v>2459</v>
      </c>
      <c r="H88" s="35" t="s">
        <v>2460</v>
      </c>
      <c r="I88" s="35" t="s">
        <v>326</v>
      </c>
      <c r="J88" s="35"/>
      <c r="K88" s="35" t="s">
        <v>219</v>
      </c>
      <c r="L88" s="35" t="s">
        <v>86</v>
      </c>
      <c r="M88" s="134">
        <v>46539.0</v>
      </c>
      <c r="N88" s="133" t="s">
        <v>2461</v>
      </c>
      <c r="O88" s="135" t="str">
        <f>HYPERLINK("https://api.typeform.com/responses/files/1293d8574505ef8f7037ba11bb16520bbaf14d30dbd684bbec29810801f15b08/Transcript___Game_Design_Intern___Trần_Tiến_Cường.pdf")</f>
        <v>https://api.typeform.com/responses/files/1293d8574505ef8f7037ba11bb16520bbaf14d30dbd684bbec29810801f15b08/Transcript___Game_Design_Intern___Trần_Tiến_Cường.pdf</v>
      </c>
      <c r="P88" s="35" t="b">
        <v>1</v>
      </c>
      <c r="Q88" s="43" t="s">
        <v>2462</v>
      </c>
      <c r="R88" s="35" t="s">
        <v>2463</v>
      </c>
      <c r="S88" s="35" t="s">
        <v>72</v>
      </c>
      <c r="T88" s="35" t="s">
        <v>72</v>
      </c>
      <c r="U88" s="35" t="s">
        <v>2389</v>
      </c>
      <c r="V88" s="35"/>
      <c r="W88" s="35" t="s">
        <v>2464</v>
      </c>
      <c r="X88" s="135" t="str">
        <f>HYPERLINK("https://api.typeform.com/responses/files/a26369c808a556bd4bf96a84d4eee6becedf6be00b0c210df5984714b2473790/CV___Game_Design_Intern___Trần_Tiến_Cường.pdf")</f>
        <v>https://api.typeform.com/responses/files/a26369c808a556bd4bf96a84d4eee6becedf6be00b0c210df5984714b2473790/CV___Game_Design_Intern___Trần_Tiến_Cường.pdf</v>
      </c>
      <c r="Y88" s="136">
        <v>46137.79474537037</v>
      </c>
      <c r="Z88" s="35" t="s">
        <v>2465</v>
      </c>
      <c r="AA88" s="137">
        <v>2.0</v>
      </c>
      <c r="AB88" s="139" t="s">
        <v>6381</v>
      </c>
      <c r="AC88" s="28" t="s">
        <v>6377</v>
      </c>
      <c r="AD88" s="27"/>
      <c r="AE88" s="28" t="s">
        <v>6379</v>
      </c>
      <c r="AF88" s="137" t="str">
        <f t="shared" si="4"/>
        <v>Nhiên</v>
      </c>
      <c r="AG88" s="35"/>
      <c r="AH88" s="137"/>
      <c r="AI88" s="137"/>
      <c r="AJ88" s="137"/>
      <c r="AK88" s="137"/>
      <c r="AL88" s="137"/>
      <c r="AM88" s="137"/>
      <c r="AN88" s="137"/>
      <c r="AO88" s="137"/>
      <c r="AP88" s="137"/>
      <c r="AQ88" s="137"/>
      <c r="AR88" s="137"/>
      <c r="AS88" s="137"/>
      <c r="AT88" s="137"/>
      <c r="AU88" s="137"/>
      <c r="AV88" s="137"/>
      <c r="AW88" s="137"/>
      <c r="AX88" s="137"/>
      <c r="AY88" s="137"/>
      <c r="AZ88" s="137"/>
      <c r="BA88" s="137"/>
    </row>
    <row r="89" ht="17.25" hidden="1" customHeight="1">
      <c r="A89" s="149" t="s">
        <v>2165</v>
      </c>
      <c r="B89" s="150">
        <v>37344.0</v>
      </c>
      <c r="C89" s="149" t="s">
        <v>2166</v>
      </c>
      <c r="D89" s="151" t="s">
        <v>2167</v>
      </c>
      <c r="E89" s="149" t="s">
        <v>99</v>
      </c>
      <c r="F89" s="149" t="s">
        <v>62</v>
      </c>
      <c r="G89" s="149" t="s">
        <v>2168</v>
      </c>
      <c r="H89" s="149" t="s">
        <v>2169</v>
      </c>
      <c r="I89" s="149" t="s">
        <v>144</v>
      </c>
      <c r="J89" s="149"/>
      <c r="K89" s="149" t="s">
        <v>103</v>
      </c>
      <c r="L89" s="149" t="s">
        <v>2170</v>
      </c>
      <c r="M89" s="152">
        <v>45446.0</v>
      </c>
      <c r="N89" s="151" t="s">
        <v>233</v>
      </c>
      <c r="O89" s="153" t="str">
        <f>HYPERLINK("https://api.typeform.com/responses/files/06e32e185afb0f4a1a0b048939101def4953b48f902738e7eaa0add28b6ccdc9/Transcript___Game_Designer_Intern___Vũ_Quốc_Bảo.jpg")</f>
        <v>https://api.typeform.com/responses/files/06e32e185afb0f4a1a0b048939101def4953b48f902738e7eaa0add28b6ccdc9/Transcript___Game_Designer_Intern___Vũ_Quốc_Bảo.jpg</v>
      </c>
      <c r="P89" s="149" t="b">
        <v>0</v>
      </c>
      <c r="Q89" s="154" t="s">
        <v>2171</v>
      </c>
      <c r="R89" s="149" t="s">
        <v>2172</v>
      </c>
      <c r="S89" s="149" t="s">
        <v>72</v>
      </c>
      <c r="T89" s="149" t="s">
        <v>72</v>
      </c>
      <c r="U89" s="149" t="s">
        <v>73</v>
      </c>
      <c r="V89" s="149"/>
      <c r="W89" s="149" t="s">
        <v>2173</v>
      </c>
      <c r="X89" s="153" t="str">
        <f>HYPERLINK("https://api.typeform.com/responses/files/c21288ffa1b5326c7540c29ec8f003162bb3490de1a6f5088b73ba6b1dd35e22/CV___Intern_Game_Designer___Vũ_Quốc_Bảo.pdf")</f>
        <v>https://api.typeform.com/responses/files/c21288ffa1b5326c7540c29ec8f003162bb3490de1a6f5088b73ba6b1dd35e22/CV___Intern_Game_Designer___Vũ_Quốc_Bảo.pdf</v>
      </c>
      <c r="Y89" s="155">
        <v>46137.20490740741</v>
      </c>
      <c r="Z89" s="149" t="s">
        <v>2174</v>
      </c>
      <c r="AA89" s="156">
        <v>2.0</v>
      </c>
      <c r="AB89" s="157" t="s">
        <v>6381</v>
      </c>
      <c r="AC89" s="92" t="s">
        <v>6376</v>
      </c>
      <c r="AD89" s="158"/>
      <c r="AE89" s="92"/>
      <c r="AF89" s="137" t="str">
        <f t="shared" si="4"/>
        <v/>
      </c>
      <c r="AG89" s="149"/>
      <c r="AH89" s="156"/>
      <c r="AI89" s="156"/>
      <c r="AJ89" s="156"/>
      <c r="AK89" s="156"/>
      <c r="AL89" s="156"/>
      <c r="AM89" s="156"/>
      <c r="AN89" s="156"/>
      <c r="AO89" s="156"/>
      <c r="AP89" s="156"/>
      <c r="AQ89" s="156"/>
      <c r="AR89" s="156"/>
      <c r="AS89" s="156"/>
      <c r="AT89" s="156"/>
      <c r="AU89" s="156"/>
      <c r="AV89" s="156"/>
      <c r="AW89" s="156"/>
      <c r="AX89" s="156"/>
      <c r="AY89" s="156"/>
      <c r="AZ89" s="156"/>
      <c r="BA89" s="156"/>
    </row>
    <row r="90" ht="17.25" hidden="1" customHeight="1">
      <c r="A90" s="35" t="s">
        <v>2175</v>
      </c>
      <c r="B90" s="132">
        <v>38313.0</v>
      </c>
      <c r="C90" s="35" t="s">
        <v>2176</v>
      </c>
      <c r="D90" s="133" t="s">
        <v>2177</v>
      </c>
      <c r="E90" s="35" t="s">
        <v>61</v>
      </c>
      <c r="F90" s="35" t="s">
        <v>99</v>
      </c>
      <c r="G90" s="35" t="s">
        <v>2178</v>
      </c>
      <c r="H90" s="35" t="s">
        <v>2179</v>
      </c>
      <c r="I90" s="35" t="s">
        <v>2180</v>
      </c>
      <c r="J90" s="35"/>
      <c r="K90" s="35" t="s">
        <v>103</v>
      </c>
      <c r="L90" s="35" t="s">
        <v>2181</v>
      </c>
      <c r="M90" s="134">
        <v>46198.0</v>
      </c>
      <c r="N90" s="133" t="s">
        <v>87</v>
      </c>
      <c r="O90" s="135" t="str">
        <f>HYPERLINK("https://api.typeform.com/responses/files/8807a772978818a3eaba285eb59d98207bb9fafe234adc2ce391cc136993b12c/Transcript_Unity_Development_Intern_TranLeHoangHuy.docx")</f>
        <v>https://api.typeform.com/responses/files/8807a772978818a3eaba285eb59d98207bb9fafe234adc2ce391cc136993b12c/Transcript_Unity_Development_Intern_TranLeHoangHuy.docx</v>
      </c>
      <c r="P90" s="35" t="b">
        <v>1</v>
      </c>
      <c r="Q90" s="43" t="s">
        <v>2182</v>
      </c>
      <c r="R90" s="35" t="s">
        <v>2183</v>
      </c>
      <c r="S90" s="35" t="s">
        <v>72</v>
      </c>
      <c r="T90" s="35" t="s">
        <v>72</v>
      </c>
      <c r="U90" s="35" t="s">
        <v>2184</v>
      </c>
      <c r="V90" s="35"/>
      <c r="W90" s="35" t="s">
        <v>2185</v>
      </c>
      <c r="X90" s="135" t="str">
        <f>HYPERLINK("https://api.typeform.com/responses/files/cd945cff5f19ffb57d7ec45b5e2f970c7f8a3f0f8808473059b739b2f6352f55/CV_TranLeHoangHuy_UnityDevelopmentIntern.pdf")</f>
        <v>https://api.typeform.com/responses/files/cd945cff5f19ffb57d7ec45b5e2f970c7f8a3f0f8808473059b739b2f6352f55/CV_TranLeHoangHuy_UnityDevelopmentIntern.pdf</v>
      </c>
      <c r="Y90" s="136">
        <v>46137.23539351852</v>
      </c>
      <c r="Z90" s="35" t="s">
        <v>2186</v>
      </c>
      <c r="AA90" s="137">
        <v>2.0</v>
      </c>
      <c r="AB90" s="137" t="s">
        <v>93</v>
      </c>
      <c r="AC90" s="28" t="s">
        <v>6377</v>
      </c>
      <c r="AD90" s="28" t="s">
        <v>6507</v>
      </c>
      <c r="AE90" s="28" t="s">
        <v>6397</v>
      </c>
      <c r="AF90" s="137" t="str">
        <f t="shared" si="4"/>
        <v/>
      </c>
      <c r="AG90" s="35"/>
      <c r="AH90" s="137"/>
      <c r="AI90" s="137"/>
      <c r="AJ90" s="137"/>
      <c r="AK90" s="137"/>
      <c r="AL90" s="137"/>
      <c r="AM90" s="137"/>
      <c r="AN90" s="137"/>
      <c r="AO90" s="137"/>
      <c r="AP90" s="137"/>
      <c r="AQ90" s="137"/>
      <c r="AR90" s="137"/>
      <c r="AS90" s="137"/>
      <c r="AT90" s="137"/>
      <c r="AU90" s="137"/>
      <c r="AV90" s="137"/>
      <c r="AW90" s="137"/>
      <c r="AX90" s="137"/>
      <c r="AY90" s="137"/>
      <c r="AZ90" s="137"/>
      <c r="BA90" s="137"/>
    </row>
    <row r="91" ht="17.25" hidden="1" customHeight="1">
      <c r="A91" s="35" t="s">
        <v>2876</v>
      </c>
      <c r="B91" s="132">
        <v>38654.0</v>
      </c>
      <c r="C91" s="35" t="s">
        <v>2877</v>
      </c>
      <c r="D91" s="133" t="s">
        <v>2878</v>
      </c>
      <c r="E91" s="35" t="s">
        <v>99</v>
      </c>
      <c r="F91" s="35" t="s">
        <v>61</v>
      </c>
      <c r="G91" s="35" t="s">
        <v>2879</v>
      </c>
      <c r="H91" s="35" t="s">
        <v>2880</v>
      </c>
      <c r="I91" s="35" t="s">
        <v>65</v>
      </c>
      <c r="J91" s="35" t="s">
        <v>2881</v>
      </c>
      <c r="K91" s="35" t="s">
        <v>219</v>
      </c>
      <c r="L91" s="35" t="s">
        <v>2882</v>
      </c>
      <c r="M91" s="134">
        <v>46326.0</v>
      </c>
      <c r="N91" s="133" t="s">
        <v>147</v>
      </c>
      <c r="O91" s="135" t="str">
        <f>HYPERLINK("https://api.typeform.com/responses/files/8424f0cee6b9fc1fd4fd230f27a3e3058e1f87916c4618c1c5ccf4156a700aad/Transcript_GameDesignIntern_PhamMinhPhat.pdf")</f>
        <v>https://api.typeform.com/responses/files/8424f0cee6b9fc1fd4fd230f27a3e3058e1f87916c4618c1c5ccf4156a700aad/Transcript_GameDesignIntern_PhamMinhPhat.pdf</v>
      </c>
      <c r="P91" s="35" t="b">
        <v>1</v>
      </c>
      <c r="Q91" s="43" t="s">
        <v>2883</v>
      </c>
      <c r="R91" s="35" t="s">
        <v>2884</v>
      </c>
      <c r="S91" s="35" t="s">
        <v>72</v>
      </c>
      <c r="T91" s="35" t="s">
        <v>72</v>
      </c>
      <c r="U91" s="35" t="s">
        <v>2885</v>
      </c>
      <c r="V91" s="35"/>
      <c r="W91" s="35" t="s">
        <v>2886</v>
      </c>
      <c r="X91" s="135" t="str">
        <f>HYPERLINK("https://api.typeform.com/responses/files/c3d9e903be390c9dd713a5cc79ca1252f803c9d47e1b29f89deeee549af5fdf6/CV_GameDesignIntern_PhamMinhPhat.pdf")</f>
        <v>https://api.typeform.com/responses/files/c3d9e903be390c9dd713a5cc79ca1252f803c9d47e1b29f89deeee549af5fdf6/CV_GameDesignIntern_PhamMinhPhat.pdf</v>
      </c>
      <c r="Y91" s="136">
        <v>46139.57009259259</v>
      </c>
      <c r="Z91" s="35" t="s">
        <v>2887</v>
      </c>
      <c r="AA91" s="137">
        <v>2.0</v>
      </c>
      <c r="AB91" s="139" t="s">
        <v>6381</v>
      </c>
      <c r="AC91" s="28" t="s">
        <v>6377</v>
      </c>
      <c r="AD91" s="27"/>
      <c r="AE91" s="28" t="s">
        <v>6379</v>
      </c>
      <c r="AF91" s="137" t="str">
        <f t="shared" si="4"/>
        <v>Nhiên</v>
      </c>
      <c r="AG91" s="35"/>
      <c r="AH91" s="137"/>
      <c r="AI91" s="137"/>
      <c r="AJ91" s="137"/>
      <c r="AK91" s="137"/>
      <c r="AL91" s="137"/>
      <c r="AM91" s="137"/>
      <c r="AN91" s="137"/>
      <c r="AO91" s="137"/>
      <c r="AP91" s="137"/>
      <c r="AQ91" s="137"/>
      <c r="AR91" s="137"/>
      <c r="AS91" s="137"/>
      <c r="AT91" s="137"/>
      <c r="AU91" s="137"/>
      <c r="AV91" s="137"/>
      <c r="AW91" s="137"/>
      <c r="AX91" s="137"/>
      <c r="AY91" s="137"/>
      <c r="AZ91" s="137"/>
      <c r="BA91" s="137"/>
    </row>
    <row r="92" ht="17.25" hidden="1" customHeight="1">
      <c r="A92" s="35" t="s">
        <v>2196</v>
      </c>
      <c r="B92" s="132">
        <v>38548.0</v>
      </c>
      <c r="C92" s="35" t="s">
        <v>2197</v>
      </c>
      <c r="D92" s="133" t="s">
        <v>2198</v>
      </c>
      <c r="E92" s="35" t="s">
        <v>61</v>
      </c>
      <c r="F92" s="35" t="s">
        <v>99</v>
      </c>
      <c r="G92" s="35" t="s">
        <v>2199</v>
      </c>
      <c r="H92" s="35" t="s">
        <v>2200</v>
      </c>
      <c r="I92" s="35" t="s">
        <v>144</v>
      </c>
      <c r="J92" s="35"/>
      <c r="K92" s="35" t="s">
        <v>103</v>
      </c>
      <c r="L92" s="35" t="s">
        <v>256</v>
      </c>
      <c r="M92" s="134">
        <v>45870.0</v>
      </c>
      <c r="N92" s="35" t="s">
        <v>2201</v>
      </c>
      <c r="O92" s="135" t="str">
        <f>HYPERLINK("https://api.typeform.com/responses/files/5a744069642a259f4645e2002657f36565bf0752558ad4913095a50e6fea4ccd/Bảng_điểm__FPT_Polytechnic.pdf")</f>
        <v>https://api.typeform.com/responses/files/5a744069642a259f4645e2002657f36565bf0752558ad4913095a50e6fea4ccd/Bảng_điểm__FPT_Polytechnic.pdf</v>
      </c>
      <c r="P92" s="35" t="b">
        <v>1</v>
      </c>
      <c r="Q92" s="43" t="s">
        <v>2202</v>
      </c>
      <c r="R92" s="35" t="s">
        <v>2203</v>
      </c>
      <c r="S92" s="35" t="s">
        <v>72</v>
      </c>
      <c r="T92" s="35" t="s">
        <v>72</v>
      </c>
      <c r="U92" s="35" t="s">
        <v>73</v>
      </c>
      <c r="V92" s="35"/>
      <c r="W92" s="35"/>
      <c r="X92" s="135" t="str">
        <f>HYPERLINK("https://api.typeform.com/responses/files/a094a8c5c107ffedd6b6e9c0d2ec30292a0bac28c00afc0c8fa328276a37ce69/Tran_Hoang_Phuc_TopCV.vn_250426.124259.pdf")</f>
        <v>https://api.typeform.com/responses/files/a094a8c5c107ffedd6b6e9c0d2ec30292a0bac28c00afc0c8fa328276a37ce69/Tran_Hoang_Phuc_TopCV.vn_250426.124259.pdf</v>
      </c>
      <c r="Y92" s="136">
        <v>46137.2490625</v>
      </c>
      <c r="Z92" s="35" t="s">
        <v>2204</v>
      </c>
      <c r="AA92" s="137">
        <v>2.0</v>
      </c>
      <c r="AB92" s="137" t="s">
        <v>93</v>
      </c>
      <c r="AC92" s="28" t="s">
        <v>6388</v>
      </c>
      <c r="AD92" s="27"/>
      <c r="AE92" s="28" t="s">
        <v>6376</v>
      </c>
      <c r="AF92" s="137" t="str">
        <f t="shared" si="4"/>
        <v>Quỳnh</v>
      </c>
      <c r="AG92" s="35"/>
      <c r="AH92" s="137"/>
      <c r="AI92" s="137"/>
      <c r="AJ92" s="137"/>
      <c r="AK92" s="137"/>
      <c r="AL92" s="137"/>
      <c r="AM92" s="137"/>
      <c r="AN92" s="137"/>
      <c r="AO92" s="137"/>
      <c r="AP92" s="137"/>
      <c r="AQ92" s="137"/>
      <c r="AR92" s="137"/>
      <c r="AS92" s="137"/>
      <c r="AT92" s="137"/>
      <c r="AU92" s="137"/>
      <c r="AV92" s="137"/>
      <c r="AW92" s="137"/>
      <c r="AX92" s="137"/>
      <c r="AY92" s="137"/>
      <c r="AZ92" s="137"/>
      <c r="BA92" s="137"/>
    </row>
    <row r="93" ht="17.25" hidden="1" customHeight="1">
      <c r="A93" s="35" t="s">
        <v>3611</v>
      </c>
      <c r="B93" s="132">
        <v>38399.0</v>
      </c>
      <c r="C93" s="35" t="s">
        <v>3612</v>
      </c>
      <c r="D93" s="133" t="s">
        <v>3613</v>
      </c>
      <c r="E93" s="35" t="s">
        <v>82</v>
      </c>
      <c r="F93" s="35" t="s">
        <v>774</v>
      </c>
      <c r="G93" s="35" t="s">
        <v>3614</v>
      </c>
      <c r="H93" s="35" t="s">
        <v>3615</v>
      </c>
      <c r="I93" s="35" t="s">
        <v>85</v>
      </c>
      <c r="J93" s="35"/>
      <c r="K93" s="35" t="s">
        <v>219</v>
      </c>
      <c r="L93" s="35" t="s">
        <v>851</v>
      </c>
      <c r="M93" s="134">
        <v>46387.0</v>
      </c>
      <c r="N93" s="133" t="s">
        <v>1321</v>
      </c>
      <c r="O93" s="135" t="str">
        <f>HYPERLINK("https://api.typeform.com/responses/files/4b725c8f43e6ffdc69c16498806cec8e36e21524f525e7d8bc29e58c11efe152/Transcript___Data_Analysis_Intern___Dinh_Bao_Thy.pdf")</f>
        <v>https://api.typeform.com/responses/files/4b725c8f43e6ffdc69c16498806cec8e36e21524f525e7d8bc29e58c11efe152/Transcript___Data_Analysis_Intern___Dinh_Bao_Thy.pdf</v>
      </c>
      <c r="P93" s="35" t="b">
        <v>1</v>
      </c>
      <c r="Q93" s="35" t="s">
        <v>3616</v>
      </c>
      <c r="R93" s="35" t="s">
        <v>3617</v>
      </c>
      <c r="S93" s="35" t="s">
        <v>72</v>
      </c>
      <c r="T93" s="35" t="s">
        <v>72</v>
      </c>
      <c r="U93" s="35" t="s">
        <v>2389</v>
      </c>
      <c r="V93" s="35"/>
      <c r="W93" s="35"/>
      <c r="X93" s="135" t="str">
        <f>HYPERLINK("https://api.typeform.com/responses/files/1e9ef815db6ab3c36bffdb0b78fd99ec84e824cd2fc98863b3e34814240412a9/CV___Data_Analysis_Intern___Dinh_Bao_Thy.pdf")</f>
        <v>https://api.typeform.com/responses/files/1e9ef815db6ab3c36bffdb0b78fd99ec84e824cd2fc98863b3e34814240412a9/CV___Data_Analysis_Intern___Dinh_Bao_Thy.pdf</v>
      </c>
      <c r="Y93" s="136">
        <v>46140.60123842592</v>
      </c>
      <c r="Z93" s="35" t="s">
        <v>3618</v>
      </c>
      <c r="AA93" s="137">
        <v>2.0</v>
      </c>
      <c r="AB93" s="137" t="s">
        <v>93</v>
      </c>
      <c r="AC93" s="28" t="s">
        <v>6377</v>
      </c>
      <c r="AD93" s="27"/>
      <c r="AE93" s="28" t="s">
        <v>6403</v>
      </c>
      <c r="AF93" s="137" t="str">
        <f t="shared" si="4"/>
        <v>Quỳnh</v>
      </c>
      <c r="AG93" s="35"/>
      <c r="AH93" s="137"/>
      <c r="AI93" s="137"/>
      <c r="AJ93" s="137"/>
      <c r="AK93" s="137"/>
      <c r="AL93" s="137"/>
      <c r="AM93" s="137"/>
      <c r="AN93" s="137"/>
      <c r="AO93" s="137"/>
      <c r="AP93" s="137"/>
      <c r="AQ93" s="137"/>
      <c r="AR93" s="137"/>
      <c r="AS93" s="137"/>
      <c r="AT93" s="137"/>
      <c r="AU93" s="137"/>
      <c r="AV93" s="137"/>
      <c r="AW93" s="137"/>
      <c r="AX93" s="137"/>
      <c r="AY93" s="137"/>
      <c r="AZ93" s="137"/>
      <c r="BA93" s="137"/>
    </row>
    <row r="94" ht="17.25" hidden="1" customHeight="1">
      <c r="A94" s="35" t="s">
        <v>2417</v>
      </c>
      <c r="B94" s="132">
        <v>38096.0</v>
      </c>
      <c r="C94" s="35" t="s">
        <v>3774</v>
      </c>
      <c r="D94" s="133" t="s">
        <v>3775</v>
      </c>
      <c r="E94" s="35" t="s">
        <v>82</v>
      </c>
      <c r="F94" s="35" t="s">
        <v>62</v>
      </c>
      <c r="G94" s="35" t="s">
        <v>3776</v>
      </c>
      <c r="H94" s="35" t="s">
        <v>3777</v>
      </c>
      <c r="I94" s="35" t="s">
        <v>85</v>
      </c>
      <c r="J94" s="35"/>
      <c r="K94" s="35" t="s">
        <v>103</v>
      </c>
      <c r="L94" s="35" t="s">
        <v>384</v>
      </c>
      <c r="M94" s="134">
        <v>46182.0</v>
      </c>
      <c r="N94" s="133" t="s">
        <v>3778</v>
      </c>
      <c r="O94" s="135" t="str">
        <f>HYPERLINK("https://api.typeform.com/responses/files/d848efdd81cd15d678794a3c4b827bf3bf31e1a49af5d8fdb657a646db96f0d1/Transcript___Data_Analysis_Intern___Nguyễn_Phi_Long.pdf")</f>
        <v>https://api.typeform.com/responses/files/d848efdd81cd15d678794a3c4b827bf3bf31e1a49af5d8fdb657a646db96f0d1/Transcript___Data_Analysis_Intern___Nguyễn_Phi_Long.pdf</v>
      </c>
      <c r="P94" s="35" t="b">
        <v>1</v>
      </c>
      <c r="Q94" s="35" t="s">
        <v>3779</v>
      </c>
      <c r="R94" s="35" t="s">
        <v>3780</v>
      </c>
      <c r="S94" s="35" t="s">
        <v>72</v>
      </c>
      <c r="T94" s="35" t="s">
        <v>72</v>
      </c>
      <c r="U94" s="35" t="s">
        <v>269</v>
      </c>
      <c r="V94" s="35"/>
      <c r="W94" s="35" t="s">
        <v>3781</v>
      </c>
      <c r="X94" s="135" t="str">
        <f>HYPERLINK("https://api.typeform.com/responses/files/aae3bef7cf8ea98c93dc38bc596a0020259d59c920bb8dca0ff91c63208d9c32/CV___Data_Analysis_Intern___Nguyễn_Phi_Long.pdf")</f>
        <v>https://api.typeform.com/responses/files/aae3bef7cf8ea98c93dc38bc596a0020259d59c920bb8dca0ff91c63208d9c32/CV___Data_Analysis_Intern___Nguyễn_Phi_Long.pdf</v>
      </c>
      <c r="Y94" s="136">
        <v>46141.19960648148</v>
      </c>
      <c r="Z94" s="35" t="s">
        <v>3782</v>
      </c>
      <c r="AA94" s="137">
        <v>2.0</v>
      </c>
      <c r="AB94" s="137" t="s">
        <v>93</v>
      </c>
      <c r="AC94" s="28" t="s">
        <v>6376</v>
      </c>
      <c r="AD94" s="27"/>
      <c r="AE94" s="28"/>
      <c r="AF94" s="137" t="str">
        <f t="shared" si="4"/>
        <v/>
      </c>
      <c r="AG94" s="35"/>
      <c r="AH94" s="137"/>
      <c r="AI94" s="137"/>
      <c r="AJ94" s="137"/>
      <c r="AK94" s="137"/>
      <c r="AL94" s="137"/>
      <c r="AM94" s="137"/>
      <c r="AN94" s="137"/>
      <c r="AO94" s="137"/>
      <c r="AP94" s="137"/>
      <c r="AQ94" s="137"/>
      <c r="AR94" s="137"/>
      <c r="AS94" s="137"/>
      <c r="AT94" s="137"/>
      <c r="AU94" s="137"/>
      <c r="AV94" s="137"/>
      <c r="AW94" s="137"/>
      <c r="AX94" s="137"/>
      <c r="AY94" s="137"/>
      <c r="AZ94" s="137"/>
      <c r="BA94" s="137"/>
    </row>
    <row r="95" ht="17.25" hidden="1" customHeight="1">
      <c r="A95" s="140" t="s">
        <v>3152</v>
      </c>
      <c r="B95" s="141">
        <v>37926.0</v>
      </c>
      <c r="C95" s="140" t="s">
        <v>3153</v>
      </c>
      <c r="D95" s="142" t="s">
        <v>3154</v>
      </c>
      <c r="E95" s="140" t="s">
        <v>62</v>
      </c>
      <c r="F95" s="140" t="s">
        <v>82</v>
      </c>
      <c r="G95" s="140" t="s">
        <v>3155</v>
      </c>
      <c r="H95" s="140" t="s">
        <v>3156</v>
      </c>
      <c r="I95" s="140" t="s">
        <v>65</v>
      </c>
      <c r="J95" s="140" t="s">
        <v>102</v>
      </c>
      <c r="K95" s="140" t="s">
        <v>103</v>
      </c>
      <c r="L95" s="140" t="s">
        <v>570</v>
      </c>
      <c r="M95" s="143">
        <v>46086.0</v>
      </c>
      <c r="N95" s="142" t="s">
        <v>2503</v>
      </c>
      <c r="O95" s="144" t="str">
        <f>HYPERLINK("https://api.typeform.com/responses/files/18f9fab060350696abc06435c0a8063d9f98c700d1434aad7b79f5a21f0a1a78/Transcript___AI_engineering__Intern___Nguyễn_Trần_Mạnh_Thắng.pdf")</f>
        <v>https://api.typeform.com/responses/files/18f9fab060350696abc06435c0a8063d9f98c700d1434aad7b79f5a21f0a1a78/Transcript___AI_engineering__Intern___Nguyễn_Trần_Mạnh_Thắng.pdf</v>
      </c>
      <c r="P95" s="140" t="b">
        <v>1</v>
      </c>
      <c r="Q95" s="140" t="s">
        <v>3157</v>
      </c>
      <c r="R95" s="140" t="s">
        <v>3158</v>
      </c>
      <c r="S95" s="140" t="s">
        <v>72</v>
      </c>
      <c r="T95" s="140" t="s">
        <v>72</v>
      </c>
      <c r="U95" s="140" t="s">
        <v>90</v>
      </c>
      <c r="V95" s="140"/>
      <c r="W95" s="140"/>
      <c r="X95" s="144" t="str">
        <f>HYPERLINK("https://api.typeform.com/responses/files/c93877eb33c528f94de13c8a894b58470372878066d63c73f2728d0ad1a2bc9c/CV__AI_engineering___Intern__Nguyễn_Trần_Mạnh_Thắng.pdf")</f>
        <v>https://api.typeform.com/responses/files/c93877eb33c528f94de13c8a894b58470372878066d63c73f2728d0ad1a2bc9c/CV__AI_engineering___Intern__Nguyễn_Trần_Mạnh_Thắng.pdf</v>
      </c>
      <c r="Y95" s="145">
        <v>46140.16270833334</v>
      </c>
      <c r="Z95" s="140" t="s">
        <v>3159</v>
      </c>
      <c r="AA95" s="146">
        <v>2.0</v>
      </c>
      <c r="AB95" s="147" t="s">
        <v>6381</v>
      </c>
      <c r="AC95" s="70" t="s">
        <v>6376</v>
      </c>
      <c r="AD95" s="148"/>
      <c r="AE95" s="70"/>
      <c r="AF95" s="146" t="str">
        <f t="shared" si="4"/>
        <v/>
      </c>
      <c r="AG95" s="140"/>
      <c r="AH95" s="146"/>
      <c r="AI95" s="146"/>
      <c r="AJ95" s="146"/>
      <c r="AK95" s="146"/>
      <c r="AL95" s="146"/>
      <c r="AM95" s="146"/>
      <c r="AN95" s="146"/>
      <c r="AO95" s="146"/>
      <c r="AP95" s="146"/>
      <c r="AQ95" s="146"/>
      <c r="AR95" s="146"/>
      <c r="AS95" s="146"/>
      <c r="AT95" s="146"/>
      <c r="AU95" s="146"/>
      <c r="AV95" s="146"/>
      <c r="AW95" s="146"/>
      <c r="AX95" s="146"/>
      <c r="AY95" s="146"/>
      <c r="AZ95" s="146"/>
      <c r="BA95" s="146"/>
    </row>
    <row r="96" ht="17.25" hidden="1" customHeight="1">
      <c r="A96" s="149" t="s">
        <v>2234</v>
      </c>
      <c r="B96" s="150">
        <v>38265.0</v>
      </c>
      <c r="C96" s="149" t="s">
        <v>2235</v>
      </c>
      <c r="D96" s="151" t="s">
        <v>2236</v>
      </c>
      <c r="E96" s="149" t="s">
        <v>99</v>
      </c>
      <c r="F96" s="149" t="s">
        <v>99</v>
      </c>
      <c r="G96" s="149" t="s">
        <v>2237</v>
      </c>
      <c r="H96" s="149" t="s">
        <v>2238</v>
      </c>
      <c r="I96" s="149" t="s">
        <v>65</v>
      </c>
      <c r="J96" s="149" t="s">
        <v>2239</v>
      </c>
      <c r="K96" s="149" t="s">
        <v>103</v>
      </c>
      <c r="L96" s="149" t="s">
        <v>2240</v>
      </c>
      <c r="M96" s="152">
        <v>46058.0</v>
      </c>
      <c r="N96" s="149" t="s">
        <v>2241</v>
      </c>
      <c r="O96" s="153" t="str">
        <f>HYPERLINK("https://api.typeform.com/responses/files/5200902bd036d8087533e9fb18e377504d6f03ab2cfa864829a0ff872f869624/Transcript___Game_Design_Intern___Dương_Triệu_Vy.jpg")</f>
        <v>https://api.typeform.com/responses/files/5200902bd036d8087533e9fb18e377504d6f03ab2cfa864829a0ff872f869624/Transcript___Game_Design_Intern___Dương_Triệu_Vy.jpg</v>
      </c>
      <c r="P96" s="149" t="b">
        <v>0</v>
      </c>
      <c r="Q96" s="154" t="s">
        <v>2242</v>
      </c>
      <c r="R96" s="149" t="s">
        <v>2243</v>
      </c>
      <c r="S96" s="149" t="s">
        <v>72</v>
      </c>
      <c r="T96" s="149" t="s">
        <v>72</v>
      </c>
      <c r="U96" s="149" t="s">
        <v>236</v>
      </c>
      <c r="V96" s="149"/>
      <c r="W96" s="149" t="s">
        <v>2244</v>
      </c>
      <c r="X96" s="153" t="str">
        <f>HYPERLINK("https://api.typeform.com/responses/files/35213bd0db7d1617602f14aaf33c219d68780b9277122d2cfaca8562c833dbfd/CV___Game_Design_Intern___Dương_Triệu_Vy..png")</f>
        <v>https://api.typeform.com/responses/files/35213bd0db7d1617602f14aaf33c219d68780b9277122d2cfaca8562c833dbfd/CV___Game_Design_Intern___Dương_Triệu_Vy..png</v>
      </c>
      <c r="Y96" s="155">
        <v>46137.32162037037</v>
      </c>
      <c r="Z96" s="149" t="s">
        <v>2245</v>
      </c>
      <c r="AA96" s="156">
        <v>2.0</v>
      </c>
      <c r="AB96" s="157" t="s">
        <v>6381</v>
      </c>
      <c r="AC96" s="92" t="s">
        <v>6376</v>
      </c>
      <c r="AD96" s="158"/>
      <c r="AE96" s="92"/>
      <c r="AF96" s="137" t="str">
        <f t="shared" si="4"/>
        <v/>
      </c>
      <c r="AG96" s="149"/>
      <c r="AH96" s="156"/>
      <c r="AI96" s="156"/>
      <c r="AJ96" s="156"/>
      <c r="AK96" s="156"/>
      <c r="AL96" s="156"/>
      <c r="AM96" s="156"/>
      <c r="AN96" s="156"/>
      <c r="AO96" s="156"/>
      <c r="AP96" s="156"/>
      <c r="AQ96" s="156"/>
      <c r="AR96" s="156"/>
      <c r="AS96" s="156"/>
      <c r="AT96" s="156"/>
      <c r="AU96" s="156"/>
      <c r="AV96" s="156"/>
      <c r="AW96" s="156"/>
      <c r="AX96" s="156"/>
      <c r="AY96" s="156"/>
      <c r="AZ96" s="156"/>
      <c r="BA96" s="156"/>
    </row>
    <row r="97" ht="17.25" hidden="1" customHeight="1">
      <c r="A97" s="149" t="s">
        <v>3004</v>
      </c>
      <c r="B97" s="150">
        <v>37725.0</v>
      </c>
      <c r="C97" s="149" t="s">
        <v>3005</v>
      </c>
      <c r="D97" s="151" t="s">
        <v>3006</v>
      </c>
      <c r="E97" s="149" t="s">
        <v>99</v>
      </c>
      <c r="F97" s="149" t="s">
        <v>61</v>
      </c>
      <c r="G97" s="149" t="s">
        <v>3007</v>
      </c>
      <c r="H97" s="149" t="s">
        <v>3008</v>
      </c>
      <c r="I97" s="149" t="s">
        <v>65</v>
      </c>
      <c r="J97" s="149" t="s">
        <v>231</v>
      </c>
      <c r="K97" s="149" t="s">
        <v>103</v>
      </c>
      <c r="L97" s="149" t="s">
        <v>3009</v>
      </c>
      <c r="M97" s="152">
        <v>45763.0</v>
      </c>
      <c r="N97" s="151" t="s">
        <v>2503</v>
      </c>
      <c r="O97" s="153" t="str">
        <f>HYPERLINK("https://api.typeform.com/responses/files/6a1cf58191681be6abe30e6eb230dfff9c7a5ac42ac1114b3e3e338f547fb488/Transcript_Game_Design_TranKhanhLinh.pdf")</f>
        <v>https://api.typeform.com/responses/files/6a1cf58191681be6abe30e6eb230dfff9c7a5ac42ac1114b3e3e338f547fb488/Transcript_Game_Design_TranKhanhLinh.pdf</v>
      </c>
      <c r="P97" s="149" t="b">
        <v>1</v>
      </c>
      <c r="Q97" s="154" t="s">
        <v>3010</v>
      </c>
      <c r="R97" s="149" t="s">
        <v>3011</v>
      </c>
      <c r="S97" s="149" t="s">
        <v>72</v>
      </c>
      <c r="T97" s="149" t="s">
        <v>72</v>
      </c>
      <c r="U97" s="149" t="s">
        <v>90</v>
      </c>
      <c r="V97" s="149"/>
      <c r="W97" s="149" t="s">
        <v>3012</v>
      </c>
      <c r="X97" s="153" t="str">
        <f>HYPERLINK("https://api.typeform.com/responses/files/765576b759e215f4d1ebf68e9d63cb43970f761d69b43cf43f27b006ce507f16/CV_Game_Design_TranKhanhLinh.pdf")</f>
        <v>https://api.typeform.com/responses/files/765576b759e215f4d1ebf68e9d63cb43970f761d69b43cf43f27b006ce507f16/CV_Game_Design_TranKhanhLinh.pdf</v>
      </c>
      <c r="Y97" s="155">
        <v>46139.68417824074</v>
      </c>
      <c r="Z97" s="149" t="s">
        <v>3013</v>
      </c>
      <c r="AA97" s="156">
        <v>2.0</v>
      </c>
      <c r="AB97" s="157" t="s">
        <v>6381</v>
      </c>
      <c r="AC97" s="92" t="s">
        <v>6376</v>
      </c>
      <c r="AD97" s="158"/>
      <c r="AE97" s="92"/>
      <c r="AF97" s="137" t="str">
        <f t="shared" si="4"/>
        <v/>
      </c>
      <c r="AG97" s="149"/>
      <c r="AH97" s="156"/>
      <c r="AI97" s="156"/>
      <c r="AJ97" s="156"/>
      <c r="AK97" s="156"/>
      <c r="AL97" s="156"/>
      <c r="AM97" s="156"/>
      <c r="AN97" s="156"/>
      <c r="AO97" s="156"/>
      <c r="AP97" s="156"/>
      <c r="AQ97" s="156"/>
      <c r="AR97" s="156"/>
      <c r="AS97" s="156"/>
      <c r="AT97" s="156"/>
      <c r="AU97" s="156"/>
      <c r="AV97" s="156"/>
      <c r="AW97" s="156"/>
      <c r="AX97" s="156"/>
      <c r="AY97" s="156"/>
      <c r="AZ97" s="156"/>
      <c r="BA97" s="156"/>
    </row>
    <row r="98" ht="17.25" hidden="1" customHeight="1">
      <c r="A98" s="35" t="s">
        <v>2256</v>
      </c>
      <c r="B98" s="132">
        <v>38702.0</v>
      </c>
      <c r="C98" s="35" t="s">
        <v>2257</v>
      </c>
      <c r="D98" s="133" t="s">
        <v>2258</v>
      </c>
      <c r="E98" s="35" t="s">
        <v>61</v>
      </c>
      <c r="F98" s="35" t="s">
        <v>99</v>
      </c>
      <c r="G98" s="35" t="s">
        <v>2259</v>
      </c>
      <c r="H98" s="35" t="s">
        <v>2260</v>
      </c>
      <c r="I98" s="35" t="s">
        <v>144</v>
      </c>
      <c r="J98" s="35"/>
      <c r="K98" s="35" t="s">
        <v>103</v>
      </c>
      <c r="L98" s="35" t="s">
        <v>457</v>
      </c>
      <c r="M98" s="134">
        <v>45870.0</v>
      </c>
      <c r="N98" s="133" t="s">
        <v>696</v>
      </c>
      <c r="O98" s="135" t="str">
        <f>HYPERLINK("https://api.typeform.com/responses/files/a297074a11a405dea01adc52a8b8d620a7c33f2d356d41b35a98488534c5d54b/Transcript___Unity_Developer_Intern___Nguyễn_Võ_Minh_Quân.pdf")</f>
        <v>https://api.typeform.com/responses/files/a297074a11a405dea01adc52a8b8d620a7c33f2d356d41b35a98488534c5d54b/Transcript___Unity_Developer_Intern___Nguyễn_Võ_Minh_Quân.pdf</v>
      </c>
      <c r="P98" s="35" t="b">
        <v>1</v>
      </c>
      <c r="Q98" s="43" t="s">
        <v>2261</v>
      </c>
      <c r="R98" s="35" t="s">
        <v>2262</v>
      </c>
      <c r="S98" s="35" t="s">
        <v>2263</v>
      </c>
      <c r="T98" s="35" t="s">
        <v>72</v>
      </c>
      <c r="U98" s="35" t="s">
        <v>73</v>
      </c>
      <c r="V98" s="35"/>
      <c r="W98" s="35"/>
      <c r="X98" s="135" t="str">
        <f>HYPERLINK("https://api.typeform.com/responses/files/78205681fad92fbaec452b3297de250c1f2f999c97b997c413eaae5bde54e7d1/CV_NVMQ.pdf")</f>
        <v>https://api.typeform.com/responses/files/78205681fad92fbaec452b3297de250c1f2f999c97b997c413eaae5bde54e7d1/CV_NVMQ.pdf</v>
      </c>
      <c r="Y98" s="136">
        <v>46137.33672453704</v>
      </c>
      <c r="Z98" s="35" t="s">
        <v>2264</v>
      </c>
      <c r="AA98" s="137">
        <v>2.0</v>
      </c>
      <c r="AB98" s="137" t="s">
        <v>93</v>
      </c>
      <c r="AC98" s="28" t="s">
        <v>6376</v>
      </c>
      <c r="AD98" s="27"/>
      <c r="AE98" s="28"/>
      <c r="AF98" s="137" t="str">
        <f t="shared" si="4"/>
        <v/>
      </c>
      <c r="AG98" s="35"/>
      <c r="AH98" s="137"/>
      <c r="AI98" s="137"/>
      <c r="AJ98" s="137"/>
      <c r="AK98" s="137"/>
      <c r="AL98" s="137"/>
      <c r="AM98" s="137"/>
      <c r="AN98" s="137"/>
      <c r="AO98" s="137"/>
      <c r="AP98" s="137"/>
      <c r="AQ98" s="137"/>
      <c r="AR98" s="137"/>
      <c r="AS98" s="137"/>
      <c r="AT98" s="137"/>
      <c r="AU98" s="137"/>
      <c r="AV98" s="137"/>
      <c r="AW98" s="137"/>
      <c r="AX98" s="137"/>
      <c r="AY98" s="137"/>
      <c r="AZ98" s="137"/>
      <c r="BA98" s="137"/>
    </row>
    <row r="99" ht="17.25" hidden="1" customHeight="1">
      <c r="A99" s="35" t="s">
        <v>4092</v>
      </c>
      <c r="B99" s="132">
        <v>37900.0</v>
      </c>
      <c r="C99" s="35" t="s">
        <v>4093</v>
      </c>
      <c r="D99" s="133" t="s">
        <v>4094</v>
      </c>
      <c r="E99" s="35" t="s">
        <v>62</v>
      </c>
      <c r="F99" s="35" t="s">
        <v>82</v>
      </c>
      <c r="G99" s="35" t="s">
        <v>4095</v>
      </c>
      <c r="H99" s="35" t="s">
        <v>4096</v>
      </c>
      <c r="I99" s="35" t="s">
        <v>326</v>
      </c>
      <c r="J99" s="35"/>
      <c r="K99" s="35" t="s">
        <v>67</v>
      </c>
      <c r="L99" s="35" t="s">
        <v>4097</v>
      </c>
      <c r="M99" s="134">
        <v>46325.0</v>
      </c>
      <c r="N99" s="133" t="s">
        <v>1513</v>
      </c>
      <c r="O99" s="135" t="str">
        <f>HYPERLINK("https://api.typeform.com/responses/files/94ba18126cc11d73993d6e38066bb195c9c88932972ef132c106bb9b00292dea/Transcript___AI_Engineering_Intern___NguyenThiYenLinh.pdf")</f>
        <v>https://api.typeform.com/responses/files/94ba18126cc11d73993d6e38066bb195c9c88932972ef132c106bb9b00292dea/Transcript___AI_Engineering_Intern___NguyenThiYenLinh.pdf</v>
      </c>
      <c r="P99" s="35" t="b">
        <v>1</v>
      </c>
      <c r="Q99" s="35" t="s">
        <v>4098</v>
      </c>
      <c r="R99" s="35" t="s">
        <v>4099</v>
      </c>
      <c r="S99" s="35" t="s">
        <v>72</v>
      </c>
      <c r="T99" s="35" t="s">
        <v>72</v>
      </c>
      <c r="U99" s="138" t="s">
        <v>2389</v>
      </c>
      <c r="V99" s="35"/>
      <c r="W99" s="35" t="s">
        <v>4100</v>
      </c>
      <c r="X99" s="135" t="str">
        <f>HYPERLINK("https://api.typeform.com/responses/files/da41cdc3a34e7e49d80e3370ff9a5c3a0efd897aaaeda88147ede59802cfd20e/CV___AI_Engineering_Intern___NguyenThiYenLinh.pdf")</f>
        <v>https://api.typeform.com/responses/files/da41cdc3a34e7e49d80e3370ff9a5c3a0efd897aaaeda88147ede59802cfd20e/CV___AI_Engineering_Intern___NguyenThiYenLinh.pdf</v>
      </c>
      <c r="Y99" s="136">
        <v>46142.118310185186</v>
      </c>
      <c r="Z99" s="35" t="s">
        <v>4101</v>
      </c>
      <c r="AA99" s="137">
        <v>2.0</v>
      </c>
      <c r="AB99" s="139" t="s">
        <v>6381</v>
      </c>
      <c r="AC99" s="28" t="s">
        <v>6377</v>
      </c>
      <c r="AD99" s="27"/>
      <c r="AE99" s="28" t="s">
        <v>6379</v>
      </c>
      <c r="AF99" s="137" t="str">
        <f t="shared" si="4"/>
        <v>Quỳnh</v>
      </c>
      <c r="AG99" s="35"/>
      <c r="AH99" s="137"/>
      <c r="AI99" s="137"/>
      <c r="AJ99" s="137"/>
      <c r="AK99" s="137"/>
      <c r="AL99" s="137"/>
      <c r="AM99" s="137"/>
      <c r="AN99" s="137"/>
      <c r="AO99" s="137"/>
      <c r="AP99" s="137"/>
      <c r="AQ99" s="137"/>
      <c r="AR99" s="137"/>
      <c r="AS99" s="137"/>
      <c r="AT99" s="137"/>
      <c r="AU99" s="137"/>
      <c r="AV99" s="137"/>
      <c r="AW99" s="137"/>
      <c r="AX99" s="137"/>
      <c r="AY99" s="137"/>
      <c r="AZ99" s="137"/>
      <c r="BA99" s="137"/>
    </row>
    <row r="100" ht="17.25" hidden="1" customHeight="1">
      <c r="A100" s="35" t="s">
        <v>3181</v>
      </c>
      <c r="B100" s="132">
        <v>38435.0</v>
      </c>
      <c r="C100" s="35" t="s">
        <v>3182</v>
      </c>
      <c r="D100" s="133" t="s">
        <v>3183</v>
      </c>
      <c r="E100" s="35" t="s">
        <v>82</v>
      </c>
      <c r="F100" s="35"/>
      <c r="G100" s="35" t="s">
        <v>3184</v>
      </c>
      <c r="H100" s="35" t="s">
        <v>3185</v>
      </c>
      <c r="I100" s="35" t="s">
        <v>85</v>
      </c>
      <c r="J100" s="35"/>
      <c r="K100" s="35" t="s">
        <v>219</v>
      </c>
      <c r="L100" s="35" t="s">
        <v>384</v>
      </c>
      <c r="M100" s="134">
        <v>46388.0</v>
      </c>
      <c r="N100" s="133" t="s">
        <v>2142</v>
      </c>
      <c r="O100" s="135" t="str">
        <f>HYPERLINK("https://api.typeform.com/responses/files/eef5959ed955f0e5c1cbdac6f1d8278a8a14dcacdb1bbfb5fdebabf218473ef4/Transcript___Data_Analysis_Intern___Nguyễn_Trọng_Khôi.pdf")</f>
        <v>https://api.typeform.com/responses/files/eef5959ed955f0e5c1cbdac6f1d8278a8a14dcacdb1bbfb5fdebabf218473ef4/Transcript___Data_Analysis_Intern___Nguyễn_Trọng_Khôi.pdf</v>
      </c>
      <c r="P100" s="35" t="b">
        <v>0</v>
      </c>
      <c r="Q100" s="35" t="s">
        <v>268</v>
      </c>
      <c r="R100" s="35" t="s">
        <v>3186</v>
      </c>
      <c r="S100" s="35" t="s">
        <v>72</v>
      </c>
      <c r="T100" s="35" t="s">
        <v>72</v>
      </c>
      <c r="U100" s="35" t="s">
        <v>1061</v>
      </c>
      <c r="V100" s="35"/>
      <c r="W100" s="35" t="s">
        <v>3187</v>
      </c>
      <c r="X100" s="135" t="str">
        <f>HYPERLINK("https://api.typeform.com/responses/files/01ff4828982e67dad0c5dfe4cd89b12a9c1e62ca22a62e87ec23bd51047c4c76/CV___Data_Analysis_Intern___Nguyễn_Trọng_Khôi.pdf")</f>
        <v>https://api.typeform.com/responses/files/01ff4828982e67dad0c5dfe4cd89b12a9c1e62ca22a62e87ec23bd51047c4c76/CV___Data_Analysis_Intern___Nguyễn_Trọng_Khôi.pdf</v>
      </c>
      <c r="Y100" s="136">
        <v>46140.17392361111</v>
      </c>
      <c r="Z100" s="35" t="s">
        <v>3188</v>
      </c>
      <c r="AA100" s="137">
        <v>2.0</v>
      </c>
      <c r="AB100" s="137" t="s">
        <v>93</v>
      </c>
      <c r="AC100" s="28" t="s">
        <v>6377</v>
      </c>
      <c r="AD100" s="27"/>
      <c r="AE100" s="28" t="s">
        <v>6403</v>
      </c>
      <c r="AF100" s="137" t="str">
        <f t="shared" si="4"/>
        <v>Quỳnh</v>
      </c>
      <c r="AG100" s="35"/>
      <c r="AH100" s="137"/>
      <c r="AI100" s="137"/>
      <c r="AJ100" s="137"/>
      <c r="AK100" s="137"/>
      <c r="AL100" s="137"/>
      <c r="AM100" s="137"/>
      <c r="AN100" s="137"/>
      <c r="AO100" s="137"/>
      <c r="AP100" s="137"/>
      <c r="AQ100" s="137"/>
      <c r="AR100" s="137"/>
      <c r="AS100" s="137"/>
      <c r="AT100" s="137"/>
      <c r="AU100" s="137"/>
      <c r="AV100" s="137"/>
      <c r="AW100" s="137"/>
      <c r="AX100" s="137"/>
      <c r="AY100" s="137"/>
      <c r="AZ100" s="137"/>
      <c r="BA100" s="137"/>
    </row>
    <row r="101" ht="17.25" hidden="1" customHeight="1">
      <c r="A101" s="35" t="s">
        <v>2288</v>
      </c>
      <c r="B101" s="132">
        <v>37908.0</v>
      </c>
      <c r="C101" s="35" t="s">
        <v>2289</v>
      </c>
      <c r="D101" s="133" t="s">
        <v>2290</v>
      </c>
      <c r="E101" s="35" t="s">
        <v>61</v>
      </c>
      <c r="F101" s="35" t="s">
        <v>127</v>
      </c>
      <c r="G101" s="35" t="s">
        <v>2291</v>
      </c>
      <c r="H101" s="35" t="s">
        <v>2292</v>
      </c>
      <c r="I101" s="35" t="s">
        <v>2293</v>
      </c>
      <c r="J101" s="35"/>
      <c r="K101" s="35" t="s">
        <v>67</v>
      </c>
      <c r="L101" s="35" t="s">
        <v>2294</v>
      </c>
      <c r="M101" s="134">
        <v>46258.0</v>
      </c>
      <c r="N101" s="133" t="s">
        <v>147</v>
      </c>
      <c r="O101" s="135" t="str">
        <f>HYPERLINK("https://api.typeform.com/responses/files/2c93636da8a7283edc6cf91f899f2227ae9631a8c8bc559e146ba5fabf12342d/Unity_Development_Intern___Thái_Thanh_Kha.pdf")</f>
        <v>https://api.typeform.com/responses/files/2c93636da8a7283edc6cf91f899f2227ae9631a8c8bc559e146ba5fabf12342d/Unity_Development_Intern___Thái_Thanh_Kha.pdf</v>
      </c>
      <c r="P101" s="35" t="b">
        <v>1</v>
      </c>
      <c r="Q101" s="43" t="s">
        <v>2295</v>
      </c>
      <c r="R101" s="35" t="s">
        <v>2296</v>
      </c>
      <c r="S101" s="35" t="s">
        <v>72</v>
      </c>
      <c r="T101" s="35" t="s">
        <v>72</v>
      </c>
      <c r="U101" s="35" t="s">
        <v>2297</v>
      </c>
      <c r="V101" s="35"/>
      <c r="W101" s="35" t="s">
        <v>2298</v>
      </c>
      <c r="X101" s="135" t="str">
        <f>HYPERLINK("https://api.typeform.com/responses/files/64dbc8edddb344fdae13a0c72e7de7f201d19bbec65530c1b985817f34064967/CV_Thái_Thanh_Kha.pdf")</f>
        <v>https://api.typeform.com/responses/files/64dbc8edddb344fdae13a0c72e7de7f201d19bbec65530c1b985817f34064967/CV_Thái_Thanh_Kha.pdf</v>
      </c>
      <c r="Y101" s="136">
        <v>46137.360497685186</v>
      </c>
      <c r="Z101" s="35" t="s">
        <v>2299</v>
      </c>
      <c r="AA101" s="137">
        <v>2.0</v>
      </c>
      <c r="AB101" s="137" t="s">
        <v>93</v>
      </c>
      <c r="AC101" s="28" t="s">
        <v>6376</v>
      </c>
      <c r="AD101" s="27"/>
      <c r="AE101" s="28"/>
      <c r="AF101" s="137" t="str">
        <f t="shared" si="4"/>
        <v/>
      </c>
      <c r="AG101" s="35"/>
      <c r="AH101" s="137"/>
      <c r="AI101" s="137"/>
      <c r="AJ101" s="137"/>
      <c r="AK101" s="137"/>
      <c r="AL101" s="137"/>
      <c r="AM101" s="137"/>
      <c r="AN101" s="137"/>
      <c r="AO101" s="137"/>
      <c r="AP101" s="137"/>
      <c r="AQ101" s="137"/>
      <c r="AR101" s="137"/>
      <c r="AS101" s="137"/>
      <c r="AT101" s="137"/>
      <c r="AU101" s="137"/>
      <c r="AV101" s="137"/>
      <c r="AW101" s="137"/>
      <c r="AX101" s="137"/>
      <c r="AY101" s="137"/>
      <c r="AZ101" s="137"/>
      <c r="BA101" s="137"/>
    </row>
    <row r="102" ht="17.25" hidden="1" customHeight="1">
      <c r="A102" s="35" t="s">
        <v>2300</v>
      </c>
      <c r="B102" s="132">
        <v>38463.0</v>
      </c>
      <c r="C102" s="35" t="s">
        <v>2301</v>
      </c>
      <c r="D102" s="133" t="s">
        <v>2302</v>
      </c>
      <c r="E102" s="35" t="s">
        <v>61</v>
      </c>
      <c r="F102" s="35" t="s">
        <v>99</v>
      </c>
      <c r="G102" s="35" t="s">
        <v>2303</v>
      </c>
      <c r="H102" s="35" t="s">
        <v>2304</v>
      </c>
      <c r="I102" s="35" t="s">
        <v>85</v>
      </c>
      <c r="J102" s="35"/>
      <c r="K102" s="35" t="s">
        <v>219</v>
      </c>
      <c r="L102" s="35" t="s">
        <v>446</v>
      </c>
      <c r="M102" s="134">
        <v>46467.0</v>
      </c>
      <c r="N102" s="133" t="s">
        <v>2027</v>
      </c>
      <c r="O102" s="135" t="str">
        <f>HYPERLINK("https://api.typeform.com/responses/files/16dea671a718b7812f06f6392b2a83d1abb44c21bf452d3ad3fb1d5a98133978/Transcript___Unity_Development_Intern___Hoàng_Hải_Yến.pdf")</f>
        <v>https://api.typeform.com/responses/files/16dea671a718b7812f06f6392b2a83d1abb44c21bf452d3ad3fb1d5a98133978/Transcript___Unity_Development_Intern___Hoàng_Hải_Yến.pdf</v>
      </c>
      <c r="P102" s="35" t="b">
        <v>1</v>
      </c>
      <c r="Q102" s="43" t="s">
        <v>2305</v>
      </c>
      <c r="R102" s="35" t="s">
        <v>2306</v>
      </c>
      <c r="S102" s="35" t="s">
        <v>72</v>
      </c>
      <c r="T102" s="35" t="s">
        <v>72</v>
      </c>
      <c r="U102" s="35" t="s">
        <v>224</v>
      </c>
      <c r="V102" s="35"/>
      <c r="W102" s="35" t="s">
        <v>2307</v>
      </c>
      <c r="X102" s="135" t="str">
        <f>HYPERLINK("https://api.typeform.com/responses/files/bbcc2641421bbb593a6347a140ed752bd5a0d9791d5f6879d4994d0ec02ff9c3/Unity_Development_Intern___Hoàng_Hải_Yến.pdf")</f>
        <v>https://api.typeform.com/responses/files/bbcc2641421bbb593a6347a140ed752bd5a0d9791d5f6879d4994d0ec02ff9c3/Unity_Development_Intern___Hoàng_Hải_Yến.pdf</v>
      </c>
      <c r="Y102" s="136">
        <v>46137.36418981481</v>
      </c>
      <c r="Z102" s="35" t="s">
        <v>2308</v>
      </c>
      <c r="AA102" s="137">
        <v>2.0</v>
      </c>
      <c r="AB102" s="137" t="s">
        <v>93</v>
      </c>
      <c r="AC102" s="28" t="s">
        <v>6377</v>
      </c>
      <c r="AD102" s="28" t="s">
        <v>6509</v>
      </c>
      <c r="AE102" s="28" t="s">
        <v>6379</v>
      </c>
      <c r="AF102" s="137" t="str">
        <f t="shared" si="4"/>
        <v>Quỳnh</v>
      </c>
      <c r="AG102" s="35"/>
      <c r="AH102" s="137"/>
      <c r="AI102" s="137"/>
      <c r="AJ102" s="137"/>
      <c r="AK102" s="137"/>
      <c r="AL102" s="137"/>
      <c r="AM102" s="137"/>
      <c r="AN102" s="137"/>
      <c r="AO102" s="137"/>
      <c r="AP102" s="137"/>
      <c r="AQ102" s="137"/>
      <c r="AR102" s="137"/>
      <c r="AS102" s="137"/>
      <c r="AT102" s="137"/>
      <c r="AU102" s="137"/>
      <c r="AV102" s="137"/>
      <c r="AW102" s="137"/>
      <c r="AX102" s="137"/>
      <c r="AY102" s="137"/>
      <c r="AZ102" s="137"/>
      <c r="BA102" s="137"/>
    </row>
    <row r="103" ht="17.25" customHeight="1">
      <c r="A103" s="35" t="s">
        <v>2309</v>
      </c>
      <c r="B103" s="132">
        <v>38764.0</v>
      </c>
      <c r="C103" s="35" t="s">
        <v>2310</v>
      </c>
      <c r="D103" s="133" t="s">
        <v>2311</v>
      </c>
      <c r="E103" s="35" t="s">
        <v>633</v>
      </c>
      <c r="F103" s="35" t="s">
        <v>127</v>
      </c>
      <c r="G103" s="35" t="s">
        <v>2312</v>
      </c>
      <c r="H103" s="35" t="s">
        <v>2313</v>
      </c>
      <c r="I103" s="35" t="s">
        <v>1311</v>
      </c>
      <c r="J103" s="35"/>
      <c r="K103" s="35" t="s">
        <v>169</v>
      </c>
      <c r="L103" s="35" t="s">
        <v>2314</v>
      </c>
      <c r="M103" s="134">
        <v>46997.0</v>
      </c>
      <c r="N103" s="133" t="s">
        <v>2315</v>
      </c>
      <c r="O103" s="135" t="str">
        <f>HYPERLINK("https://api.typeform.com/responses/files/33f1d72fb1f55c07f914beb7345a053a4e514fa4f8564d9e45bc8fb1149fd2c5/Official_Transcript___Human_Resources___Nguyễn_Thái_Diễm_Quỳnh.pdf")</f>
        <v>https://api.typeform.com/responses/files/33f1d72fb1f55c07f914beb7345a053a4e514fa4f8564d9e45bc8fb1149fd2c5/Official_Transcript___Human_Resources___Nguyễn_Thái_Diễm_Quỳnh.pdf</v>
      </c>
      <c r="P103" s="35" t="b">
        <v>0</v>
      </c>
      <c r="Q103" s="43" t="s">
        <v>2316</v>
      </c>
      <c r="R103" s="35" t="s">
        <v>2317</v>
      </c>
      <c r="S103" s="35" t="s">
        <v>72</v>
      </c>
      <c r="T103" s="35" t="s">
        <v>72</v>
      </c>
      <c r="U103" s="35" t="s">
        <v>73</v>
      </c>
      <c r="V103" s="35"/>
      <c r="W103" s="35"/>
      <c r="X103" s="135" t="str">
        <f>HYPERLINK("https://api.typeform.com/responses/files/690795ef7738e9fd30bd491188faf87ea867618d5abb5e85f708c5c545c85743/CV___Human_Resources_Intern___Nguyễn_Thái_Diễm_Quỳnh.pdf")</f>
        <v>https://api.typeform.com/responses/files/690795ef7738e9fd30bd491188faf87ea867618d5abb5e85f708c5c545c85743/CV___Human_Resources_Intern___Nguyễn_Thái_Diễm_Quỳnh.pdf</v>
      </c>
      <c r="Y103" s="136">
        <v>46137.37069444444</v>
      </c>
      <c r="Z103" s="35" t="s">
        <v>2318</v>
      </c>
      <c r="AA103" s="137">
        <v>2.0</v>
      </c>
      <c r="AB103" s="137" t="s">
        <v>6424</v>
      </c>
      <c r="AC103" s="28" t="s">
        <v>6377</v>
      </c>
      <c r="AD103" s="27"/>
      <c r="AE103" s="28" t="s">
        <v>6376</v>
      </c>
      <c r="AF103" s="137" t="s">
        <v>93</v>
      </c>
      <c r="AG103" s="35"/>
      <c r="AH103" s="137"/>
      <c r="AI103" s="137"/>
      <c r="AJ103" s="137"/>
      <c r="AK103" s="137"/>
      <c r="AL103" s="137"/>
      <c r="AM103" s="137"/>
      <c r="AN103" s="137"/>
      <c r="AO103" s="137"/>
      <c r="AP103" s="137"/>
      <c r="AQ103" s="137"/>
      <c r="AR103" s="137"/>
      <c r="AS103" s="137"/>
      <c r="AT103" s="137"/>
      <c r="AU103" s="137"/>
      <c r="AV103" s="137"/>
      <c r="AW103" s="137"/>
      <c r="AX103" s="137"/>
      <c r="AY103" s="137"/>
      <c r="AZ103" s="137"/>
      <c r="BA103" s="137"/>
    </row>
    <row r="104" ht="17.25" hidden="1" customHeight="1">
      <c r="A104" s="35" t="s">
        <v>2319</v>
      </c>
      <c r="B104" s="132">
        <v>38128.0</v>
      </c>
      <c r="C104" s="35" t="s">
        <v>2320</v>
      </c>
      <c r="D104" s="133" t="s">
        <v>2321</v>
      </c>
      <c r="E104" s="35" t="s">
        <v>61</v>
      </c>
      <c r="F104" s="35"/>
      <c r="G104" s="35" t="s">
        <v>2322</v>
      </c>
      <c r="H104" s="35" t="s">
        <v>2323</v>
      </c>
      <c r="I104" s="35" t="s">
        <v>144</v>
      </c>
      <c r="J104" s="35"/>
      <c r="K104" s="35" t="s">
        <v>103</v>
      </c>
      <c r="L104" s="35" t="s">
        <v>2063</v>
      </c>
      <c r="M104" s="134">
        <v>45938.0</v>
      </c>
      <c r="N104" s="133" t="s">
        <v>613</v>
      </c>
      <c r="O104" s="135" t="str">
        <f>HYPERLINK("https://api.typeform.com/responses/files/852cc3b5f43155bd62ff2736e92a5c65e5ba50b111db1e41dc187690328c3b2a/Transcript___Unity_Development_Intern___Lê_Quốc_Viêt.pdf")</f>
        <v>https://api.typeform.com/responses/files/852cc3b5f43155bd62ff2736e92a5c65e5ba50b111db1e41dc187690328c3b2a/Transcript___Unity_Development_Intern___Lê_Quốc_Viêt.pdf</v>
      </c>
      <c r="P104" s="35" t="b">
        <v>1</v>
      </c>
      <c r="Q104" s="179" t="s">
        <v>6510</v>
      </c>
      <c r="R104" s="35" t="s">
        <v>2325</v>
      </c>
      <c r="S104" s="35" t="s">
        <v>72</v>
      </c>
      <c r="T104" s="35" t="s">
        <v>72</v>
      </c>
      <c r="U104" s="35" t="s">
        <v>73</v>
      </c>
      <c r="V104" s="35"/>
      <c r="W104" s="35" t="s">
        <v>2326</v>
      </c>
      <c r="X104" s="135" t="str">
        <f>HYPERLINK("https://api.typeform.com/responses/files/968469b4c7c1d73cc153c9da181ab22a191bf8f468915b1bf624e307e3458cc2/CV__Unity_Development_Intern___Lê_Quốc_Viêt.pdf")</f>
        <v>https://api.typeform.com/responses/files/968469b4c7c1d73cc153c9da181ab22a191bf8f468915b1bf624e307e3458cc2/CV__Unity_Development_Intern___Lê_Quốc_Viêt.pdf</v>
      </c>
      <c r="Y104" s="136">
        <v>46137.394467592596</v>
      </c>
      <c r="Z104" s="35" t="s">
        <v>2327</v>
      </c>
      <c r="AA104" s="137">
        <v>2.0</v>
      </c>
      <c r="AB104" s="137" t="s">
        <v>93</v>
      </c>
      <c r="AC104" s="28" t="s">
        <v>6376</v>
      </c>
      <c r="AD104" s="27"/>
      <c r="AE104" s="28"/>
      <c r="AF104" s="137" t="str">
        <f t="shared" ref="AF104:AF253" si="5">IFERROR(
  IFS(
    AND(OR(AE104="Test",AE104="Chờ test",AE104="Test Review",AE104="Passed",AE104="Failed"), OR(E104="Game User Acquisition Intern",E104="Game Design Intern")), "Nhiên",
    AND(OR(AE104="Test",AE104="Chờ test",AE104="Test Review",AE104="Passed",AE104="Failed"), E104&lt;&gt;"Human Resources Intern", NOT(OR(E104="Game User Acquisition Intern",E104="Game Design Intern"))), "Quỳnh",
    AND(OR(AE104="Test",AE104="Chờ test",AE104="Test Review",AE104="Passed",AE104="Failed"), E104="Human Resources Intern"), "Chờ assign"
  ),
"")</f>
        <v/>
      </c>
      <c r="AG104" s="35"/>
      <c r="AH104" s="137"/>
      <c r="AI104" s="137"/>
      <c r="AJ104" s="137"/>
      <c r="AK104" s="137"/>
      <c r="AL104" s="137"/>
      <c r="AM104" s="137"/>
      <c r="AN104" s="137"/>
      <c r="AO104" s="137"/>
      <c r="AP104" s="137"/>
      <c r="AQ104" s="137"/>
      <c r="AR104" s="137"/>
      <c r="AS104" s="137"/>
      <c r="AT104" s="137"/>
      <c r="AU104" s="137"/>
      <c r="AV104" s="137"/>
      <c r="AW104" s="137"/>
      <c r="AX104" s="137"/>
      <c r="AY104" s="137"/>
      <c r="AZ104" s="137"/>
      <c r="BA104" s="137"/>
    </row>
    <row r="105" ht="17.25" hidden="1" customHeight="1">
      <c r="A105" s="35" t="s">
        <v>2328</v>
      </c>
      <c r="B105" s="132">
        <v>38573.0</v>
      </c>
      <c r="C105" s="35" t="s">
        <v>2329</v>
      </c>
      <c r="D105" s="133" t="s">
        <v>2330</v>
      </c>
      <c r="E105" s="35" t="s">
        <v>127</v>
      </c>
      <c r="F105" s="35" t="s">
        <v>99</v>
      </c>
      <c r="G105" s="35" t="s">
        <v>2331</v>
      </c>
      <c r="H105" s="35" t="s">
        <v>2332</v>
      </c>
      <c r="I105" s="35" t="s">
        <v>842</v>
      </c>
      <c r="J105" s="35"/>
      <c r="K105" s="35" t="s">
        <v>219</v>
      </c>
      <c r="L105" s="35" t="s">
        <v>2333</v>
      </c>
      <c r="M105" s="134">
        <v>46483.0</v>
      </c>
      <c r="N105" s="133" t="s">
        <v>2334</v>
      </c>
      <c r="O105" s="135" t="str">
        <f>HYPERLINK("https://api.typeform.com/responses/files/bb8b79f387d9033fc24a71f84ded902d0a571c992b77feeb8bd5dbd3526048de/Transcript___Game_Quality_Assurance_Intern___Mai_Quỳnh_Châu.pdf")</f>
        <v>https://api.typeform.com/responses/files/bb8b79f387d9033fc24a71f84ded902d0a571c992b77feeb8bd5dbd3526048de/Transcript___Game_Quality_Assurance_Intern___Mai_Quỳnh_Châu.pdf</v>
      </c>
      <c r="P105" s="35" t="b">
        <v>1</v>
      </c>
      <c r="Q105" s="43" t="s">
        <v>2335</v>
      </c>
      <c r="R105" s="35" t="s">
        <v>2336</v>
      </c>
      <c r="S105" s="35" t="s">
        <v>72</v>
      </c>
      <c r="T105" s="35" t="s">
        <v>72</v>
      </c>
      <c r="U105" s="35" t="s">
        <v>73</v>
      </c>
      <c r="V105" s="35"/>
      <c r="W105" s="35" t="s">
        <v>2337</v>
      </c>
      <c r="X105" s="135" t="str">
        <f>HYPERLINK("https://api.typeform.com/responses/files/ba09e09e722c8e5e30caeca9ea3844e7731151ff344fb07bf3f68ea24cd18670/CV___Game_Quality_Assurance_Intern___Mai_Quỳnh_Châu.pdf")</f>
        <v>https://api.typeform.com/responses/files/ba09e09e722c8e5e30caeca9ea3844e7731151ff344fb07bf3f68ea24cd18670/CV___Game_Quality_Assurance_Intern___Mai_Quỳnh_Châu.pdf</v>
      </c>
      <c r="Y105" s="136">
        <v>46137.45707175926</v>
      </c>
      <c r="Z105" s="35" t="s">
        <v>2338</v>
      </c>
      <c r="AA105" s="137">
        <v>2.0</v>
      </c>
      <c r="AB105" s="137" t="s">
        <v>93</v>
      </c>
      <c r="AC105" s="28" t="s">
        <v>6376</v>
      </c>
      <c r="AD105" s="27"/>
      <c r="AE105" s="28"/>
      <c r="AF105" s="137" t="str">
        <f t="shared" si="5"/>
        <v/>
      </c>
      <c r="AG105" s="35"/>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row>
    <row r="106" ht="17.25" hidden="1" customHeight="1">
      <c r="A106" s="35" t="s">
        <v>2339</v>
      </c>
      <c r="B106" s="132">
        <v>37638.0</v>
      </c>
      <c r="C106" s="35" t="s">
        <v>2340</v>
      </c>
      <c r="D106" s="133" t="s">
        <v>2341</v>
      </c>
      <c r="E106" s="35" t="s">
        <v>61</v>
      </c>
      <c r="F106" s="35" t="s">
        <v>99</v>
      </c>
      <c r="G106" s="35" t="s">
        <v>2342</v>
      </c>
      <c r="H106" s="35" t="s">
        <v>2343</v>
      </c>
      <c r="I106" s="35" t="s">
        <v>1023</v>
      </c>
      <c r="J106" s="35" t="s">
        <v>2344</v>
      </c>
      <c r="K106" s="35" t="s">
        <v>2345</v>
      </c>
      <c r="L106" s="35" t="s">
        <v>1830</v>
      </c>
      <c r="M106" s="134">
        <v>45771.0</v>
      </c>
      <c r="N106" s="133" t="s">
        <v>2346</v>
      </c>
      <c r="O106" s="135" t="str">
        <f>HYPERLINK("https://api.typeform.com/responses/files/76b41cd4206e6a0e1726c5c338fd9fc59420d74c840f9a8ca79e0c5d5a9070f0/Transcript___Data_Analysis_Intern___Nguyễn_Quốc_Tiến.pdf")</f>
        <v>https://api.typeform.com/responses/files/76b41cd4206e6a0e1726c5c338fd9fc59420d74c840f9a8ca79e0c5d5a9070f0/Transcript___Data_Analysis_Intern___Nguyễn_Quốc_Tiến.pdf</v>
      </c>
      <c r="P106" s="35" t="b">
        <v>1</v>
      </c>
      <c r="Q106" s="43" t="s">
        <v>2347</v>
      </c>
      <c r="R106" s="35" t="s">
        <v>2348</v>
      </c>
      <c r="S106" s="35" t="s">
        <v>72</v>
      </c>
      <c r="T106" s="35" t="s">
        <v>72</v>
      </c>
      <c r="U106" s="35" t="s">
        <v>90</v>
      </c>
      <c r="V106" s="35"/>
      <c r="W106" s="35" t="s">
        <v>2349</v>
      </c>
      <c r="X106" s="135" t="str">
        <f>HYPERLINK("https://api.typeform.com/responses/files/7441aba87699e7da6010fe421d5ae08703b733f697cc48931033cd9aa4d6bea8/CV___Unity_Development_Intern___Nguyễn_Quốc_Tiến.pdf")</f>
        <v>https://api.typeform.com/responses/files/7441aba87699e7da6010fe421d5ae08703b733f697cc48931033cd9aa4d6bea8/CV___Unity_Development_Intern___Nguyễn_Quốc_Tiến.pdf</v>
      </c>
      <c r="Y106" s="136">
        <v>46137.469814814816</v>
      </c>
      <c r="Z106" s="35" t="s">
        <v>2350</v>
      </c>
      <c r="AA106" s="137">
        <v>2.0</v>
      </c>
      <c r="AB106" s="137" t="s">
        <v>93</v>
      </c>
      <c r="AC106" s="28" t="s">
        <v>6388</v>
      </c>
      <c r="AD106" s="180" t="s">
        <v>6511</v>
      </c>
      <c r="AE106" s="28"/>
      <c r="AF106" s="137" t="str">
        <f t="shared" si="5"/>
        <v/>
      </c>
      <c r="AG106" s="35"/>
      <c r="AH106" s="137"/>
      <c r="AI106" s="137"/>
      <c r="AJ106" s="137"/>
      <c r="AK106" s="137"/>
      <c r="AL106" s="137"/>
      <c r="AM106" s="137"/>
      <c r="AN106" s="137"/>
      <c r="AO106" s="137"/>
      <c r="AP106" s="137"/>
      <c r="AQ106" s="137"/>
      <c r="AR106" s="137"/>
      <c r="AS106" s="137"/>
      <c r="AT106" s="137"/>
      <c r="AU106" s="137"/>
      <c r="AV106" s="137"/>
      <c r="AW106" s="137"/>
      <c r="AX106" s="137"/>
      <c r="AY106" s="137"/>
      <c r="AZ106" s="137"/>
      <c r="BA106" s="137"/>
    </row>
    <row r="107" ht="17.25" hidden="1" customHeight="1">
      <c r="A107" s="35" t="s">
        <v>2351</v>
      </c>
      <c r="B107" s="132">
        <v>37821.0</v>
      </c>
      <c r="C107" s="35" t="s">
        <v>2352</v>
      </c>
      <c r="D107" s="133" t="s">
        <v>2353</v>
      </c>
      <c r="E107" s="35" t="s">
        <v>61</v>
      </c>
      <c r="F107" s="35" t="s">
        <v>61</v>
      </c>
      <c r="G107" s="35" t="s">
        <v>2354</v>
      </c>
      <c r="H107" s="35" t="s">
        <v>2355</v>
      </c>
      <c r="I107" s="35" t="s">
        <v>130</v>
      </c>
      <c r="J107" s="35"/>
      <c r="K107" s="35" t="s">
        <v>103</v>
      </c>
      <c r="L107" s="35" t="s">
        <v>624</v>
      </c>
      <c r="M107" s="134">
        <v>46095.0</v>
      </c>
      <c r="N107" s="133" t="s">
        <v>2356</v>
      </c>
      <c r="O107" s="135" t="str">
        <f>HYPERLINK("https://api.typeform.com/responses/files/a4d813f4c458ad17e1e12d3fbcb21c31ee30101ebbdc120f48e412d423280634/Transcript___Unity_Development_Intern___Trần_Như_Phú_Quang.pdf")</f>
        <v>https://api.typeform.com/responses/files/a4d813f4c458ad17e1e12d3fbcb21c31ee30101ebbdc120f48e412d423280634/Transcript___Unity_Development_Intern___Trần_Như_Phú_Quang.pdf</v>
      </c>
      <c r="P107" s="35" t="b">
        <v>1</v>
      </c>
      <c r="Q107" s="43" t="s">
        <v>2357</v>
      </c>
      <c r="R107" s="35" t="s">
        <v>2358</v>
      </c>
      <c r="S107" s="35" t="s">
        <v>72</v>
      </c>
      <c r="T107" s="35" t="s">
        <v>72</v>
      </c>
      <c r="U107" s="35" t="s">
        <v>236</v>
      </c>
      <c r="V107" s="35"/>
      <c r="W107" s="35" t="s">
        <v>2359</v>
      </c>
      <c r="X107" s="135" t="str">
        <f>HYPERLINK("https://api.typeform.com/responses/files/4303a000e456246244620fa678852d7773327b01676a3af0fe571f3e26bd4897/CV___Unity_Development_Intern___Trần_Như_Phú_Quang.pdf")</f>
        <v>https://api.typeform.com/responses/files/4303a000e456246244620fa678852d7773327b01676a3af0fe571f3e26bd4897/CV___Unity_Development_Intern___Trần_Như_Phú_Quang.pdf</v>
      </c>
      <c r="Y107" s="136">
        <v>46137.473020833335</v>
      </c>
      <c r="Z107" s="35" t="s">
        <v>2360</v>
      </c>
      <c r="AA107" s="137">
        <v>2.0</v>
      </c>
      <c r="AB107" s="137" t="s">
        <v>93</v>
      </c>
      <c r="AC107" s="28" t="s">
        <v>6388</v>
      </c>
      <c r="AD107" s="28" t="s">
        <v>6512</v>
      </c>
      <c r="AE107" s="28" t="s">
        <v>6376</v>
      </c>
      <c r="AF107" s="137" t="str">
        <f t="shared" si="5"/>
        <v>Quỳnh</v>
      </c>
      <c r="AG107" s="35"/>
      <c r="AH107" s="137"/>
      <c r="AI107" s="137"/>
      <c r="AJ107" s="137"/>
      <c r="AK107" s="137"/>
      <c r="AL107" s="137"/>
      <c r="AM107" s="137"/>
      <c r="AN107" s="137"/>
      <c r="AO107" s="137"/>
      <c r="AP107" s="137"/>
      <c r="AQ107" s="137"/>
      <c r="AR107" s="137"/>
      <c r="AS107" s="137"/>
      <c r="AT107" s="137"/>
      <c r="AU107" s="137"/>
      <c r="AV107" s="137"/>
      <c r="AW107" s="137"/>
      <c r="AX107" s="137"/>
      <c r="AY107" s="137"/>
      <c r="AZ107" s="137"/>
      <c r="BA107" s="137"/>
    </row>
    <row r="108" ht="17.25" hidden="1" customHeight="1">
      <c r="A108" s="35" t="s">
        <v>2361</v>
      </c>
      <c r="B108" s="132">
        <v>37891.0</v>
      </c>
      <c r="C108" s="35" t="s">
        <v>2362</v>
      </c>
      <c r="D108" s="133" t="s">
        <v>2363</v>
      </c>
      <c r="E108" s="35" t="s">
        <v>61</v>
      </c>
      <c r="F108" s="35"/>
      <c r="G108" s="35" t="s">
        <v>2364</v>
      </c>
      <c r="H108" s="35" t="s">
        <v>2365</v>
      </c>
      <c r="I108" s="35" t="s">
        <v>326</v>
      </c>
      <c r="J108" s="35"/>
      <c r="K108" s="35" t="s">
        <v>103</v>
      </c>
      <c r="L108" s="35" t="s">
        <v>104</v>
      </c>
      <c r="M108" s="134">
        <v>45966.0</v>
      </c>
      <c r="N108" s="133" t="s">
        <v>1122</v>
      </c>
      <c r="O108" s="135" t="str">
        <f>HYPERLINK("https://api.typeform.com/responses/files/285cb1e483c4039d3df5b21c10609f508454c8bb4f5e1f951ee64db92d317919/Transcript___Unity_Development_Intern___Lê_Thanh_Phát.pdf")</f>
        <v>https://api.typeform.com/responses/files/285cb1e483c4039d3df5b21c10609f508454c8bb4f5e1f951ee64db92d317919/Transcript___Unity_Development_Intern___Lê_Thanh_Phát.pdf</v>
      </c>
      <c r="P108" s="35" t="b">
        <v>1</v>
      </c>
      <c r="Q108" s="43" t="s">
        <v>2366</v>
      </c>
      <c r="R108" s="35" t="s">
        <v>2367</v>
      </c>
      <c r="S108" s="35" t="s">
        <v>72</v>
      </c>
      <c r="T108" s="35" t="s">
        <v>72</v>
      </c>
      <c r="U108" s="35" t="s">
        <v>90</v>
      </c>
      <c r="V108" s="35"/>
      <c r="W108" s="35" t="s">
        <v>2368</v>
      </c>
      <c r="X108" s="135" t="str">
        <f>HYPERLINK("https://api.typeform.com/responses/files/ab651f3ac3e81e9183575f87cc4ba7a85361a66900c5e3c979c3aa18ebfde276/CV___Unity_Development_Intern___Lê_Thanh_Phát.pdf")</f>
        <v>https://api.typeform.com/responses/files/ab651f3ac3e81e9183575f87cc4ba7a85361a66900c5e3c979c3aa18ebfde276/CV___Unity_Development_Intern___Lê_Thanh_Phát.pdf</v>
      </c>
      <c r="Y108" s="136">
        <v>46137.53113425926</v>
      </c>
      <c r="Z108" s="35" t="s">
        <v>2369</v>
      </c>
      <c r="AA108" s="137">
        <v>2.0</v>
      </c>
      <c r="AB108" s="137" t="s">
        <v>93</v>
      </c>
      <c r="AC108" s="28" t="s">
        <v>6388</v>
      </c>
      <c r="AD108" s="28" t="s">
        <v>6513</v>
      </c>
      <c r="AE108" s="28" t="s">
        <v>6376</v>
      </c>
      <c r="AF108" s="137" t="str">
        <f t="shared" si="5"/>
        <v>Quỳnh</v>
      </c>
      <c r="AG108" s="35"/>
      <c r="AH108" s="137"/>
      <c r="AI108" s="137"/>
      <c r="AJ108" s="137"/>
      <c r="AK108" s="137"/>
      <c r="AL108" s="137"/>
      <c r="AM108" s="137"/>
      <c r="AN108" s="137"/>
      <c r="AO108" s="137"/>
      <c r="AP108" s="137"/>
      <c r="AQ108" s="137"/>
      <c r="AR108" s="137"/>
      <c r="AS108" s="137"/>
      <c r="AT108" s="137"/>
      <c r="AU108" s="137"/>
      <c r="AV108" s="137"/>
      <c r="AW108" s="137"/>
      <c r="AX108" s="137"/>
      <c r="AY108" s="137"/>
      <c r="AZ108" s="137"/>
      <c r="BA108" s="137"/>
    </row>
    <row r="109" ht="17.25" hidden="1" customHeight="1">
      <c r="A109" s="35" t="s">
        <v>1691</v>
      </c>
      <c r="B109" s="132">
        <v>37987.0</v>
      </c>
      <c r="C109" s="35" t="s">
        <v>1692</v>
      </c>
      <c r="D109" s="133" t="s">
        <v>1693</v>
      </c>
      <c r="E109" s="35" t="s">
        <v>62</v>
      </c>
      <c r="F109" s="35" t="s">
        <v>82</v>
      </c>
      <c r="G109" s="35" t="s">
        <v>1694</v>
      </c>
      <c r="H109" s="35" t="s">
        <v>1695</v>
      </c>
      <c r="I109" s="35" t="s">
        <v>326</v>
      </c>
      <c r="J109" s="35"/>
      <c r="K109" s="35" t="s">
        <v>67</v>
      </c>
      <c r="L109" s="35" t="s">
        <v>624</v>
      </c>
      <c r="M109" s="134">
        <v>46174.0</v>
      </c>
      <c r="N109" s="133" t="s">
        <v>1696</v>
      </c>
      <c r="O109" s="135" t="str">
        <f>HYPERLINK("https://api.typeform.com/responses/files/a4cb7be8d5756438b31586d620e1f41988325fa9559e275327d4f45771f6eabf/Transcript___AI_Engineering_Intern___Vũ_Minh_Chiến.png")</f>
        <v>https://api.typeform.com/responses/files/a4cb7be8d5756438b31586d620e1f41988325fa9559e275327d4f45771f6eabf/Transcript___AI_Engineering_Intern___Vũ_Minh_Chiến.png</v>
      </c>
      <c r="P109" s="35" t="b">
        <v>1</v>
      </c>
      <c r="Q109" s="181" t="s">
        <v>1697</v>
      </c>
      <c r="R109" s="35" t="s">
        <v>1698</v>
      </c>
      <c r="S109" s="35" t="s">
        <v>72</v>
      </c>
      <c r="T109" s="35" t="s">
        <v>72</v>
      </c>
      <c r="U109" s="138" t="s">
        <v>269</v>
      </c>
      <c r="V109" s="35"/>
      <c r="W109" s="35" t="s">
        <v>1699</v>
      </c>
      <c r="X109" s="135" t="str">
        <f>HYPERLINK("https://api.typeform.com/responses/files/1b4a4ef49b3d10abda786f19e92a976a050a37c5cb140ceb81153621f3f357f7/Vũ_Minh_Chiến_CV.pdf")</f>
        <v>https://api.typeform.com/responses/files/1b4a4ef49b3d10abda786f19e92a976a050a37c5cb140ceb81153621f3f357f7/Vũ_Minh_Chiến_CV.pdf</v>
      </c>
      <c r="Y109" s="136">
        <v>46136.16439814815</v>
      </c>
      <c r="Z109" s="35" t="s">
        <v>1700</v>
      </c>
      <c r="AA109" s="137">
        <v>2.0</v>
      </c>
      <c r="AB109" s="139" t="s">
        <v>6381</v>
      </c>
      <c r="AC109" s="28" t="s">
        <v>6377</v>
      </c>
      <c r="AD109" s="27"/>
      <c r="AE109" s="28" t="s">
        <v>6379</v>
      </c>
      <c r="AF109" s="137" t="str">
        <f t="shared" si="5"/>
        <v>Quỳnh</v>
      </c>
      <c r="AG109" s="35"/>
      <c r="AH109" s="137"/>
      <c r="AI109" s="137"/>
      <c r="AJ109" s="137"/>
      <c r="AK109" s="137"/>
      <c r="AL109" s="137"/>
      <c r="AM109" s="137"/>
      <c r="AN109" s="137"/>
      <c r="AO109" s="137"/>
      <c r="AP109" s="137"/>
      <c r="AQ109" s="137"/>
      <c r="AR109" s="137"/>
      <c r="AS109" s="137"/>
      <c r="AT109" s="137"/>
      <c r="AU109" s="137"/>
      <c r="AV109" s="137"/>
      <c r="AW109" s="137"/>
      <c r="AX109" s="137"/>
      <c r="AY109" s="137"/>
      <c r="AZ109" s="137"/>
      <c r="BA109" s="137"/>
    </row>
    <row r="110" ht="17.25" hidden="1" customHeight="1">
      <c r="A110" s="35" t="s">
        <v>2380</v>
      </c>
      <c r="B110" s="132">
        <v>38632.0</v>
      </c>
      <c r="C110" s="35" t="s">
        <v>2381</v>
      </c>
      <c r="D110" s="133" t="s">
        <v>2382</v>
      </c>
      <c r="E110" s="35" t="s">
        <v>61</v>
      </c>
      <c r="F110" s="35" t="s">
        <v>99</v>
      </c>
      <c r="G110" s="35" t="s">
        <v>2383</v>
      </c>
      <c r="H110" s="35" t="s">
        <v>2384</v>
      </c>
      <c r="I110" s="35" t="s">
        <v>326</v>
      </c>
      <c r="J110" s="35"/>
      <c r="K110" s="35" t="s">
        <v>219</v>
      </c>
      <c r="L110" s="35" t="s">
        <v>2385</v>
      </c>
      <c r="M110" s="134">
        <v>46583.0</v>
      </c>
      <c r="N110" s="133" t="s">
        <v>2386</v>
      </c>
      <c r="O110" s="135" t="str">
        <f>HYPERLINK("https://api.typeform.com/responses/files/c26d01a5171c1a4094d54d30dad638deec63028546e24930aa44a07f72d3cbde/Transcript___Unity_Development_Intern___Lê_Công_Tuấn.pdf")</f>
        <v>https://api.typeform.com/responses/files/c26d01a5171c1a4094d54d30dad638deec63028546e24930aa44a07f72d3cbde/Transcript___Unity_Development_Intern___Lê_Công_Tuấn.pdf</v>
      </c>
      <c r="P110" s="35" t="b">
        <v>1</v>
      </c>
      <c r="Q110" s="179" t="s">
        <v>6514</v>
      </c>
      <c r="R110" s="182" t="s">
        <v>6515</v>
      </c>
      <c r="S110" s="35" t="s">
        <v>72</v>
      </c>
      <c r="T110" s="35" t="s">
        <v>72</v>
      </c>
      <c r="U110" s="35" t="s">
        <v>2389</v>
      </c>
      <c r="V110" s="35"/>
      <c r="W110" s="35"/>
      <c r="X110" s="135" t="str">
        <f>HYPERLINK("https://api.typeform.com/responses/files/c9a83abbc4e5be1b2d6a1147068d5cad6cfa458f92c37e7c0fe2111751bc3308/CV___Unity_Development_Intern___Lê_Công_Tuấn.pdf")</f>
        <v>https://api.typeform.com/responses/files/c9a83abbc4e5be1b2d6a1147068d5cad6cfa458f92c37e7c0fe2111751bc3308/CV___Unity_Development_Intern___Lê_Công_Tuấn.pdf</v>
      </c>
      <c r="Y110" s="136">
        <v>46137.64020833333</v>
      </c>
      <c r="Z110" s="35" t="s">
        <v>2390</v>
      </c>
      <c r="AA110" s="137">
        <v>2.0</v>
      </c>
      <c r="AB110" s="137" t="s">
        <v>93</v>
      </c>
      <c r="AC110" s="28" t="s">
        <v>6377</v>
      </c>
      <c r="AD110" s="27"/>
      <c r="AE110" s="28" t="s">
        <v>6379</v>
      </c>
      <c r="AF110" s="137" t="str">
        <f t="shared" si="5"/>
        <v>Quỳnh</v>
      </c>
      <c r="AG110" s="35"/>
      <c r="AH110" s="137"/>
      <c r="AI110" s="137"/>
      <c r="AJ110" s="137"/>
      <c r="AK110" s="137"/>
      <c r="AL110" s="137"/>
      <c r="AM110" s="137"/>
      <c r="AN110" s="137"/>
      <c r="AO110" s="137"/>
      <c r="AP110" s="137"/>
      <c r="AQ110" s="137"/>
      <c r="AR110" s="137"/>
      <c r="AS110" s="137"/>
      <c r="AT110" s="137"/>
      <c r="AU110" s="137"/>
      <c r="AV110" s="137"/>
      <c r="AW110" s="137"/>
      <c r="AX110" s="137"/>
      <c r="AY110" s="137"/>
      <c r="AZ110" s="137"/>
      <c r="BA110" s="137"/>
    </row>
    <row r="111" ht="17.25" hidden="1" customHeight="1">
      <c r="A111" s="35" t="s">
        <v>2391</v>
      </c>
      <c r="B111" s="132">
        <v>38643.0</v>
      </c>
      <c r="C111" s="35" t="s">
        <v>2392</v>
      </c>
      <c r="D111" s="133" t="s">
        <v>2393</v>
      </c>
      <c r="E111" s="35" t="s">
        <v>633</v>
      </c>
      <c r="F111" s="35"/>
      <c r="G111" s="35" t="s">
        <v>2394</v>
      </c>
      <c r="H111" s="35" t="s">
        <v>2395</v>
      </c>
      <c r="I111" s="35" t="s">
        <v>842</v>
      </c>
      <c r="J111" s="35"/>
      <c r="K111" s="35" t="s">
        <v>219</v>
      </c>
      <c r="L111" s="35" t="s">
        <v>2396</v>
      </c>
      <c r="M111" s="134">
        <v>46447.0</v>
      </c>
      <c r="N111" s="133" t="s">
        <v>2397</v>
      </c>
      <c r="O111" s="135" t="str">
        <f>HYPERLINK("https://api.typeform.com/responses/files/0bafccbd9fc7414bf400d0911e62921b956ace8fdc522592b6c4a077189b6974/Transcript__Human_Resources_Intern___Nguyễn_Vy_Thảo.pdf")</f>
        <v>https://api.typeform.com/responses/files/0bafccbd9fc7414bf400d0911e62921b956ace8fdc522592b6c4a077189b6974/Transcript__Human_Resources_Intern___Nguyễn_Vy_Thảo.pdf</v>
      </c>
      <c r="P111" s="35" t="b">
        <v>1</v>
      </c>
      <c r="Q111" s="43" t="s">
        <v>2398</v>
      </c>
      <c r="R111" s="35" t="s">
        <v>318</v>
      </c>
      <c r="S111" s="35" t="s">
        <v>72</v>
      </c>
      <c r="T111" s="35" t="s">
        <v>72</v>
      </c>
      <c r="U111" s="35" t="s">
        <v>73</v>
      </c>
      <c r="V111" s="35"/>
      <c r="W111" s="35"/>
      <c r="X111" s="135" t="str">
        <f>HYPERLINK("https://api.typeform.com/responses/files/22118bf1b12d3163d0c3018c948cbaad9fbb1c697f6739c53102b4c352afdd07/CV___Human_Resources_Intern___Nguyễn_Vy_Thảo.pdf")</f>
        <v>https://api.typeform.com/responses/files/22118bf1b12d3163d0c3018c948cbaad9fbb1c697f6739c53102b4c352afdd07/CV___Human_Resources_Intern___Nguyễn_Vy_Thảo.pdf</v>
      </c>
      <c r="Y111" s="136">
        <v>46137.656319444446</v>
      </c>
      <c r="Z111" s="35" t="s">
        <v>2399</v>
      </c>
      <c r="AA111" s="137">
        <v>2.0</v>
      </c>
      <c r="AB111" s="137" t="s">
        <v>6424</v>
      </c>
      <c r="AC111" s="28" t="s">
        <v>6376</v>
      </c>
      <c r="AD111" s="27"/>
      <c r="AE111" s="28"/>
      <c r="AF111" s="137" t="str">
        <f t="shared" si="5"/>
        <v/>
      </c>
      <c r="AG111" s="35"/>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row>
    <row r="112" ht="17.25" hidden="1" customHeight="1">
      <c r="A112" s="35" t="s">
        <v>2400</v>
      </c>
      <c r="B112" s="132">
        <v>36080.0</v>
      </c>
      <c r="C112" s="35" t="s">
        <v>2401</v>
      </c>
      <c r="D112" s="133" t="s">
        <v>2402</v>
      </c>
      <c r="E112" s="35" t="s">
        <v>127</v>
      </c>
      <c r="F112" s="35" t="s">
        <v>99</v>
      </c>
      <c r="G112" s="35" t="s">
        <v>2403</v>
      </c>
      <c r="H112" s="35" t="s">
        <v>2404</v>
      </c>
      <c r="I112" s="35" t="s">
        <v>326</v>
      </c>
      <c r="J112" s="35"/>
      <c r="K112" s="35" t="s">
        <v>169</v>
      </c>
      <c r="L112" s="35" t="s">
        <v>132</v>
      </c>
      <c r="M112" s="134">
        <v>46692.0</v>
      </c>
      <c r="N112" s="133" t="s">
        <v>317</v>
      </c>
      <c r="O112" s="135" t="str">
        <f>HYPERLINK("https://api.typeform.com/responses/files/31ca3eb24336e3e79e5f71b1e5ed57eefd261c6f1bed067dfbc255c45c092689/Transcript___Game_Quality_Assurance_Intern___Lê_Minh_Chiến.jpg")</f>
        <v>https://api.typeform.com/responses/files/31ca3eb24336e3e79e5f71b1e5ed57eefd261c6f1bed067dfbc255c45c092689/Transcript___Game_Quality_Assurance_Intern___Lê_Minh_Chiến.jpg</v>
      </c>
      <c r="P112" s="35" t="b">
        <v>0</v>
      </c>
      <c r="Q112" s="43" t="s">
        <v>2405</v>
      </c>
      <c r="R112" s="35" t="s">
        <v>2406</v>
      </c>
      <c r="S112" s="35" t="s">
        <v>72</v>
      </c>
      <c r="T112" s="35" t="s">
        <v>72</v>
      </c>
      <c r="U112" s="35" t="s">
        <v>2389</v>
      </c>
      <c r="V112" s="35"/>
      <c r="W112" s="35" t="s">
        <v>2407</v>
      </c>
      <c r="X112" s="135" t="str">
        <f>HYPERLINK("https://api.typeform.com/responses/files/f16c5c6b277399f3d8fc4d9ef4b6b2d4ff2476b98c7201a801d9953cfe01e8a9/CV_IT.pdf")</f>
        <v>https://api.typeform.com/responses/files/f16c5c6b277399f3d8fc4d9ef4b6b2d4ff2476b98c7201a801d9953cfe01e8a9/CV_IT.pdf</v>
      </c>
      <c r="Y112" s="136">
        <v>46137.66002314815</v>
      </c>
      <c r="Z112" s="35" t="s">
        <v>2408</v>
      </c>
      <c r="AA112" s="137">
        <v>2.0</v>
      </c>
      <c r="AB112" s="137" t="s">
        <v>93</v>
      </c>
      <c r="AC112" s="28" t="s">
        <v>6376</v>
      </c>
      <c r="AD112" s="27"/>
      <c r="AE112" s="28"/>
      <c r="AF112" s="137" t="str">
        <f t="shared" si="5"/>
        <v/>
      </c>
      <c r="AG112" s="35"/>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row>
    <row r="113" ht="17.25" hidden="1" customHeight="1">
      <c r="A113" s="35" t="s">
        <v>2409</v>
      </c>
      <c r="B113" s="132">
        <v>38123.0</v>
      </c>
      <c r="C113" s="35" t="s">
        <v>2410</v>
      </c>
      <c r="D113" s="133" t="s">
        <v>2411</v>
      </c>
      <c r="E113" s="35" t="s">
        <v>127</v>
      </c>
      <c r="F113" s="35" t="s">
        <v>82</v>
      </c>
      <c r="G113" s="35" t="s">
        <v>2412</v>
      </c>
      <c r="H113" s="35" t="s">
        <v>2413</v>
      </c>
      <c r="I113" s="35" t="s">
        <v>326</v>
      </c>
      <c r="J113" s="35"/>
      <c r="K113" s="35" t="s">
        <v>67</v>
      </c>
      <c r="L113" s="35" t="s">
        <v>132</v>
      </c>
      <c r="M113" s="134">
        <v>46328.0</v>
      </c>
      <c r="N113" s="133" t="s">
        <v>1132</v>
      </c>
      <c r="O113" s="135" t="str">
        <f>HYPERLINK("https://api.typeform.com/responses/files/f3ad80031664f70fbd69bb11a55406dcad1b5107b5670e6e2fe0bce7ca5d2576/Transcript___Quality_Assurance_Intern___Ngụy_Thành_Đạt.pdf")</f>
        <v>https://api.typeform.com/responses/files/f3ad80031664f70fbd69bb11a55406dcad1b5107b5670e6e2fe0bce7ca5d2576/Transcript___Quality_Assurance_Intern___Ngụy_Thành_Đạt.pdf</v>
      </c>
      <c r="P113" s="35" t="b">
        <v>0</v>
      </c>
      <c r="Q113" s="43" t="s">
        <v>268</v>
      </c>
      <c r="R113" s="35" t="s">
        <v>2414</v>
      </c>
      <c r="S113" s="35" t="s">
        <v>72</v>
      </c>
      <c r="T113" s="35" t="s">
        <v>72</v>
      </c>
      <c r="U113" s="35" t="s">
        <v>269</v>
      </c>
      <c r="V113" s="35"/>
      <c r="W113" s="35" t="s">
        <v>2415</v>
      </c>
      <c r="X113" s="135" t="str">
        <f>HYPERLINK("https://api.typeform.com/responses/files/fb9eaee8d8f3a7dd135e45ab694d23c4bb2313f2f7d9ca4b8a980d354ad152b8/NguyThanhDat_CV_Tester.pdf")</f>
        <v>https://api.typeform.com/responses/files/fb9eaee8d8f3a7dd135e45ab694d23c4bb2313f2f7d9ca4b8a980d354ad152b8/NguyThanhDat_CV_Tester.pdf</v>
      </c>
      <c r="Y113" s="136">
        <v>46137.6772337963</v>
      </c>
      <c r="Z113" s="35" t="s">
        <v>2416</v>
      </c>
      <c r="AA113" s="137">
        <v>2.0</v>
      </c>
      <c r="AB113" s="137" t="s">
        <v>93</v>
      </c>
      <c r="AC113" s="28" t="s">
        <v>6377</v>
      </c>
      <c r="AD113" s="28" t="s">
        <v>6516</v>
      </c>
      <c r="AE113" s="28" t="s">
        <v>6379</v>
      </c>
      <c r="AF113" s="137" t="str">
        <f t="shared" si="5"/>
        <v>Quỳnh</v>
      </c>
      <c r="AG113" s="35"/>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row>
    <row r="114" ht="17.25" hidden="1" customHeight="1">
      <c r="A114" s="35" t="s">
        <v>2417</v>
      </c>
      <c r="B114" s="132">
        <v>38169.0</v>
      </c>
      <c r="C114" s="35" t="s">
        <v>2418</v>
      </c>
      <c r="D114" s="133" t="s">
        <v>2419</v>
      </c>
      <c r="E114" s="35" t="s">
        <v>61</v>
      </c>
      <c r="F114" s="35" t="s">
        <v>61</v>
      </c>
      <c r="G114" s="35" t="s">
        <v>2420</v>
      </c>
      <c r="H114" s="35" t="s">
        <v>2421</v>
      </c>
      <c r="I114" s="35" t="s">
        <v>65</v>
      </c>
      <c r="J114" s="35" t="s">
        <v>102</v>
      </c>
      <c r="K114" s="35" t="s">
        <v>67</v>
      </c>
      <c r="L114" s="35" t="s">
        <v>104</v>
      </c>
      <c r="M114" s="134">
        <v>46174.0</v>
      </c>
      <c r="N114" s="133" t="s">
        <v>663</v>
      </c>
      <c r="O114" s="135" t="str">
        <f>HYPERLINK("https://api.typeform.com/responses/files/113f3ed0f567ccf5aed589a138e7ef77b597ca856068c6ed414e9c159391194f/Transcript___Unity_Developer_Intern___Nguyen_Phi_Long")</f>
        <v>https://api.typeform.com/responses/files/113f3ed0f567ccf5aed589a138e7ef77b597ca856068c6ed414e9c159391194f/Transcript___Unity_Developer_Intern___Nguyen_Phi_Long</v>
      </c>
      <c r="P114" s="35" t="b">
        <v>1</v>
      </c>
      <c r="Q114" s="43" t="s">
        <v>2422</v>
      </c>
      <c r="R114" s="35" t="s">
        <v>2423</v>
      </c>
      <c r="S114" s="35" t="s">
        <v>72</v>
      </c>
      <c r="T114" s="35" t="s">
        <v>72</v>
      </c>
      <c r="U114" s="35" t="s">
        <v>2424</v>
      </c>
      <c r="V114" s="35" t="s">
        <v>2425</v>
      </c>
      <c r="W114" s="35"/>
      <c r="X114" s="135" t="str">
        <f>HYPERLINK("https://api.typeform.com/responses/files/2a72add1e00ea0a993249cf6cfb00292d381ad4f7835381fd70f4e105c5c72f8/CV___Unity_Developer_Intern___Nguyen_Phi_Long")</f>
        <v>https://api.typeform.com/responses/files/2a72add1e00ea0a993249cf6cfb00292d381ad4f7835381fd70f4e105c5c72f8/CV___Unity_Developer_Intern___Nguyen_Phi_Long</v>
      </c>
      <c r="Y114" s="136">
        <v>46137.74180555555</v>
      </c>
      <c r="Z114" s="35" t="s">
        <v>2426</v>
      </c>
      <c r="AA114" s="137">
        <v>2.0</v>
      </c>
      <c r="AB114" s="137" t="s">
        <v>93</v>
      </c>
      <c r="AC114" s="28" t="s">
        <v>6377</v>
      </c>
      <c r="AD114" s="28" t="s">
        <v>6504</v>
      </c>
      <c r="AE114" s="28" t="s">
        <v>6379</v>
      </c>
      <c r="AF114" s="137" t="str">
        <f t="shared" si="5"/>
        <v>Quỳnh</v>
      </c>
      <c r="AG114" s="35"/>
      <c r="AH114" s="137"/>
      <c r="AI114" s="137"/>
      <c r="AJ114" s="137"/>
      <c r="AK114" s="137"/>
      <c r="AL114" s="137"/>
      <c r="AM114" s="137"/>
      <c r="AN114" s="137"/>
      <c r="AO114" s="137"/>
      <c r="AP114" s="137"/>
      <c r="AQ114" s="137"/>
      <c r="AR114" s="137"/>
      <c r="AS114" s="137"/>
      <c r="AT114" s="137"/>
      <c r="AU114" s="137"/>
      <c r="AV114" s="137"/>
      <c r="AW114" s="137"/>
      <c r="AX114" s="137"/>
      <c r="AY114" s="137"/>
      <c r="AZ114" s="137"/>
      <c r="BA114" s="137"/>
    </row>
    <row r="115" ht="17.25" hidden="1" customHeight="1">
      <c r="A115" s="35" t="s">
        <v>2427</v>
      </c>
      <c r="B115" s="132">
        <v>38583.0</v>
      </c>
      <c r="C115" s="35" t="s">
        <v>2428</v>
      </c>
      <c r="D115" s="133" t="s">
        <v>2429</v>
      </c>
      <c r="E115" s="35" t="s">
        <v>61</v>
      </c>
      <c r="F115" s="35" t="s">
        <v>99</v>
      </c>
      <c r="G115" s="35" t="s">
        <v>2430</v>
      </c>
      <c r="H115" s="35" t="s">
        <v>2431</v>
      </c>
      <c r="I115" s="35" t="s">
        <v>326</v>
      </c>
      <c r="J115" s="35"/>
      <c r="K115" s="35" t="s">
        <v>219</v>
      </c>
      <c r="L115" s="35" t="s">
        <v>104</v>
      </c>
      <c r="M115" s="134">
        <v>46660.0</v>
      </c>
      <c r="N115" s="133" t="s">
        <v>2432</v>
      </c>
      <c r="O115" s="135" t="str">
        <f>HYPERLINK("https://api.typeform.com/responses/files/eb36b46cf444c77c326bdff52d056ac23e5d5aaaf3d266d300cac817c1489ea5/Transcript___Unity_Developer_Intern___Lê_Nguyễn_Nhật_Trường.png")</f>
        <v>https://api.typeform.com/responses/files/eb36b46cf444c77c326bdff52d056ac23e5d5aaaf3d266d300cac817c1489ea5/Transcript___Unity_Developer_Intern___Lê_Nguyễn_Nhật_Trường.png</v>
      </c>
      <c r="P115" s="35" t="b">
        <v>1</v>
      </c>
      <c r="Q115" s="43" t="s">
        <v>2433</v>
      </c>
      <c r="R115" s="35" t="s">
        <v>2434</v>
      </c>
      <c r="S115" s="35" t="s">
        <v>72</v>
      </c>
      <c r="T115" s="35" t="s">
        <v>72</v>
      </c>
      <c r="U115" s="35" t="s">
        <v>90</v>
      </c>
      <c r="V115" s="35"/>
      <c r="W115" s="35" t="s">
        <v>2435</v>
      </c>
      <c r="X115" s="135" t="str">
        <f>HYPERLINK("https://api.typeform.com/responses/files/e3f1a89f4965ca2cae7ed9c88c44df2986febfdf5988acd60244306923b31a4e/CV___Unity_Developer_Intern___Lê_Nguyễn_Nhật_Trường.pdf")</f>
        <v>https://api.typeform.com/responses/files/e3f1a89f4965ca2cae7ed9c88c44df2986febfdf5988acd60244306923b31a4e/CV___Unity_Developer_Intern___Lê_Nguyễn_Nhật_Trường.pdf</v>
      </c>
      <c r="Y115" s="136">
        <v>46137.75386574074</v>
      </c>
      <c r="Z115" s="35" t="s">
        <v>2436</v>
      </c>
      <c r="AA115" s="137">
        <v>2.0</v>
      </c>
      <c r="AB115" s="137" t="s">
        <v>93</v>
      </c>
      <c r="AC115" s="28" t="s">
        <v>6377</v>
      </c>
      <c r="AD115" s="28" t="s">
        <v>6452</v>
      </c>
      <c r="AE115" s="28" t="s">
        <v>6379</v>
      </c>
      <c r="AF115" s="137" t="str">
        <f t="shared" si="5"/>
        <v>Quỳnh</v>
      </c>
      <c r="AG115" s="35"/>
      <c r="AH115" s="137"/>
      <c r="AI115" s="137"/>
      <c r="AJ115" s="137"/>
      <c r="AK115" s="137"/>
      <c r="AL115" s="137"/>
      <c r="AM115" s="137"/>
      <c r="AN115" s="137"/>
      <c r="AO115" s="137"/>
      <c r="AP115" s="137"/>
      <c r="AQ115" s="137"/>
      <c r="AR115" s="137"/>
      <c r="AS115" s="137"/>
      <c r="AT115" s="137"/>
      <c r="AU115" s="137"/>
      <c r="AV115" s="137"/>
      <c r="AW115" s="137"/>
      <c r="AX115" s="137"/>
      <c r="AY115" s="137"/>
      <c r="AZ115" s="137"/>
      <c r="BA115" s="137"/>
    </row>
    <row r="116" ht="17.25" hidden="1" customHeight="1">
      <c r="A116" s="35" t="s">
        <v>3422</v>
      </c>
      <c r="B116" s="132">
        <v>37980.0</v>
      </c>
      <c r="C116" s="35" t="s">
        <v>3423</v>
      </c>
      <c r="D116" s="133" t="s">
        <v>3424</v>
      </c>
      <c r="E116" s="35" t="s">
        <v>99</v>
      </c>
      <c r="F116" s="35" t="s">
        <v>127</v>
      </c>
      <c r="G116" s="35" t="s">
        <v>3425</v>
      </c>
      <c r="H116" s="35" t="s">
        <v>3426</v>
      </c>
      <c r="I116" s="35" t="s">
        <v>644</v>
      </c>
      <c r="J116" s="35"/>
      <c r="K116" s="35" t="s">
        <v>67</v>
      </c>
      <c r="L116" s="35" t="s">
        <v>3427</v>
      </c>
      <c r="M116" s="134">
        <v>46266.0</v>
      </c>
      <c r="N116" s="133" t="s">
        <v>328</v>
      </c>
      <c r="O116" s="135" t="str">
        <f>HYPERLINK("https://api.typeform.com/responses/files/4870f30309d041b7dfcd103762b312c6afdd04dfc571c04851081ed340138cd1/Transcripts___Game_Design_Intern___Nguyen_Toan_Phuc.xls")</f>
        <v>https://api.typeform.com/responses/files/4870f30309d041b7dfcd103762b312c6afdd04dfc571c04851081ed340138cd1/Transcripts___Game_Design_Intern___Nguyen_Toan_Phuc.xls</v>
      </c>
      <c r="P116" s="35" t="b">
        <v>1</v>
      </c>
      <c r="Q116" s="35" t="s">
        <v>3428</v>
      </c>
      <c r="R116" s="35" t="s">
        <v>3429</v>
      </c>
      <c r="S116" s="35" t="s">
        <v>72</v>
      </c>
      <c r="T116" s="35" t="s">
        <v>72</v>
      </c>
      <c r="U116" s="35" t="s">
        <v>90</v>
      </c>
      <c r="V116" s="35"/>
      <c r="W116" s="35" t="s">
        <v>3430</v>
      </c>
      <c r="X116" s="135" t="str">
        <f>HYPERLINK("https://api.typeform.com/responses/files/524fb9bfc5222b8c104b63087f530ad506274b283c8f525d43f6a4e45545949e/ToanPhuc_CV_GameDesign.docx")</f>
        <v>https://api.typeform.com/responses/files/524fb9bfc5222b8c104b63087f530ad506274b283c8f525d43f6a4e45545949e/ToanPhuc_CV_GameDesign.docx</v>
      </c>
      <c r="Y116" s="136">
        <v>46140.37068287037</v>
      </c>
      <c r="Z116" s="35" t="s">
        <v>3431</v>
      </c>
      <c r="AA116" s="137">
        <v>2.0</v>
      </c>
      <c r="AB116" s="139" t="s">
        <v>6381</v>
      </c>
      <c r="AC116" s="28" t="s">
        <v>6377</v>
      </c>
      <c r="AD116" s="27"/>
      <c r="AE116" s="28" t="s">
        <v>6379</v>
      </c>
      <c r="AF116" s="137" t="str">
        <f t="shared" si="5"/>
        <v>Nhiên</v>
      </c>
      <c r="AG116" s="35"/>
      <c r="AH116" s="137"/>
      <c r="AI116" s="137"/>
      <c r="AJ116" s="137"/>
      <c r="AK116" s="137"/>
      <c r="AL116" s="137"/>
      <c r="AM116" s="137"/>
      <c r="AN116" s="137"/>
      <c r="AO116" s="137"/>
      <c r="AP116" s="137"/>
      <c r="AQ116" s="137"/>
      <c r="AR116" s="137"/>
      <c r="AS116" s="137"/>
      <c r="AT116" s="137"/>
      <c r="AU116" s="137"/>
      <c r="AV116" s="137"/>
      <c r="AW116" s="137"/>
      <c r="AX116" s="137"/>
      <c r="AY116" s="137"/>
      <c r="AZ116" s="137"/>
      <c r="BA116" s="137"/>
    </row>
    <row r="117" ht="17.25" hidden="1" customHeight="1">
      <c r="A117" s="35" t="s">
        <v>2446</v>
      </c>
      <c r="B117" s="132">
        <v>38357.0</v>
      </c>
      <c r="C117" s="35" t="s">
        <v>2447</v>
      </c>
      <c r="D117" s="133" t="s">
        <v>2448</v>
      </c>
      <c r="E117" s="35" t="s">
        <v>61</v>
      </c>
      <c r="F117" s="35" t="s">
        <v>82</v>
      </c>
      <c r="G117" s="35" t="s">
        <v>2449</v>
      </c>
      <c r="H117" s="35" t="s">
        <v>2450</v>
      </c>
      <c r="I117" s="35" t="s">
        <v>715</v>
      </c>
      <c r="J117" s="35"/>
      <c r="K117" s="35" t="s">
        <v>219</v>
      </c>
      <c r="L117" s="35" t="s">
        <v>399</v>
      </c>
      <c r="M117" s="134">
        <v>46718.0</v>
      </c>
      <c r="N117" s="133" t="s">
        <v>2451</v>
      </c>
      <c r="O117" s="135" t="str">
        <f>HYPERLINK("https://api.typeform.com/responses/files/4004659545817475238cc8feda509f2f4f58d74bf397d328969d76ec484e43f0/Transcript___Unity_Development_Intern___Trần_Khánh_An.pdf")</f>
        <v>https://api.typeform.com/responses/files/4004659545817475238cc8feda509f2f4f58d74bf397d328969d76ec484e43f0/Transcript___Unity_Development_Intern___Trần_Khánh_An.pdf</v>
      </c>
      <c r="P117" s="35" t="b">
        <v>0</v>
      </c>
      <c r="Q117" s="43" t="s">
        <v>2452</v>
      </c>
      <c r="R117" s="35" t="s">
        <v>2453</v>
      </c>
      <c r="S117" s="35" t="s">
        <v>72</v>
      </c>
      <c r="T117" s="35" t="s">
        <v>72</v>
      </c>
      <c r="U117" s="35" t="s">
        <v>2389</v>
      </c>
      <c r="V117" s="35"/>
      <c r="W117" s="35" t="s">
        <v>2454</v>
      </c>
      <c r="X117" s="135" t="str">
        <f>HYPERLINK("https://api.typeform.com/responses/files/52c68ec8be38cd62f7bcf84bdea68c516ff993f55954b7ad4b74368fc7fca156/CV___Unity_Development_Intern___Trần_Khánh_An.pdf")</f>
        <v>https://api.typeform.com/responses/files/52c68ec8be38cd62f7bcf84bdea68c516ff993f55954b7ad4b74368fc7fca156/CV___Unity_Development_Intern___Trần_Khánh_An.pdf</v>
      </c>
      <c r="Y117" s="136">
        <v>46137.78055555555</v>
      </c>
      <c r="Z117" s="35" t="s">
        <v>2455</v>
      </c>
      <c r="AA117" s="137">
        <v>2.0</v>
      </c>
      <c r="AB117" s="137" t="s">
        <v>93</v>
      </c>
      <c r="AC117" s="28" t="s">
        <v>6377</v>
      </c>
      <c r="AD117" s="28" t="s">
        <v>6517</v>
      </c>
      <c r="AE117" s="28" t="s">
        <v>6403</v>
      </c>
      <c r="AF117" s="137" t="str">
        <f t="shared" si="5"/>
        <v>Quỳnh</v>
      </c>
      <c r="AG117" s="35"/>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row>
    <row r="118" ht="17.25" hidden="1" customHeight="1">
      <c r="A118" s="149" t="s">
        <v>3848</v>
      </c>
      <c r="B118" s="150">
        <v>38484.0</v>
      </c>
      <c r="C118" s="149" t="s">
        <v>3849</v>
      </c>
      <c r="D118" s="151" t="s">
        <v>3850</v>
      </c>
      <c r="E118" s="149" t="s">
        <v>99</v>
      </c>
      <c r="F118" s="149" t="s">
        <v>82</v>
      </c>
      <c r="G118" s="149" t="s">
        <v>3851</v>
      </c>
      <c r="H118" s="149" t="s">
        <v>3852</v>
      </c>
      <c r="I118" s="149" t="s">
        <v>715</v>
      </c>
      <c r="J118" s="149"/>
      <c r="K118" s="149" t="s">
        <v>219</v>
      </c>
      <c r="L118" s="149" t="s">
        <v>308</v>
      </c>
      <c r="M118" s="152">
        <v>46539.0</v>
      </c>
      <c r="N118" s="149" t="s">
        <v>3853</v>
      </c>
      <c r="O118" s="153" t="str">
        <f>HYPERLINK("https://api.typeform.com/responses/files/2d94e16ebd3551aff7c49b2995ec81e1536b60c0fff63f1139d1d8955db8a73b/DangThiThuyVi_Resume.pdf")</f>
        <v>https://api.typeform.com/responses/files/2d94e16ebd3551aff7c49b2995ec81e1536b60c0fff63f1139d1d8955db8a73b/DangThiThuyVi_Resume.pdf</v>
      </c>
      <c r="P118" s="149" t="b">
        <v>1</v>
      </c>
      <c r="Q118" s="149" t="s">
        <v>3854</v>
      </c>
      <c r="R118" s="149" t="s">
        <v>3855</v>
      </c>
      <c r="S118" s="149" t="s">
        <v>72</v>
      </c>
      <c r="T118" s="149" t="s">
        <v>72</v>
      </c>
      <c r="U118" s="149" t="s">
        <v>2389</v>
      </c>
      <c r="V118" s="149"/>
      <c r="W118" s="149" t="s">
        <v>3856</v>
      </c>
      <c r="X118" s="153" t="str">
        <f>HYPERLINK("https://api.typeform.com/responses/files/cdb0e3bced5d16ce309e1eb376a13ffc5ad6e980d4e77805bdf095417adf0711/DangThiThuyVi_Resume.pdf")</f>
        <v>https://api.typeform.com/responses/files/cdb0e3bced5d16ce309e1eb376a13ffc5ad6e980d4e77805bdf095417adf0711/DangThiThuyVi_Resume.pdf</v>
      </c>
      <c r="Y118" s="155">
        <v>46141.30894675926</v>
      </c>
      <c r="Z118" s="149" t="s">
        <v>3857</v>
      </c>
      <c r="AA118" s="156">
        <v>2.0</v>
      </c>
      <c r="AB118" s="157" t="s">
        <v>6381</v>
      </c>
      <c r="AC118" s="92" t="s">
        <v>6376</v>
      </c>
      <c r="AD118" s="158"/>
      <c r="AE118" s="92"/>
      <c r="AF118" s="137" t="str">
        <f t="shared" si="5"/>
        <v/>
      </c>
      <c r="AG118" s="149"/>
      <c r="AH118" s="156"/>
      <c r="AI118" s="156"/>
      <c r="AJ118" s="156"/>
      <c r="AK118" s="156"/>
      <c r="AL118" s="156"/>
      <c r="AM118" s="156"/>
      <c r="AN118" s="156"/>
      <c r="AO118" s="156"/>
      <c r="AP118" s="156"/>
      <c r="AQ118" s="156"/>
      <c r="AR118" s="156"/>
      <c r="AS118" s="156"/>
      <c r="AT118" s="156"/>
      <c r="AU118" s="156"/>
      <c r="AV118" s="156"/>
      <c r="AW118" s="156"/>
      <c r="AX118" s="156"/>
      <c r="AY118" s="156"/>
      <c r="AZ118" s="156"/>
      <c r="BA118" s="156"/>
    </row>
    <row r="119" ht="17.25" hidden="1" customHeight="1">
      <c r="A119" s="35" t="s">
        <v>4250</v>
      </c>
      <c r="B119" s="132">
        <v>38445.0</v>
      </c>
      <c r="C119" s="35" t="s">
        <v>4251</v>
      </c>
      <c r="D119" s="133" t="s">
        <v>4252</v>
      </c>
      <c r="E119" s="35" t="s">
        <v>99</v>
      </c>
      <c r="F119" s="35" t="s">
        <v>61</v>
      </c>
      <c r="G119" s="35" t="s">
        <v>4253</v>
      </c>
      <c r="H119" s="35" t="s">
        <v>4254</v>
      </c>
      <c r="I119" s="35" t="s">
        <v>326</v>
      </c>
      <c r="J119" s="35"/>
      <c r="K119" s="35" t="s">
        <v>219</v>
      </c>
      <c r="L119" s="35" t="s">
        <v>399</v>
      </c>
      <c r="M119" s="134">
        <v>46696.0</v>
      </c>
      <c r="N119" s="133" t="s">
        <v>2775</v>
      </c>
      <c r="O119" s="135" t="str">
        <f>HYPERLINK("https://api.typeform.com/responses/files/4870601bfe848c8d1dfdc89822f46c01449d55d91e0977d9fc91f5f5a8bb3ef9/Transript___Game_Design_Intern___Trần_Duy_Anh_Dũng.pdf")</f>
        <v>https://api.typeform.com/responses/files/4870601bfe848c8d1dfdc89822f46c01449d55d91e0977d9fc91f5f5a8bb3ef9/Transript___Game_Design_Intern___Trần_Duy_Anh_Dũng.pdf</v>
      </c>
      <c r="P119" s="35" t="b">
        <v>1</v>
      </c>
      <c r="Q119" s="35" t="s">
        <v>4255</v>
      </c>
      <c r="R119" s="35" t="s">
        <v>4256</v>
      </c>
      <c r="S119" s="35" t="s">
        <v>72</v>
      </c>
      <c r="T119" s="35" t="s">
        <v>4257</v>
      </c>
      <c r="U119" s="35" t="s">
        <v>4258</v>
      </c>
      <c r="V119" s="35"/>
      <c r="W119" s="35" t="s">
        <v>4259</v>
      </c>
      <c r="X119" s="135" t="str">
        <f>HYPERLINK("https://api.typeform.com/responses/files/dbc604a831234c06158bbfa4afcb85455c2fe2bada2c089f29812b4bfa6a1641/CV_Game_Design_Intern_Trần_Duy_Anh_Dũng.pdf")</f>
        <v>https://api.typeform.com/responses/files/dbc604a831234c06158bbfa4afcb85455c2fe2bada2c089f29812b4bfa6a1641/CV_Game_Design_Intern_Trần_Duy_Anh_Dũng.pdf</v>
      </c>
      <c r="Y119" s="136">
        <v>46143.20291666667</v>
      </c>
      <c r="Z119" s="35" t="s">
        <v>4260</v>
      </c>
      <c r="AA119" s="137">
        <v>2.0</v>
      </c>
      <c r="AB119" s="139" t="s">
        <v>6381</v>
      </c>
      <c r="AC119" s="28" t="s">
        <v>6377</v>
      </c>
      <c r="AD119" s="27"/>
      <c r="AE119" s="28" t="s">
        <v>6379</v>
      </c>
      <c r="AF119" s="137" t="str">
        <f t="shared" si="5"/>
        <v>Nhiên</v>
      </c>
      <c r="AG119" s="35"/>
      <c r="AH119" s="137"/>
      <c r="AI119" s="137"/>
      <c r="AJ119" s="137"/>
      <c r="AK119" s="137"/>
      <c r="AL119" s="137"/>
      <c r="AM119" s="137"/>
      <c r="AN119" s="137"/>
      <c r="AO119" s="137"/>
      <c r="AP119" s="137"/>
      <c r="AQ119" s="137"/>
      <c r="AR119" s="137"/>
      <c r="AS119" s="137"/>
      <c r="AT119" s="137"/>
      <c r="AU119" s="137"/>
      <c r="AV119" s="137"/>
      <c r="AW119" s="137"/>
      <c r="AX119" s="137"/>
      <c r="AY119" s="137"/>
      <c r="AZ119" s="137"/>
      <c r="BA119" s="137"/>
    </row>
    <row r="120" ht="17.25" hidden="1" customHeight="1">
      <c r="A120" s="35" t="s">
        <v>2474</v>
      </c>
      <c r="B120" s="132">
        <v>37603.0</v>
      </c>
      <c r="C120" s="35" t="s">
        <v>2475</v>
      </c>
      <c r="D120" s="133" t="s">
        <v>2476</v>
      </c>
      <c r="E120" s="35" t="s">
        <v>61</v>
      </c>
      <c r="F120" s="35" t="s">
        <v>99</v>
      </c>
      <c r="G120" s="35" t="s">
        <v>2477</v>
      </c>
      <c r="H120" s="35" t="s">
        <v>2478</v>
      </c>
      <c r="I120" s="35" t="s">
        <v>65</v>
      </c>
      <c r="J120" s="35" t="s">
        <v>2479</v>
      </c>
      <c r="K120" s="35" t="s">
        <v>103</v>
      </c>
      <c r="L120" s="35" t="s">
        <v>624</v>
      </c>
      <c r="M120" s="134">
        <v>45976.0</v>
      </c>
      <c r="N120" s="133" t="s">
        <v>2480</v>
      </c>
      <c r="O120" s="135" t="str">
        <f>HYPERLINK("https://api.typeform.com/responses/files/3641bb2b1361e3acd3c3cb14441bd93708a4ac2ce04ac154189e6bbc81ff8b2a/Transcript___Unity_Development_Intern___Trần_Tấn_Vạn.pdf")</f>
        <v>https://api.typeform.com/responses/files/3641bb2b1361e3acd3c3cb14441bd93708a4ac2ce04ac154189e6bbc81ff8b2a/Transcript___Unity_Development_Intern___Trần_Tấn_Vạn.pdf</v>
      </c>
      <c r="P120" s="35" t="b">
        <v>1</v>
      </c>
      <c r="Q120" s="43" t="s">
        <v>2481</v>
      </c>
      <c r="R120" s="35" t="s">
        <v>2482</v>
      </c>
      <c r="S120" s="35" t="s">
        <v>72</v>
      </c>
      <c r="T120" s="35" t="s">
        <v>72</v>
      </c>
      <c r="U120" s="35" t="s">
        <v>90</v>
      </c>
      <c r="V120" s="35"/>
      <c r="W120" s="35" t="s">
        <v>2483</v>
      </c>
      <c r="X120" s="135" t="str">
        <f>HYPERLINK("https://api.typeform.com/responses/files/5213fdb460af39f703b9ba43ed43a3691a2c1a37b7cd097ec2dc8f0de8d4b924/CV___Unity_Development_Intern___Trần_Tấn_Vạn.pdf")</f>
        <v>https://api.typeform.com/responses/files/5213fdb460af39f703b9ba43ed43a3691a2c1a37b7cd097ec2dc8f0de8d4b924/CV___Unity_Development_Intern___Trần_Tấn_Vạn.pdf</v>
      </c>
      <c r="Y120" s="136">
        <v>46138.28826388889</v>
      </c>
      <c r="Z120" s="35" t="s">
        <v>2484</v>
      </c>
      <c r="AA120" s="137">
        <v>2.0</v>
      </c>
      <c r="AB120" s="137" t="s">
        <v>93</v>
      </c>
      <c r="AC120" s="28" t="s">
        <v>6388</v>
      </c>
      <c r="AD120" s="28" t="s">
        <v>6504</v>
      </c>
      <c r="AE120" s="28"/>
      <c r="AF120" s="137" t="str">
        <f t="shared" si="5"/>
        <v/>
      </c>
      <c r="AG120" s="35"/>
      <c r="AH120" s="137"/>
      <c r="AI120" s="137"/>
      <c r="AJ120" s="137"/>
      <c r="AK120" s="137"/>
      <c r="AL120" s="137"/>
      <c r="AM120" s="137"/>
      <c r="AN120" s="137"/>
      <c r="AO120" s="137"/>
      <c r="AP120" s="137"/>
      <c r="AQ120" s="137"/>
      <c r="AR120" s="137"/>
      <c r="AS120" s="137"/>
      <c r="AT120" s="137"/>
      <c r="AU120" s="137"/>
      <c r="AV120" s="137"/>
      <c r="AW120" s="137"/>
      <c r="AX120" s="137"/>
      <c r="AY120" s="137"/>
      <c r="AZ120" s="137"/>
      <c r="BA120" s="137"/>
    </row>
    <row r="121" ht="17.25" hidden="1" customHeight="1">
      <c r="A121" s="140" t="s">
        <v>2224</v>
      </c>
      <c r="B121" s="141">
        <v>38189.0</v>
      </c>
      <c r="C121" s="140" t="s">
        <v>2225</v>
      </c>
      <c r="D121" s="142" t="s">
        <v>2226</v>
      </c>
      <c r="E121" s="140" t="s">
        <v>62</v>
      </c>
      <c r="F121" s="140" t="s">
        <v>62</v>
      </c>
      <c r="G121" s="140" t="s">
        <v>2227</v>
      </c>
      <c r="H121" s="140" t="s">
        <v>2228</v>
      </c>
      <c r="I121" s="140" t="s">
        <v>277</v>
      </c>
      <c r="J121" s="140"/>
      <c r="K121" s="140" t="s">
        <v>67</v>
      </c>
      <c r="L121" s="140" t="s">
        <v>2229</v>
      </c>
      <c r="M121" s="143">
        <v>38189.0</v>
      </c>
      <c r="N121" s="140" t="s">
        <v>2230</v>
      </c>
      <c r="O121" s="144" t="str">
        <f>HYPERLINK("https://api.typeform.com/responses/files/33df2b63c2487d4f8bfcd0e62a37f323184fd97252830202264399bfe86cfc7e/Transcript___AI_Engineering_Intern___Nguyen_Thanh_Binh.pdf")</f>
        <v>https://api.typeform.com/responses/files/33df2b63c2487d4f8bfcd0e62a37f323184fd97252830202264399bfe86cfc7e/Transcript___AI_Engineering_Intern___Nguyen_Thanh_Binh.pdf</v>
      </c>
      <c r="P121" s="140" t="b">
        <v>0</v>
      </c>
      <c r="Q121" s="161" t="s">
        <v>375</v>
      </c>
      <c r="R121" s="140" t="s">
        <v>2231</v>
      </c>
      <c r="S121" s="140" t="s">
        <v>72</v>
      </c>
      <c r="T121" s="140" t="s">
        <v>72</v>
      </c>
      <c r="U121" s="140" t="s">
        <v>224</v>
      </c>
      <c r="V121" s="140"/>
      <c r="W121" s="140" t="s">
        <v>2232</v>
      </c>
      <c r="X121" s="144" t="str">
        <f>HYPERLINK("https://api.typeform.com/responses/files/1723de9dcb9b04053dea33bfb8f51ab301c632a91254b7e4b99cdfee32c6d781/CV_AI_Engineering_Intern_Nguyen_Thanh_Binh.pdf")</f>
        <v>https://api.typeform.com/responses/files/1723de9dcb9b04053dea33bfb8f51ab301c632a91254b7e4b99cdfee32c6d781/CV_AI_Engineering_Intern_Nguyen_Thanh_Binh.pdf</v>
      </c>
      <c r="Y121" s="145">
        <v>46137.27622685185</v>
      </c>
      <c r="Z121" s="140" t="s">
        <v>2233</v>
      </c>
      <c r="AA121" s="146">
        <v>2.0</v>
      </c>
      <c r="AB121" s="147" t="s">
        <v>6381</v>
      </c>
      <c r="AC121" s="70" t="s">
        <v>6376</v>
      </c>
      <c r="AD121" s="148"/>
      <c r="AE121" s="70"/>
      <c r="AF121" s="146" t="str">
        <f t="shared" si="5"/>
        <v/>
      </c>
      <c r="AG121" s="140"/>
      <c r="AH121" s="146"/>
      <c r="AI121" s="146"/>
      <c r="AJ121" s="146"/>
      <c r="AK121" s="146"/>
      <c r="AL121" s="146"/>
      <c r="AM121" s="146"/>
      <c r="AN121" s="146"/>
      <c r="AO121" s="146"/>
      <c r="AP121" s="146"/>
      <c r="AQ121" s="146"/>
      <c r="AR121" s="146"/>
      <c r="AS121" s="146"/>
      <c r="AT121" s="146"/>
      <c r="AU121" s="146"/>
      <c r="AV121" s="146"/>
      <c r="AW121" s="146"/>
      <c r="AX121" s="146"/>
      <c r="AY121" s="146"/>
      <c r="AZ121" s="146"/>
      <c r="BA121" s="146"/>
    </row>
    <row r="122" ht="17.25" hidden="1" customHeight="1">
      <c r="A122" s="35" t="s">
        <v>2497</v>
      </c>
      <c r="B122" s="132">
        <v>38040.0</v>
      </c>
      <c r="C122" s="35" t="s">
        <v>2498</v>
      </c>
      <c r="D122" s="133" t="s">
        <v>2499</v>
      </c>
      <c r="E122" s="35" t="s">
        <v>99</v>
      </c>
      <c r="F122" s="35"/>
      <c r="G122" s="35" t="s">
        <v>2500</v>
      </c>
      <c r="H122" s="35" t="s">
        <v>2501</v>
      </c>
      <c r="I122" s="35" t="s">
        <v>65</v>
      </c>
      <c r="J122" s="159" t="s">
        <v>2502</v>
      </c>
      <c r="K122" s="35" t="s">
        <v>67</v>
      </c>
      <c r="L122" s="35" t="s">
        <v>581</v>
      </c>
      <c r="M122" s="134">
        <v>46273.0</v>
      </c>
      <c r="N122" s="133" t="s">
        <v>2503</v>
      </c>
      <c r="O122" s="135" t="str">
        <f>HYPERLINK("https://api.typeform.com/responses/files/c19c086381bec5756a13ebb791a0eb047e7dca8e0cea586ad855c8ce87ce3db6/Transcript___Game_Design_Intern___Nguyễn_Xuân_Duy.pdf")</f>
        <v>https://api.typeform.com/responses/files/c19c086381bec5756a13ebb791a0eb047e7dca8e0cea586ad855c8ce87ce3db6/Transcript___Game_Design_Intern___Nguyễn_Xuân_Duy.pdf</v>
      </c>
      <c r="P122" s="35" t="b">
        <v>1</v>
      </c>
      <c r="Q122" s="43" t="s">
        <v>2504</v>
      </c>
      <c r="R122" s="35" t="s">
        <v>2505</v>
      </c>
      <c r="S122" s="35" t="s">
        <v>72</v>
      </c>
      <c r="T122" s="35" t="s">
        <v>72</v>
      </c>
      <c r="U122" s="35" t="s">
        <v>236</v>
      </c>
      <c r="V122" s="35"/>
      <c r="W122" s="35" t="s">
        <v>2506</v>
      </c>
      <c r="X122" s="135" t="str">
        <f>HYPERLINK("https://api.typeform.com/responses/files/4d4a97d2df444a5575d2900d633803c4f0711498a935869a099080786f4ba35c/CV___Game_Design_Intern___Nguyễn_Xuân_Duy.pdf")</f>
        <v>https://api.typeform.com/responses/files/4d4a97d2df444a5575d2900d633803c4f0711498a935869a099080786f4ba35c/CV___Game_Design_Intern___Nguyễn_Xuân_Duy.pdf</v>
      </c>
      <c r="Y122" s="136">
        <v>46138.41420138889</v>
      </c>
      <c r="Z122" s="35" t="s">
        <v>2507</v>
      </c>
      <c r="AA122" s="137">
        <v>2.0</v>
      </c>
      <c r="AB122" s="139" t="s">
        <v>6381</v>
      </c>
      <c r="AC122" s="28" t="s">
        <v>6377</v>
      </c>
      <c r="AD122" s="27"/>
      <c r="AE122" s="28" t="s">
        <v>6379</v>
      </c>
      <c r="AF122" s="137" t="str">
        <f t="shared" si="5"/>
        <v>Nhiên</v>
      </c>
      <c r="AG122" s="35"/>
      <c r="AH122" s="137"/>
      <c r="AI122" s="137"/>
      <c r="AJ122" s="137"/>
      <c r="AK122" s="137"/>
      <c r="AL122" s="137"/>
      <c r="AM122" s="137"/>
      <c r="AN122" s="137"/>
      <c r="AO122" s="137"/>
      <c r="AP122" s="137"/>
      <c r="AQ122" s="137"/>
      <c r="AR122" s="137"/>
      <c r="AS122" s="137"/>
      <c r="AT122" s="137"/>
      <c r="AU122" s="137"/>
      <c r="AV122" s="137"/>
      <c r="AW122" s="137"/>
      <c r="AX122" s="137"/>
      <c r="AY122" s="137"/>
      <c r="AZ122" s="137"/>
      <c r="BA122" s="137"/>
    </row>
    <row r="123" ht="17.25" hidden="1" customHeight="1">
      <c r="A123" s="35" t="s">
        <v>3041</v>
      </c>
      <c r="B123" s="132">
        <v>38012.0</v>
      </c>
      <c r="C123" s="35" t="s">
        <v>3042</v>
      </c>
      <c r="D123" s="133" t="s">
        <v>3043</v>
      </c>
      <c r="E123" s="35" t="s">
        <v>62</v>
      </c>
      <c r="F123" s="35" t="s">
        <v>82</v>
      </c>
      <c r="G123" s="35" t="s">
        <v>3044</v>
      </c>
      <c r="H123" s="35" t="s">
        <v>3045</v>
      </c>
      <c r="I123" s="35" t="s">
        <v>85</v>
      </c>
      <c r="J123" s="35"/>
      <c r="K123" s="35" t="s">
        <v>3046</v>
      </c>
      <c r="L123" s="35" t="s">
        <v>399</v>
      </c>
      <c r="M123" s="134">
        <v>46188.0</v>
      </c>
      <c r="N123" s="133" t="s">
        <v>3047</v>
      </c>
      <c r="O123" s="135" t="str">
        <f>HYPERLINK("https://api.typeform.com/responses/files/273c273b00c812a4091f42be91af6f0142dd6489744f7dc08d6b656228adc72e/Transcript___AI_Engineer_Intern___Lê_Cường_Thịnh.pdf")</f>
        <v>https://api.typeform.com/responses/files/273c273b00c812a4091f42be91af6f0142dd6489744f7dc08d6b656228adc72e/Transcript___AI_Engineer_Intern___Lê_Cường_Thịnh.pdf</v>
      </c>
      <c r="P123" s="35" t="b">
        <v>1</v>
      </c>
      <c r="Q123" s="43" t="s">
        <v>3048</v>
      </c>
      <c r="R123" s="35" t="s">
        <v>3049</v>
      </c>
      <c r="S123" s="35" t="s">
        <v>72</v>
      </c>
      <c r="T123" s="35" t="s">
        <v>72</v>
      </c>
      <c r="U123" s="138" t="s">
        <v>2389</v>
      </c>
      <c r="V123" s="35"/>
      <c r="W123" s="35" t="s">
        <v>3050</v>
      </c>
      <c r="X123" s="135" t="str">
        <f>HYPERLINK("https://api.typeform.com/responses/files/e3872ca6ef993caba288de80450969ca16c2036bda9b1924da3a84b96154c64b/CV___AI_Engineer_Intern___Lê_Cường_Thịnh.pdf")</f>
        <v>https://api.typeform.com/responses/files/e3872ca6ef993caba288de80450969ca16c2036bda9b1924da3a84b96154c64b/CV___AI_Engineer_Intern___Lê_Cường_Thịnh.pdf</v>
      </c>
      <c r="Y123" s="136">
        <v>46139.73875</v>
      </c>
      <c r="Z123" s="35" t="s">
        <v>3051</v>
      </c>
      <c r="AA123" s="137">
        <v>2.0</v>
      </c>
      <c r="AB123" s="139" t="s">
        <v>6381</v>
      </c>
      <c r="AC123" s="28" t="s">
        <v>6376</v>
      </c>
      <c r="AD123" s="27"/>
      <c r="AE123" s="28"/>
      <c r="AF123" s="137" t="str">
        <f t="shared" si="5"/>
        <v/>
      </c>
      <c r="AG123" s="35"/>
      <c r="AH123" s="137"/>
      <c r="AI123" s="137"/>
      <c r="AJ123" s="137"/>
      <c r="AK123" s="137"/>
      <c r="AL123" s="137"/>
      <c r="AM123" s="137"/>
      <c r="AN123" s="137"/>
      <c r="AO123" s="137"/>
      <c r="AP123" s="137"/>
      <c r="AQ123" s="137"/>
      <c r="AR123" s="137"/>
      <c r="AS123" s="137"/>
      <c r="AT123" s="137"/>
      <c r="AU123" s="137"/>
      <c r="AV123" s="137"/>
      <c r="AW123" s="137"/>
      <c r="AX123" s="137"/>
      <c r="AY123" s="137"/>
      <c r="AZ123" s="137"/>
      <c r="BA123" s="137"/>
    </row>
    <row r="124" ht="17.25" hidden="1" customHeight="1">
      <c r="A124" s="35" t="s">
        <v>2516</v>
      </c>
      <c r="B124" s="132">
        <v>38660.0</v>
      </c>
      <c r="C124" s="35" t="s">
        <v>2517</v>
      </c>
      <c r="D124" s="133" t="s">
        <v>2518</v>
      </c>
      <c r="E124" s="35" t="s">
        <v>99</v>
      </c>
      <c r="F124" s="35" t="s">
        <v>127</v>
      </c>
      <c r="G124" s="35" t="s">
        <v>2519</v>
      </c>
      <c r="H124" s="35" t="s">
        <v>2520</v>
      </c>
      <c r="I124" s="35" t="s">
        <v>842</v>
      </c>
      <c r="J124" s="35"/>
      <c r="K124" s="35" t="s">
        <v>219</v>
      </c>
      <c r="L124" s="35" t="s">
        <v>2521</v>
      </c>
      <c r="M124" s="134">
        <v>46483.0</v>
      </c>
      <c r="N124" s="133" t="s">
        <v>2522</v>
      </c>
      <c r="O124" s="135" t="str">
        <f>HYPERLINK("https://api.typeform.com/responses/files/cc729938d88ad95adc4885f7926a25b2fae36e16d71ffccdb7c8de83d5e4aa50/Transcript___Game_Design_Intern___Trần_Thị_Thanh_Vi.pdf")</f>
        <v>https://api.typeform.com/responses/files/cc729938d88ad95adc4885f7926a25b2fae36e16d71ffccdb7c8de83d5e4aa50/Transcript___Game_Design_Intern___Trần_Thị_Thanh_Vi.pdf</v>
      </c>
      <c r="P124" s="35" t="b">
        <v>1</v>
      </c>
      <c r="Q124" s="43" t="s">
        <v>2523</v>
      </c>
      <c r="R124" s="35" t="s">
        <v>2524</v>
      </c>
      <c r="S124" s="35" t="s">
        <v>72</v>
      </c>
      <c r="T124" s="35" t="s">
        <v>72</v>
      </c>
      <c r="U124" s="35" t="s">
        <v>2525</v>
      </c>
      <c r="V124" s="35" t="s">
        <v>2526</v>
      </c>
      <c r="W124" s="35" t="s">
        <v>2527</v>
      </c>
      <c r="X124" s="135" t="str">
        <f>HYPERLINK("https://api.typeform.com/responses/files/bc310a4ade9a8a6e849d0947cdb06243ff3bdaa0d2fa87b4323196f46ccad487/CV___Game_Design_Intern___Trần_Thị_Thanh_Vi.pdf")</f>
        <v>https://api.typeform.com/responses/files/bc310a4ade9a8a6e849d0947cdb06243ff3bdaa0d2fa87b4323196f46ccad487/CV___Game_Design_Intern___Trần_Thị_Thanh_Vi.pdf</v>
      </c>
      <c r="Y124" s="136">
        <v>46138.5724537037</v>
      </c>
      <c r="Z124" s="35" t="s">
        <v>2528</v>
      </c>
      <c r="AA124" s="137">
        <v>2.0</v>
      </c>
      <c r="AB124" s="139" t="s">
        <v>6381</v>
      </c>
      <c r="AC124" s="28" t="s">
        <v>6377</v>
      </c>
      <c r="AD124" s="28"/>
      <c r="AE124" s="28" t="s">
        <v>6379</v>
      </c>
      <c r="AF124" s="137" t="str">
        <f t="shared" si="5"/>
        <v>Nhiên</v>
      </c>
      <c r="AG124" s="35"/>
      <c r="AH124" s="137"/>
      <c r="AI124" s="137"/>
      <c r="AJ124" s="137"/>
      <c r="AK124" s="137"/>
      <c r="AL124" s="137"/>
      <c r="AM124" s="137"/>
      <c r="AN124" s="137"/>
      <c r="AO124" s="137"/>
      <c r="AP124" s="137"/>
      <c r="AQ124" s="137"/>
      <c r="AR124" s="137"/>
      <c r="AS124" s="137"/>
      <c r="AT124" s="137"/>
      <c r="AU124" s="137"/>
      <c r="AV124" s="137"/>
      <c r="AW124" s="137"/>
      <c r="AX124" s="137"/>
      <c r="AY124" s="137"/>
      <c r="AZ124" s="137"/>
      <c r="BA124" s="137"/>
    </row>
    <row r="125" ht="17.25" hidden="1" customHeight="1">
      <c r="A125" s="35" t="s">
        <v>2529</v>
      </c>
      <c r="B125" s="132">
        <v>37213.0</v>
      </c>
      <c r="C125" s="35" t="s">
        <v>2530</v>
      </c>
      <c r="D125" s="133" t="s">
        <v>2531</v>
      </c>
      <c r="E125" s="35" t="s">
        <v>99</v>
      </c>
      <c r="F125" s="35" t="s">
        <v>61</v>
      </c>
      <c r="G125" s="35" t="s">
        <v>2532</v>
      </c>
      <c r="H125" s="35" t="s">
        <v>2533</v>
      </c>
      <c r="I125" s="35" t="s">
        <v>144</v>
      </c>
      <c r="J125" s="35"/>
      <c r="K125" s="35" t="s">
        <v>103</v>
      </c>
      <c r="L125" s="35" t="s">
        <v>2534</v>
      </c>
      <c r="M125" s="134">
        <v>46048.0</v>
      </c>
      <c r="N125" s="133" t="s">
        <v>1679</v>
      </c>
      <c r="O125" s="135" t="str">
        <f>HYPERLINK("https://api.typeform.com/responses/files/42fc6a2d0fe2617a190b4d0fdd47f4266192fad0c2b26d4adc0c046b82db9c28/Transcript___Game_Designer___Tran_Nhat_Duy.pdf")</f>
        <v>https://api.typeform.com/responses/files/42fc6a2d0fe2617a190b4d0fdd47f4266192fad0c2b26d4adc0c046b82db9c28/Transcript___Game_Designer___Tran_Nhat_Duy.pdf</v>
      </c>
      <c r="P125" s="35" t="b">
        <v>1</v>
      </c>
      <c r="Q125" s="43" t="s">
        <v>2535</v>
      </c>
      <c r="R125" s="35" t="s">
        <v>2536</v>
      </c>
      <c r="S125" s="35" t="s">
        <v>72</v>
      </c>
      <c r="T125" s="35" t="s">
        <v>72</v>
      </c>
      <c r="U125" s="35" t="s">
        <v>90</v>
      </c>
      <c r="V125" s="35"/>
      <c r="W125" s="35" t="s">
        <v>2537</v>
      </c>
      <c r="X125" s="135" t="str">
        <f>HYPERLINK("https://api.typeform.com/responses/files/a180a95d9d219b315c044159366e43b0cfd3fd6c2351bcab95201dd91b44e6b3/CV___Game_Designer__TranNhatDuy.pdf")</f>
        <v>https://api.typeform.com/responses/files/a180a95d9d219b315c044159366e43b0cfd3fd6c2351bcab95201dd91b44e6b3/CV___Game_Designer__TranNhatDuy.pdf</v>
      </c>
      <c r="Y125" s="136">
        <v>46138.655590277776</v>
      </c>
      <c r="Z125" s="35" t="s">
        <v>2538</v>
      </c>
      <c r="AA125" s="137">
        <v>2.0</v>
      </c>
      <c r="AB125" s="139" t="s">
        <v>6381</v>
      </c>
      <c r="AC125" s="28" t="s">
        <v>6377</v>
      </c>
      <c r="AD125" s="27"/>
      <c r="AE125" s="28" t="s">
        <v>6379</v>
      </c>
      <c r="AF125" s="137" t="str">
        <f t="shared" si="5"/>
        <v>Nhiên</v>
      </c>
      <c r="AG125" s="35"/>
      <c r="AH125" s="137"/>
      <c r="AI125" s="137"/>
      <c r="AJ125" s="137"/>
      <c r="AK125" s="137"/>
      <c r="AL125" s="137"/>
      <c r="AM125" s="137"/>
      <c r="AN125" s="137"/>
      <c r="AO125" s="137"/>
      <c r="AP125" s="137"/>
      <c r="AQ125" s="137"/>
      <c r="AR125" s="137"/>
      <c r="AS125" s="137"/>
      <c r="AT125" s="137"/>
      <c r="AU125" s="137"/>
      <c r="AV125" s="137"/>
      <c r="AW125" s="137"/>
      <c r="AX125" s="137"/>
      <c r="AY125" s="137"/>
      <c r="AZ125" s="137"/>
      <c r="BA125" s="137"/>
    </row>
    <row r="126" ht="17.25" hidden="1" customHeight="1">
      <c r="A126" s="35" t="s">
        <v>2539</v>
      </c>
      <c r="B126" s="132">
        <v>38951.0</v>
      </c>
      <c r="C126" s="35" t="s">
        <v>2540</v>
      </c>
      <c r="D126" s="133" t="s">
        <v>2541</v>
      </c>
      <c r="E126" s="35" t="s">
        <v>61</v>
      </c>
      <c r="F126" s="35" t="s">
        <v>99</v>
      </c>
      <c r="G126" s="35" t="s">
        <v>2542</v>
      </c>
      <c r="H126" s="35" t="s">
        <v>2543</v>
      </c>
      <c r="I126" s="35" t="s">
        <v>1069</v>
      </c>
      <c r="J126" s="35"/>
      <c r="K126" s="35" t="s">
        <v>169</v>
      </c>
      <c r="L126" s="35" t="s">
        <v>624</v>
      </c>
      <c r="M126" s="134">
        <v>47268.0</v>
      </c>
      <c r="N126" s="133" t="s">
        <v>2544</v>
      </c>
      <c r="O126" s="135" t="str">
        <f>HYPERLINK("https://api.typeform.com/responses/files/3875033f3d752ec437adb0257b1a41836878d649e511801629d55b21de707056/Unity_Development_Intern___Trương_Gia_Hào.pdf")</f>
        <v>https://api.typeform.com/responses/files/3875033f3d752ec437adb0257b1a41836878d649e511801629d55b21de707056/Unity_Development_Intern___Trương_Gia_Hào.pdf</v>
      </c>
      <c r="P126" s="35" t="b">
        <v>0</v>
      </c>
      <c r="Q126" s="43" t="s">
        <v>2545</v>
      </c>
      <c r="R126" s="35" t="s">
        <v>2545</v>
      </c>
      <c r="S126" s="35" t="s">
        <v>72</v>
      </c>
      <c r="T126" s="35" t="s">
        <v>72</v>
      </c>
      <c r="U126" s="35" t="s">
        <v>224</v>
      </c>
      <c r="V126" s="35"/>
      <c r="W126" s="35" t="s">
        <v>2546</v>
      </c>
      <c r="X126" s="135" t="str">
        <f>HYPERLINK("https://api.typeform.com/responses/files/17cf28b4d4a1a46fd0bc1a5b590712045838319e8192f1cfcb539e4016a69a56/Unity_Development_Intern___Trương_Gia_Hào.pdf")</f>
        <v>https://api.typeform.com/responses/files/17cf28b4d4a1a46fd0bc1a5b590712045838319e8192f1cfcb539e4016a69a56/Unity_Development_Intern___Trương_Gia_Hào.pdf</v>
      </c>
      <c r="Y126" s="136">
        <v>46138.661770833336</v>
      </c>
      <c r="Z126" s="35" t="s">
        <v>2547</v>
      </c>
      <c r="AA126" s="137">
        <v>2.0</v>
      </c>
      <c r="AB126" s="137" t="s">
        <v>93</v>
      </c>
      <c r="AC126" s="28" t="s">
        <v>6376</v>
      </c>
      <c r="AD126" s="27"/>
      <c r="AE126" s="28"/>
      <c r="AF126" s="137" t="str">
        <f t="shared" si="5"/>
        <v/>
      </c>
      <c r="AG126" s="35"/>
      <c r="AH126" s="137"/>
      <c r="AI126" s="137"/>
      <c r="AJ126" s="137"/>
      <c r="AK126" s="137"/>
      <c r="AL126" s="137"/>
      <c r="AM126" s="137"/>
      <c r="AN126" s="137"/>
      <c r="AO126" s="137"/>
      <c r="AP126" s="137"/>
      <c r="AQ126" s="137"/>
      <c r="AR126" s="137"/>
      <c r="AS126" s="137"/>
      <c r="AT126" s="137"/>
      <c r="AU126" s="137"/>
      <c r="AV126" s="137"/>
      <c r="AW126" s="137"/>
      <c r="AX126" s="137"/>
      <c r="AY126" s="137"/>
      <c r="AZ126" s="137"/>
      <c r="BA126" s="137"/>
    </row>
    <row r="127" ht="17.25" hidden="1" customHeight="1">
      <c r="A127" s="35" t="s">
        <v>2548</v>
      </c>
      <c r="B127" s="132">
        <v>38529.0</v>
      </c>
      <c r="C127" s="35" t="s">
        <v>2549</v>
      </c>
      <c r="D127" s="133" t="s">
        <v>2550</v>
      </c>
      <c r="E127" s="35" t="s">
        <v>61</v>
      </c>
      <c r="F127" s="35"/>
      <c r="G127" s="35" t="s">
        <v>2551</v>
      </c>
      <c r="H127" s="35" t="s">
        <v>2552</v>
      </c>
      <c r="I127" s="35" t="s">
        <v>144</v>
      </c>
      <c r="J127" s="35"/>
      <c r="K127" s="35" t="s">
        <v>103</v>
      </c>
      <c r="L127" s="35" t="s">
        <v>2063</v>
      </c>
      <c r="M127" s="134">
        <v>45896.0</v>
      </c>
      <c r="N127" s="133" t="s">
        <v>2553</v>
      </c>
      <c r="O127" s="135" t="str">
        <f>HYPERLINK("https://api.typeform.com/responses/files/07f3273d694c19a4e1692c975568631d0d6031e55d305449a388928d6e8a0d00/Bảng_điểm__FPT_Polytechnic.pdf")</f>
        <v>https://api.typeform.com/responses/files/07f3273d694c19a4e1692c975568631d0d6031e55d305449a388928d6e8a0d00/Bảng_điểm__FPT_Polytechnic.pdf</v>
      </c>
      <c r="P127" s="35" t="b">
        <v>1</v>
      </c>
      <c r="Q127" s="43" t="s">
        <v>2554</v>
      </c>
      <c r="R127" s="35" t="s">
        <v>2555</v>
      </c>
      <c r="S127" s="35" t="s">
        <v>72</v>
      </c>
      <c r="T127" s="35" t="s">
        <v>72</v>
      </c>
      <c r="U127" s="35" t="s">
        <v>2556</v>
      </c>
      <c r="V127" s="35"/>
      <c r="W127" s="35" t="s">
        <v>2557</v>
      </c>
      <c r="X127" s="135" t="str">
        <f>HYPERLINK("https://api.typeform.com/responses/files/51894bcece1f450ece2454ea0b57e60d1fe2be1a451044eb27fadd96ef6883d3/CV___Unity_Developer_Intern___Võ_Văn_Giang.pdf")</f>
        <v>https://api.typeform.com/responses/files/51894bcece1f450ece2454ea0b57e60d1fe2be1a451044eb27fadd96ef6883d3/CV___Unity_Developer_Intern___Võ_Văn_Giang.pdf</v>
      </c>
      <c r="Y127" s="136">
        <v>46138.70479166666</v>
      </c>
      <c r="Z127" s="35" t="s">
        <v>2558</v>
      </c>
      <c r="AA127" s="137">
        <v>2.0</v>
      </c>
      <c r="AB127" s="137" t="s">
        <v>93</v>
      </c>
      <c r="AC127" s="28" t="s">
        <v>6376</v>
      </c>
      <c r="AD127" s="27"/>
      <c r="AE127" s="28"/>
      <c r="AF127" s="137" t="str">
        <f t="shared" si="5"/>
        <v/>
      </c>
      <c r="AG127" s="35"/>
      <c r="AH127" s="137"/>
      <c r="AI127" s="137"/>
      <c r="AJ127" s="137"/>
      <c r="AK127" s="137"/>
      <c r="AL127" s="137"/>
      <c r="AM127" s="137"/>
      <c r="AN127" s="137"/>
      <c r="AO127" s="137"/>
      <c r="AP127" s="137"/>
      <c r="AQ127" s="137"/>
      <c r="AR127" s="137"/>
      <c r="AS127" s="137"/>
      <c r="AT127" s="137"/>
      <c r="AU127" s="137"/>
      <c r="AV127" s="137"/>
      <c r="AW127" s="137"/>
      <c r="AX127" s="137"/>
      <c r="AY127" s="137"/>
      <c r="AZ127" s="137"/>
      <c r="BA127" s="137"/>
    </row>
    <row r="128" ht="17.25" hidden="1" customHeight="1">
      <c r="A128" s="35" t="s">
        <v>2559</v>
      </c>
      <c r="B128" s="132">
        <v>38475.0</v>
      </c>
      <c r="C128" s="35" t="s">
        <v>2560</v>
      </c>
      <c r="D128" s="133" t="s">
        <v>2561</v>
      </c>
      <c r="E128" s="35" t="s">
        <v>61</v>
      </c>
      <c r="F128" s="35" t="s">
        <v>99</v>
      </c>
      <c r="G128" s="35" t="s">
        <v>2562</v>
      </c>
      <c r="H128" s="35" t="s">
        <v>2563</v>
      </c>
      <c r="I128" s="35" t="s">
        <v>715</v>
      </c>
      <c r="J128" s="35"/>
      <c r="K128" s="35" t="s">
        <v>219</v>
      </c>
      <c r="L128" s="35" t="s">
        <v>930</v>
      </c>
      <c r="M128" s="134">
        <v>46661.0</v>
      </c>
      <c r="N128" s="133" t="s">
        <v>1357</v>
      </c>
      <c r="O128" s="135" t="str">
        <f>HYPERLINK("https://api.typeform.com/responses/files/613e5bacacea9ff25fb519b06c33dac6fa6dd23d576076efe83df6cb1139417d/Transcript___Unity_Developer_Intern___Phạm_Tấn_Đạt.pdf")</f>
        <v>https://api.typeform.com/responses/files/613e5bacacea9ff25fb519b06c33dac6fa6dd23d576076efe83df6cb1139417d/Transcript___Unity_Developer_Intern___Phạm_Tấn_Đạt.pdf</v>
      </c>
      <c r="P128" s="35" t="b">
        <v>1</v>
      </c>
      <c r="Q128" s="43" t="s">
        <v>2564</v>
      </c>
      <c r="R128" s="35" t="s">
        <v>2565</v>
      </c>
      <c r="S128" s="35" t="s">
        <v>72</v>
      </c>
      <c r="T128" s="35" t="s">
        <v>72</v>
      </c>
      <c r="U128" s="35" t="s">
        <v>2566</v>
      </c>
      <c r="V128" s="35"/>
      <c r="W128" s="35" t="s">
        <v>2567</v>
      </c>
      <c r="X128" s="135" t="str">
        <f>HYPERLINK("https://api.typeform.com/responses/files/247682e65c80f841d60386bc3b26f8dc5f179f06caa432a0ff2ab39cc6ba7b7a/CV___Unity_Developer_Intern___Phạm_Tấn_Đạt.pdf")</f>
        <v>https://api.typeform.com/responses/files/247682e65c80f841d60386bc3b26f8dc5f179f06caa432a0ff2ab39cc6ba7b7a/CV___Unity_Developer_Intern___Phạm_Tấn_Đạt.pdf</v>
      </c>
      <c r="Y128" s="136">
        <v>46138.75771990741</v>
      </c>
      <c r="Z128" s="35" t="s">
        <v>2568</v>
      </c>
      <c r="AA128" s="137">
        <v>2.0</v>
      </c>
      <c r="AB128" s="137" t="s">
        <v>93</v>
      </c>
      <c r="AC128" s="28" t="s">
        <v>6377</v>
      </c>
      <c r="AD128" s="27"/>
      <c r="AE128" s="28" t="s">
        <v>6403</v>
      </c>
      <c r="AF128" s="137" t="str">
        <f t="shared" si="5"/>
        <v>Quỳnh</v>
      </c>
      <c r="AG128" s="35"/>
      <c r="AH128" s="137"/>
      <c r="AI128" s="137"/>
      <c r="AJ128" s="137"/>
      <c r="AK128" s="137"/>
      <c r="AL128" s="137"/>
      <c r="AM128" s="137"/>
      <c r="AN128" s="137"/>
      <c r="AO128" s="137"/>
      <c r="AP128" s="137"/>
      <c r="AQ128" s="137"/>
      <c r="AR128" s="137"/>
      <c r="AS128" s="137"/>
      <c r="AT128" s="137"/>
      <c r="AU128" s="137"/>
      <c r="AV128" s="137"/>
      <c r="AW128" s="137"/>
      <c r="AX128" s="137"/>
      <c r="AY128" s="137"/>
      <c r="AZ128" s="137"/>
      <c r="BA128" s="137"/>
    </row>
    <row r="129" ht="17.25" hidden="1" customHeight="1">
      <c r="A129" s="35" t="s">
        <v>3032</v>
      </c>
      <c r="B129" s="132">
        <v>38012.0</v>
      </c>
      <c r="C129" s="35" t="s">
        <v>3033</v>
      </c>
      <c r="D129" s="133" t="s">
        <v>3034</v>
      </c>
      <c r="E129" s="35" t="s">
        <v>62</v>
      </c>
      <c r="F129" s="35" t="s">
        <v>82</v>
      </c>
      <c r="G129" s="35" t="s">
        <v>3035</v>
      </c>
      <c r="H129" s="35" t="s">
        <v>3036</v>
      </c>
      <c r="I129" s="35" t="s">
        <v>85</v>
      </c>
      <c r="J129" s="35"/>
      <c r="K129" s="35" t="s">
        <v>103</v>
      </c>
      <c r="L129" s="35" t="s">
        <v>399</v>
      </c>
      <c r="M129" s="134">
        <v>46112.0</v>
      </c>
      <c r="N129" s="133" t="s">
        <v>1132</v>
      </c>
      <c r="O129" s="135" t="str">
        <f>HYPERLINK("https://api.typeform.com/responses/files/dfd396722b57e88e01526c43f40556b4693846b38e6ed81507b47deb27ee4a2e/Transcript___AI_Engineer_Intern___Đỗ_Văn_Đạt.pdf")</f>
        <v>https://api.typeform.com/responses/files/dfd396722b57e88e01526c43f40556b4693846b38e6ed81507b47deb27ee4a2e/Transcript___AI_Engineer_Intern___Đỗ_Văn_Đạt.pdf</v>
      </c>
      <c r="P129" s="35" t="b">
        <v>1</v>
      </c>
      <c r="Q129" s="43" t="s">
        <v>3037</v>
      </c>
      <c r="R129" s="35" t="s">
        <v>3038</v>
      </c>
      <c r="S129" s="35" t="s">
        <v>72</v>
      </c>
      <c r="T129" s="35" t="s">
        <v>72</v>
      </c>
      <c r="U129" s="138" t="s">
        <v>236</v>
      </c>
      <c r="V129" s="35"/>
      <c r="W129" s="35" t="s">
        <v>3039</v>
      </c>
      <c r="X129" s="135" t="str">
        <f>HYPERLINK("https://api.typeform.com/responses/files/082b3dc6e764006e704a720707998ba7fc60690b0e87d0bbdc53ced84dd431ee/Do_Van_Dat_AI_Intern.pdf")</f>
        <v>https://api.typeform.com/responses/files/082b3dc6e764006e704a720707998ba7fc60690b0e87d0bbdc53ced84dd431ee/Do_Van_Dat_AI_Intern.pdf</v>
      </c>
      <c r="Y129" s="136">
        <v>46139.70039351852</v>
      </c>
      <c r="Z129" s="35" t="s">
        <v>3040</v>
      </c>
      <c r="AA129" s="137">
        <v>2.0</v>
      </c>
      <c r="AB129" s="139" t="s">
        <v>6381</v>
      </c>
      <c r="AC129" s="28" t="s">
        <v>6377</v>
      </c>
      <c r="AD129" s="27"/>
      <c r="AE129" s="28" t="s">
        <v>6379</v>
      </c>
      <c r="AF129" s="137" t="str">
        <f t="shared" si="5"/>
        <v>Quỳnh</v>
      </c>
      <c r="AG129" s="35"/>
      <c r="AH129" s="137"/>
      <c r="AI129" s="137"/>
      <c r="AJ129" s="137"/>
      <c r="AK129" s="137"/>
      <c r="AL129" s="137"/>
      <c r="AM129" s="137"/>
      <c r="AN129" s="137"/>
      <c r="AO129" s="137"/>
      <c r="AP129" s="137"/>
      <c r="AQ129" s="137"/>
      <c r="AR129" s="137"/>
      <c r="AS129" s="137"/>
      <c r="AT129" s="137"/>
      <c r="AU129" s="137"/>
      <c r="AV129" s="137"/>
      <c r="AW129" s="137"/>
      <c r="AX129" s="137"/>
      <c r="AY129" s="137"/>
      <c r="AZ129" s="137"/>
      <c r="BA129" s="137"/>
    </row>
    <row r="130" ht="17.25" hidden="1" customHeight="1">
      <c r="A130" s="35" t="s">
        <v>1878</v>
      </c>
      <c r="B130" s="132">
        <v>38635.0</v>
      </c>
      <c r="C130" s="35" t="s">
        <v>1879</v>
      </c>
      <c r="D130" s="133" t="s">
        <v>1880</v>
      </c>
      <c r="E130" s="35" t="s">
        <v>82</v>
      </c>
      <c r="F130" s="35"/>
      <c r="G130" s="35" t="s">
        <v>1881</v>
      </c>
      <c r="H130" s="35" t="s">
        <v>1882</v>
      </c>
      <c r="I130" s="35" t="s">
        <v>85</v>
      </c>
      <c r="J130" s="35"/>
      <c r="K130" s="35" t="s">
        <v>219</v>
      </c>
      <c r="L130" s="35" t="s">
        <v>384</v>
      </c>
      <c r="M130" s="134">
        <v>46563.0</v>
      </c>
      <c r="N130" s="133" t="s">
        <v>309</v>
      </c>
      <c r="O130" s="135" t="str">
        <f>HYPERLINK("https://api.typeform.com/responses/files/6d2f3cdf5f36f37e94a83aa28aea6a725e33a193435370001285514bbc6de487/Transcript___Data_Analysis_Intern___Nguyễn_Vũ_Thuỳ_Trâm.pdf")</f>
        <v>https://api.typeform.com/responses/files/6d2f3cdf5f36f37e94a83aa28aea6a725e33a193435370001285514bbc6de487/Transcript___Data_Analysis_Intern___Nguyễn_Vũ_Thuỳ_Trâm.pdf</v>
      </c>
      <c r="P130" s="35" t="b">
        <v>0</v>
      </c>
      <c r="Q130" s="43" t="s">
        <v>1883</v>
      </c>
      <c r="R130" s="35" t="s">
        <v>1884</v>
      </c>
      <c r="S130" s="35" t="s">
        <v>72</v>
      </c>
      <c r="T130" s="35" t="s">
        <v>72</v>
      </c>
      <c r="U130" s="35" t="s">
        <v>73</v>
      </c>
      <c r="V130" s="35"/>
      <c r="W130" s="35" t="s">
        <v>1885</v>
      </c>
      <c r="X130" s="135" t="str">
        <f>HYPERLINK("https://api.typeform.com/responses/files/87c29df6cdae6296199a6d2870f23bd1a2b24c9c6412e5003bb43dc37400bd12/CV___Data_Analysis_Intern___Nguyễn_Vũ_Thuỳ_Trâm.pdf")</f>
        <v>https://api.typeform.com/responses/files/87c29df6cdae6296199a6d2870f23bd1a2b24c9c6412e5003bb43dc37400bd12/CV___Data_Analysis_Intern___Nguyễn_Vũ_Thuỳ_Trâm.pdf</v>
      </c>
      <c r="Y130" s="136">
        <v>46136.333865740744</v>
      </c>
      <c r="Z130" s="35" t="s">
        <v>1886</v>
      </c>
      <c r="AA130" s="137">
        <v>2.0</v>
      </c>
      <c r="AB130" s="137" t="s">
        <v>93</v>
      </c>
      <c r="AC130" s="28" t="s">
        <v>6377</v>
      </c>
      <c r="AD130" s="27"/>
      <c r="AE130" s="28" t="s">
        <v>6403</v>
      </c>
      <c r="AF130" s="137" t="str">
        <f t="shared" si="5"/>
        <v>Quỳnh</v>
      </c>
      <c r="AG130" s="35"/>
      <c r="AH130" s="137"/>
      <c r="AI130" s="137"/>
      <c r="AJ130" s="137"/>
      <c r="AK130" s="137"/>
      <c r="AL130" s="137"/>
      <c r="AM130" s="137"/>
      <c r="AN130" s="137"/>
      <c r="AO130" s="137"/>
      <c r="AP130" s="137"/>
      <c r="AQ130" s="137"/>
      <c r="AR130" s="137"/>
      <c r="AS130" s="137"/>
      <c r="AT130" s="137"/>
      <c r="AU130" s="137"/>
      <c r="AV130" s="137"/>
      <c r="AW130" s="137"/>
      <c r="AX130" s="137"/>
      <c r="AY130" s="137"/>
      <c r="AZ130" s="137"/>
      <c r="BA130" s="137"/>
    </row>
    <row r="131" ht="17.25" hidden="1" customHeight="1">
      <c r="A131" s="35" t="s">
        <v>2030</v>
      </c>
      <c r="B131" s="132">
        <v>38029.0</v>
      </c>
      <c r="C131" s="35" t="s">
        <v>2031</v>
      </c>
      <c r="D131" s="133" t="s">
        <v>2032</v>
      </c>
      <c r="E131" s="35" t="s">
        <v>62</v>
      </c>
      <c r="F131" s="35" t="s">
        <v>82</v>
      </c>
      <c r="G131" s="35" t="s">
        <v>2033</v>
      </c>
      <c r="H131" s="35" t="s">
        <v>2034</v>
      </c>
      <c r="I131" s="35" t="s">
        <v>715</v>
      </c>
      <c r="J131" s="35"/>
      <c r="K131" s="35" t="s">
        <v>67</v>
      </c>
      <c r="L131" s="35" t="s">
        <v>399</v>
      </c>
      <c r="M131" s="134">
        <v>46327.0</v>
      </c>
      <c r="N131" s="133" t="s">
        <v>1679</v>
      </c>
      <c r="O131" s="135" t="str">
        <f>HYPERLINK("https://api.typeform.com/responses/files/4df8f9099109a6103344d17595a31d666539ae1fddf6ce8ae07c8163cc7e1408/Transcript___AI_Engineering_Intern___Huỳnh_Quốc_Huy.pdf")</f>
        <v>https://api.typeform.com/responses/files/4df8f9099109a6103344d17595a31d666539ae1fddf6ce8ae07c8163cc7e1408/Transcript___AI_Engineering_Intern___Huỳnh_Quốc_Huy.pdf</v>
      </c>
      <c r="P131" s="35" t="b">
        <v>1</v>
      </c>
      <c r="Q131" s="43" t="s">
        <v>2035</v>
      </c>
      <c r="R131" s="35" t="s">
        <v>2036</v>
      </c>
      <c r="S131" s="35" t="s">
        <v>72</v>
      </c>
      <c r="T131" s="35" t="s">
        <v>72</v>
      </c>
      <c r="U131" s="138" t="s">
        <v>2037</v>
      </c>
      <c r="V131" s="35"/>
      <c r="W131" s="35" t="s">
        <v>2038</v>
      </c>
      <c r="X131" s="135" t="str">
        <f>HYPERLINK("https://api.typeform.com/responses/files/fa4da333baa7a7326548cba5f18314a77aabef364a7a039f9475e0ee9914cf44/CV___AI_Engineering_Intern___Huỳnh_Quốc_Huy.pdf")</f>
        <v>https://api.typeform.com/responses/files/fa4da333baa7a7326548cba5f18314a77aabef364a7a039f9475e0ee9914cf44/CV___AI_Engineering_Intern___Huỳnh_Quốc_Huy.pdf</v>
      </c>
      <c r="Y131" s="136">
        <v>46136.54528935185</v>
      </c>
      <c r="Z131" s="35" t="s">
        <v>2039</v>
      </c>
      <c r="AA131" s="137">
        <v>2.0</v>
      </c>
      <c r="AB131" s="139" t="s">
        <v>6381</v>
      </c>
      <c r="AC131" s="28" t="s">
        <v>6376</v>
      </c>
      <c r="AD131" s="28" t="s">
        <v>6410</v>
      </c>
      <c r="AE131" s="28"/>
      <c r="AF131" s="137" t="str">
        <f t="shared" si="5"/>
        <v/>
      </c>
      <c r="AG131" s="35"/>
      <c r="AH131" s="137"/>
      <c r="AI131" s="137"/>
      <c r="AJ131" s="137"/>
      <c r="AK131" s="137"/>
      <c r="AL131" s="137"/>
      <c r="AM131" s="137"/>
      <c r="AN131" s="137"/>
      <c r="AO131" s="137"/>
      <c r="AP131" s="137"/>
      <c r="AQ131" s="137"/>
      <c r="AR131" s="137"/>
      <c r="AS131" s="137"/>
      <c r="AT131" s="137"/>
      <c r="AU131" s="137"/>
      <c r="AV131" s="137"/>
      <c r="AW131" s="137"/>
      <c r="AX131" s="137"/>
      <c r="AY131" s="137"/>
      <c r="AZ131" s="137"/>
      <c r="BA131" s="137"/>
    </row>
    <row r="132" ht="17.25" hidden="1" customHeight="1">
      <c r="A132" s="140" t="s">
        <v>2803</v>
      </c>
      <c r="B132" s="141">
        <v>38269.0</v>
      </c>
      <c r="C132" s="140" t="s">
        <v>2804</v>
      </c>
      <c r="D132" s="142" t="s">
        <v>2805</v>
      </c>
      <c r="E132" s="140" t="s">
        <v>62</v>
      </c>
      <c r="F132" s="140" t="s">
        <v>82</v>
      </c>
      <c r="G132" s="140" t="s">
        <v>2806</v>
      </c>
      <c r="H132" s="140" t="s">
        <v>2807</v>
      </c>
      <c r="I132" s="140" t="s">
        <v>144</v>
      </c>
      <c r="J132" s="140"/>
      <c r="K132" s="140" t="s">
        <v>103</v>
      </c>
      <c r="L132" s="140" t="s">
        <v>2808</v>
      </c>
      <c r="M132" s="143">
        <v>46068.0</v>
      </c>
      <c r="N132" s="142" t="s">
        <v>1679</v>
      </c>
      <c r="O132" s="144" t="str">
        <f>HYPERLINK("https://api.typeform.com/responses/files/09709a2e2a1dd621fb7420f69e4d5f787c62086bbf341df44ad45747ec955fd5/Transcript___AI_Engineering_Intern___Nguyen_Thanh_Danh.pdf")</f>
        <v>https://api.typeform.com/responses/files/09709a2e2a1dd621fb7420f69e4d5f787c62086bbf341df44ad45747ec955fd5/Transcript___AI_Engineering_Intern___Nguyen_Thanh_Danh.pdf</v>
      </c>
      <c r="P132" s="140" t="b">
        <v>0</v>
      </c>
      <c r="Q132" s="161" t="s">
        <v>375</v>
      </c>
      <c r="R132" s="140" t="s">
        <v>2809</v>
      </c>
      <c r="S132" s="140" t="s">
        <v>72</v>
      </c>
      <c r="T132" s="140" t="s">
        <v>72</v>
      </c>
      <c r="U132" s="140" t="s">
        <v>224</v>
      </c>
      <c r="V132" s="140"/>
      <c r="W132" s="140" t="s">
        <v>2810</v>
      </c>
      <c r="X132" s="144" t="str">
        <f>HYPERLINK("https://api.typeform.com/responses/files/81f9cf58adb7e2fd987f6a96478e28279c5994b700ac30053702497fdec07b47/NguyenThanhDanh_AIIntern_SUN.pdf")</f>
        <v>https://api.typeform.com/responses/files/81f9cf58adb7e2fd987f6a96478e28279c5994b700ac30053702497fdec07b47/NguyenThanhDanh_AIIntern_SUN.pdf</v>
      </c>
      <c r="Y132" s="145">
        <v>46139.404699074075</v>
      </c>
      <c r="Z132" s="140" t="s">
        <v>2811</v>
      </c>
      <c r="AA132" s="146">
        <v>2.0</v>
      </c>
      <c r="AB132" s="147" t="s">
        <v>6381</v>
      </c>
      <c r="AC132" s="70" t="s">
        <v>6376</v>
      </c>
      <c r="AD132" s="148"/>
      <c r="AE132" s="70"/>
      <c r="AF132" s="146" t="str">
        <f t="shared" si="5"/>
        <v/>
      </c>
      <c r="AG132" s="35"/>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row>
    <row r="133" ht="17.25" hidden="1" customHeight="1">
      <c r="A133" s="35" t="s">
        <v>2607</v>
      </c>
      <c r="B133" s="132">
        <v>37943.0</v>
      </c>
      <c r="C133" s="35" t="s">
        <v>2608</v>
      </c>
      <c r="D133" s="133" t="s">
        <v>2609</v>
      </c>
      <c r="E133" s="35" t="s">
        <v>61</v>
      </c>
      <c r="F133" s="35" t="s">
        <v>127</v>
      </c>
      <c r="G133" s="35" t="s">
        <v>2610</v>
      </c>
      <c r="H133" s="35" t="s">
        <v>2611</v>
      </c>
      <c r="I133" s="35" t="s">
        <v>85</v>
      </c>
      <c r="J133" s="35"/>
      <c r="K133" s="35" t="s">
        <v>103</v>
      </c>
      <c r="L133" s="35" t="s">
        <v>2612</v>
      </c>
      <c r="M133" s="134">
        <v>45989.0</v>
      </c>
      <c r="N133" s="133" t="s">
        <v>2613</v>
      </c>
      <c r="O133" s="135" t="str">
        <f>HYPERLINK("https://api.typeform.com/responses/files/a84b9139751bf135320ce85ced6ebac08645437c5abe0b141b5fe7b3c2d97677/Transcript___Unity_Developent_Intern___NguyenXuanDangTrinh.html")</f>
        <v>https://api.typeform.com/responses/files/a84b9139751bf135320ce85ced6ebac08645437c5abe0b141b5fe7b3c2d97677/Transcript___Unity_Developent_Intern___NguyenXuanDangTrinh.html</v>
      </c>
      <c r="P133" s="35" t="b">
        <v>1</v>
      </c>
      <c r="Q133" s="43" t="s">
        <v>2614</v>
      </c>
      <c r="R133" s="35" t="s">
        <v>2615</v>
      </c>
      <c r="S133" s="35" t="s">
        <v>72</v>
      </c>
      <c r="T133" s="35" t="s">
        <v>72</v>
      </c>
      <c r="U133" s="35" t="s">
        <v>2616</v>
      </c>
      <c r="V133" s="35"/>
      <c r="W133" s="35" t="s">
        <v>2617</v>
      </c>
      <c r="X133" s="135" t="str">
        <f>HYPERLINK("https://api.typeform.com/responses/files/04be3b5c43c476b956fb8172b0154a0d410b29abffb086509567491a7f5c5104/CV___Unity_Development_Intern___NguyenXuanDangTrinh.pdf")</f>
        <v>https://api.typeform.com/responses/files/04be3b5c43c476b956fb8172b0154a0d410b29abffb086509567491a7f5c5104/CV___Unity_Development_Intern___NguyenXuanDangTrinh.pdf</v>
      </c>
      <c r="Y133" s="136">
        <v>46139.15127314815</v>
      </c>
      <c r="Z133" s="35" t="s">
        <v>2618</v>
      </c>
      <c r="AA133" s="137">
        <v>2.0</v>
      </c>
      <c r="AB133" s="137" t="s">
        <v>93</v>
      </c>
      <c r="AC133" s="28" t="s">
        <v>6388</v>
      </c>
      <c r="AD133" s="28" t="s">
        <v>6513</v>
      </c>
      <c r="AE133" s="28" t="s">
        <v>6376</v>
      </c>
      <c r="AF133" s="137" t="str">
        <f t="shared" si="5"/>
        <v>Quỳnh</v>
      </c>
      <c r="AG133" s="35"/>
      <c r="AH133" s="137"/>
      <c r="AI133" s="137"/>
      <c r="AJ133" s="137"/>
      <c r="AK133" s="137"/>
      <c r="AL133" s="137"/>
      <c r="AM133" s="137"/>
      <c r="AN133" s="137"/>
      <c r="AO133" s="137"/>
      <c r="AP133" s="137"/>
      <c r="AQ133" s="137"/>
      <c r="AR133" s="137"/>
      <c r="AS133" s="137"/>
      <c r="AT133" s="137"/>
      <c r="AU133" s="137"/>
      <c r="AV133" s="137"/>
      <c r="AW133" s="137"/>
      <c r="AX133" s="137"/>
      <c r="AY133" s="137"/>
      <c r="AZ133" s="137"/>
      <c r="BA133" s="137"/>
    </row>
    <row r="134" ht="17.25" hidden="1" customHeight="1">
      <c r="A134" s="35" t="s">
        <v>1324</v>
      </c>
      <c r="B134" s="132">
        <v>38960.0</v>
      </c>
      <c r="C134" s="35" t="s">
        <v>1325</v>
      </c>
      <c r="D134" s="133" t="s">
        <v>1326</v>
      </c>
      <c r="E134" s="35" t="s">
        <v>61</v>
      </c>
      <c r="F134" s="35" t="s">
        <v>99</v>
      </c>
      <c r="G134" s="35" t="s">
        <v>2619</v>
      </c>
      <c r="H134" s="35" t="s">
        <v>2620</v>
      </c>
      <c r="I134" s="35" t="s">
        <v>144</v>
      </c>
      <c r="J134" s="35"/>
      <c r="K134" s="35" t="s">
        <v>2621</v>
      </c>
      <c r="L134" s="35" t="s">
        <v>170</v>
      </c>
      <c r="M134" s="134">
        <v>46265.0</v>
      </c>
      <c r="N134" s="133" t="s">
        <v>159</v>
      </c>
      <c r="O134" s="135" t="str">
        <f>HYPERLINK("https://api.typeform.com/responses/files/8e10a01856cfd053bfcb5ecd4c216e5ddc23b5cd033cde6f70e33d7a349f2276/Transcript_Unity_Developer_Intern_Ngô_Gia_Thịnh.pdf")</f>
        <v>https://api.typeform.com/responses/files/8e10a01856cfd053bfcb5ecd4c216e5ddc23b5cd033cde6f70e33d7a349f2276/Transcript_Unity_Developer_Intern_Ngô_Gia_Thịnh.pdf</v>
      </c>
      <c r="P134" s="35" t="b">
        <v>1</v>
      </c>
      <c r="Q134" s="43" t="s">
        <v>2622</v>
      </c>
      <c r="R134" s="35" t="s">
        <v>2623</v>
      </c>
      <c r="S134" s="35" t="s">
        <v>72</v>
      </c>
      <c r="T134" s="35" t="s">
        <v>72</v>
      </c>
      <c r="U134" s="35" t="s">
        <v>2624</v>
      </c>
      <c r="V134" s="35" t="s">
        <v>2625</v>
      </c>
      <c r="W134" s="35" t="s">
        <v>2626</v>
      </c>
      <c r="X134" s="135" t="str">
        <f>HYPERLINK("https://api.typeform.com/responses/files/0462e6e49f1e3b7e21ab1fd59bcf2d2212481abf2b02b0a2882b8751c2dfc04d/CV__Unity_Developer_Intern_Ngô_Gia_Thịnh.docx")</f>
        <v>https://api.typeform.com/responses/files/0462e6e49f1e3b7e21ab1fd59bcf2d2212481abf2b02b0a2882b8751c2dfc04d/CV__Unity_Developer_Intern_Ngô_Gia_Thịnh.docx</v>
      </c>
      <c r="Y134" s="136">
        <v>46139.17184027778</v>
      </c>
      <c r="Z134" s="35" t="s">
        <v>2627</v>
      </c>
      <c r="AA134" s="137">
        <v>2.0</v>
      </c>
      <c r="AB134" s="137" t="s">
        <v>93</v>
      </c>
      <c r="AC134" s="28" t="s">
        <v>6376</v>
      </c>
      <c r="AD134" s="27"/>
      <c r="AE134" s="28"/>
      <c r="AF134" s="137" t="str">
        <f t="shared" si="5"/>
        <v/>
      </c>
      <c r="AG134" s="35"/>
      <c r="AH134" s="137"/>
      <c r="AI134" s="137"/>
      <c r="AJ134" s="137"/>
      <c r="AK134" s="137"/>
      <c r="AL134" s="137"/>
      <c r="AM134" s="137"/>
      <c r="AN134" s="137"/>
      <c r="AO134" s="137"/>
      <c r="AP134" s="137"/>
      <c r="AQ134" s="137"/>
      <c r="AR134" s="137"/>
      <c r="AS134" s="137"/>
      <c r="AT134" s="137"/>
      <c r="AU134" s="137"/>
      <c r="AV134" s="137"/>
      <c r="AW134" s="137"/>
      <c r="AX134" s="137"/>
      <c r="AY134" s="137"/>
      <c r="AZ134" s="137"/>
      <c r="BA134" s="137"/>
    </row>
    <row r="135" ht="17.25" hidden="1" customHeight="1">
      <c r="A135" s="35" t="s">
        <v>2628</v>
      </c>
      <c r="B135" s="132">
        <v>38325.0</v>
      </c>
      <c r="C135" s="35" t="s">
        <v>2629</v>
      </c>
      <c r="D135" s="133" t="s">
        <v>2630</v>
      </c>
      <c r="E135" s="35" t="s">
        <v>61</v>
      </c>
      <c r="F135" s="35" t="s">
        <v>61</v>
      </c>
      <c r="G135" s="35" t="s">
        <v>2631</v>
      </c>
      <c r="H135" s="35" t="s">
        <v>2632</v>
      </c>
      <c r="I135" s="35" t="s">
        <v>326</v>
      </c>
      <c r="J135" s="35"/>
      <c r="K135" s="35" t="s">
        <v>67</v>
      </c>
      <c r="L135" s="35" t="s">
        <v>2633</v>
      </c>
      <c r="M135" s="134">
        <v>46146.0</v>
      </c>
      <c r="N135" s="133" t="s">
        <v>374</v>
      </c>
      <c r="O135" s="135" t="str">
        <f>HYPERLINK("https://api.typeform.com/responses/files/0f7c826bee059d0a24833e75a565a373a0fe9227704b70c3e18aab591f98e866/Transcript___Unity_Development_Intern___Mai_Xuân_Thường.xlsx")</f>
        <v>https://api.typeform.com/responses/files/0f7c826bee059d0a24833e75a565a373a0fe9227704b70c3e18aab591f98e866/Transcript___Unity_Development_Intern___Mai_Xuân_Thường.xlsx</v>
      </c>
      <c r="P135" s="35" t="b">
        <v>1</v>
      </c>
      <c r="Q135" s="43" t="s">
        <v>2634</v>
      </c>
      <c r="R135" s="35" t="s">
        <v>2635</v>
      </c>
      <c r="S135" s="35" t="s">
        <v>72</v>
      </c>
      <c r="T135" s="35" t="s">
        <v>72</v>
      </c>
      <c r="U135" s="35" t="s">
        <v>90</v>
      </c>
      <c r="V135" s="35"/>
      <c r="W135" s="35" t="s">
        <v>2636</v>
      </c>
      <c r="X135" s="135" t="str">
        <f>HYPERLINK("https://api.typeform.com/responses/files/c4daa3a4149d81004712def39cd1bcebba5ecc93beba62bcab0b0fa5624b34db/CV___Unity_Development_Intern___Mai_Xuân_Thường.pdf")</f>
        <v>https://api.typeform.com/responses/files/c4daa3a4149d81004712def39cd1bcebba5ecc93beba62bcab0b0fa5624b34db/CV___Unity_Development_Intern___Mai_Xuân_Thường.pdf</v>
      </c>
      <c r="Y135" s="136">
        <v>46139.177303240744</v>
      </c>
      <c r="Z135" s="35" t="s">
        <v>2637</v>
      </c>
      <c r="AA135" s="137">
        <v>2.0</v>
      </c>
      <c r="AB135" s="137" t="s">
        <v>93</v>
      </c>
      <c r="AC135" s="28" t="s">
        <v>6377</v>
      </c>
      <c r="AD135" s="28" t="s">
        <v>6518</v>
      </c>
      <c r="AE135" s="28" t="s">
        <v>6379</v>
      </c>
      <c r="AF135" s="137" t="str">
        <f t="shared" si="5"/>
        <v>Quỳnh</v>
      </c>
      <c r="AG135" s="35"/>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row>
    <row r="136" ht="17.25" hidden="1" customHeight="1">
      <c r="A136" s="35" t="s">
        <v>2276</v>
      </c>
      <c r="B136" s="132">
        <v>38686.0</v>
      </c>
      <c r="C136" s="35" t="s">
        <v>2277</v>
      </c>
      <c r="D136" s="133" t="s">
        <v>2278</v>
      </c>
      <c r="E136" s="35" t="s">
        <v>82</v>
      </c>
      <c r="F136" s="35" t="s">
        <v>82</v>
      </c>
      <c r="G136" s="35" t="s">
        <v>2279</v>
      </c>
      <c r="H136" s="35" t="s">
        <v>2280</v>
      </c>
      <c r="I136" s="35" t="s">
        <v>2281</v>
      </c>
      <c r="J136" s="35"/>
      <c r="K136" s="35" t="s">
        <v>219</v>
      </c>
      <c r="L136" s="35" t="s">
        <v>2282</v>
      </c>
      <c r="M136" s="134">
        <v>46386.0</v>
      </c>
      <c r="N136" s="133" t="s">
        <v>1382</v>
      </c>
      <c r="O136" s="135" t="str">
        <f>HYPERLINK("https://api.typeform.com/responses/files/42c7676b1515a210c3ccf2db3edf84c014e0275845ee66c09830632d83d73edb/TLDA_Soft_Copy_Of_Transcript.pdf")</f>
        <v>https://api.typeform.com/responses/files/42c7676b1515a210c3ccf2db3edf84c014e0275845ee66c09830632d83d73edb/TLDA_Soft_Copy_Of_Transcript.pdf</v>
      </c>
      <c r="P136" s="35" t="b">
        <v>1</v>
      </c>
      <c r="Q136" s="43" t="s">
        <v>2283</v>
      </c>
      <c r="R136" s="35" t="s">
        <v>2284</v>
      </c>
      <c r="S136" s="35" t="s">
        <v>72</v>
      </c>
      <c r="T136" s="35" t="s">
        <v>72</v>
      </c>
      <c r="U136" s="35" t="s">
        <v>2285</v>
      </c>
      <c r="V136" s="35"/>
      <c r="W136" s="35" t="s">
        <v>2286</v>
      </c>
      <c r="X136" s="135" t="str">
        <f>HYPERLINK("https://api.typeform.com/responses/files/e573ce840a3a20b6ae99c190a42ee6745a7c73e86e9122bfaa00742c92c0315c/CV___Data_Analyst_Intern___Tran_Le_Dong_Anh.pdf")</f>
        <v>https://api.typeform.com/responses/files/e573ce840a3a20b6ae99c190a42ee6745a7c73e86e9122bfaa00742c92c0315c/CV___Data_Analyst_Intern___Tran_Le_Dong_Anh.pdf</v>
      </c>
      <c r="Y136" s="136">
        <v>46137.35298611111</v>
      </c>
      <c r="Z136" s="35" t="s">
        <v>2287</v>
      </c>
      <c r="AA136" s="137">
        <v>2.0</v>
      </c>
      <c r="AB136" s="137" t="s">
        <v>93</v>
      </c>
      <c r="AC136" s="28" t="s">
        <v>6376</v>
      </c>
      <c r="AD136" s="27"/>
      <c r="AE136" s="28"/>
      <c r="AF136" s="137" t="str">
        <f t="shared" si="5"/>
        <v/>
      </c>
      <c r="AG136" s="35"/>
      <c r="AH136" s="137"/>
      <c r="AI136" s="137"/>
      <c r="AJ136" s="137"/>
      <c r="AK136" s="137"/>
      <c r="AL136" s="137"/>
      <c r="AM136" s="137"/>
      <c r="AN136" s="137"/>
      <c r="AO136" s="137"/>
      <c r="AP136" s="137"/>
      <c r="AQ136" s="137"/>
      <c r="AR136" s="137"/>
      <c r="AS136" s="137"/>
      <c r="AT136" s="137"/>
      <c r="AU136" s="137"/>
      <c r="AV136" s="137"/>
      <c r="AW136" s="137"/>
      <c r="AX136" s="137"/>
      <c r="AY136" s="137"/>
      <c r="AZ136" s="137"/>
      <c r="BA136" s="137"/>
    </row>
    <row r="137" ht="17.25" hidden="1" customHeight="1">
      <c r="A137" s="35" t="s">
        <v>1663</v>
      </c>
      <c r="B137" s="132">
        <v>38029.0</v>
      </c>
      <c r="C137" s="35" t="s">
        <v>1664</v>
      </c>
      <c r="D137" s="133" t="s">
        <v>1665</v>
      </c>
      <c r="E137" s="35" t="s">
        <v>62</v>
      </c>
      <c r="F137" s="35" t="s">
        <v>82</v>
      </c>
      <c r="G137" s="35" t="s">
        <v>1666</v>
      </c>
      <c r="H137" s="35" t="s">
        <v>1667</v>
      </c>
      <c r="I137" s="35" t="s">
        <v>326</v>
      </c>
      <c r="J137" s="35"/>
      <c r="K137" s="35" t="s">
        <v>67</v>
      </c>
      <c r="L137" s="35" t="s">
        <v>399</v>
      </c>
      <c r="M137" s="134">
        <v>46266.0</v>
      </c>
      <c r="N137" s="133" t="s">
        <v>1668</v>
      </c>
      <c r="O137" s="135" t="str">
        <f>HYPERLINK("https://api.typeform.com/responses/files/7b0c0b400f7832f029dcecbf1c1629021429d4541c95d4161333fa8cd75fa26a/Transcript___AI_Engineering_Intern___Đoàn_Thị_Minh_Anh.pdf")</f>
        <v>https://api.typeform.com/responses/files/7b0c0b400f7832f029dcecbf1c1629021429d4541c95d4161333fa8cd75fa26a/Transcript___AI_Engineering_Intern___Đoàn_Thị_Minh_Anh.pdf</v>
      </c>
      <c r="P137" s="35" t="b">
        <v>1</v>
      </c>
      <c r="Q137" s="43" t="s">
        <v>1669</v>
      </c>
      <c r="R137" s="35" t="s">
        <v>1670</v>
      </c>
      <c r="S137" s="35" t="s">
        <v>72</v>
      </c>
      <c r="T137" s="35" t="s">
        <v>72</v>
      </c>
      <c r="U137" s="138" t="s">
        <v>269</v>
      </c>
      <c r="V137" s="35"/>
      <c r="W137" s="35"/>
      <c r="X137" s="135" t="str">
        <f>HYPERLINK("https://api.typeform.com/responses/files/0904a9097011fff4b57075fea06f2dc24c599ba15d2000da99a7743040ff3321/CV___AI_Engineering_Intern___Đoàn_Thị_Minh_Anh.pdf")</f>
        <v>https://api.typeform.com/responses/files/0904a9097011fff4b57075fea06f2dc24c599ba15d2000da99a7743040ff3321/CV___AI_Engineering_Intern___Đoàn_Thị_Minh_Anh.pdf</v>
      </c>
      <c r="Y137" s="136">
        <v>46136.115902777776</v>
      </c>
      <c r="Z137" s="35" t="s">
        <v>1671</v>
      </c>
      <c r="AA137" s="137">
        <v>2.0</v>
      </c>
      <c r="AB137" s="139" t="s">
        <v>6381</v>
      </c>
      <c r="AC137" s="28" t="s">
        <v>6377</v>
      </c>
      <c r="AD137" s="28" t="s">
        <v>6416</v>
      </c>
      <c r="AE137" s="28" t="s">
        <v>6379</v>
      </c>
      <c r="AF137" s="137" t="str">
        <f t="shared" si="5"/>
        <v>Quỳnh</v>
      </c>
      <c r="AG137" s="140"/>
      <c r="AH137" s="146"/>
      <c r="AI137" s="146"/>
      <c r="AJ137" s="146"/>
      <c r="AK137" s="146"/>
      <c r="AL137" s="146"/>
      <c r="AM137" s="146"/>
      <c r="AN137" s="146"/>
      <c r="AO137" s="146"/>
      <c r="AP137" s="146"/>
      <c r="AQ137" s="146"/>
      <c r="AR137" s="146"/>
      <c r="AS137" s="146"/>
      <c r="AT137" s="146"/>
      <c r="AU137" s="146"/>
      <c r="AV137" s="146"/>
      <c r="AW137" s="146"/>
      <c r="AX137" s="146"/>
      <c r="AY137" s="146"/>
      <c r="AZ137" s="146"/>
      <c r="BA137" s="146"/>
    </row>
    <row r="138" ht="17.25" hidden="1" customHeight="1">
      <c r="A138" s="35" t="s">
        <v>139</v>
      </c>
      <c r="B138" s="132">
        <v>38931.0</v>
      </c>
      <c r="C138" s="35" t="s">
        <v>140</v>
      </c>
      <c r="D138" s="133" t="s">
        <v>141</v>
      </c>
      <c r="E138" s="35" t="s">
        <v>61</v>
      </c>
      <c r="F138" s="35" t="s">
        <v>99</v>
      </c>
      <c r="G138" s="35" t="s">
        <v>2656</v>
      </c>
      <c r="H138" s="35" t="s">
        <v>2657</v>
      </c>
      <c r="I138" s="35" t="s">
        <v>144</v>
      </c>
      <c r="J138" s="35"/>
      <c r="K138" s="35" t="s">
        <v>2658</v>
      </c>
      <c r="L138" s="35" t="s">
        <v>2659</v>
      </c>
      <c r="M138" s="134">
        <v>46235.0</v>
      </c>
      <c r="N138" s="133" t="s">
        <v>147</v>
      </c>
      <c r="O138" s="135" t="str">
        <f>HYPERLINK("https://api.typeform.com/responses/files/9c222ed6be83d164fe4845b5a51426e3f0cb4fea0f9be970c104f913d56606fd/Transcript_intern_TranDoHoangTan.png")</f>
        <v>https://api.typeform.com/responses/files/9c222ed6be83d164fe4845b5a51426e3f0cb4fea0f9be970c104f913d56606fd/Transcript_intern_TranDoHoangTan.png</v>
      </c>
      <c r="P138" s="35" t="b">
        <v>1</v>
      </c>
      <c r="Q138" s="43" t="s">
        <v>2660</v>
      </c>
      <c r="R138" s="35" t="s">
        <v>2661</v>
      </c>
      <c r="S138" s="35" t="s">
        <v>72</v>
      </c>
      <c r="T138" s="35" t="s">
        <v>72</v>
      </c>
      <c r="U138" s="35" t="s">
        <v>73</v>
      </c>
      <c r="V138" s="35"/>
      <c r="W138" s="35" t="s">
        <v>2662</v>
      </c>
      <c r="X138" s="135" t="str">
        <f>HYPERLINK("https://api.typeform.com/responses/files/438622fce62417b4369660adf0b46a3b018773e3a551877a316e47799644dc00/CV_UnityDevelopment_Intern_TranDoHoangTan.pdf")</f>
        <v>https://api.typeform.com/responses/files/438622fce62417b4369660adf0b46a3b018773e3a551877a316e47799644dc00/CV_UnityDevelopment_Intern_TranDoHoangTan.pdf</v>
      </c>
      <c r="Y138" s="136">
        <v>46139.209444444445</v>
      </c>
      <c r="Z138" s="35" t="s">
        <v>2663</v>
      </c>
      <c r="AA138" s="137">
        <v>2.0</v>
      </c>
      <c r="AB138" s="137" t="s">
        <v>93</v>
      </c>
      <c r="AC138" s="28" t="s">
        <v>6376</v>
      </c>
      <c r="AD138" s="27"/>
      <c r="AE138" s="28"/>
      <c r="AF138" s="137" t="str">
        <f t="shared" si="5"/>
        <v/>
      </c>
      <c r="AG138" s="35"/>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row>
    <row r="139" ht="17.25" hidden="1" customHeight="1">
      <c r="A139" s="35" t="s">
        <v>2664</v>
      </c>
      <c r="B139" s="132">
        <v>38664.0</v>
      </c>
      <c r="C139" s="35" t="s">
        <v>2665</v>
      </c>
      <c r="D139" s="133" t="s">
        <v>2666</v>
      </c>
      <c r="E139" s="35" t="s">
        <v>127</v>
      </c>
      <c r="F139" s="35" t="s">
        <v>82</v>
      </c>
      <c r="G139" s="35" t="s">
        <v>2667</v>
      </c>
      <c r="H139" s="35" t="s">
        <v>2668</v>
      </c>
      <c r="I139" s="35" t="s">
        <v>2293</v>
      </c>
      <c r="J139" s="35"/>
      <c r="K139" s="35" t="s">
        <v>219</v>
      </c>
      <c r="L139" s="35" t="s">
        <v>1773</v>
      </c>
      <c r="M139" s="134">
        <v>46499.0</v>
      </c>
      <c r="N139" s="133" t="s">
        <v>2669</v>
      </c>
      <c r="O139" s="135" t="str">
        <f>HYPERLINK("https://api.typeform.com/responses/files/405441be9c82bff237a03580acb983eac9d9a07adb2e0c26854debe15ea6eee9/Transcript_Data_Analysis_Intern_Võ_Thị_Tiên_Phước.pdf")</f>
        <v>https://api.typeform.com/responses/files/405441be9c82bff237a03580acb983eac9d9a07adb2e0c26854debe15ea6eee9/Transcript_Data_Analysis_Intern_Võ_Thị_Tiên_Phước.pdf</v>
      </c>
      <c r="P139" s="35" t="b">
        <v>1</v>
      </c>
      <c r="Q139" s="43" t="s">
        <v>2670</v>
      </c>
      <c r="R139" s="35" t="s">
        <v>2671</v>
      </c>
      <c r="S139" s="35" t="s">
        <v>72</v>
      </c>
      <c r="T139" s="35" t="s">
        <v>72</v>
      </c>
      <c r="U139" s="35" t="s">
        <v>90</v>
      </c>
      <c r="V139" s="35"/>
      <c r="W139" s="35" t="s">
        <v>2672</v>
      </c>
      <c r="X139" s="135" t="str">
        <f>HYPERLINK("https://api.typeform.com/responses/files/559e2c4af90f2911ffc274ba45e513082e37d9614e0f12416179d4e67cd9d91a/CV_Data_Analysis_Intern_Võ_Thị_Tiên_Phước.pdf")</f>
        <v>https://api.typeform.com/responses/files/559e2c4af90f2911ffc274ba45e513082e37d9614e0f12416179d4e67cd9d91a/CV_Data_Analysis_Intern_Võ_Thị_Tiên_Phước.pdf</v>
      </c>
      <c r="Y139" s="136">
        <v>46139.23234953704</v>
      </c>
      <c r="Z139" s="35" t="s">
        <v>2673</v>
      </c>
      <c r="AA139" s="137">
        <v>2.0</v>
      </c>
      <c r="AB139" s="137" t="s">
        <v>93</v>
      </c>
      <c r="AC139" s="28" t="s">
        <v>6376</v>
      </c>
      <c r="AD139" s="27"/>
      <c r="AE139" s="28"/>
      <c r="AF139" s="137" t="str">
        <f t="shared" si="5"/>
        <v/>
      </c>
      <c r="AG139" s="35"/>
      <c r="AH139" s="137"/>
      <c r="AI139" s="137"/>
      <c r="AJ139" s="137"/>
      <c r="AK139" s="137"/>
      <c r="AL139" s="137"/>
      <c r="AM139" s="137"/>
      <c r="AN139" s="137"/>
      <c r="AO139" s="137"/>
      <c r="AP139" s="137"/>
      <c r="AQ139" s="137"/>
      <c r="AR139" s="137"/>
      <c r="AS139" s="137"/>
      <c r="AT139" s="137"/>
      <c r="AU139" s="137"/>
      <c r="AV139" s="137"/>
      <c r="AW139" s="137"/>
      <c r="AX139" s="137"/>
      <c r="AY139" s="137"/>
      <c r="AZ139" s="137"/>
      <c r="BA139" s="137"/>
    </row>
    <row r="140" ht="17.25" hidden="1" customHeight="1">
      <c r="A140" s="35" t="s">
        <v>4198</v>
      </c>
      <c r="B140" s="132">
        <v>37680.0</v>
      </c>
      <c r="C140" s="35" t="s">
        <v>4199</v>
      </c>
      <c r="D140" s="133" t="s">
        <v>4200</v>
      </c>
      <c r="E140" s="35" t="s">
        <v>82</v>
      </c>
      <c r="F140" s="35" t="s">
        <v>62</v>
      </c>
      <c r="G140" s="35" t="s">
        <v>4201</v>
      </c>
      <c r="H140" s="35" t="s">
        <v>4202</v>
      </c>
      <c r="I140" s="35" t="s">
        <v>644</v>
      </c>
      <c r="J140" s="35"/>
      <c r="K140" s="35" t="s">
        <v>67</v>
      </c>
      <c r="L140" s="35" t="s">
        <v>384</v>
      </c>
      <c r="M140" s="134">
        <v>46143.0</v>
      </c>
      <c r="N140" s="133" t="s">
        <v>4203</v>
      </c>
      <c r="O140" s="135" t="str">
        <f>HYPERLINK("https://api.typeform.com/responses/files/3eafd6265c5125030e7d4790189de6ecb6c25d44a4e4a19a4ad862a570c79d4b/Transcript___Data_Analysis_Intern___Duong_Khanh_Trang.pdf")</f>
        <v>https://api.typeform.com/responses/files/3eafd6265c5125030e7d4790189de6ecb6c25d44a4e4a19a4ad862a570c79d4b/Transcript___Data_Analysis_Intern___Duong_Khanh_Trang.pdf</v>
      </c>
      <c r="P140" s="35" t="b">
        <v>1</v>
      </c>
      <c r="Q140" s="35" t="s">
        <v>4204</v>
      </c>
      <c r="R140" s="35" t="s">
        <v>4205</v>
      </c>
      <c r="S140" s="35" t="s">
        <v>72</v>
      </c>
      <c r="T140" s="35" t="s">
        <v>72</v>
      </c>
      <c r="U140" s="35" t="s">
        <v>2992</v>
      </c>
      <c r="V140" s="35"/>
      <c r="W140" s="35" t="s">
        <v>4206</v>
      </c>
      <c r="X140" s="135" t="str">
        <f>HYPERLINK("https://api.typeform.com/responses/files/6118178195514e7a74d7d8dfbb4a36438c0d215091e6797e2eea75e34f7c2fea/CV___Data_Analysis_Intern___Duong_Khanh_Trang.pdf")</f>
        <v>https://api.typeform.com/responses/files/6118178195514e7a74d7d8dfbb4a36438c0d215091e6797e2eea75e34f7c2fea/CV___Data_Analysis_Intern___Duong_Khanh_Trang.pdf</v>
      </c>
      <c r="Y140" s="136">
        <v>46142.474375</v>
      </c>
      <c r="Z140" s="35" t="s">
        <v>4207</v>
      </c>
      <c r="AA140" s="137">
        <v>2.0</v>
      </c>
      <c r="AB140" s="137" t="s">
        <v>93</v>
      </c>
      <c r="AC140" s="28" t="s">
        <v>6377</v>
      </c>
      <c r="AD140" s="27"/>
      <c r="AE140" s="28" t="s">
        <v>6403</v>
      </c>
      <c r="AF140" s="137" t="str">
        <f t="shared" si="5"/>
        <v>Quỳnh</v>
      </c>
      <c r="AG140" s="35"/>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row>
    <row r="141" ht="17.25" hidden="1" customHeight="1">
      <c r="A141" s="35" t="s">
        <v>3586</v>
      </c>
      <c r="B141" s="132">
        <v>38132.0</v>
      </c>
      <c r="C141" s="35" t="s">
        <v>3587</v>
      </c>
      <c r="D141" s="133" t="s">
        <v>3588</v>
      </c>
      <c r="E141" s="35" t="s">
        <v>82</v>
      </c>
      <c r="F141" s="35" t="s">
        <v>62</v>
      </c>
      <c r="G141" s="35" t="s">
        <v>3589</v>
      </c>
      <c r="H141" s="35" t="s">
        <v>3590</v>
      </c>
      <c r="I141" s="35" t="s">
        <v>842</v>
      </c>
      <c r="J141" s="35"/>
      <c r="K141" s="35" t="s">
        <v>67</v>
      </c>
      <c r="L141" s="35" t="s">
        <v>3591</v>
      </c>
      <c r="M141" s="134">
        <v>46233.0</v>
      </c>
      <c r="N141" s="133" t="s">
        <v>2775</v>
      </c>
      <c r="O141" s="135" t="str">
        <f>HYPERLINK("https://api.typeform.com/responses/files/446f2e1282e32c61010d7977dd9c94d761e6c13afe6a8202a795593b2a0ef64d/Screenshot_2026_04_28_210334.png")</f>
        <v>https://api.typeform.com/responses/files/446f2e1282e32c61010d7977dd9c94d761e6c13afe6a8202a795593b2a0ef64d/Screenshot_2026_04_28_210334.png</v>
      </c>
      <c r="P141" s="35" t="b">
        <v>0</v>
      </c>
      <c r="Q141" s="35" t="s">
        <v>268</v>
      </c>
      <c r="R141" s="35" t="s">
        <v>1437</v>
      </c>
      <c r="S141" s="35" t="s">
        <v>72</v>
      </c>
      <c r="T141" s="35" t="s">
        <v>72</v>
      </c>
      <c r="U141" s="35" t="s">
        <v>73</v>
      </c>
      <c r="V141" s="35"/>
      <c r="W141" s="35"/>
      <c r="X141" s="135" t="str">
        <f>HYPERLINK("https://api.typeform.com/responses/files/a49c82c7306d9c565710a38e835c8dda6a7dec7b9993fbe2f383e160d2dbcc05/CV_Trương_Vạn_Niên.pdf")</f>
        <v>https://api.typeform.com/responses/files/a49c82c7306d9c565710a38e835c8dda6a7dec7b9993fbe2f383e160d2dbcc05/CV_Trương_Vạn_Niên.pdf</v>
      </c>
      <c r="Y141" s="136">
        <v>46140.58665509259</v>
      </c>
      <c r="Z141" s="35" t="s">
        <v>3592</v>
      </c>
      <c r="AA141" s="137">
        <v>2.0</v>
      </c>
      <c r="AB141" s="137" t="s">
        <v>93</v>
      </c>
      <c r="AC141" s="28" t="s">
        <v>6376</v>
      </c>
      <c r="AD141" s="27"/>
      <c r="AE141" s="28"/>
      <c r="AF141" s="137" t="str">
        <f t="shared" si="5"/>
        <v/>
      </c>
      <c r="AG141" s="35"/>
      <c r="AH141" s="137"/>
      <c r="AI141" s="137"/>
      <c r="AJ141" s="137"/>
      <c r="AK141" s="137"/>
      <c r="AL141" s="137"/>
      <c r="AM141" s="137"/>
      <c r="AN141" s="137"/>
      <c r="AO141" s="137"/>
      <c r="AP141" s="137"/>
      <c r="AQ141" s="137"/>
      <c r="AR141" s="137"/>
      <c r="AS141" s="137"/>
      <c r="AT141" s="137"/>
      <c r="AU141" s="137"/>
      <c r="AV141" s="137"/>
      <c r="AW141" s="137"/>
      <c r="AX141" s="137"/>
      <c r="AY141" s="137"/>
      <c r="AZ141" s="137"/>
      <c r="BA141" s="137"/>
    </row>
    <row r="142" ht="17.25" hidden="1" customHeight="1">
      <c r="A142" s="35" t="s">
        <v>1538</v>
      </c>
      <c r="B142" s="132">
        <v>38075.0</v>
      </c>
      <c r="C142" s="35" t="s">
        <v>1539</v>
      </c>
      <c r="D142" s="133" t="s">
        <v>1540</v>
      </c>
      <c r="E142" s="35" t="s">
        <v>82</v>
      </c>
      <c r="F142" s="35"/>
      <c r="G142" s="35" t="s">
        <v>1541</v>
      </c>
      <c r="H142" s="35" t="s">
        <v>1542</v>
      </c>
      <c r="I142" s="35" t="s">
        <v>326</v>
      </c>
      <c r="J142" s="35"/>
      <c r="K142" s="35" t="s">
        <v>67</v>
      </c>
      <c r="L142" s="35" t="s">
        <v>298</v>
      </c>
      <c r="M142" s="134">
        <v>46296.0</v>
      </c>
      <c r="N142" s="133" t="s">
        <v>1543</v>
      </c>
      <c r="O142" s="135" t="str">
        <f>HYPERLINK("https://api.typeform.com/responses/files/06966c38c9358611ab72aa71115efe2ca38005bea667808c4a811626d74b0ad8/Transcript___Data_Analysis_Intern___Bùi_Đoàn_Thúy_Vy.pdf")</f>
        <v>https://api.typeform.com/responses/files/06966c38c9358611ab72aa71115efe2ca38005bea667808c4a811626d74b0ad8/Transcript___Data_Analysis_Intern___Bùi_Đoàn_Thúy_Vy.pdf</v>
      </c>
      <c r="P142" s="35" t="b">
        <v>1</v>
      </c>
      <c r="Q142" s="43" t="s">
        <v>1544</v>
      </c>
      <c r="R142" s="35" t="s">
        <v>1545</v>
      </c>
      <c r="S142" s="35" t="s">
        <v>72</v>
      </c>
      <c r="T142" s="35" t="s">
        <v>72</v>
      </c>
      <c r="U142" s="35" t="s">
        <v>269</v>
      </c>
      <c r="V142" s="35"/>
      <c r="W142" s="35" t="s">
        <v>1546</v>
      </c>
      <c r="X142" s="135" t="str">
        <f>HYPERLINK("https://api.typeform.com/responses/files/dd322ebf5adfe048cb37e06dfb7b4f606b9e0ec9a3546d66552142376e221292/CV___Data_Analysis_Intern___Bùi_Đoàn_Thúy_Vy.pdf")</f>
        <v>https://api.typeform.com/responses/files/dd322ebf5adfe048cb37e06dfb7b4f606b9e0ec9a3546d66552142376e221292/CV___Data_Analysis_Intern___Bùi_Đoàn_Thúy_Vy.pdf</v>
      </c>
      <c r="Y142" s="136">
        <v>46135.75681712963</v>
      </c>
      <c r="Z142" s="35" t="s">
        <v>1547</v>
      </c>
      <c r="AA142" s="137">
        <v>2.0</v>
      </c>
      <c r="AB142" s="137" t="s">
        <v>93</v>
      </c>
      <c r="AC142" s="28" t="s">
        <v>6377</v>
      </c>
      <c r="AD142" s="28" t="s">
        <v>6519</v>
      </c>
      <c r="AE142" s="28" t="s">
        <v>6403</v>
      </c>
      <c r="AF142" s="137" t="str">
        <f t="shared" si="5"/>
        <v>Quỳnh</v>
      </c>
      <c r="AG142" s="35"/>
      <c r="AH142" s="137"/>
      <c r="AI142" s="137"/>
      <c r="AJ142" s="137"/>
      <c r="AK142" s="137"/>
      <c r="AL142" s="137"/>
      <c r="AM142" s="137"/>
      <c r="AN142" s="137"/>
      <c r="AO142" s="137"/>
      <c r="AP142" s="137"/>
      <c r="AQ142" s="137"/>
      <c r="AR142" s="137"/>
      <c r="AS142" s="137"/>
      <c r="AT142" s="137"/>
      <c r="AU142" s="137"/>
      <c r="AV142" s="137"/>
      <c r="AW142" s="137"/>
      <c r="AX142" s="137"/>
      <c r="AY142" s="137"/>
      <c r="AZ142" s="137"/>
      <c r="BA142" s="137"/>
    </row>
    <row r="143" ht="17.25" hidden="1" customHeight="1">
      <c r="A143" s="35" t="s">
        <v>2975</v>
      </c>
      <c r="B143" s="132">
        <v>38651.0</v>
      </c>
      <c r="C143" s="35" t="s">
        <v>2976</v>
      </c>
      <c r="D143" s="133" t="s">
        <v>2977</v>
      </c>
      <c r="E143" s="35" t="s">
        <v>82</v>
      </c>
      <c r="F143" s="35" t="s">
        <v>82</v>
      </c>
      <c r="G143" s="35" t="s">
        <v>2978</v>
      </c>
      <c r="H143" s="35" t="s">
        <v>2979</v>
      </c>
      <c r="I143" s="35" t="s">
        <v>2281</v>
      </c>
      <c r="J143" s="35"/>
      <c r="K143" s="35" t="s">
        <v>219</v>
      </c>
      <c r="L143" s="35" t="s">
        <v>2679</v>
      </c>
      <c r="M143" s="134">
        <v>46451.0</v>
      </c>
      <c r="N143" s="133" t="s">
        <v>233</v>
      </c>
      <c r="O143" s="135" t="str">
        <f>HYPERLINK("https://api.typeform.com/responses/files/02dcc5ba5e49d474f704acb299e42fe2ddf89b1af7c001e196366ca70559eb9c/Transcript___Data_Analysis_Intern___Nguyễn_Văn_Lam.pdf")</f>
        <v>https://api.typeform.com/responses/files/02dcc5ba5e49d474f704acb299e42fe2ddf89b1af7c001e196366ca70559eb9c/Transcript___Data_Analysis_Intern___Nguyễn_Văn_Lam.pdf</v>
      </c>
      <c r="P143" s="35" t="b">
        <v>1</v>
      </c>
      <c r="Q143" s="43" t="s">
        <v>2980</v>
      </c>
      <c r="R143" s="35" t="s">
        <v>2981</v>
      </c>
      <c r="S143" s="35" t="s">
        <v>72</v>
      </c>
      <c r="T143" s="35" t="s">
        <v>72</v>
      </c>
      <c r="U143" s="35" t="s">
        <v>90</v>
      </c>
      <c r="V143" s="35"/>
      <c r="W143" s="35" t="s">
        <v>2982</v>
      </c>
      <c r="X143" s="135" t="str">
        <f>HYPERLINK("https://api.typeform.com/responses/files/07da1f1ed90e1077579ae4087398c9300aeb9652acd52691cfa163941b66a0cc/CV___Data_Analysis_Intern___Nguyễn_Văn_Lam.pdf")</f>
        <v>https://api.typeform.com/responses/files/07da1f1ed90e1077579ae4087398c9300aeb9652acd52691cfa163941b66a0cc/CV___Data_Analysis_Intern___Nguyễn_Văn_Lam.pdf</v>
      </c>
      <c r="Y143" s="136">
        <v>46139.66420138889</v>
      </c>
      <c r="Z143" s="35" t="s">
        <v>2983</v>
      </c>
      <c r="AA143" s="137">
        <v>2.0</v>
      </c>
      <c r="AB143" s="137" t="s">
        <v>93</v>
      </c>
      <c r="AC143" s="28" t="s">
        <v>6376</v>
      </c>
      <c r="AD143" s="27"/>
      <c r="AE143" s="28"/>
      <c r="AF143" s="137" t="str">
        <f t="shared" si="5"/>
        <v/>
      </c>
      <c r="AG143" s="35"/>
      <c r="AH143" s="137"/>
      <c r="AI143" s="137"/>
      <c r="AJ143" s="137"/>
      <c r="AK143" s="137"/>
      <c r="AL143" s="137"/>
      <c r="AM143" s="137"/>
      <c r="AN143" s="137"/>
      <c r="AO143" s="137"/>
      <c r="AP143" s="137"/>
      <c r="AQ143" s="137"/>
      <c r="AR143" s="137"/>
      <c r="AS143" s="137"/>
      <c r="AT143" s="137"/>
      <c r="AU143" s="137"/>
      <c r="AV143" s="137"/>
      <c r="AW143" s="137"/>
      <c r="AX143" s="137"/>
      <c r="AY143" s="137"/>
      <c r="AZ143" s="137"/>
      <c r="BA143" s="137"/>
    </row>
    <row r="144" ht="17.25" hidden="1" customHeight="1">
      <c r="A144" s="35" t="s">
        <v>4047</v>
      </c>
      <c r="B144" s="132">
        <v>37714.0</v>
      </c>
      <c r="C144" s="35" t="s">
        <v>4048</v>
      </c>
      <c r="D144" s="133" t="s">
        <v>4049</v>
      </c>
      <c r="E144" s="35" t="s">
        <v>82</v>
      </c>
      <c r="F144" s="35" t="s">
        <v>62</v>
      </c>
      <c r="G144" s="35" t="s">
        <v>4050</v>
      </c>
      <c r="H144" s="35" t="s">
        <v>4051</v>
      </c>
      <c r="I144" s="35" t="s">
        <v>85</v>
      </c>
      <c r="J144" s="35"/>
      <c r="K144" s="35" t="s">
        <v>103</v>
      </c>
      <c r="L144" s="35" t="s">
        <v>399</v>
      </c>
      <c r="M144" s="134">
        <v>45717.0</v>
      </c>
      <c r="N144" s="133" t="s">
        <v>4052</v>
      </c>
      <c r="O144" s="135" t="str">
        <f>HYPERLINK("https://api.typeform.com/responses/files/de9d9bd9b456634cc25f52ee14f6e3d87f673a6ec7cf49657b69f04cb0e8fbcf/Transcript___Data_Analysis_Intern___Nguyễn_Phương_Tùng.zip")</f>
        <v>https://api.typeform.com/responses/files/de9d9bd9b456634cc25f52ee14f6e3d87f673a6ec7cf49657b69f04cb0e8fbcf/Transcript___Data_Analysis_Intern___Nguyễn_Phương_Tùng.zip</v>
      </c>
      <c r="P144" s="35" t="b">
        <v>0</v>
      </c>
      <c r="Q144" s="35" t="s">
        <v>4053</v>
      </c>
      <c r="R144" s="35" t="s">
        <v>4054</v>
      </c>
      <c r="S144" s="35" t="s">
        <v>72</v>
      </c>
      <c r="T144" s="35" t="s">
        <v>72</v>
      </c>
      <c r="U144" s="35" t="s">
        <v>544</v>
      </c>
      <c r="V144" s="35"/>
      <c r="W144" s="35"/>
      <c r="X144" s="135" t="str">
        <f>HYPERLINK("https://api.typeform.com/responses/files/9c11b8b657fca81213e25c1b6c262dc94535625642aeac645a9506390753a17e/CV___Data_Analyst_Intern___Nguyễn_Phương_Tùng.pdf")</f>
        <v>https://api.typeform.com/responses/files/9c11b8b657fca81213e25c1b6c262dc94535625642aeac645a9506390753a17e/CV___Data_Analyst_Intern___Nguyễn_Phương_Tùng.pdf</v>
      </c>
      <c r="Y144" s="136">
        <v>46141.69520833333</v>
      </c>
      <c r="Z144" s="35" t="s">
        <v>4055</v>
      </c>
      <c r="AA144" s="137">
        <v>2.0</v>
      </c>
      <c r="AB144" s="137" t="s">
        <v>93</v>
      </c>
      <c r="AC144" s="28" t="s">
        <v>6376</v>
      </c>
      <c r="AD144" s="27"/>
      <c r="AE144" s="28"/>
      <c r="AF144" s="137" t="str">
        <f t="shared" si="5"/>
        <v/>
      </c>
      <c r="AG144" s="35"/>
      <c r="AH144" s="137"/>
      <c r="AI144" s="137"/>
      <c r="AJ144" s="137"/>
      <c r="AK144" s="137"/>
      <c r="AL144" s="137"/>
      <c r="AM144" s="137"/>
      <c r="AN144" s="137"/>
      <c r="AO144" s="137"/>
      <c r="AP144" s="137"/>
      <c r="AQ144" s="137"/>
      <c r="AR144" s="137"/>
      <c r="AS144" s="137"/>
      <c r="AT144" s="137"/>
      <c r="AU144" s="137"/>
      <c r="AV144" s="137"/>
      <c r="AW144" s="137"/>
      <c r="AX144" s="137"/>
      <c r="AY144" s="137"/>
      <c r="AZ144" s="137"/>
      <c r="BA144" s="137"/>
    </row>
    <row r="145" ht="17.25" hidden="1" customHeight="1">
      <c r="A145" s="35" t="s">
        <v>2576</v>
      </c>
      <c r="B145" s="132">
        <v>38467.0</v>
      </c>
      <c r="C145" s="35" t="s">
        <v>2577</v>
      </c>
      <c r="D145" s="133" t="s">
        <v>2578</v>
      </c>
      <c r="E145" s="35" t="s">
        <v>82</v>
      </c>
      <c r="F145" s="35" t="s">
        <v>62</v>
      </c>
      <c r="G145" s="35" t="s">
        <v>2579</v>
      </c>
      <c r="H145" s="35" t="s">
        <v>2580</v>
      </c>
      <c r="I145" s="35" t="s">
        <v>2581</v>
      </c>
      <c r="J145" s="35"/>
      <c r="K145" s="35" t="s">
        <v>219</v>
      </c>
      <c r="L145" s="35" t="s">
        <v>2582</v>
      </c>
      <c r="M145" s="134">
        <v>38467.0</v>
      </c>
      <c r="N145" s="133" t="s">
        <v>2583</v>
      </c>
      <c r="O145" s="135" t="str">
        <f>HYPERLINK("https://api.typeform.com/responses/files/d961099181fa37a2aad9dad5fc1401378ffe218777d0e1523a3c6c7449188a10/Transcript___Data_Analysis_Intern___Lê_Bảo_Quốc.pdf")</f>
        <v>https://api.typeform.com/responses/files/d961099181fa37a2aad9dad5fc1401378ffe218777d0e1523a3c6c7449188a10/Transcript___Data_Analysis_Intern___Lê_Bảo_Quốc.pdf</v>
      </c>
      <c r="P145" s="35" t="b">
        <v>1</v>
      </c>
      <c r="Q145" s="43" t="s">
        <v>2584</v>
      </c>
      <c r="R145" s="35" t="s">
        <v>300</v>
      </c>
      <c r="S145" s="35" t="s">
        <v>72</v>
      </c>
      <c r="T145" s="35" t="s">
        <v>72</v>
      </c>
      <c r="U145" s="35" t="s">
        <v>90</v>
      </c>
      <c r="V145" s="35"/>
      <c r="W145" s="35" t="s">
        <v>2585</v>
      </c>
      <c r="X145" s="135" t="str">
        <f>HYPERLINK("https://api.typeform.com/responses/files/f2866c6ef1746bdf6ccdde93f7cb527771e6e7a64ee512ae21b2439b163bec8c/CV___Data_Analysis_Intern___Lê_Bảo_Quốc.pdf")</f>
        <v>https://api.typeform.com/responses/files/f2866c6ef1746bdf6ccdde93f7cb527771e6e7a64ee512ae21b2439b163bec8c/CV___Data_Analysis_Intern___Lê_Bảo_Quốc.pdf</v>
      </c>
      <c r="Y145" s="136">
        <v>46138.80268518518</v>
      </c>
      <c r="Z145" s="35" t="s">
        <v>2586</v>
      </c>
      <c r="AA145" s="137">
        <v>2.0</v>
      </c>
      <c r="AB145" s="137" t="s">
        <v>93</v>
      </c>
      <c r="AC145" s="28" t="s">
        <v>6376</v>
      </c>
      <c r="AD145" s="27"/>
      <c r="AE145" s="28"/>
      <c r="AF145" s="137" t="str">
        <f t="shared" si="5"/>
        <v/>
      </c>
      <c r="AG145" s="35"/>
      <c r="AH145" s="137"/>
      <c r="AI145" s="137"/>
      <c r="AJ145" s="137"/>
      <c r="AK145" s="137"/>
      <c r="AL145" s="137"/>
      <c r="AM145" s="137"/>
      <c r="AN145" s="137"/>
      <c r="AO145" s="137"/>
      <c r="AP145" s="137"/>
      <c r="AQ145" s="137"/>
      <c r="AR145" s="137"/>
      <c r="AS145" s="137"/>
      <c r="AT145" s="137"/>
      <c r="AU145" s="137"/>
      <c r="AV145" s="137"/>
      <c r="AW145" s="137"/>
      <c r="AX145" s="137"/>
      <c r="AY145" s="137"/>
      <c r="AZ145" s="137"/>
      <c r="BA145" s="137"/>
    </row>
    <row r="146" ht="17.25" hidden="1" customHeight="1">
      <c r="A146" s="35" t="s">
        <v>2734</v>
      </c>
      <c r="B146" s="132">
        <v>38584.0</v>
      </c>
      <c r="C146" s="35" t="s">
        <v>2735</v>
      </c>
      <c r="D146" s="133" t="s">
        <v>2736</v>
      </c>
      <c r="E146" s="35" t="s">
        <v>774</v>
      </c>
      <c r="F146" s="35" t="s">
        <v>633</v>
      </c>
      <c r="G146" s="35" t="s">
        <v>2737</v>
      </c>
      <c r="H146" s="35" t="s">
        <v>2738</v>
      </c>
      <c r="I146" s="35" t="s">
        <v>842</v>
      </c>
      <c r="J146" s="35"/>
      <c r="K146" s="35" t="s">
        <v>219</v>
      </c>
      <c r="L146" s="35" t="s">
        <v>2739</v>
      </c>
      <c r="M146" s="134">
        <v>46447.0</v>
      </c>
      <c r="N146" s="133" t="s">
        <v>2740</v>
      </c>
      <c r="O146" s="135" t="str">
        <f>HYPERLINK("https://api.typeform.com/responses/files/7efbc8137f36c77a81beea6f530429a28cb1f7b6651ef63bd9a732a3be04c9d2/Transcript___Marketing_Intern___Tô_Võ_Yến_Thơ.pdf")</f>
        <v>https://api.typeform.com/responses/files/7efbc8137f36c77a81beea6f530429a28cb1f7b6651ef63bd9a732a3be04c9d2/Transcript___Marketing_Intern___Tô_Võ_Yến_Thơ.pdf</v>
      </c>
      <c r="P146" s="35" t="b">
        <v>0</v>
      </c>
      <c r="Q146" s="43" t="s">
        <v>280</v>
      </c>
      <c r="R146" s="35" t="s">
        <v>2741</v>
      </c>
      <c r="S146" s="35" t="s">
        <v>72</v>
      </c>
      <c r="T146" s="35" t="s">
        <v>72</v>
      </c>
      <c r="U146" s="35" t="s">
        <v>269</v>
      </c>
      <c r="V146" s="35"/>
      <c r="W146" s="35" t="s">
        <v>222</v>
      </c>
      <c r="X146" s="135" t="str">
        <f>HYPERLINK("https://api.typeform.com/responses/files/9d5f406bd2fb60c338fce34cf9a95ab5b6191081609f7b6e4aba2a26cc01f452/CV___Marketing_Intern___To_Vo_Yen_Tho.pdf")</f>
        <v>https://api.typeform.com/responses/files/9d5f406bd2fb60c338fce34cf9a95ab5b6191081609f7b6e4aba2a26cc01f452/CV___Marketing_Intern___To_Vo_Yen_Tho.pdf</v>
      </c>
      <c r="Y146" s="136">
        <v>46139.34515046296</v>
      </c>
      <c r="Z146" s="35" t="s">
        <v>2742</v>
      </c>
      <c r="AA146" s="137">
        <v>2.0</v>
      </c>
      <c r="AB146" s="137"/>
      <c r="AC146" s="28" t="s">
        <v>6377</v>
      </c>
      <c r="AD146" s="27"/>
      <c r="AE146" s="28" t="s">
        <v>6379</v>
      </c>
      <c r="AF146" s="137" t="str">
        <f t="shared" si="5"/>
        <v>Nhiên</v>
      </c>
      <c r="AG146" s="35"/>
      <c r="AH146" s="137"/>
      <c r="AI146" s="137"/>
      <c r="AJ146" s="137"/>
      <c r="AK146" s="137"/>
      <c r="AL146" s="137"/>
      <c r="AM146" s="137"/>
      <c r="AN146" s="137"/>
      <c r="AO146" s="137"/>
      <c r="AP146" s="137"/>
      <c r="AQ146" s="137"/>
      <c r="AR146" s="137"/>
      <c r="AS146" s="137"/>
      <c r="AT146" s="137"/>
      <c r="AU146" s="137"/>
      <c r="AV146" s="137"/>
      <c r="AW146" s="137"/>
      <c r="AX146" s="137"/>
      <c r="AY146" s="137"/>
      <c r="AZ146" s="137"/>
      <c r="BA146" s="137"/>
    </row>
    <row r="147" ht="17.25" hidden="1" customHeight="1">
      <c r="A147" s="35" t="s">
        <v>2047</v>
      </c>
      <c r="B147" s="132">
        <v>38059.0</v>
      </c>
      <c r="C147" s="35" t="s">
        <v>2048</v>
      </c>
      <c r="D147" s="133" t="s">
        <v>2049</v>
      </c>
      <c r="E147" s="35" t="s">
        <v>62</v>
      </c>
      <c r="F147" s="35" t="s">
        <v>82</v>
      </c>
      <c r="G147" s="35" t="s">
        <v>2050</v>
      </c>
      <c r="H147" s="35" t="s">
        <v>2051</v>
      </c>
      <c r="I147" s="35" t="s">
        <v>1069</v>
      </c>
      <c r="J147" s="35"/>
      <c r="K147" s="35" t="s">
        <v>67</v>
      </c>
      <c r="L147" s="35" t="s">
        <v>1183</v>
      </c>
      <c r="M147" s="134">
        <v>46386.0</v>
      </c>
      <c r="N147" s="133" t="s">
        <v>2052</v>
      </c>
      <c r="O147" s="135" t="str">
        <f>HYPERLINK("https://api.typeform.com/responses/files/e8c1e4c52570b9e8e70b771ccbae7da5d694ec2c4560980f700011177324194d/Transcript___AI_Engineering_Intern___Nguyễn_Khắc_Tùng_Dương.xlsx")</f>
        <v>https://api.typeform.com/responses/files/e8c1e4c52570b9e8e70b771ccbae7da5d694ec2c4560980f700011177324194d/Transcript___AI_Engineering_Intern___Nguyễn_Khắc_Tùng_Dương.xlsx</v>
      </c>
      <c r="P147" s="35" t="b">
        <v>1</v>
      </c>
      <c r="Q147" s="43" t="s">
        <v>2053</v>
      </c>
      <c r="R147" s="35" t="s">
        <v>2054</v>
      </c>
      <c r="S147" s="35" t="s">
        <v>72</v>
      </c>
      <c r="T147" s="35" t="s">
        <v>72</v>
      </c>
      <c r="U147" s="138" t="s">
        <v>2055</v>
      </c>
      <c r="V147" s="35"/>
      <c r="W147" s="35" t="s">
        <v>2056</v>
      </c>
      <c r="X147" s="135" t="str">
        <f>HYPERLINK("https://api.typeform.com/responses/files/0ee3ce4f4457dcf2efb8a318dad4b45113c41f8f2cc5d1e332f8eb19ba3ac588/CV___AI_Engineering_Intern___Nguyễn_Khắc_Tùng_Dương.pdf")</f>
        <v>https://api.typeform.com/responses/files/0ee3ce4f4457dcf2efb8a318dad4b45113c41f8f2cc5d1e332f8eb19ba3ac588/CV___AI_Engineering_Intern___Nguyễn_Khắc_Tùng_Dương.pdf</v>
      </c>
      <c r="Y147" s="136">
        <v>46136.65861111111</v>
      </c>
      <c r="Z147" s="35" t="s">
        <v>2057</v>
      </c>
      <c r="AA147" s="137">
        <v>2.0</v>
      </c>
      <c r="AB147" s="139" t="s">
        <v>6381</v>
      </c>
      <c r="AC147" s="28" t="s">
        <v>6377</v>
      </c>
      <c r="AD147" s="44" t="s">
        <v>6520</v>
      </c>
      <c r="AE147" s="28" t="s">
        <v>6379</v>
      </c>
      <c r="AF147" s="137" t="str">
        <f t="shared" si="5"/>
        <v>Quỳnh</v>
      </c>
      <c r="AG147" s="35"/>
      <c r="AH147" s="137"/>
      <c r="AI147" s="137"/>
      <c r="AJ147" s="137"/>
      <c r="AK147" s="137"/>
      <c r="AL147" s="137"/>
      <c r="AM147" s="137"/>
      <c r="AN147" s="137"/>
      <c r="AO147" s="137"/>
      <c r="AP147" s="137"/>
      <c r="AQ147" s="137"/>
      <c r="AR147" s="137"/>
      <c r="AS147" s="137"/>
      <c r="AT147" s="137"/>
      <c r="AU147" s="137"/>
      <c r="AV147" s="137"/>
      <c r="AW147" s="137"/>
      <c r="AX147" s="137"/>
      <c r="AY147" s="137"/>
      <c r="AZ147" s="137"/>
      <c r="BA147" s="137"/>
    </row>
    <row r="148" ht="17.25" hidden="1" customHeight="1">
      <c r="A148" s="35" t="s">
        <v>3743</v>
      </c>
      <c r="B148" s="132">
        <v>37778.0</v>
      </c>
      <c r="C148" s="35" t="s">
        <v>3744</v>
      </c>
      <c r="D148" s="133" t="s">
        <v>3745</v>
      </c>
      <c r="E148" s="35" t="s">
        <v>82</v>
      </c>
      <c r="F148" s="35"/>
      <c r="G148" s="35" t="s">
        <v>3746</v>
      </c>
      <c r="H148" s="35" t="s">
        <v>3747</v>
      </c>
      <c r="I148" s="35" t="s">
        <v>65</v>
      </c>
      <c r="J148" s="35" t="s">
        <v>3748</v>
      </c>
      <c r="K148" s="35" t="s">
        <v>103</v>
      </c>
      <c r="L148" s="35" t="s">
        <v>3749</v>
      </c>
      <c r="M148" s="134">
        <v>46019.0</v>
      </c>
      <c r="N148" s="133" t="s">
        <v>822</v>
      </c>
      <c r="O148" s="135" t="str">
        <f>HYPERLINK("https://api.typeform.com/responses/files/12f8088c40e19fe383dcafe894a03302b0394f9b9e490275ca47f425c1d5e880/Transcript___Data_Analysis_Intern___Thái_Thị_Mỹ_Quyên.pdf")</f>
        <v>https://api.typeform.com/responses/files/12f8088c40e19fe383dcafe894a03302b0394f9b9e490275ca47f425c1d5e880/Transcript___Data_Analysis_Intern___Thái_Thị_Mỹ_Quyên.pdf</v>
      </c>
      <c r="P148" s="35" t="b">
        <v>0</v>
      </c>
      <c r="Q148" s="35" t="s">
        <v>3750</v>
      </c>
      <c r="R148" s="35" t="s">
        <v>3751</v>
      </c>
      <c r="S148" s="35" t="s">
        <v>72</v>
      </c>
      <c r="T148" s="35" t="s">
        <v>72</v>
      </c>
      <c r="U148" s="35" t="s">
        <v>73</v>
      </c>
      <c r="V148" s="35"/>
      <c r="W148" s="35"/>
      <c r="X148" s="135" t="str">
        <f>HYPERLINK("https://api.typeform.com/responses/files/80dd16ca668a0fbbd79fe4292a8f7e4458aa05effc1390c5d84a56408e43bf14/CV___Data_Analysis_Intern___Thái_Thị_Mỹ_Quyên.pdf")</f>
        <v>https://api.typeform.com/responses/files/80dd16ca668a0fbbd79fe4292a8f7e4458aa05effc1390c5d84a56408e43bf14/CV___Data_Analysis_Intern___Thái_Thị_Mỹ_Quyên.pdf</v>
      </c>
      <c r="Y148" s="136">
        <v>46141.147997685184</v>
      </c>
      <c r="Z148" s="35" t="s">
        <v>3752</v>
      </c>
      <c r="AA148" s="137">
        <v>2.0</v>
      </c>
      <c r="AB148" s="137" t="s">
        <v>93</v>
      </c>
      <c r="AC148" s="28" t="s">
        <v>6376</v>
      </c>
      <c r="AD148" s="27"/>
      <c r="AE148" s="28"/>
      <c r="AF148" s="137" t="str">
        <f t="shared" si="5"/>
        <v/>
      </c>
      <c r="AG148" s="35"/>
      <c r="AH148" s="137"/>
      <c r="AI148" s="137"/>
      <c r="AJ148" s="137"/>
      <c r="AK148" s="137"/>
      <c r="AL148" s="137"/>
      <c r="AM148" s="137"/>
      <c r="AN148" s="137"/>
      <c r="AO148" s="137"/>
      <c r="AP148" s="137"/>
      <c r="AQ148" s="137"/>
      <c r="AR148" s="137"/>
      <c r="AS148" s="137"/>
      <c r="AT148" s="137"/>
      <c r="AU148" s="137"/>
      <c r="AV148" s="137"/>
      <c r="AW148" s="137"/>
      <c r="AX148" s="137"/>
      <c r="AY148" s="137"/>
      <c r="AZ148" s="137"/>
      <c r="BA148" s="137"/>
    </row>
    <row r="149" ht="17.25" hidden="1" customHeight="1">
      <c r="A149" s="35" t="s">
        <v>3198</v>
      </c>
      <c r="B149" s="132">
        <v>37940.0</v>
      </c>
      <c r="C149" s="35" t="s">
        <v>3199</v>
      </c>
      <c r="D149" s="133" t="s">
        <v>3200</v>
      </c>
      <c r="E149" s="35" t="s">
        <v>82</v>
      </c>
      <c r="F149" s="35" t="s">
        <v>62</v>
      </c>
      <c r="G149" s="35" t="s">
        <v>3201</v>
      </c>
      <c r="H149" s="35" t="s">
        <v>3202</v>
      </c>
      <c r="I149" s="35" t="s">
        <v>2180</v>
      </c>
      <c r="J149" s="35"/>
      <c r="K149" s="35" t="s">
        <v>103</v>
      </c>
      <c r="L149" s="35" t="s">
        <v>384</v>
      </c>
      <c r="M149" s="134">
        <v>46006.0</v>
      </c>
      <c r="N149" s="35" t="s">
        <v>3203</v>
      </c>
      <c r="O149" s="135" t="str">
        <f>HYPERLINK("https://api.typeform.com/responses/files/f8fe653a10c2241889182bf24c27a9861c1da47af683c7a5c979959ca282a909/Transcript___Data_Analysis_Intern___Nguyen_Duc_Thang.pdf")</f>
        <v>https://api.typeform.com/responses/files/f8fe653a10c2241889182bf24c27a9861c1da47af683c7a5c979959ca282a909/Transcript___Data_Analysis_Intern___Nguyen_Duc_Thang.pdf</v>
      </c>
      <c r="P149" s="35" t="b">
        <v>1</v>
      </c>
      <c r="Q149" s="35" t="s">
        <v>3204</v>
      </c>
      <c r="R149" s="35" t="s">
        <v>3205</v>
      </c>
      <c r="S149" s="35" t="s">
        <v>72</v>
      </c>
      <c r="T149" s="35" t="s">
        <v>72</v>
      </c>
      <c r="U149" s="35" t="s">
        <v>90</v>
      </c>
      <c r="V149" s="35"/>
      <c r="W149" s="35" t="s">
        <v>3206</v>
      </c>
      <c r="X149" s="135" t="str">
        <f>HYPERLINK("https://api.typeform.com/responses/files/60f10a610e69684fd79d753a77ee55a500411ac0449d904baf71bf766763233e/CV_Data_Analysis_Intern_Nguyen_Duc_Thang.pdf")</f>
        <v>https://api.typeform.com/responses/files/60f10a610e69684fd79d753a77ee55a500411ac0449d904baf71bf766763233e/CV_Data_Analysis_Intern_Nguyen_Duc_Thang.pdf</v>
      </c>
      <c r="Y149" s="136">
        <v>46140.1781712963</v>
      </c>
      <c r="Z149" s="35" t="s">
        <v>3207</v>
      </c>
      <c r="AA149" s="137">
        <v>2.0</v>
      </c>
      <c r="AB149" s="137" t="s">
        <v>93</v>
      </c>
      <c r="AC149" s="28" t="s">
        <v>6376</v>
      </c>
      <c r="AD149" s="27"/>
      <c r="AE149" s="28"/>
      <c r="AF149" s="137" t="str">
        <f t="shared" si="5"/>
        <v/>
      </c>
      <c r="AG149" s="35"/>
      <c r="AH149" s="137"/>
      <c r="AI149" s="137"/>
      <c r="AJ149" s="137"/>
      <c r="AK149" s="137"/>
      <c r="AL149" s="137"/>
      <c r="AM149" s="137"/>
      <c r="AN149" s="137"/>
      <c r="AO149" s="137"/>
      <c r="AP149" s="137"/>
      <c r="AQ149" s="137"/>
      <c r="AR149" s="137"/>
      <c r="AS149" s="137"/>
      <c r="AT149" s="137"/>
      <c r="AU149" s="137"/>
      <c r="AV149" s="137"/>
      <c r="AW149" s="137"/>
      <c r="AX149" s="137"/>
      <c r="AY149" s="137"/>
      <c r="AZ149" s="137"/>
      <c r="BA149" s="137"/>
    </row>
    <row r="150" ht="17.25" hidden="1" customHeight="1">
      <c r="A150" s="35" t="s">
        <v>3282</v>
      </c>
      <c r="B150" s="132">
        <v>38064.0</v>
      </c>
      <c r="C150" s="35" t="s">
        <v>3283</v>
      </c>
      <c r="D150" s="133" t="s">
        <v>3284</v>
      </c>
      <c r="E150" s="35" t="s">
        <v>62</v>
      </c>
      <c r="F150" s="35" t="s">
        <v>82</v>
      </c>
      <c r="G150" s="35" t="s">
        <v>3285</v>
      </c>
      <c r="H150" s="35" t="s">
        <v>3286</v>
      </c>
      <c r="I150" s="35" t="s">
        <v>715</v>
      </c>
      <c r="J150" s="35"/>
      <c r="K150" s="35" t="s">
        <v>67</v>
      </c>
      <c r="L150" s="35" t="s">
        <v>399</v>
      </c>
      <c r="M150" s="134">
        <v>46336.0</v>
      </c>
      <c r="N150" s="133" t="s">
        <v>1852</v>
      </c>
      <c r="O150" s="135" t="str">
        <f>HYPERLINK("https://api.typeform.com/responses/files/50b34be58b42ac969baf6bf43ac92cdf10161eacb964ae51f19552d6a59569c3/Transcript___AI_Engineer_Intern__Tiêu_Trí_Bằng.pdf")</f>
        <v>https://api.typeform.com/responses/files/50b34be58b42ac969baf6bf43ac92cdf10161eacb964ae51f19552d6a59569c3/Transcript___AI_Engineer_Intern__Tiêu_Trí_Bằng.pdf</v>
      </c>
      <c r="P150" s="35" t="b">
        <v>1</v>
      </c>
      <c r="Q150" s="35" t="s">
        <v>3287</v>
      </c>
      <c r="R150" s="35" t="s">
        <v>3288</v>
      </c>
      <c r="S150" s="35" t="s">
        <v>72</v>
      </c>
      <c r="T150" s="35" t="s">
        <v>72</v>
      </c>
      <c r="U150" s="138" t="s">
        <v>269</v>
      </c>
      <c r="V150" s="35"/>
      <c r="W150" s="35" t="s">
        <v>3289</v>
      </c>
      <c r="X150" s="135" t="str">
        <f>HYPERLINK("https://api.typeform.com/responses/files/295c3c2e962e8eb7cc2416f2d89a422600e7583508862f76a99539bfd78600db/CV___AI_Engineer_Intern___Tiêu_Trí_Bằng.pdf")</f>
        <v>https://api.typeform.com/responses/files/295c3c2e962e8eb7cc2416f2d89a422600e7583508862f76a99539bfd78600db/CV___AI_Engineer_Intern___Tiêu_Trí_Bằng.pdf</v>
      </c>
      <c r="Y150" s="136">
        <v>46140.21864583333</v>
      </c>
      <c r="Z150" s="35" t="s">
        <v>3290</v>
      </c>
      <c r="AA150" s="137">
        <v>2.0</v>
      </c>
      <c r="AB150" s="139" t="s">
        <v>6381</v>
      </c>
      <c r="AC150" s="28" t="s">
        <v>6377</v>
      </c>
      <c r="AD150" s="28" t="s">
        <v>6521</v>
      </c>
      <c r="AE150" s="28" t="s">
        <v>6379</v>
      </c>
      <c r="AF150" s="137" t="str">
        <f t="shared" si="5"/>
        <v>Quỳnh</v>
      </c>
      <c r="AG150" s="35"/>
      <c r="AH150" s="137"/>
      <c r="AI150" s="137"/>
      <c r="AJ150" s="137"/>
      <c r="AK150" s="137"/>
      <c r="AL150" s="137"/>
      <c r="AM150" s="137"/>
      <c r="AN150" s="137"/>
      <c r="AO150" s="137"/>
      <c r="AP150" s="137"/>
      <c r="AQ150" s="137"/>
      <c r="AR150" s="137"/>
      <c r="AS150" s="137"/>
      <c r="AT150" s="137"/>
      <c r="AU150" s="137"/>
      <c r="AV150" s="137"/>
      <c r="AW150" s="137"/>
      <c r="AX150" s="137"/>
      <c r="AY150" s="137"/>
      <c r="AZ150" s="137"/>
      <c r="BA150" s="137"/>
    </row>
    <row r="151" ht="17.25" hidden="1" customHeight="1">
      <c r="A151" s="35" t="s">
        <v>1767</v>
      </c>
      <c r="B151" s="132">
        <v>37797.0</v>
      </c>
      <c r="C151" s="35" t="s">
        <v>1768</v>
      </c>
      <c r="D151" s="133" t="s">
        <v>1769</v>
      </c>
      <c r="E151" s="35" t="s">
        <v>82</v>
      </c>
      <c r="F151" s="35" t="s">
        <v>127</v>
      </c>
      <c r="G151" s="35" t="s">
        <v>1770</v>
      </c>
      <c r="H151" s="35" t="s">
        <v>1771</v>
      </c>
      <c r="I151" s="35" t="s">
        <v>1772</v>
      </c>
      <c r="J151" s="35"/>
      <c r="K151" s="35" t="s">
        <v>103</v>
      </c>
      <c r="L151" s="35" t="s">
        <v>1773</v>
      </c>
      <c r="M151" s="134">
        <v>45921.0</v>
      </c>
      <c r="N151" s="133" t="s">
        <v>171</v>
      </c>
      <c r="O151" s="135" t="str">
        <f>HYPERLINK("https://api.typeform.com/responses/files/b396e14a07480bb201a23fa58cd78714a2df2fa425d6c59e8b8f394b4c9cf92f/Chau_My_Phuong_transcript.pdf")</f>
        <v>https://api.typeform.com/responses/files/b396e14a07480bb201a23fa58cd78714a2df2fa425d6c59e8b8f394b4c9cf92f/Chau_My_Phuong_transcript.pdf</v>
      </c>
      <c r="P151" s="35" t="b">
        <v>0</v>
      </c>
      <c r="Q151" s="43" t="s">
        <v>1774</v>
      </c>
      <c r="R151" s="35" t="s">
        <v>1775</v>
      </c>
      <c r="S151" s="35" t="s">
        <v>72</v>
      </c>
      <c r="T151" s="35" t="s">
        <v>72</v>
      </c>
      <c r="U151" s="35" t="s">
        <v>90</v>
      </c>
      <c r="V151" s="35"/>
      <c r="W151" s="35" t="s">
        <v>1776</v>
      </c>
      <c r="X151" s="135" t="str">
        <f>HYPERLINK("https://api.typeform.com/responses/files/39df4a5846dca1c7bb9e2d6af98bcd1dfd4aa8f736cbb7802630ede2b3395ec0/CV__Data_Analysis_Intern___Game_QA_Intern___Chau_My_Phuong.pdf")</f>
        <v>https://api.typeform.com/responses/files/39df4a5846dca1c7bb9e2d6af98bcd1dfd4aa8f736cbb7802630ede2b3395ec0/CV__Data_Analysis_Intern___Game_QA_Intern___Chau_My_Phuong.pdf</v>
      </c>
      <c r="Y151" s="136">
        <v>46136.22893518519</v>
      </c>
      <c r="Z151" s="35" t="s">
        <v>1777</v>
      </c>
      <c r="AA151" s="137">
        <v>2.0</v>
      </c>
      <c r="AB151" s="137" t="s">
        <v>93</v>
      </c>
      <c r="AC151" s="28" t="s">
        <v>6376</v>
      </c>
      <c r="AD151" s="27"/>
      <c r="AE151" s="28"/>
      <c r="AF151" s="137" t="str">
        <f t="shared" si="5"/>
        <v/>
      </c>
      <c r="AG151" s="35"/>
      <c r="AH151" s="137"/>
      <c r="AI151" s="137"/>
      <c r="AJ151" s="137"/>
      <c r="AK151" s="137"/>
      <c r="AL151" s="137"/>
      <c r="AM151" s="137"/>
      <c r="AN151" s="137"/>
      <c r="AO151" s="137"/>
      <c r="AP151" s="137"/>
      <c r="AQ151" s="137"/>
      <c r="AR151" s="137"/>
      <c r="AS151" s="137"/>
      <c r="AT151" s="137"/>
      <c r="AU151" s="137"/>
      <c r="AV151" s="137"/>
      <c r="AW151" s="137"/>
      <c r="AX151" s="137"/>
      <c r="AY151" s="137"/>
      <c r="AZ151" s="137"/>
      <c r="BA151" s="137"/>
    </row>
    <row r="152" ht="17.25" hidden="1" customHeight="1">
      <c r="A152" s="35" t="s">
        <v>4289</v>
      </c>
      <c r="B152" s="132">
        <v>38078.0</v>
      </c>
      <c r="C152" s="35" t="s">
        <v>4290</v>
      </c>
      <c r="D152" s="133" t="s">
        <v>4291</v>
      </c>
      <c r="E152" s="35" t="s">
        <v>62</v>
      </c>
      <c r="F152" s="35" t="s">
        <v>82</v>
      </c>
      <c r="G152" s="35" t="s">
        <v>4292</v>
      </c>
      <c r="H152" s="35" t="s">
        <v>4293</v>
      </c>
      <c r="I152" s="35" t="s">
        <v>85</v>
      </c>
      <c r="J152" s="35"/>
      <c r="K152" s="35" t="s">
        <v>103</v>
      </c>
      <c r="L152" s="35" t="s">
        <v>399</v>
      </c>
      <c r="M152" s="134">
        <v>46179.0</v>
      </c>
      <c r="N152" s="133" t="s">
        <v>221</v>
      </c>
      <c r="O152" s="135" t="str">
        <f>HYPERLINK("https://api.typeform.com/responses/files/2b5d0e2d7c44563154361af2ced6194e180ebdb67b86f146914a5f1bd3a54572/Transcript___AI_Engineer_Intern___Trieu_Tan_Huy.pdf")</f>
        <v>https://api.typeform.com/responses/files/2b5d0e2d7c44563154361af2ced6194e180ebdb67b86f146914a5f1bd3a54572/Transcript___AI_Engineer_Intern___Trieu_Tan_Huy.pdf</v>
      </c>
      <c r="P152" s="35" t="b">
        <v>1</v>
      </c>
      <c r="Q152" s="35" t="s">
        <v>4294</v>
      </c>
      <c r="R152" s="35" t="s">
        <v>4295</v>
      </c>
      <c r="S152" s="35" t="s">
        <v>72</v>
      </c>
      <c r="T152" s="35" t="s">
        <v>72</v>
      </c>
      <c r="U152" s="138" t="s">
        <v>2389</v>
      </c>
      <c r="V152" s="35"/>
      <c r="W152" s="35" t="s">
        <v>4296</v>
      </c>
      <c r="X152" s="135" t="str">
        <f>HYPERLINK("https://api.typeform.com/responses/files/774fecf463440adc873203c9a1ea1d1916717229a3608962c99124089c79ad8a/TrieuTanHuy_CV.pdf")</f>
        <v>https://api.typeform.com/responses/files/774fecf463440adc873203c9a1ea1d1916717229a3608962c99124089c79ad8a/TrieuTanHuy_CV.pdf</v>
      </c>
      <c r="Y152" s="136">
        <v>46143.407997685186</v>
      </c>
      <c r="Z152" s="35" t="s">
        <v>4297</v>
      </c>
      <c r="AA152" s="137">
        <v>2.0</v>
      </c>
      <c r="AB152" s="139" t="s">
        <v>6381</v>
      </c>
      <c r="AC152" s="28" t="s">
        <v>6376</v>
      </c>
      <c r="AD152" s="28" t="s">
        <v>6410</v>
      </c>
      <c r="AE152" s="28"/>
      <c r="AF152" s="137" t="str">
        <f t="shared" si="5"/>
        <v/>
      </c>
      <c r="AG152" s="35"/>
      <c r="AH152" s="137"/>
      <c r="AI152" s="137"/>
      <c r="AJ152" s="137"/>
      <c r="AK152" s="137"/>
      <c r="AL152" s="137"/>
      <c r="AM152" s="137"/>
      <c r="AN152" s="137"/>
      <c r="AO152" s="137"/>
      <c r="AP152" s="137"/>
      <c r="AQ152" s="137"/>
      <c r="AR152" s="137"/>
      <c r="AS152" s="137"/>
      <c r="AT152" s="137"/>
      <c r="AU152" s="137"/>
      <c r="AV152" s="137"/>
      <c r="AW152" s="137"/>
      <c r="AX152" s="137"/>
      <c r="AY152" s="137"/>
      <c r="AZ152" s="137"/>
      <c r="BA152" s="137"/>
    </row>
    <row r="153" ht="17.25" hidden="1" customHeight="1">
      <c r="A153" s="35" t="s">
        <v>2370</v>
      </c>
      <c r="B153" s="132">
        <v>38126.0</v>
      </c>
      <c r="C153" s="35" t="s">
        <v>2371</v>
      </c>
      <c r="D153" s="133" t="s">
        <v>2372</v>
      </c>
      <c r="E153" s="35" t="s">
        <v>62</v>
      </c>
      <c r="F153" s="35" t="s">
        <v>82</v>
      </c>
      <c r="G153" s="35" t="s">
        <v>2373</v>
      </c>
      <c r="H153" s="35" t="s">
        <v>2374</v>
      </c>
      <c r="I153" s="35" t="s">
        <v>1069</v>
      </c>
      <c r="J153" s="35"/>
      <c r="K153" s="35" t="s">
        <v>67</v>
      </c>
      <c r="L153" s="35" t="s">
        <v>1183</v>
      </c>
      <c r="M153" s="134">
        <v>46447.0</v>
      </c>
      <c r="N153" s="133" t="s">
        <v>2375</v>
      </c>
      <c r="O153" s="135" t="str">
        <f>HYPERLINK("https://api.typeform.com/responses/files/6be9a1641a72d05dd8ece9e42c9e5c8f89beb9ba535a2041968926de36bf9a9a/Cổng_thông_tin_sinh_viên.pdf")</f>
        <v>https://api.typeform.com/responses/files/6be9a1641a72d05dd8ece9e42c9e5c8f89beb9ba535a2041968926de36bf9a9a/Cổng_thông_tin_sinh_viên.pdf</v>
      </c>
      <c r="P153" s="35" t="b">
        <v>1</v>
      </c>
      <c r="Q153" s="43" t="s">
        <v>2376</v>
      </c>
      <c r="R153" s="35" t="s">
        <v>2377</v>
      </c>
      <c r="S153" s="35" t="s">
        <v>72</v>
      </c>
      <c r="T153" s="35" t="s">
        <v>72</v>
      </c>
      <c r="U153" s="138" t="s">
        <v>236</v>
      </c>
      <c r="V153" s="35"/>
      <c r="W153" s="35" t="s">
        <v>2378</v>
      </c>
      <c r="X153" s="135" t="str">
        <f>HYPERLINK("https://api.typeform.com/responses/files/d383c8c74a6ed143db5cab7cd368019cd7de55e5d037b7006c61c99f41da9ee5/MYCV__4_.pdf")</f>
        <v>https://api.typeform.com/responses/files/d383c8c74a6ed143db5cab7cd368019cd7de55e5d037b7006c61c99f41da9ee5/MYCV__4_.pdf</v>
      </c>
      <c r="Y153" s="136">
        <v>46137.57237268519</v>
      </c>
      <c r="Z153" s="35" t="s">
        <v>2379</v>
      </c>
      <c r="AA153" s="137">
        <v>2.0</v>
      </c>
      <c r="AB153" s="139" t="s">
        <v>6381</v>
      </c>
      <c r="AC153" s="28" t="s">
        <v>6376</v>
      </c>
      <c r="AD153" s="27"/>
      <c r="AE153" s="28"/>
      <c r="AF153" s="137" t="str">
        <f t="shared" si="5"/>
        <v/>
      </c>
      <c r="AG153" s="140"/>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row>
    <row r="154" ht="17.25" hidden="1" customHeight="1">
      <c r="A154" s="169" t="s">
        <v>2812</v>
      </c>
      <c r="B154" s="170">
        <v>37306.0</v>
      </c>
      <c r="C154" s="169" t="s">
        <v>2813</v>
      </c>
      <c r="D154" s="171" t="s">
        <v>2814</v>
      </c>
      <c r="E154" s="169" t="s">
        <v>99</v>
      </c>
      <c r="F154" s="169" t="s">
        <v>127</v>
      </c>
      <c r="G154" s="169" t="s">
        <v>2815</v>
      </c>
      <c r="H154" s="169" t="s">
        <v>2816</v>
      </c>
      <c r="I154" s="169" t="s">
        <v>715</v>
      </c>
      <c r="J154" s="169"/>
      <c r="K154" s="169" t="s">
        <v>103</v>
      </c>
      <c r="L154" s="169" t="s">
        <v>2817</v>
      </c>
      <c r="M154" s="172">
        <v>46136.0</v>
      </c>
      <c r="N154" s="171" t="s">
        <v>2818</v>
      </c>
      <c r="O154" s="173" t="str">
        <f>HYPERLINK("https://api.typeform.com/responses/files/76587f2b3416e2ab0271de7eae5dd0c6c34e34269fe1a3709b2d71e516a533ea/Transcript___Game_Design_Intern___Bui_Tuan_Hung.jpg")</f>
        <v>https://api.typeform.com/responses/files/76587f2b3416e2ab0271de7eae5dd0c6c34e34269fe1a3709b2d71e516a533ea/Transcript___Game_Design_Intern___Bui_Tuan_Hung.jpg</v>
      </c>
      <c r="P154" s="169" t="b">
        <v>1</v>
      </c>
      <c r="Q154" s="174" t="s">
        <v>2819</v>
      </c>
      <c r="R154" s="169" t="s">
        <v>2820</v>
      </c>
      <c r="S154" s="169" t="s">
        <v>72</v>
      </c>
      <c r="T154" s="169" t="s">
        <v>72</v>
      </c>
      <c r="U154" s="169" t="s">
        <v>1632</v>
      </c>
      <c r="V154" s="169"/>
      <c r="W154" s="169" t="s">
        <v>2821</v>
      </c>
      <c r="X154" s="173" t="str">
        <f>HYPERLINK("https://api.typeform.com/responses/files/9edf6aac68d3d5b2aefdf97a1a2319d19e168d98a48c27f055b85647611ef95e/CV___Portfolio___Game_Design_Intern___Bui_Tuan_Hung.pdf")</f>
        <v>https://api.typeform.com/responses/files/9edf6aac68d3d5b2aefdf97a1a2319d19e168d98a48c27f055b85647611ef95e/CV___Portfolio___Game_Design_Intern___Bui_Tuan_Hung.pdf</v>
      </c>
      <c r="Y154" s="175">
        <v>46139.41898148148</v>
      </c>
      <c r="Z154" s="169" t="s">
        <v>2822</v>
      </c>
      <c r="AA154" s="176">
        <v>2.0</v>
      </c>
      <c r="AB154" s="177" t="s">
        <v>6381</v>
      </c>
      <c r="AC154" s="178" t="s">
        <v>6376</v>
      </c>
      <c r="AD154" s="178" t="s">
        <v>6522</v>
      </c>
      <c r="AE154" s="178"/>
      <c r="AF154" s="137" t="str">
        <f t="shared" si="5"/>
        <v/>
      </c>
      <c r="AG154" s="169"/>
      <c r="AH154" s="176"/>
      <c r="AI154" s="176"/>
      <c r="AJ154" s="176"/>
      <c r="AK154" s="176"/>
      <c r="AL154" s="176"/>
      <c r="AM154" s="176"/>
      <c r="AN154" s="176"/>
      <c r="AO154" s="176"/>
      <c r="AP154" s="176"/>
      <c r="AQ154" s="176"/>
      <c r="AR154" s="176"/>
      <c r="AS154" s="176"/>
      <c r="AT154" s="176"/>
      <c r="AU154" s="176"/>
      <c r="AV154" s="176"/>
      <c r="AW154" s="176"/>
      <c r="AX154" s="176"/>
      <c r="AY154" s="176"/>
      <c r="AZ154" s="176"/>
      <c r="BA154" s="176"/>
    </row>
    <row r="155" ht="17.25" hidden="1" customHeight="1">
      <c r="A155" s="35" t="s">
        <v>3021</v>
      </c>
      <c r="B155" s="132">
        <v>38129.0</v>
      </c>
      <c r="C155" s="35" t="s">
        <v>3022</v>
      </c>
      <c r="D155" s="133" t="s">
        <v>3023</v>
      </c>
      <c r="E155" s="35" t="s">
        <v>62</v>
      </c>
      <c r="F155" s="35" t="s">
        <v>62</v>
      </c>
      <c r="G155" s="35" t="s">
        <v>3024</v>
      </c>
      <c r="H155" s="35" t="s">
        <v>3025</v>
      </c>
      <c r="I155" s="35" t="s">
        <v>715</v>
      </c>
      <c r="J155" s="35"/>
      <c r="K155" s="35" t="s">
        <v>67</v>
      </c>
      <c r="L155" s="35" t="s">
        <v>3026</v>
      </c>
      <c r="M155" s="134">
        <v>46203.0</v>
      </c>
      <c r="N155" s="133" t="s">
        <v>3027</v>
      </c>
      <c r="O155" s="135" t="str">
        <f>HYPERLINK("https://api.typeform.com/responses/files/c5957033c07fad52838b6df329cfc8cb28ca2d2314b71e009dbb2280c3370c55/Transcript___AI_Engineer_Intern___Nguyễn_Việt_Hùng_.pdf")</f>
        <v>https://api.typeform.com/responses/files/c5957033c07fad52838b6df329cfc8cb28ca2d2314b71e009dbb2280c3370c55/Transcript___AI_Engineer_Intern___Nguyễn_Việt_Hùng_.pdf</v>
      </c>
      <c r="P155" s="35" t="b">
        <v>1</v>
      </c>
      <c r="Q155" s="43" t="s">
        <v>3028</v>
      </c>
      <c r="R155" s="35" t="s">
        <v>3029</v>
      </c>
      <c r="S155" s="35" t="s">
        <v>72</v>
      </c>
      <c r="T155" s="35" t="s">
        <v>72</v>
      </c>
      <c r="U155" s="138" t="s">
        <v>90</v>
      </c>
      <c r="V155" s="35"/>
      <c r="W155" s="35" t="s">
        <v>3030</v>
      </c>
      <c r="X155" s="135" t="str">
        <f>HYPERLINK("https://api.typeform.com/responses/files/f15df88fee1de1c86b0b4110bc89a6539851fc94770ab85ca3646600b47f2f3c/CV_AI_Engineer_Intern_Nguyễn_Việt_Hùng.pdf")</f>
        <v>https://api.typeform.com/responses/files/f15df88fee1de1c86b0b4110bc89a6539851fc94770ab85ca3646600b47f2f3c/CV_AI_Engineer_Intern_Nguyễn_Việt_Hùng.pdf</v>
      </c>
      <c r="Y155" s="136">
        <v>46139.68866898148</v>
      </c>
      <c r="Z155" s="35" t="s">
        <v>3031</v>
      </c>
      <c r="AA155" s="137">
        <v>2.0</v>
      </c>
      <c r="AB155" s="139" t="s">
        <v>6381</v>
      </c>
      <c r="AC155" s="28" t="s">
        <v>6377</v>
      </c>
      <c r="AD155" s="28" t="s">
        <v>6523</v>
      </c>
      <c r="AE155" s="28" t="s">
        <v>6379</v>
      </c>
      <c r="AF155" s="137" t="str">
        <f t="shared" si="5"/>
        <v>Quỳnh</v>
      </c>
      <c r="AG155" s="140"/>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row>
    <row r="156" ht="17.25" hidden="1" customHeight="1">
      <c r="A156" s="140" t="s">
        <v>4280</v>
      </c>
      <c r="B156" s="141">
        <v>37720.0</v>
      </c>
      <c r="C156" s="140" t="s">
        <v>4281</v>
      </c>
      <c r="D156" s="142" t="s">
        <v>4282</v>
      </c>
      <c r="E156" s="140" t="s">
        <v>62</v>
      </c>
      <c r="F156" s="140" t="s">
        <v>82</v>
      </c>
      <c r="G156" s="140" t="s">
        <v>4283</v>
      </c>
      <c r="H156" s="140" t="s">
        <v>4284</v>
      </c>
      <c r="I156" s="140" t="s">
        <v>4285</v>
      </c>
      <c r="J156" s="140"/>
      <c r="K156" s="140" t="s">
        <v>103</v>
      </c>
      <c r="L156" s="140" t="s">
        <v>1830</v>
      </c>
      <c r="M156" s="143">
        <v>46111.0</v>
      </c>
      <c r="N156" s="142" t="s">
        <v>2009</v>
      </c>
      <c r="O156" s="144" t="str">
        <f>HYPERLINK("https://api.typeform.com/responses/files/ecdb1145566fd5cd9066f8821b856caf1705139444cc82c0b0f009f6f66e7967/Transcript___AI_Engineer_Intern___Trương_Hoài_Phong.pdf")</f>
        <v>https://api.typeform.com/responses/files/ecdb1145566fd5cd9066f8821b856caf1705139444cc82c0b0f009f6f66e7967/Transcript___AI_Engineer_Intern___Trương_Hoài_Phong.pdf</v>
      </c>
      <c r="P156" s="140" t="b">
        <v>0</v>
      </c>
      <c r="Q156" s="140" t="s">
        <v>268</v>
      </c>
      <c r="R156" s="140" t="s">
        <v>4286</v>
      </c>
      <c r="S156" s="140" t="s">
        <v>72</v>
      </c>
      <c r="T156" s="140" t="s">
        <v>72</v>
      </c>
      <c r="U156" s="140" t="s">
        <v>224</v>
      </c>
      <c r="V156" s="140"/>
      <c r="W156" s="140" t="s">
        <v>4287</v>
      </c>
      <c r="X156" s="144" t="str">
        <f>HYPERLINK("https://api.typeform.com/responses/files/8aaf69b079573412173b571a1b15123bcd982d4feb582d0fd0bda328cee6a168/CV_AI_Engineer_Intern_Trương_Hoài_Phong.pdf")</f>
        <v>https://api.typeform.com/responses/files/8aaf69b079573412173b571a1b15123bcd982d4feb582d0fd0bda328cee6a168/CV_AI_Engineer_Intern_Trương_Hoài_Phong.pdf</v>
      </c>
      <c r="Y156" s="145">
        <v>46143.3096875</v>
      </c>
      <c r="Z156" s="140" t="s">
        <v>4288</v>
      </c>
      <c r="AA156" s="146">
        <v>2.0</v>
      </c>
      <c r="AB156" s="147" t="s">
        <v>6381</v>
      </c>
      <c r="AC156" s="70" t="s">
        <v>6376</v>
      </c>
      <c r="AD156" s="148"/>
      <c r="AE156" s="70"/>
      <c r="AF156" s="146" t="str">
        <f t="shared" si="5"/>
        <v/>
      </c>
      <c r="AG156" s="35"/>
      <c r="AH156" s="137"/>
      <c r="AI156" s="137"/>
      <c r="AJ156" s="137"/>
      <c r="AK156" s="137"/>
      <c r="AL156" s="137"/>
      <c r="AM156" s="137"/>
      <c r="AN156" s="137"/>
      <c r="AO156" s="137"/>
      <c r="AP156" s="137"/>
      <c r="AQ156" s="137"/>
      <c r="AR156" s="137"/>
      <c r="AS156" s="137"/>
      <c r="AT156" s="137"/>
      <c r="AU156" s="137"/>
      <c r="AV156" s="137"/>
      <c r="AW156" s="137"/>
      <c r="AX156" s="137"/>
      <c r="AY156" s="137"/>
      <c r="AZ156" s="137"/>
      <c r="BA156" s="137"/>
    </row>
    <row r="157" ht="17.25" hidden="1" customHeight="1">
      <c r="A157" s="140" t="s">
        <v>1797</v>
      </c>
      <c r="B157" s="141">
        <v>38521.0</v>
      </c>
      <c r="C157" s="140" t="s">
        <v>1798</v>
      </c>
      <c r="D157" s="142" t="s">
        <v>1799</v>
      </c>
      <c r="E157" s="140" t="s">
        <v>62</v>
      </c>
      <c r="F157" s="140" t="s">
        <v>61</v>
      </c>
      <c r="G157" s="140" t="s">
        <v>1800</v>
      </c>
      <c r="H157" s="140" t="s">
        <v>1801</v>
      </c>
      <c r="I157" s="140" t="s">
        <v>338</v>
      </c>
      <c r="J157" s="140"/>
      <c r="K157" s="140" t="s">
        <v>219</v>
      </c>
      <c r="L157" s="140" t="s">
        <v>570</v>
      </c>
      <c r="M157" s="143">
        <v>46213.0</v>
      </c>
      <c r="N157" s="140" t="s">
        <v>1802</v>
      </c>
      <c r="O157" s="144" t="str">
        <f>HYPERLINK("https://api.typeform.com/responses/files/7922f1ac1fb90acd9e9d44cae77658e3a9d7c1687196e3f2e26c57218f241172/Bảng_điểm.pdf")</f>
        <v>https://api.typeform.com/responses/files/7922f1ac1fb90acd9e9d44cae77658e3a9d7c1687196e3f2e26c57218f241172/Bảng_điểm.pdf</v>
      </c>
      <c r="P157" s="140" t="b">
        <v>1</v>
      </c>
      <c r="Q157" s="161" t="s">
        <v>1803</v>
      </c>
      <c r="R157" s="140" t="s">
        <v>1804</v>
      </c>
      <c r="S157" s="140" t="s">
        <v>72</v>
      </c>
      <c r="T157" s="140" t="s">
        <v>72</v>
      </c>
      <c r="U157" s="140" t="s">
        <v>90</v>
      </c>
      <c r="V157" s="140"/>
      <c r="W157" s="140" t="s">
        <v>1805</v>
      </c>
      <c r="X157" s="144" t="str">
        <f>HYPERLINK("https://api.typeform.com/responses/files/ff42b2a5e62fc6977be2750eaf20ac21fc92d4bdd5b62acd742c7a9a983da1b4/CV_English.pdf")</f>
        <v>https://api.typeform.com/responses/files/ff42b2a5e62fc6977be2750eaf20ac21fc92d4bdd5b62acd742c7a9a983da1b4/CV_English.pdf</v>
      </c>
      <c r="Y157" s="145">
        <v>46136.25033564815</v>
      </c>
      <c r="Z157" s="140" t="s">
        <v>1806</v>
      </c>
      <c r="AA157" s="146">
        <v>2.0</v>
      </c>
      <c r="AB157" s="147" t="s">
        <v>6381</v>
      </c>
      <c r="AC157" s="70" t="s">
        <v>6376</v>
      </c>
      <c r="AD157" s="148"/>
      <c r="AE157" s="70"/>
      <c r="AF157" s="146" t="str">
        <f t="shared" si="5"/>
        <v/>
      </c>
      <c r="AG157" s="35"/>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row>
    <row r="158" ht="17.25" hidden="1" customHeight="1">
      <c r="A158" s="35" t="s">
        <v>1950</v>
      </c>
      <c r="B158" s="132">
        <v>38010.0</v>
      </c>
      <c r="C158" s="35" t="s">
        <v>1951</v>
      </c>
      <c r="D158" s="133" t="s">
        <v>1952</v>
      </c>
      <c r="E158" s="35" t="s">
        <v>99</v>
      </c>
      <c r="F158" s="35" t="s">
        <v>61</v>
      </c>
      <c r="G158" s="35" t="s">
        <v>1953</v>
      </c>
      <c r="H158" s="35" t="s">
        <v>1954</v>
      </c>
      <c r="I158" s="35" t="s">
        <v>715</v>
      </c>
      <c r="J158" s="35"/>
      <c r="K158" s="35" t="s">
        <v>67</v>
      </c>
      <c r="L158" s="35" t="s">
        <v>399</v>
      </c>
      <c r="M158" s="134">
        <v>46157.0</v>
      </c>
      <c r="N158" s="133" t="s">
        <v>1112</v>
      </c>
      <c r="O158" s="135" t="str">
        <f>HYPERLINK("https://api.typeform.com/responses/files/86ba9bab334075340838a29e026ffc780438b88711d05eba5980ca374e0df478/Transcript___Game_Design_Intern___Trương_Quang_Nghĩa.xlsx")</f>
        <v>https://api.typeform.com/responses/files/86ba9bab334075340838a29e026ffc780438b88711d05eba5980ca374e0df478/Transcript___Game_Design_Intern___Trương_Quang_Nghĩa.xlsx</v>
      </c>
      <c r="P158" s="35" t="b">
        <v>0</v>
      </c>
      <c r="Q158" s="43" t="s">
        <v>300</v>
      </c>
      <c r="R158" s="35" t="s">
        <v>1955</v>
      </c>
      <c r="S158" s="35" t="s">
        <v>72</v>
      </c>
      <c r="T158" s="35" t="s">
        <v>72</v>
      </c>
      <c r="U158" s="35" t="s">
        <v>90</v>
      </c>
      <c r="V158" s="35"/>
      <c r="W158" s="35" t="s">
        <v>1956</v>
      </c>
      <c r="X158" s="135" t="str">
        <f>HYPERLINK("https://api.typeform.com/responses/files/884f7664314ab1485462fce768c3bf9e45e4b0bddf47fc19e5384a8f3cdd412f/CV___Game_Design_Intern___Trương_Quang_Nghĩa.pdf")</f>
        <v>https://api.typeform.com/responses/files/884f7664314ab1485462fce768c3bf9e45e4b0bddf47fc19e5384a8f3cdd412f/CV___Game_Design_Intern___Trương_Quang_Nghĩa.pdf</v>
      </c>
      <c r="Y158" s="136">
        <v>46136.38542824074</v>
      </c>
      <c r="Z158" s="35" t="s">
        <v>1957</v>
      </c>
      <c r="AA158" s="137">
        <v>2.0</v>
      </c>
      <c r="AB158" s="139" t="s">
        <v>6381</v>
      </c>
      <c r="AC158" s="28" t="s">
        <v>6377</v>
      </c>
      <c r="AD158" s="27"/>
      <c r="AE158" s="28" t="s">
        <v>6379</v>
      </c>
      <c r="AF158" s="137" t="str">
        <f t="shared" si="5"/>
        <v>Nhiên</v>
      </c>
      <c r="AG158" s="35"/>
      <c r="AH158" s="137"/>
      <c r="AI158" s="137"/>
      <c r="AJ158" s="137"/>
      <c r="AK158" s="137"/>
      <c r="AL158" s="137"/>
      <c r="AM158" s="137"/>
      <c r="AN158" s="137"/>
      <c r="AO158" s="137"/>
      <c r="AP158" s="137"/>
      <c r="AQ158" s="137"/>
      <c r="AR158" s="137"/>
      <c r="AS158" s="137"/>
      <c r="AT158" s="137"/>
      <c r="AU158" s="137"/>
      <c r="AV158" s="137"/>
      <c r="AW158" s="137"/>
      <c r="AX158" s="137"/>
      <c r="AY158" s="137"/>
      <c r="AZ158" s="137"/>
      <c r="BA158" s="137"/>
    </row>
    <row r="159" ht="17.25" hidden="1" customHeight="1">
      <c r="A159" s="35" t="s">
        <v>2859</v>
      </c>
      <c r="B159" s="132">
        <v>38125.0</v>
      </c>
      <c r="C159" s="35" t="s">
        <v>2860</v>
      </c>
      <c r="D159" s="133" t="s">
        <v>2861</v>
      </c>
      <c r="E159" s="35" t="s">
        <v>61</v>
      </c>
      <c r="F159" s="35" t="s">
        <v>61</v>
      </c>
      <c r="G159" s="35" t="s">
        <v>2862</v>
      </c>
      <c r="H159" s="35" t="s">
        <v>2863</v>
      </c>
      <c r="I159" s="35" t="s">
        <v>244</v>
      </c>
      <c r="J159" s="35"/>
      <c r="K159" s="35" t="s">
        <v>67</v>
      </c>
      <c r="L159" s="35" t="s">
        <v>104</v>
      </c>
      <c r="M159" s="134">
        <v>46296.0</v>
      </c>
      <c r="N159" s="133" t="s">
        <v>1696</v>
      </c>
      <c r="O159" s="135" t="str">
        <f>HYPERLINK("https://api.typeform.com/responses/files/5236b273f6fe39a03bb742e5a6b72ade9f6e2b266c8a44c93421095855082619/Transcript___Unity_Game_Developer_Internship___Lê_Văn_Tài.pdf")</f>
        <v>https://api.typeform.com/responses/files/5236b273f6fe39a03bb742e5a6b72ade9f6e2b266c8a44c93421095855082619/Transcript___Unity_Game_Developer_Internship___Lê_Văn_Tài.pdf</v>
      </c>
      <c r="P159" s="35" t="b">
        <v>1</v>
      </c>
      <c r="Q159" s="43" t="s">
        <v>2864</v>
      </c>
      <c r="R159" s="182" t="s">
        <v>6524</v>
      </c>
      <c r="S159" s="35" t="s">
        <v>72</v>
      </c>
      <c r="T159" s="35" t="s">
        <v>72</v>
      </c>
      <c r="U159" s="35" t="s">
        <v>90</v>
      </c>
      <c r="V159" s="35"/>
      <c r="W159" s="35"/>
      <c r="X159" s="135" t="str">
        <f>HYPERLINK("https://api.typeform.com/responses/files/759dadbbc1943f7a6be6dc4443872a44429792740f05307d9f28a7793791229d/CV___Unity_Development_Intern___Lê_Văn_Tài.pdf")</f>
        <v>https://api.typeform.com/responses/files/759dadbbc1943f7a6be6dc4443872a44429792740f05307d9f28a7793791229d/CV___Unity_Development_Intern___Lê_Văn_Tài.pdf</v>
      </c>
      <c r="Y159" s="136">
        <v>46139.546319444446</v>
      </c>
      <c r="Z159" s="35" t="s">
        <v>2866</v>
      </c>
      <c r="AA159" s="137">
        <v>2.0</v>
      </c>
      <c r="AB159" s="137" t="s">
        <v>93</v>
      </c>
      <c r="AC159" s="28" t="s">
        <v>6377</v>
      </c>
      <c r="AD159" s="28" t="s">
        <v>6525</v>
      </c>
      <c r="AE159" s="28" t="s">
        <v>6379</v>
      </c>
      <c r="AF159" s="137" t="str">
        <f t="shared" si="5"/>
        <v>Quỳnh</v>
      </c>
      <c r="AG159" s="35"/>
      <c r="AH159" s="137"/>
      <c r="AI159" s="137"/>
      <c r="AJ159" s="137"/>
      <c r="AK159" s="137"/>
      <c r="AL159" s="137"/>
      <c r="AM159" s="137"/>
      <c r="AN159" s="137"/>
      <c r="AO159" s="137"/>
      <c r="AP159" s="137"/>
      <c r="AQ159" s="137"/>
      <c r="AR159" s="137"/>
      <c r="AS159" s="137"/>
      <c r="AT159" s="137"/>
      <c r="AU159" s="137"/>
      <c r="AV159" s="137"/>
      <c r="AW159" s="137"/>
      <c r="AX159" s="137"/>
      <c r="AY159" s="137"/>
      <c r="AZ159" s="137"/>
      <c r="BA159" s="137"/>
    </row>
    <row r="160" ht="17.25" hidden="1" customHeight="1">
      <c r="A160" s="35" t="s">
        <v>2867</v>
      </c>
      <c r="B160" s="132">
        <v>38705.0</v>
      </c>
      <c r="C160" s="35" t="s">
        <v>2868</v>
      </c>
      <c r="D160" s="133" t="s">
        <v>2869</v>
      </c>
      <c r="E160" s="35" t="s">
        <v>61</v>
      </c>
      <c r="F160" s="35" t="s">
        <v>62</v>
      </c>
      <c r="G160" s="35" t="s">
        <v>2870</v>
      </c>
      <c r="H160" s="35" t="s">
        <v>2871</v>
      </c>
      <c r="I160" s="35" t="s">
        <v>65</v>
      </c>
      <c r="J160" s="35" t="s">
        <v>231</v>
      </c>
      <c r="K160" s="35" t="s">
        <v>169</v>
      </c>
      <c r="L160" s="35" t="s">
        <v>256</v>
      </c>
      <c r="M160" s="134">
        <v>46021.0</v>
      </c>
      <c r="N160" s="133" t="s">
        <v>613</v>
      </c>
      <c r="O160" s="135" t="str">
        <f>HYPERLINK("https://api.typeform.com/responses/files/69d722044344eeef0093c61cc66744d77df15a060cb178c842f068447d35edb6/Transript___Unity_Developer___Nguyễn_Thanh_Tùng.pdf")</f>
        <v>https://api.typeform.com/responses/files/69d722044344eeef0093c61cc66744d77df15a060cb178c842f068447d35edb6/Transript___Unity_Developer___Nguyễn_Thanh_Tùng.pdf</v>
      </c>
      <c r="P160" s="35" t="b">
        <v>1</v>
      </c>
      <c r="Q160" s="43" t="s">
        <v>2872</v>
      </c>
      <c r="R160" s="35" t="s">
        <v>2873</v>
      </c>
      <c r="S160" s="35" t="s">
        <v>72</v>
      </c>
      <c r="T160" s="35" t="s">
        <v>72</v>
      </c>
      <c r="U160" s="35" t="s">
        <v>73</v>
      </c>
      <c r="V160" s="35"/>
      <c r="W160" s="35" t="s">
        <v>2874</v>
      </c>
      <c r="X160" s="135" t="str">
        <f>HYPERLINK("https://api.typeform.com/responses/files/99e7104fcfe1c72adc4920b3cfc4c510080eda8abdb1338177420ee1f488b360/CV_Unity_Developer_Nguyễn_Thanh_Tùng.pdf")</f>
        <v>https://api.typeform.com/responses/files/99e7104fcfe1c72adc4920b3cfc4c510080eda8abdb1338177420ee1f488b360/CV_Unity_Developer_Nguyễn_Thanh_Tùng.pdf</v>
      </c>
      <c r="Y160" s="136">
        <v>46139.56791666667</v>
      </c>
      <c r="Z160" s="35" t="s">
        <v>2875</v>
      </c>
      <c r="AA160" s="137">
        <v>2.0</v>
      </c>
      <c r="AB160" s="137" t="s">
        <v>93</v>
      </c>
      <c r="AC160" s="28" t="s">
        <v>6376</v>
      </c>
      <c r="AD160" s="27"/>
      <c r="AE160" s="28"/>
      <c r="AF160" s="137" t="str">
        <f t="shared" si="5"/>
        <v/>
      </c>
      <c r="AG160" s="35"/>
      <c r="AH160" s="137"/>
      <c r="AI160" s="137"/>
      <c r="AJ160" s="137"/>
      <c r="AK160" s="137"/>
      <c r="AL160" s="137"/>
      <c r="AM160" s="137"/>
      <c r="AN160" s="137"/>
      <c r="AO160" s="137"/>
      <c r="AP160" s="137"/>
      <c r="AQ160" s="137"/>
      <c r="AR160" s="137"/>
      <c r="AS160" s="137"/>
      <c r="AT160" s="137"/>
      <c r="AU160" s="137"/>
      <c r="AV160" s="137"/>
      <c r="AW160" s="137"/>
      <c r="AX160" s="137"/>
      <c r="AY160" s="137"/>
      <c r="AZ160" s="137"/>
      <c r="BA160" s="137"/>
    </row>
    <row r="161" ht="17.25" hidden="1" customHeight="1">
      <c r="A161" s="35" t="s">
        <v>2022</v>
      </c>
      <c r="B161" s="132">
        <v>38242.0</v>
      </c>
      <c r="C161" s="35" t="s">
        <v>2023</v>
      </c>
      <c r="D161" s="133" t="s">
        <v>2024</v>
      </c>
      <c r="E161" s="35" t="s">
        <v>99</v>
      </c>
      <c r="F161" s="35" t="s">
        <v>61</v>
      </c>
      <c r="G161" s="35" t="s">
        <v>2025</v>
      </c>
      <c r="H161" s="35" t="s">
        <v>2026</v>
      </c>
      <c r="I161" s="35" t="s">
        <v>644</v>
      </c>
      <c r="J161" s="35"/>
      <c r="K161" s="35" t="s">
        <v>67</v>
      </c>
      <c r="L161" s="35" t="s">
        <v>930</v>
      </c>
      <c r="M161" s="134">
        <v>46266.0</v>
      </c>
      <c r="N161" s="133" t="s">
        <v>2027</v>
      </c>
      <c r="O161" s="135" t="str">
        <f>HYPERLINK("https://api.typeform.com/responses/files/683baddc03b1625cc0b6d964b2dfc8c1169bcc721614eae5a4f2bd4de98e1df4/Transcript___Game_Design_Intern___Nguyễn_Đăng_Khôi.pdf")</f>
        <v>https://api.typeform.com/responses/files/683baddc03b1625cc0b6d964b2dfc8c1169bcc721614eae5a4f2bd4de98e1df4/Transcript___Game_Design_Intern___Nguyễn_Đăng_Khôi.pdf</v>
      </c>
      <c r="P161" s="35" t="b">
        <v>0</v>
      </c>
      <c r="Q161" s="43" t="s">
        <v>268</v>
      </c>
      <c r="R161" s="35" t="s">
        <v>2028</v>
      </c>
      <c r="S161" s="35" t="s">
        <v>72</v>
      </c>
      <c r="T161" s="35" t="s">
        <v>72</v>
      </c>
      <c r="U161" s="35" t="s">
        <v>90</v>
      </c>
      <c r="V161" s="35"/>
      <c r="W161" s="35"/>
      <c r="X161" s="135" t="str">
        <f>HYPERLINK("https://api.typeform.com/responses/files/4b3cf3e4628cb3d23cdbcfa003186aebfc4f3688e9f9f1ed9bc2a48e6b8e6d1a/CV___Game_Design_Intern___Nguyễn_Đăng_Khôi.pdf")</f>
        <v>https://api.typeform.com/responses/files/4b3cf3e4628cb3d23cdbcfa003186aebfc4f3688e9f9f1ed9bc2a48e6b8e6d1a/CV___Game_Design_Intern___Nguyễn_Đăng_Khôi.pdf</v>
      </c>
      <c r="Y161" s="136">
        <v>46136.535844907405</v>
      </c>
      <c r="Z161" s="35" t="s">
        <v>2029</v>
      </c>
      <c r="AA161" s="137">
        <v>2.0</v>
      </c>
      <c r="AB161" s="139" t="s">
        <v>6381</v>
      </c>
      <c r="AC161" s="28" t="s">
        <v>6377</v>
      </c>
      <c r="AD161" s="27"/>
      <c r="AE161" s="28" t="s">
        <v>6379</v>
      </c>
      <c r="AF161" s="137" t="str">
        <f t="shared" si="5"/>
        <v>Nhiên</v>
      </c>
      <c r="AG161" s="35"/>
      <c r="AH161" s="137"/>
      <c r="AI161" s="137"/>
      <c r="AJ161" s="137"/>
      <c r="AK161" s="137"/>
      <c r="AL161" s="137"/>
      <c r="AM161" s="137"/>
      <c r="AN161" s="137"/>
      <c r="AO161" s="137"/>
      <c r="AP161" s="137"/>
      <c r="AQ161" s="137"/>
      <c r="AR161" s="137"/>
      <c r="AS161" s="137"/>
      <c r="AT161" s="137"/>
      <c r="AU161" s="137"/>
      <c r="AV161" s="137"/>
      <c r="AW161" s="137"/>
      <c r="AX161" s="137"/>
      <c r="AY161" s="137"/>
      <c r="AZ161" s="137"/>
      <c r="BA161" s="137"/>
    </row>
    <row r="162" ht="17.25" hidden="1" customHeight="1">
      <c r="A162" s="35" t="s">
        <v>2955</v>
      </c>
      <c r="B162" s="132">
        <v>38137.0</v>
      </c>
      <c r="C162" s="35" t="s">
        <v>2956</v>
      </c>
      <c r="D162" s="133" t="s">
        <v>2957</v>
      </c>
      <c r="E162" s="35" t="s">
        <v>62</v>
      </c>
      <c r="F162" s="35" t="s">
        <v>82</v>
      </c>
      <c r="G162" s="35" t="s">
        <v>2958</v>
      </c>
      <c r="H162" s="35" t="s">
        <v>2959</v>
      </c>
      <c r="I162" s="35" t="s">
        <v>372</v>
      </c>
      <c r="J162" s="35"/>
      <c r="K162" s="35" t="s">
        <v>67</v>
      </c>
      <c r="L162" s="35" t="s">
        <v>2960</v>
      </c>
      <c r="M162" s="134">
        <v>46476.0</v>
      </c>
      <c r="N162" s="133" t="s">
        <v>1260</v>
      </c>
      <c r="O162" s="135" t="str">
        <f>HYPERLINK("https://api.typeform.com/responses/files/8ad30b30c3120cbff3f892acaaf466a5559ba5039e23b214bb7166c304ac3d2b/Screenshot_2026_04_27_223757.png")</f>
        <v>https://api.typeform.com/responses/files/8ad30b30c3120cbff3f892acaaf466a5559ba5039e23b214bb7166c304ac3d2b/Screenshot_2026_04_27_223757.png</v>
      </c>
      <c r="P162" s="35" t="b">
        <v>1</v>
      </c>
      <c r="Q162" s="43" t="s">
        <v>2961</v>
      </c>
      <c r="R162" s="35" t="s">
        <v>2962</v>
      </c>
      <c r="S162" s="35" t="s">
        <v>72</v>
      </c>
      <c r="T162" s="35" t="s">
        <v>72</v>
      </c>
      <c r="U162" s="138" t="s">
        <v>90</v>
      </c>
      <c r="V162" s="35"/>
      <c r="W162" s="35" t="s">
        <v>2963</v>
      </c>
      <c r="X162" s="135" t="str">
        <f>HYPERLINK("https://api.typeform.com/responses/files/f44d7bbf01dcf39fd3aff62b87099b0c9c89ddec14316e45805cf935348cfe93/TrinhTanHao_internAI.pdf")</f>
        <v>https://api.typeform.com/responses/files/f44d7bbf01dcf39fd3aff62b87099b0c9c89ddec14316e45805cf935348cfe93/TrinhTanHao_internAI.pdf</v>
      </c>
      <c r="Y162" s="136">
        <v>46139.65324074074</v>
      </c>
      <c r="Z162" s="35" t="s">
        <v>2964</v>
      </c>
      <c r="AA162" s="137">
        <v>2.0</v>
      </c>
      <c r="AB162" s="139" t="s">
        <v>6381</v>
      </c>
      <c r="AC162" s="28" t="s">
        <v>6376</v>
      </c>
      <c r="AD162" s="28" t="s">
        <v>6526</v>
      </c>
      <c r="AE162" s="28"/>
      <c r="AF162" s="137" t="str">
        <f t="shared" si="5"/>
        <v/>
      </c>
      <c r="AG162" s="35"/>
      <c r="AH162" s="137"/>
      <c r="AI162" s="137"/>
      <c r="AJ162" s="137"/>
      <c r="AK162" s="137"/>
      <c r="AL162" s="137"/>
      <c r="AM162" s="137"/>
      <c r="AN162" s="137"/>
      <c r="AO162" s="137"/>
      <c r="AP162" s="137"/>
      <c r="AQ162" s="137"/>
      <c r="AR162" s="137"/>
      <c r="AS162" s="137"/>
      <c r="AT162" s="137"/>
      <c r="AU162" s="137"/>
      <c r="AV162" s="137"/>
      <c r="AW162" s="137"/>
      <c r="AX162" s="137"/>
      <c r="AY162" s="137"/>
      <c r="AZ162" s="137"/>
      <c r="BA162" s="137"/>
    </row>
    <row r="163" ht="17.25" hidden="1" customHeight="1">
      <c r="A163" s="183" t="s">
        <v>2832</v>
      </c>
      <c r="B163" s="184">
        <v>38169.0</v>
      </c>
      <c r="C163" s="183" t="s">
        <v>2833</v>
      </c>
      <c r="D163" s="185" t="s">
        <v>2834</v>
      </c>
      <c r="E163" s="183" t="s">
        <v>99</v>
      </c>
      <c r="F163" s="183" t="s">
        <v>99</v>
      </c>
      <c r="G163" s="183" t="s">
        <v>2835</v>
      </c>
      <c r="H163" s="183" t="s">
        <v>2836</v>
      </c>
      <c r="I163" s="183" t="s">
        <v>85</v>
      </c>
      <c r="J163" s="183"/>
      <c r="K163" s="183" t="s">
        <v>67</v>
      </c>
      <c r="L163" s="183" t="s">
        <v>2837</v>
      </c>
      <c r="M163" s="186">
        <v>46296.0</v>
      </c>
      <c r="N163" s="185" t="s">
        <v>2142</v>
      </c>
      <c r="O163" s="187" t="str">
        <f>HYPERLINK("https://api.typeform.com/responses/files/6ae6c4b3ec19e6711ce3c83e138aafb18c20e9366075f4fd8d4ae9e8fa25566b/Transcript___AI_Engineering_Intern___Lê_Hoàng_Việt.pdf")</f>
        <v>https://api.typeform.com/responses/files/6ae6c4b3ec19e6711ce3c83e138aafb18c20e9366075f4fd8d4ae9e8fa25566b/Transcript___AI_Engineering_Intern___Lê_Hoàng_Việt.pdf</v>
      </c>
      <c r="P163" s="183" t="b">
        <v>1</v>
      </c>
      <c r="Q163" s="181" t="s">
        <v>2838</v>
      </c>
      <c r="R163" s="183" t="s">
        <v>2839</v>
      </c>
      <c r="S163" s="183" t="s">
        <v>72</v>
      </c>
      <c r="T163" s="183" t="s">
        <v>72</v>
      </c>
      <c r="U163" s="188" t="s">
        <v>269</v>
      </c>
      <c r="V163" s="183"/>
      <c r="W163" s="183" t="s">
        <v>2840</v>
      </c>
      <c r="X163" s="187" t="str">
        <f>HYPERLINK("https://api.typeform.com/responses/files/5afba7a43ae5b9360691e3999a54c4342aba5de785553f61e777cc8df37222ba/CV___AI_Engineering_Intern___Lê_Hoàng_Việt.pdf")</f>
        <v>https://api.typeform.com/responses/files/5afba7a43ae5b9360691e3999a54c4342aba5de785553f61e777cc8df37222ba/CV___AI_Engineering_Intern___Lê_Hoàng_Việt.pdf</v>
      </c>
      <c r="Y163" s="189">
        <v>46139.429976851854</v>
      </c>
      <c r="Z163" s="183" t="s">
        <v>2841</v>
      </c>
      <c r="AA163" s="190">
        <v>2.0</v>
      </c>
      <c r="AB163" s="139" t="s">
        <v>6381</v>
      </c>
      <c r="AC163" s="191" t="s">
        <v>6377</v>
      </c>
      <c r="AD163" s="191" t="s">
        <v>6527</v>
      </c>
      <c r="AE163" s="28" t="s">
        <v>6379</v>
      </c>
      <c r="AF163" s="190" t="str">
        <f t="shared" si="5"/>
        <v>Nhiên</v>
      </c>
      <c r="AG163" s="183"/>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row>
    <row r="164" ht="17.25" hidden="1" customHeight="1">
      <c r="A164" s="35" t="s">
        <v>1352</v>
      </c>
      <c r="B164" s="132">
        <v>38202.0</v>
      </c>
      <c r="C164" s="35" t="s">
        <v>1353</v>
      </c>
      <c r="D164" s="133" t="s">
        <v>1354</v>
      </c>
      <c r="E164" s="35" t="s">
        <v>82</v>
      </c>
      <c r="F164" s="35" t="s">
        <v>82</v>
      </c>
      <c r="G164" s="35" t="s">
        <v>1355</v>
      </c>
      <c r="H164" s="35" t="s">
        <v>1356</v>
      </c>
      <c r="I164" s="35" t="s">
        <v>326</v>
      </c>
      <c r="J164" s="35"/>
      <c r="K164" s="35" t="s">
        <v>67</v>
      </c>
      <c r="L164" s="35" t="s">
        <v>384</v>
      </c>
      <c r="M164" s="134">
        <v>46357.0</v>
      </c>
      <c r="N164" s="133" t="s">
        <v>1357</v>
      </c>
      <c r="O164" s="135" t="str">
        <f>HYPERLINK("https://api.typeform.com/responses/files/c1996b732b36a67b5fa12f0c5b2fd422b06a5b3e03f546124430a17bdcb92817/Transcript___Data_Analysis_Intern___Nguyễn_Minh_Đạt.pdf")</f>
        <v>https://api.typeform.com/responses/files/c1996b732b36a67b5fa12f0c5b2fd422b06a5b3e03f546124430a17bdcb92817/Transcript___Data_Analysis_Intern___Nguyễn_Minh_Đạt.pdf</v>
      </c>
      <c r="P164" s="35" t="b">
        <v>0</v>
      </c>
      <c r="Q164" s="43" t="s">
        <v>401</v>
      </c>
      <c r="R164" s="35" t="s">
        <v>401</v>
      </c>
      <c r="S164" s="35" t="s">
        <v>72</v>
      </c>
      <c r="T164" s="35" t="s">
        <v>72</v>
      </c>
      <c r="U164" s="35" t="s">
        <v>269</v>
      </c>
      <c r="V164" s="35"/>
      <c r="W164" s="35"/>
      <c r="X164" s="135" t="str">
        <f>HYPERLINK("https://api.typeform.com/responses/files/abc92ae32804306d23a9ffcbfd69b9fc12902f1a4dba594467030cf410f81e43/CV___Data_Analysis_Intern___Nguyễn_Minh_Đạt.pdf")</f>
        <v>https://api.typeform.com/responses/files/abc92ae32804306d23a9ffcbfd69b9fc12902f1a4dba594467030cf410f81e43/CV___Data_Analysis_Intern___Nguyễn_Minh_Đạt.pdf</v>
      </c>
      <c r="Y164" s="136">
        <v>46135.54539351852</v>
      </c>
      <c r="Z164" s="35" t="s">
        <v>1358</v>
      </c>
      <c r="AA164" s="137">
        <v>2.0</v>
      </c>
      <c r="AB164" s="137" t="s">
        <v>93</v>
      </c>
      <c r="AC164" s="28" t="s">
        <v>6377</v>
      </c>
      <c r="AD164" s="27"/>
      <c r="AE164" s="28" t="s">
        <v>6403</v>
      </c>
      <c r="AF164" s="137" t="str">
        <f t="shared" si="5"/>
        <v>Quỳnh</v>
      </c>
      <c r="AG164" s="35"/>
      <c r="AH164" s="137"/>
      <c r="AI164" s="137"/>
      <c r="AJ164" s="137"/>
      <c r="AK164" s="137"/>
      <c r="AL164" s="137"/>
      <c r="AM164" s="137"/>
      <c r="AN164" s="137"/>
      <c r="AO164" s="137"/>
      <c r="AP164" s="137"/>
      <c r="AQ164" s="137"/>
      <c r="AR164" s="137"/>
      <c r="AS164" s="137"/>
      <c r="AT164" s="137"/>
      <c r="AU164" s="137"/>
      <c r="AV164" s="137"/>
      <c r="AW164" s="137"/>
      <c r="AX164" s="137"/>
      <c r="AY164" s="137"/>
      <c r="AZ164" s="137"/>
      <c r="BA164" s="137"/>
    </row>
    <row r="165" ht="17.25" hidden="1" customHeight="1">
      <c r="A165" s="35" t="s">
        <v>1643</v>
      </c>
      <c r="B165" s="132">
        <v>38217.0</v>
      </c>
      <c r="C165" s="35" t="s">
        <v>1644</v>
      </c>
      <c r="D165" s="133" t="s">
        <v>1645</v>
      </c>
      <c r="E165" s="35" t="s">
        <v>62</v>
      </c>
      <c r="F165" s="35" t="s">
        <v>82</v>
      </c>
      <c r="G165" s="35" t="s">
        <v>1646</v>
      </c>
      <c r="H165" s="35" t="s">
        <v>1647</v>
      </c>
      <c r="I165" s="35" t="s">
        <v>326</v>
      </c>
      <c r="J165" s="35"/>
      <c r="K165" s="35" t="s">
        <v>67</v>
      </c>
      <c r="L165" s="35" t="s">
        <v>384</v>
      </c>
      <c r="M165" s="134">
        <v>46234.0</v>
      </c>
      <c r="N165" s="133" t="s">
        <v>1648</v>
      </c>
      <c r="O165" s="135" t="str">
        <f>HYPERLINK("https://api.typeform.com/responses/files/52fdd8194f5c8b00b2573cbde459dff2e49949479f3e947cd5fe3d59ee9d1f2b/Transcript___AI_Engineer_Intern___Trương_Vĩnh_An.pdf")</f>
        <v>https://api.typeform.com/responses/files/52fdd8194f5c8b00b2573cbde459dff2e49949479f3e947cd5fe3d59ee9d1f2b/Transcript___AI_Engineer_Intern___Trương_Vĩnh_An.pdf</v>
      </c>
      <c r="P165" s="35" t="b">
        <v>1</v>
      </c>
      <c r="Q165" s="43" t="s">
        <v>1649</v>
      </c>
      <c r="R165" s="35" t="s">
        <v>1650</v>
      </c>
      <c r="S165" s="35" t="s">
        <v>72</v>
      </c>
      <c r="T165" s="35" t="s">
        <v>72</v>
      </c>
      <c r="U165" s="138" t="s">
        <v>73</v>
      </c>
      <c r="V165" s="35"/>
      <c r="W165" s="35" t="s">
        <v>1651</v>
      </c>
      <c r="X165" s="135" t="str">
        <f>HYPERLINK("https://api.typeform.com/responses/files/3311c68a79628b5f562c201625a63c38c9c1d0ba2287a3149a2d85369becf6af/CV___AI_Engineer_Intern___Trương_Vĩnh_An.pdf")</f>
        <v>https://api.typeform.com/responses/files/3311c68a79628b5f562c201625a63c38c9c1d0ba2287a3149a2d85369becf6af/CV___AI_Engineer_Intern___Trương_Vĩnh_An.pdf</v>
      </c>
      <c r="Y165" s="136">
        <v>46136.09369212963</v>
      </c>
      <c r="Z165" s="35" t="s">
        <v>1652</v>
      </c>
      <c r="AA165" s="137">
        <v>2.0</v>
      </c>
      <c r="AB165" s="139" t="s">
        <v>6381</v>
      </c>
      <c r="AC165" s="28" t="s">
        <v>6377</v>
      </c>
      <c r="AD165" s="44" t="s">
        <v>6528</v>
      </c>
      <c r="AE165" s="28" t="s">
        <v>6379</v>
      </c>
      <c r="AF165" s="137" t="str">
        <f t="shared" si="5"/>
        <v>Quỳnh</v>
      </c>
      <c r="AG165" s="140"/>
      <c r="AH165" s="146"/>
      <c r="AI165" s="146"/>
      <c r="AJ165" s="146"/>
      <c r="AK165" s="146"/>
      <c r="AL165" s="146"/>
      <c r="AM165" s="146"/>
      <c r="AN165" s="146"/>
      <c r="AO165" s="146"/>
      <c r="AP165" s="146"/>
      <c r="AQ165" s="146"/>
      <c r="AR165" s="146"/>
      <c r="AS165" s="146"/>
      <c r="AT165" s="146"/>
      <c r="AU165" s="146"/>
      <c r="AV165" s="146"/>
      <c r="AW165" s="146"/>
      <c r="AX165" s="146"/>
      <c r="AY165" s="146"/>
      <c r="AZ165" s="146"/>
      <c r="BA165" s="146"/>
    </row>
    <row r="166" ht="17.25" hidden="1" customHeight="1">
      <c r="A166" s="149" t="s">
        <v>2187</v>
      </c>
      <c r="B166" s="150">
        <v>38189.0</v>
      </c>
      <c r="C166" s="149" t="s">
        <v>2188</v>
      </c>
      <c r="D166" s="151" t="s">
        <v>2189</v>
      </c>
      <c r="E166" s="149" t="s">
        <v>99</v>
      </c>
      <c r="F166" s="149" t="s">
        <v>61</v>
      </c>
      <c r="G166" s="149" t="s">
        <v>2190</v>
      </c>
      <c r="H166" s="149" t="s">
        <v>2191</v>
      </c>
      <c r="I166" s="149" t="s">
        <v>116</v>
      </c>
      <c r="J166" s="149"/>
      <c r="K166" s="149" t="s">
        <v>67</v>
      </c>
      <c r="L166" s="149" t="s">
        <v>601</v>
      </c>
      <c r="M166" s="152">
        <v>46326.0</v>
      </c>
      <c r="N166" s="151" t="s">
        <v>2192</v>
      </c>
      <c r="O166" s="153" t="str">
        <f>HYPERLINK("https://api.typeform.com/responses/files/0a0703babc579a1249268508adfc3ddbc049919c0b1ac9afb16f1aaafd5895ab/Transcript___Game_Developer_Intern___Nguyễn_Đình_Minh_Nhật.xls")</f>
        <v>https://api.typeform.com/responses/files/0a0703babc579a1249268508adfc3ddbc049919c0b1ac9afb16f1aaafd5895ab/Transcript___Game_Developer_Intern___Nguyễn_Đình_Minh_Nhật.xls</v>
      </c>
      <c r="P166" s="149" t="b">
        <v>0</v>
      </c>
      <c r="Q166" s="154" t="s">
        <v>2193</v>
      </c>
      <c r="R166" s="149" t="s">
        <v>2194</v>
      </c>
      <c r="S166" s="149" t="s">
        <v>72</v>
      </c>
      <c r="T166" s="149" t="s">
        <v>72</v>
      </c>
      <c r="U166" s="149" t="s">
        <v>90</v>
      </c>
      <c r="V166" s="149"/>
      <c r="W166" s="149"/>
      <c r="X166" s="153" t="str">
        <f>HYPERLINK("https://api.typeform.com/responses/files/a668c62eb99d2ac5d74b7dff30d17c49f28d515c1009916b7982c9e33a8d8da3/CV___Game_Developer_Intern___Nguyễn_Đình_Minh_Nhật.pdf")</f>
        <v>https://api.typeform.com/responses/files/a668c62eb99d2ac5d74b7dff30d17c49f28d515c1009916b7982c9e33a8d8da3/CV___Game_Developer_Intern___Nguyễn_Đình_Minh_Nhật.pdf</v>
      </c>
      <c r="Y166" s="155">
        <v>46137.24783564815</v>
      </c>
      <c r="Z166" s="149" t="s">
        <v>2195</v>
      </c>
      <c r="AA166" s="156">
        <v>2.0</v>
      </c>
      <c r="AB166" s="157" t="s">
        <v>6381</v>
      </c>
      <c r="AC166" s="92" t="s">
        <v>6376</v>
      </c>
      <c r="AD166" s="158"/>
      <c r="AE166" s="92"/>
      <c r="AF166" s="137" t="str">
        <f t="shared" si="5"/>
        <v/>
      </c>
      <c r="AG166" s="149"/>
      <c r="AH166" s="156"/>
      <c r="AI166" s="156"/>
      <c r="AJ166" s="156"/>
      <c r="AK166" s="156"/>
      <c r="AL166" s="156"/>
      <c r="AM166" s="156"/>
      <c r="AN166" s="156"/>
      <c r="AO166" s="156"/>
      <c r="AP166" s="156"/>
      <c r="AQ166" s="156"/>
      <c r="AR166" s="156"/>
      <c r="AS166" s="156"/>
      <c r="AT166" s="156"/>
      <c r="AU166" s="156"/>
      <c r="AV166" s="156"/>
      <c r="AW166" s="156"/>
      <c r="AX166" s="156"/>
      <c r="AY166" s="156"/>
      <c r="AZ166" s="156"/>
      <c r="BA166" s="156"/>
    </row>
    <row r="167" ht="17.25" hidden="1" customHeight="1">
      <c r="A167" s="35" t="s">
        <v>3339</v>
      </c>
      <c r="B167" s="132">
        <v>38618.0</v>
      </c>
      <c r="C167" s="35" t="s">
        <v>3340</v>
      </c>
      <c r="D167" s="133" t="s">
        <v>3341</v>
      </c>
      <c r="E167" s="35" t="s">
        <v>82</v>
      </c>
      <c r="F167" s="35" t="s">
        <v>62</v>
      </c>
      <c r="G167" s="35" t="s">
        <v>3342</v>
      </c>
      <c r="H167" s="35" t="s">
        <v>3343</v>
      </c>
      <c r="I167" s="35" t="s">
        <v>85</v>
      </c>
      <c r="J167" s="35"/>
      <c r="K167" s="35" t="s">
        <v>219</v>
      </c>
      <c r="L167" s="35" t="s">
        <v>384</v>
      </c>
      <c r="M167" s="134">
        <v>46402.0</v>
      </c>
      <c r="N167" s="133" t="s">
        <v>738</v>
      </c>
      <c r="O167" s="135" t="str">
        <f>HYPERLINK("https://api.typeform.com/responses/files/bc07ba8bca73ba896d0ef009c5c5a1edb25e8d311ea134f7a42403f32c3e73a5/Transcript___Data_Analysis_Intern___Ha_Xuan_Hoang.html")</f>
        <v>https://api.typeform.com/responses/files/bc07ba8bca73ba896d0ef009c5c5a1edb25e8d311ea134f7a42403f32c3e73a5/Transcript___Data_Analysis_Intern___Ha_Xuan_Hoang.html</v>
      </c>
      <c r="P167" s="35" t="b">
        <v>1</v>
      </c>
      <c r="Q167" s="35" t="s">
        <v>3344</v>
      </c>
      <c r="R167" s="35" t="s">
        <v>3345</v>
      </c>
      <c r="S167" s="35" t="s">
        <v>72</v>
      </c>
      <c r="T167" s="35" t="s">
        <v>72</v>
      </c>
      <c r="U167" s="35" t="s">
        <v>1061</v>
      </c>
      <c r="V167" s="35"/>
      <c r="W167" s="35" t="s">
        <v>3346</v>
      </c>
      <c r="X167" s="135" t="str">
        <f>HYPERLINK("https://api.typeform.com/responses/files/94b1876b6b3cbf11eeb597d7cf9cf7afd3013934c733282588779ba762d23995/CV_Data_Engineer_Intern_HaXuanHoang.pdf")</f>
        <v>https://api.typeform.com/responses/files/94b1876b6b3cbf11eeb597d7cf9cf7afd3013934c733282588779ba762d23995/CV_Data_Engineer_Intern_HaXuanHoang.pdf</v>
      </c>
      <c r="Y167" s="136">
        <v>46140.27789351852</v>
      </c>
      <c r="Z167" s="35" t="s">
        <v>3347</v>
      </c>
      <c r="AA167" s="137">
        <v>2.0</v>
      </c>
      <c r="AB167" s="137" t="s">
        <v>93</v>
      </c>
      <c r="AC167" s="28" t="s">
        <v>6377</v>
      </c>
      <c r="AD167" s="27"/>
      <c r="AE167" s="28" t="s">
        <v>6403</v>
      </c>
      <c r="AF167" s="137" t="str">
        <f t="shared" si="5"/>
        <v>Quỳnh</v>
      </c>
      <c r="AG167" s="35"/>
      <c r="AH167" s="137"/>
      <c r="AI167" s="137"/>
      <c r="AJ167" s="137"/>
      <c r="AK167" s="137"/>
      <c r="AL167" s="137"/>
      <c r="AM167" s="137"/>
      <c r="AN167" s="137"/>
      <c r="AO167" s="137"/>
      <c r="AP167" s="137"/>
      <c r="AQ167" s="137"/>
      <c r="AR167" s="137"/>
      <c r="AS167" s="137"/>
      <c r="AT167" s="137"/>
      <c r="AU167" s="137"/>
      <c r="AV167" s="137"/>
      <c r="AW167" s="137"/>
      <c r="AX167" s="137"/>
      <c r="AY167" s="137"/>
      <c r="AZ167" s="137"/>
      <c r="BA167" s="137"/>
    </row>
    <row r="168" ht="17.25" hidden="1" customHeight="1">
      <c r="A168" s="140" t="s">
        <v>3318</v>
      </c>
      <c r="B168" s="141">
        <v>37716.0</v>
      </c>
      <c r="C168" s="140" t="s">
        <v>3319</v>
      </c>
      <c r="D168" s="142" t="s">
        <v>3320</v>
      </c>
      <c r="E168" s="140" t="s">
        <v>62</v>
      </c>
      <c r="F168" s="140" t="s">
        <v>61</v>
      </c>
      <c r="G168" s="140" t="s">
        <v>3321</v>
      </c>
      <c r="H168" s="140" t="s">
        <v>3322</v>
      </c>
      <c r="I168" s="140" t="s">
        <v>277</v>
      </c>
      <c r="J168" s="140"/>
      <c r="K168" s="140" t="s">
        <v>67</v>
      </c>
      <c r="L168" s="140" t="s">
        <v>930</v>
      </c>
      <c r="M168" s="143">
        <v>46376.0</v>
      </c>
      <c r="N168" s="142" t="s">
        <v>3323</v>
      </c>
      <c r="O168" s="144" t="str">
        <f>HYPERLINK("https://api.typeform.com/responses/files/e98addfbcab47fa2cc3c0b11ce0535b61407de12f121e4b4ecd0948a918073ff/Transcript___AI_Engineer_Intern___Nguyễn_Hạnh_Bảo_Ân.pdf")</f>
        <v>https://api.typeform.com/responses/files/e98addfbcab47fa2cc3c0b11ce0535b61407de12f121e4b4ecd0948a918073ff/Transcript___AI_Engineer_Intern___Nguyễn_Hạnh_Bảo_Ân.pdf</v>
      </c>
      <c r="P168" s="140" t="b">
        <v>1</v>
      </c>
      <c r="Q168" s="140" t="s">
        <v>3324</v>
      </c>
      <c r="R168" s="140" t="s">
        <v>3325</v>
      </c>
      <c r="S168" s="140" t="s">
        <v>72</v>
      </c>
      <c r="T168" s="140" t="s">
        <v>72</v>
      </c>
      <c r="U168" s="140" t="s">
        <v>224</v>
      </c>
      <c r="V168" s="140"/>
      <c r="W168" s="140"/>
      <c r="X168" s="144" t="str">
        <f>HYPERLINK("https://api.typeform.com/responses/files/47c0e2a67826e5403c1856e4816d82f5c0ebaa42fe330d3f11f61570eba0d629/CV_AI_Engineer_Intern_Nguyễn_Hạnh_Bảo_Ân.pdf")</f>
        <v>https://api.typeform.com/responses/files/47c0e2a67826e5403c1856e4816d82f5c0ebaa42fe330d3f11f61570eba0d629/CV_AI_Engineer_Intern_Nguyễn_Hạnh_Bảo_Ân.pdf</v>
      </c>
      <c r="Y168" s="145">
        <v>46140.23509259259</v>
      </c>
      <c r="Z168" s="140" t="s">
        <v>3326</v>
      </c>
      <c r="AA168" s="146">
        <v>2.0</v>
      </c>
      <c r="AB168" s="147" t="s">
        <v>6381</v>
      </c>
      <c r="AC168" s="70" t="s">
        <v>6376</v>
      </c>
      <c r="AD168" s="148"/>
      <c r="AE168" s="70"/>
      <c r="AF168" s="146" t="str">
        <f t="shared" si="5"/>
        <v/>
      </c>
      <c r="AG168" s="35"/>
      <c r="AH168" s="137"/>
      <c r="AI168" s="137"/>
      <c r="AJ168" s="137"/>
      <c r="AK168" s="137"/>
      <c r="AL168" s="137"/>
      <c r="AM168" s="137"/>
      <c r="AN168" s="137"/>
      <c r="AO168" s="137"/>
      <c r="AP168" s="137"/>
      <c r="AQ168" s="137"/>
      <c r="AR168" s="137"/>
      <c r="AS168" s="137"/>
      <c r="AT168" s="137"/>
      <c r="AU168" s="137"/>
      <c r="AV168" s="137"/>
      <c r="AW168" s="137"/>
      <c r="AX168" s="137"/>
      <c r="AY168" s="137"/>
      <c r="AZ168" s="137"/>
      <c r="BA168" s="137"/>
    </row>
    <row r="169" ht="17.25" hidden="1" customHeight="1">
      <c r="A169" s="140" t="s">
        <v>2647</v>
      </c>
      <c r="B169" s="141">
        <v>38294.0</v>
      </c>
      <c r="C169" s="140" t="s">
        <v>2648</v>
      </c>
      <c r="D169" s="142" t="s">
        <v>2649</v>
      </c>
      <c r="E169" s="140" t="s">
        <v>62</v>
      </c>
      <c r="F169" s="140" t="s">
        <v>82</v>
      </c>
      <c r="G169" s="140" t="s">
        <v>2650</v>
      </c>
      <c r="H169" s="140" t="s">
        <v>2651</v>
      </c>
      <c r="I169" s="140" t="s">
        <v>1610</v>
      </c>
      <c r="J169" s="140"/>
      <c r="K169" s="140" t="s">
        <v>67</v>
      </c>
      <c r="L169" s="140" t="s">
        <v>624</v>
      </c>
      <c r="M169" s="143">
        <v>46188.0</v>
      </c>
      <c r="N169" s="142" t="s">
        <v>625</v>
      </c>
      <c r="O169" s="144" t="str">
        <f>HYPERLINK("https://api.typeform.com/responses/files/d814802f1a062b144ee1984917cdbee0ecbec672909a7b9924c0ff72cbfebfcc/Transcript___AI_Engineer_Intern___Thạch_Nhựt_Hào.pdf")</f>
        <v>https://api.typeform.com/responses/files/d814802f1a062b144ee1984917cdbee0ecbec672909a7b9924c0ff72cbfebfcc/Transcript___AI_Engineer_Intern___Thạch_Nhựt_Hào.pdf</v>
      </c>
      <c r="P169" s="140" t="b">
        <v>1</v>
      </c>
      <c r="Q169" s="161" t="s">
        <v>2652</v>
      </c>
      <c r="R169" s="140" t="s">
        <v>2653</v>
      </c>
      <c r="S169" s="140" t="s">
        <v>72</v>
      </c>
      <c r="T169" s="140" t="s">
        <v>72</v>
      </c>
      <c r="U169" s="140" t="s">
        <v>90</v>
      </c>
      <c r="V169" s="140"/>
      <c r="W169" s="140" t="s">
        <v>2654</v>
      </c>
      <c r="X169" s="144" t="str">
        <f>HYPERLINK("https://api.typeform.com/responses/files/7b610dcaa4a722a6d97480ccae7a1e8be31f03a21b9f46534a70d8de9b5fd13b/CV___AI_Engineer_Intern___Thạch_Nhựt_Hào.pdf")</f>
        <v>https://api.typeform.com/responses/files/7b610dcaa4a722a6d97480ccae7a1e8be31f03a21b9f46534a70d8de9b5fd13b/CV___AI_Engineer_Intern___Thạch_Nhựt_Hào.pdf</v>
      </c>
      <c r="Y169" s="145">
        <v>46139.19724537037</v>
      </c>
      <c r="Z169" s="140" t="s">
        <v>2655</v>
      </c>
      <c r="AA169" s="146">
        <v>2.0</v>
      </c>
      <c r="AB169" s="147" t="s">
        <v>6381</v>
      </c>
      <c r="AC169" s="70" t="s">
        <v>6376</v>
      </c>
      <c r="AD169" s="148"/>
      <c r="AE169" s="70"/>
      <c r="AF169" s="146" t="str">
        <f t="shared" si="5"/>
        <v/>
      </c>
      <c r="AG169" s="35"/>
      <c r="AH169" s="137"/>
      <c r="AI169" s="137"/>
      <c r="AJ169" s="137"/>
      <c r="AK169" s="137"/>
      <c r="AL169" s="137"/>
      <c r="AM169" s="137"/>
      <c r="AN169" s="137"/>
      <c r="AO169" s="137"/>
      <c r="AP169" s="137"/>
      <c r="AQ169" s="137"/>
      <c r="AR169" s="137"/>
      <c r="AS169" s="137"/>
      <c r="AT169" s="137"/>
      <c r="AU169" s="137"/>
      <c r="AV169" s="137"/>
      <c r="AW169" s="137"/>
      <c r="AX169" s="137"/>
      <c r="AY169" s="137"/>
      <c r="AZ169" s="137"/>
      <c r="BA169" s="137"/>
    </row>
    <row r="170" ht="17.25" hidden="1" customHeight="1">
      <c r="A170" s="35" t="s">
        <v>1471</v>
      </c>
      <c r="B170" s="132">
        <v>37683.0</v>
      </c>
      <c r="C170" s="35" t="s">
        <v>1472</v>
      </c>
      <c r="D170" s="133" t="s">
        <v>1473</v>
      </c>
      <c r="E170" s="35" t="s">
        <v>82</v>
      </c>
      <c r="F170" s="35" t="s">
        <v>774</v>
      </c>
      <c r="G170" s="35" t="s">
        <v>1474</v>
      </c>
      <c r="H170" s="35" t="s">
        <v>1475</v>
      </c>
      <c r="I170" s="35" t="s">
        <v>842</v>
      </c>
      <c r="J170" s="35"/>
      <c r="K170" s="35" t="s">
        <v>103</v>
      </c>
      <c r="L170" s="35" t="s">
        <v>1476</v>
      </c>
      <c r="M170" s="134">
        <v>45877.0</v>
      </c>
      <c r="N170" s="133" t="s">
        <v>1477</v>
      </c>
      <c r="O170" s="135" t="str">
        <f>HYPERLINK("https://api.typeform.com/responses/files/5fa6d7b6894d61dbb9ef71c7fad855e48007961912d758a9909aaed8feb0f9a1/Bảng_điểm_học_tập_tiếng_Việt_sinh_viên_ĐHCQ_VLVH.pdf")</f>
        <v>https://api.typeform.com/responses/files/5fa6d7b6894d61dbb9ef71c7fad855e48007961912d758a9909aaed8feb0f9a1/Bảng_điểm_học_tập_tiếng_Việt_sinh_viên_ĐHCQ_VLVH.pdf</v>
      </c>
      <c r="P170" s="35" t="b">
        <v>1</v>
      </c>
      <c r="Q170" s="43" t="s">
        <v>1478</v>
      </c>
      <c r="R170" s="35" t="s">
        <v>1479</v>
      </c>
      <c r="S170" s="35" t="s">
        <v>72</v>
      </c>
      <c r="T170" s="35" t="s">
        <v>72</v>
      </c>
      <c r="U170" s="35" t="s">
        <v>594</v>
      </c>
      <c r="V170" s="35"/>
      <c r="W170" s="35"/>
      <c r="X170" s="135" t="str">
        <f>HYPERLINK("https://api.typeform.com/responses/files/37ccd85556a7f1316ff3e945f4a0fbf44302eb3ac7b9c7ba971e0592720992c8/CV_Data_Analyst_Huynh_Thanh_Tai.pdf")</f>
        <v>https://api.typeform.com/responses/files/37ccd85556a7f1316ff3e945f4a0fbf44302eb3ac7b9c7ba971e0592720992c8/CV_Data_Analyst_Huynh_Thanh_Tai.pdf</v>
      </c>
      <c r="Y170" s="136">
        <v>46135.67710648148</v>
      </c>
      <c r="Z170" s="35" t="s">
        <v>1480</v>
      </c>
      <c r="AA170" s="137">
        <v>2.0</v>
      </c>
      <c r="AB170" s="137" t="s">
        <v>93</v>
      </c>
      <c r="AC170" s="28" t="s">
        <v>6376</v>
      </c>
      <c r="AD170" s="27"/>
      <c r="AE170" s="28"/>
      <c r="AF170" s="137" t="str">
        <f t="shared" si="5"/>
        <v/>
      </c>
      <c r="AG170" s="35"/>
      <c r="AH170" s="137"/>
      <c r="AI170" s="137"/>
      <c r="AJ170" s="137"/>
      <c r="AK170" s="137"/>
      <c r="AL170" s="137"/>
      <c r="AM170" s="137"/>
      <c r="AN170" s="137"/>
      <c r="AO170" s="137"/>
      <c r="AP170" s="137"/>
      <c r="AQ170" s="137"/>
      <c r="AR170" s="137"/>
      <c r="AS170" s="137"/>
      <c r="AT170" s="137"/>
      <c r="AU170" s="137"/>
      <c r="AV170" s="137"/>
      <c r="AW170" s="137"/>
      <c r="AX170" s="137"/>
      <c r="AY170" s="137"/>
      <c r="AZ170" s="137"/>
      <c r="BA170" s="137"/>
    </row>
    <row r="171" ht="17.25" hidden="1" customHeight="1">
      <c r="A171" s="35" t="s">
        <v>3716</v>
      </c>
      <c r="B171" s="132">
        <v>38508.0</v>
      </c>
      <c r="C171" s="35" t="s">
        <v>3717</v>
      </c>
      <c r="D171" s="133" t="s">
        <v>3718</v>
      </c>
      <c r="E171" s="35" t="s">
        <v>82</v>
      </c>
      <c r="F171" s="35" t="s">
        <v>82</v>
      </c>
      <c r="G171" s="35" t="s">
        <v>3719</v>
      </c>
      <c r="H171" s="35" t="s">
        <v>3720</v>
      </c>
      <c r="I171" s="35" t="s">
        <v>2581</v>
      </c>
      <c r="J171" s="35"/>
      <c r="K171" s="35" t="s">
        <v>219</v>
      </c>
      <c r="L171" s="35" t="s">
        <v>3721</v>
      </c>
      <c r="M171" s="134">
        <v>46388.0</v>
      </c>
      <c r="N171" s="133" t="s">
        <v>1477</v>
      </c>
      <c r="O171" s="135" t="str">
        <f>HYPERLINK("https://api.typeform.com/responses/files/2466465742b7f24905ac67e4b3d7aba26401dc24cccc8ef12ab83be539e9c660/Transcript___Data_Analysis_Intern___Nguyễn_Hoàng_Tùng_Linh.pdf")</f>
        <v>https://api.typeform.com/responses/files/2466465742b7f24905ac67e4b3d7aba26401dc24cccc8ef12ab83be539e9c660/Transcript___Data_Analysis_Intern___Nguyễn_Hoàng_Tùng_Linh.pdf</v>
      </c>
      <c r="P171" s="35" t="b">
        <v>1</v>
      </c>
      <c r="Q171" s="35" t="s">
        <v>3722</v>
      </c>
      <c r="R171" s="35" t="s">
        <v>3723</v>
      </c>
      <c r="S171" s="35" t="s">
        <v>72</v>
      </c>
      <c r="T171" s="35" t="s">
        <v>72</v>
      </c>
      <c r="U171" s="35" t="s">
        <v>2389</v>
      </c>
      <c r="V171" s="35"/>
      <c r="W171" s="35" t="s">
        <v>3724</v>
      </c>
      <c r="X171" s="135" t="str">
        <f>HYPERLINK("https://api.typeform.com/responses/files/8ff1a06e336b94ffbe89712d670eb7a2436ea3ee0d4e763146c2d8ea2a549bb6/CV___Data_Analysis_Intern___Nguyễn_Hoàng_Tùng_Linh.pdf")</f>
        <v>https://api.typeform.com/responses/files/8ff1a06e336b94ffbe89712d670eb7a2436ea3ee0d4e763146c2d8ea2a549bb6/CV___Data_Analysis_Intern___Nguyễn_Hoàng_Tùng_Linh.pdf</v>
      </c>
      <c r="Y171" s="136">
        <v>46141.12287037037</v>
      </c>
      <c r="Z171" s="35" t="s">
        <v>3725</v>
      </c>
      <c r="AA171" s="137">
        <v>2.0</v>
      </c>
      <c r="AB171" s="137" t="s">
        <v>93</v>
      </c>
      <c r="AC171" s="28" t="s">
        <v>6376</v>
      </c>
      <c r="AD171" s="27"/>
      <c r="AE171" s="28"/>
      <c r="AF171" s="137" t="str">
        <f t="shared" si="5"/>
        <v/>
      </c>
      <c r="AG171" s="35"/>
      <c r="AH171" s="137"/>
      <c r="AI171" s="137"/>
      <c r="AJ171" s="137"/>
      <c r="AK171" s="137"/>
      <c r="AL171" s="137"/>
      <c r="AM171" s="137"/>
      <c r="AN171" s="137"/>
      <c r="AO171" s="137"/>
      <c r="AP171" s="137"/>
      <c r="AQ171" s="137"/>
      <c r="AR171" s="137"/>
      <c r="AS171" s="137"/>
      <c r="AT171" s="137"/>
      <c r="AU171" s="137"/>
      <c r="AV171" s="137"/>
      <c r="AW171" s="137"/>
      <c r="AX171" s="137"/>
      <c r="AY171" s="137"/>
      <c r="AZ171" s="137"/>
      <c r="BA171" s="137"/>
    </row>
    <row r="172" ht="17.25" hidden="1" customHeight="1">
      <c r="A172" s="35" t="s">
        <v>109</v>
      </c>
      <c r="B172" s="132">
        <v>38224.0</v>
      </c>
      <c r="C172" s="35" t="s">
        <v>1835</v>
      </c>
      <c r="D172" s="133" t="s">
        <v>1836</v>
      </c>
      <c r="E172" s="35" t="s">
        <v>62</v>
      </c>
      <c r="F172" s="35" t="s">
        <v>62</v>
      </c>
      <c r="G172" s="35" t="s">
        <v>1837</v>
      </c>
      <c r="H172" s="35" t="s">
        <v>1838</v>
      </c>
      <c r="I172" s="35" t="s">
        <v>1069</v>
      </c>
      <c r="J172" s="35"/>
      <c r="K172" s="35" t="s">
        <v>67</v>
      </c>
      <c r="L172" s="35" t="s">
        <v>1839</v>
      </c>
      <c r="M172" s="134">
        <v>46670.0</v>
      </c>
      <c r="N172" s="133" t="s">
        <v>1034</v>
      </c>
      <c r="O172" s="135" t="str">
        <f>HYPERLINK("https://api.typeform.com/responses/files/32693e98ebe9bf7dffba88acc39bbd6453eafdfcbefedb2389c154028e2c8f49/Transcript___AI_Engineer_Intern___Lâm_Nhật_Minh.pdf")</f>
        <v>https://api.typeform.com/responses/files/32693e98ebe9bf7dffba88acc39bbd6453eafdfcbefedb2389c154028e2c8f49/Transcript___AI_Engineer_Intern___Lâm_Nhật_Minh.pdf</v>
      </c>
      <c r="P172" s="35" t="b">
        <v>1</v>
      </c>
      <c r="Q172" s="43" t="s">
        <v>1840</v>
      </c>
      <c r="R172" s="35" t="s">
        <v>1841</v>
      </c>
      <c r="S172" s="35" t="s">
        <v>72</v>
      </c>
      <c r="T172" s="35" t="s">
        <v>72</v>
      </c>
      <c r="U172" s="138" t="s">
        <v>1842</v>
      </c>
      <c r="V172" s="35" t="s">
        <v>1843</v>
      </c>
      <c r="W172" s="35" t="s">
        <v>1844</v>
      </c>
      <c r="X172" s="135" t="str">
        <f>HYPERLINK("https://api.typeform.com/responses/files/5c5e1215b929a9dac40c66d0d43a04af7013ae352505e610621f3f1fcf78eb8f/LamNhatMinh_AI_Intern_CV.pdf")</f>
        <v>https://api.typeform.com/responses/files/5c5e1215b929a9dac40c66d0d43a04af7013ae352505e610621f3f1fcf78eb8f/LamNhatMinh_AI_Intern_CV.pdf</v>
      </c>
      <c r="Y172" s="136">
        <v>46136.29696759259</v>
      </c>
      <c r="Z172" s="35" t="s">
        <v>1845</v>
      </c>
      <c r="AA172" s="137">
        <v>2.0</v>
      </c>
      <c r="AB172" s="139" t="s">
        <v>6381</v>
      </c>
      <c r="AC172" s="28" t="s">
        <v>6376</v>
      </c>
      <c r="AD172" s="28" t="s">
        <v>6529</v>
      </c>
      <c r="AE172" s="28"/>
      <c r="AF172" s="137" t="str">
        <f t="shared" si="5"/>
        <v/>
      </c>
      <c r="AG172" s="35"/>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row>
    <row r="173" ht="17.25" hidden="1" customHeight="1">
      <c r="A173" s="35" t="s">
        <v>3927</v>
      </c>
      <c r="B173" s="132">
        <v>38224.0</v>
      </c>
      <c r="C173" s="35" t="s">
        <v>3928</v>
      </c>
      <c r="D173" s="133" t="s">
        <v>3929</v>
      </c>
      <c r="E173" s="35" t="s">
        <v>62</v>
      </c>
      <c r="F173" s="35" t="s">
        <v>62</v>
      </c>
      <c r="G173" s="35" t="s">
        <v>3930</v>
      </c>
      <c r="H173" s="35" t="s">
        <v>3931</v>
      </c>
      <c r="I173" s="35" t="s">
        <v>372</v>
      </c>
      <c r="J173" s="35"/>
      <c r="K173" s="35" t="s">
        <v>67</v>
      </c>
      <c r="L173" s="35" t="s">
        <v>3932</v>
      </c>
      <c r="M173" s="134">
        <v>46287.0</v>
      </c>
      <c r="N173" s="133" t="s">
        <v>2052</v>
      </c>
      <c r="O173" s="135" t="str">
        <f>HYPERLINK("https://api.typeform.com/responses/files/a78e3d80353eef1c65e6aa8ea5b6c324a13886a1c11ab97e9f817901b02c7d91/Transcript___AI_Engineering_Intern___Nguyễn_Văn_Đăng.pdf")</f>
        <v>https://api.typeform.com/responses/files/a78e3d80353eef1c65e6aa8ea5b6c324a13886a1c11ab97e9f817901b02c7d91/Transcript___AI_Engineering_Intern___Nguyễn_Văn_Đăng.pdf</v>
      </c>
      <c r="P173" s="35" t="b">
        <v>1</v>
      </c>
      <c r="Q173" s="35" t="s">
        <v>3933</v>
      </c>
      <c r="R173" s="35" t="s">
        <v>3934</v>
      </c>
      <c r="S173" s="35" t="s">
        <v>72</v>
      </c>
      <c r="T173" s="35" t="s">
        <v>72</v>
      </c>
      <c r="U173" s="138" t="s">
        <v>236</v>
      </c>
      <c r="V173" s="35"/>
      <c r="W173" s="35" t="s">
        <v>3935</v>
      </c>
      <c r="X173" s="135" t="str">
        <f>HYPERLINK("https://api.typeform.com/responses/files/d1ccf45628677460a5f783f88d92993108cabd7fccaccbd2960035bfed607c76/CV___AI_Engineering_Intern___Nguyễn_Văn_Đăng.pdf")</f>
        <v>https://api.typeform.com/responses/files/d1ccf45628677460a5f783f88d92993108cabd7fccaccbd2960035bfed607c76/CV___AI_Engineering_Intern___Nguyễn_Văn_Đăng.pdf</v>
      </c>
      <c r="Y173" s="136">
        <v>46141.46015046296</v>
      </c>
      <c r="Z173" s="35" t="s">
        <v>3936</v>
      </c>
      <c r="AA173" s="137">
        <v>2.0</v>
      </c>
      <c r="AB173" s="139" t="s">
        <v>6381</v>
      </c>
      <c r="AC173" s="28" t="s">
        <v>6376</v>
      </c>
      <c r="AD173" s="28" t="s">
        <v>6530</v>
      </c>
      <c r="AE173" s="28"/>
      <c r="AF173" s="137" t="str">
        <f t="shared" si="5"/>
        <v/>
      </c>
      <c r="AG173" s="35"/>
      <c r="AH173" s="137"/>
      <c r="AI173" s="137"/>
      <c r="AJ173" s="137"/>
      <c r="AK173" s="137"/>
      <c r="AL173" s="137"/>
      <c r="AM173" s="137"/>
      <c r="AN173" s="137"/>
      <c r="AO173" s="137"/>
      <c r="AP173" s="137"/>
      <c r="AQ173" s="137"/>
      <c r="AR173" s="137"/>
      <c r="AS173" s="137"/>
      <c r="AT173" s="137"/>
      <c r="AU173" s="137"/>
      <c r="AV173" s="137"/>
      <c r="AW173" s="137"/>
      <c r="AX173" s="137"/>
      <c r="AY173" s="137"/>
      <c r="AZ173" s="137"/>
      <c r="BA173" s="137"/>
    </row>
    <row r="174" ht="17.25" hidden="1" customHeight="1">
      <c r="A174" s="149" t="s">
        <v>2437</v>
      </c>
      <c r="B174" s="150">
        <v>38482.0</v>
      </c>
      <c r="C174" s="149" t="s">
        <v>2438</v>
      </c>
      <c r="D174" s="151" t="s">
        <v>2439</v>
      </c>
      <c r="E174" s="149" t="s">
        <v>99</v>
      </c>
      <c r="F174" s="149" t="s">
        <v>61</v>
      </c>
      <c r="G174" s="149" t="s">
        <v>2440</v>
      </c>
      <c r="H174" s="149" t="s">
        <v>2441</v>
      </c>
      <c r="I174" s="149" t="s">
        <v>715</v>
      </c>
      <c r="J174" s="149"/>
      <c r="K174" s="149" t="s">
        <v>219</v>
      </c>
      <c r="L174" s="149" t="s">
        <v>1830</v>
      </c>
      <c r="M174" s="152">
        <v>46716.0</v>
      </c>
      <c r="N174" s="151" t="s">
        <v>1230</v>
      </c>
      <c r="O174" s="153" t="str">
        <f>HYPERLINK("https://api.typeform.com/responses/files/73846813c6c83191fe6bd55a329961eb0ef119b4d53b8786a1bc20c6bdd7ed9f/Transcript___Game_Design_Intern___Hoàng_Hữu_Nhân.pdf")</f>
        <v>https://api.typeform.com/responses/files/73846813c6c83191fe6bd55a329961eb0ef119b4d53b8786a1bc20c6bdd7ed9f/Transcript___Game_Design_Intern___Hoàng_Hữu_Nhân.pdf</v>
      </c>
      <c r="P174" s="149" t="b">
        <v>0</v>
      </c>
      <c r="Q174" s="154" t="s">
        <v>2442</v>
      </c>
      <c r="R174" s="149" t="s">
        <v>2443</v>
      </c>
      <c r="S174" s="149" t="s">
        <v>72</v>
      </c>
      <c r="T174" s="149" t="s">
        <v>72</v>
      </c>
      <c r="U174" s="149" t="s">
        <v>73</v>
      </c>
      <c r="V174" s="149"/>
      <c r="W174" s="149" t="s">
        <v>2444</v>
      </c>
      <c r="X174" s="153" t="str">
        <f>HYPERLINK("https://api.typeform.com/responses/files/189fd0bcb6db50cd7511926601665cbe3572b046e4791afe3bbd6a288bd77db6/CV___Game_Design_Intern___Hoàng_Hữu_Nhân.pdf")</f>
        <v>https://api.typeform.com/responses/files/189fd0bcb6db50cd7511926601665cbe3572b046e4791afe3bbd6a288bd77db6/CV___Game_Design_Intern___Hoàng_Hữu_Nhân.pdf</v>
      </c>
      <c r="Y174" s="155">
        <v>46137.76224537037</v>
      </c>
      <c r="Z174" s="149" t="s">
        <v>2445</v>
      </c>
      <c r="AA174" s="156">
        <v>2.0</v>
      </c>
      <c r="AB174" s="157" t="s">
        <v>6381</v>
      </c>
      <c r="AC174" s="92" t="s">
        <v>6376</v>
      </c>
      <c r="AD174" s="158"/>
      <c r="AE174" s="92"/>
      <c r="AF174" s="137" t="str">
        <f t="shared" si="5"/>
        <v/>
      </c>
      <c r="AG174" s="149"/>
      <c r="AH174" s="156"/>
      <c r="AI174" s="156"/>
      <c r="AJ174" s="156"/>
      <c r="AK174" s="156"/>
      <c r="AL174" s="156"/>
      <c r="AM174" s="156"/>
      <c r="AN174" s="156"/>
      <c r="AO174" s="156"/>
      <c r="AP174" s="156"/>
      <c r="AQ174" s="156"/>
      <c r="AR174" s="156"/>
      <c r="AS174" s="156"/>
      <c r="AT174" s="156"/>
      <c r="AU174" s="156"/>
      <c r="AV174" s="156"/>
      <c r="AW174" s="156"/>
      <c r="AX174" s="156"/>
      <c r="AY174" s="156"/>
      <c r="AZ174" s="156"/>
      <c r="BA174" s="156"/>
    </row>
    <row r="175" ht="17.25" hidden="1" customHeight="1">
      <c r="A175" s="35" t="s">
        <v>3014</v>
      </c>
      <c r="B175" s="132">
        <v>38670.0</v>
      </c>
      <c r="C175" s="35" t="s">
        <v>3015</v>
      </c>
      <c r="D175" s="133" t="s">
        <v>3016</v>
      </c>
      <c r="E175" s="35" t="s">
        <v>127</v>
      </c>
      <c r="F175" s="35"/>
      <c r="G175" s="35" t="s">
        <v>3017</v>
      </c>
      <c r="H175" s="35" t="s">
        <v>3018</v>
      </c>
      <c r="I175" s="35" t="s">
        <v>326</v>
      </c>
      <c r="J175" s="35"/>
      <c r="K175" s="35" t="s">
        <v>219</v>
      </c>
      <c r="L175" s="35" t="s">
        <v>446</v>
      </c>
      <c r="M175" s="134">
        <v>46631.0</v>
      </c>
      <c r="N175" s="133" t="s">
        <v>1220</v>
      </c>
      <c r="O175" s="135" t="str">
        <f>HYPERLINK("https://api.typeform.com/responses/files/acae2c3a29952c0f5126de6da80e04f3367c392fa9f34da3cc95f183f41affa7/Transcript___Quality_Assurance_Intern___Phùng_Ngọc_Tuấn.pdf")</f>
        <v>https://api.typeform.com/responses/files/acae2c3a29952c0f5126de6da80e04f3367c392fa9f34da3cc95f183f41affa7/Transcript___Quality_Assurance_Intern___Phùng_Ngọc_Tuấn.pdf</v>
      </c>
      <c r="P175" s="35" t="b">
        <v>1</v>
      </c>
      <c r="Q175" s="43" t="s">
        <v>3019</v>
      </c>
      <c r="R175" s="35" t="s">
        <v>883</v>
      </c>
      <c r="S175" s="35" t="s">
        <v>72</v>
      </c>
      <c r="T175" s="35" t="s">
        <v>72</v>
      </c>
      <c r="U175" s="35" t="s">
        <v>2389</v>
      </c>
      <c r="V175" s="35"/>
      <c r="W175" s="35"/>
      <c r="X175" s="135" t="str">
        <f>HYPERLINK("https://api.typeform.com/responses/files/4740b469bf5321b0b45603e1dd6c29cd70e1e05bf6a544f35d8dd534a01da1ac/CV___Quality_Assurance_Intern___Phùng_Ngọc_Tuấn.pdf")</f>
        <v>https://api.typeform.com/responses/files/4740b469bf5321b0b45603e1dd6c29cd70e1e05bf6a544f35d8dd534a01da1ac/CV___Quality_Assurance_Intern___Phùng_Ngọc_Tuấn.pdf</v>
      </c>
      <c r="Y175" s="136">
        <v>46139.68792824074</v>
      </c>
      <c r="Z175" s="35" t="s">
        <v>3020</v>
      </c>
      <c r="AA175" s="137">
        <v>2.0</v>
      </c>
      <c r="AB175" s="137" t="s">
        <v>93</v>
      </c>
      <c r="AC175" s="28" t="s">
        <v>6377</v>
      </c>
      <c r="AD175" s="28" t="s">
        <v>6531</v>
      </c>
      <c r="AE175" s="28" t="s">
        <v>6379</v>
      </c>
      <c r="AF175" s="137" t="str">
        <f t="shared" si="5"/>
        <v>Quỳnh</v>
      </c>
      <c r="AG175" s="159" t="s">
        <v>6532</v>
      </c>
      <c r="AH175" s="137"/>
      <c r="AI175" s="137"/>
      <c r="AJ175" s="137"/>
      <c r="AK175" s="137"/>
      <c r="AL175" s="137"/>
      <c r="AM175" s="137"/>
      <c r="AN175" s="137"/>
      <c r="AO175" s="137"/>
      <c r="AP175" s="137"/>
      <c r="AQ175" s="137"/>
      <c r="AR175" s="137"/>
      <c r="AS175" s="137"/>
      <c r="AT175" s="137"/>
      <c r="AU175" s="137"/>
      <c r="AV175" s="137"/>
      <c r="AW175" s="137"/>
      <c r="AX175" s="137"/>
      <c r="AY175" s="137"/>
      <c r="AZ175" s="137"/>
      <c r="BA175" s="137"/>
    </row>
    <row r="176" ht="17.25" hidden="1" customHeight="1">
      <c r="A176" s="35" t="s">
        <v>1615</v>
      </c>
      <c r="B176" s="132">
        <v>38248.0</v>
      </c>
      <c r="C176" s="35" t="s">
        <v>1616</v>
      </c>
      <c r="D176" s="133" t="s">
        <v>1617</v>
      </c>
      <c r="E176" s="35" t="s">
        <v>62</v>
      </c>
      <c r="F176" s="35" t="s">
        <v>62</v>
      </c>
      <c r="G176" s="35" t="s">
        <v>1618</v>
      </c>
      <c r="H176" s="35" t="s">
        <v>1619</v>
      </c>
      <c r="I176" s="35" t="s">
        <v>1069</v>
      </c>
      <c r="J176" s="35"/>
      <c r="K176" s="35" t="s">
        <v>67</v>
      </c>
      <c r="L176" s="35" t="s">
        <v>1183</v>
      </c>
      <c r="M176" s="134">
        <v>46568.0</v>
      </c>
      <c r="N176" s="133" t="s">
        <v>1620</v>
      </c>
      <c r="O176" s="135" t="str">
        <f>HYPERLINK("https://api.typeform.com/responses/files/fc427bd3a4cbc38fca230cde70906bd0eca13c972bdd2d40cf5a1973d5ec0d6d/Transcript__AI_Engineering_Intern___Vũ_Ngọc_Sơn.pdf")</f>
        <v>https://api.typeform.com/responses/files/fc427bd3a4cbc38fca230cde70906bd0eca13c972bdd2d40cf5a1973d5ec0d6d/Transcript__AI_Engineering_Intern___Vũ_Ngọc_Sơn.pdf</v>
      </c>
      <c r="P176" s="35" t="b">
        <v>1</v>
      </c>
      <c r="Q176" s="43" t="s">
        <v>1621</v>
      </c>
      <c r="R176" s="35" t="s">
        <v>1622</v>
      </c>
      <c r="S176" s="35" t="s">
        <v>72</v>
      </c>
      <c r="T176" s="35" t="s">
        <v>72</v>
      </c>
      <c r="U176" s="138" t="s">
        <v>188</v>
      </c>
      <c r="V176" s="35"/>
      <c r="W176" s="35" t="s">
        <v>1623</v>
      </c>
      <c r="X176" s="135" t="str">
        <f>HYPERLINK("https://api.typeform.com/responses/files/3be080eab9ffd027e8bab69b25c6581c005889aa72aebe8ef309a5423dd7c652/CV__AI_Engineering_Intern___Vũ_Ngọc_Sơn.pdf")</f>
        <v>https://api.typeform.com/responses/files/3be080eab9ffd027e8bab69b25c6581c005889aa72aebe8ef309a5423dd7c652/CV__AI_Engineering_Intern___Vũ_Ngọc_Sơn.pdf</v>
      </c>
      <c r="Y176" s="136">
        <v>46136.04819444445</v>
      </c>
      <c r="Z176" s="35" t="s">
        <v>1624</v>
      </c>
      <c r="AA176" s="137">
        <v>2.0</v>
      </c>
      <c r="AB176" s="139" t="s">
        <v>6381</v>
      </c>
      <c r="AC176" s="28" t="s">
        <v>6376</v>
      </c>
      <c r="AD176" s="28" t="s">
        <v>6533</v>
      </c>
      <c r="AE176" s="28"/>
      <c r="AF176" s="137" t="str">
        <f t="shared" si="5"/>
        <v/>
      </c>
      <c r="AG176" s="35"/>
      <c r="AH176" s="137"/>
      <c r="AI176" s="137"/>
      <c r="AJ176" s="137"/>
      <c r="AK176" s="137"/>
      <c r="AL176" s="137"/>
      <c r="AM176" s="137"/>
      <c r="AN176" s="137"/>
      <c r="AO176" s="137"/>
      <c r="AP176" s="137"/>
      <c r="AQ176" s="137"/>
      <c r="AR176" s="137"/>
      <c r="AS176" s="137"/>
      <c r="AT176" s="137"/>
      <c r="AU176" s="137"/>
      <c r="AV176" s="137"/>
      <c r="AW176" s="137"/>
      <c r="AX176" s="137"/>
      <c r="AY176" s="137"/>
      <c r="AZ176" s="137"/>
      <c r="BA176" s="137"/>
    </row>
    <row r="177" ht="17.25" hidden="1" customHeight="1">
      <c r="A177" s="35" t="s">
        <v>1528</v>
      </c>
      <c r="B177" s="132">
        <v>38256.0</v>
      </c>
      <c r="C177" s="35" t="s">
        <v>1529</v>
      </c>
      <c r="D177" s="133" t="s">
        <v>1530</v>
      </c>
      <c r="E177" s="35" t="s">
        <v>62</v>
      </c>
      <c r="F177" s="35" t="s">
        <v>62</v>
      </c>
      <c r="G177" s="35" t="s">
        <v>1531</v>
      </c>
      <c r="H177" s="35" t="s">
        <v>1532</v>
      </c>
      <c r="I177" s="35" t="s">
        <v>85</v>
      </c>
      <c r="J177" s="35"/>
      <c r="K177" s="35" t="s">
        <v>67</v>
      </c>
      <c r="L177" s="35" t="s">
        <v>560</v>
      </c>
      <c r="M177" s="134">
        <v>46185.0</v>
      </c>
      <c r="N177" s="133" t="s">
        <v>1533</v>
      </c>
      <c r="O177" s="135" t="str">
        <f>HYPERLINK("https://api.typeform.com/responses/files/974c87316fa317158594647783e842792908351192c16e52987b5882a3138012/Transcript___AI_Engineer___Trần_Văn_Trường.pdf")</f>
        <v>https://api.typeform.com/responses/files/974c87316fa317158594647783e842792908351192c16e52987b5882a3138012/Transcript___AI_Engineer___Trần_Văn_Trường.pdf</v>
      </c>
      <c r="P177" s="35" t="b">
        <v>1</v>
      </c>
      <c r="Q177" s="43" t="s">
        <v>1534</v>
      </c>
      <c r="R177" s="35" t="s">
        <v>1535</v>
      </c>
      <c r="S177" s="35" t="s">
        <v>72</v>
      </c>
      <c r="T177" s="35" t="s">
        <v>72</v>
      </c>
      <c r="U177" s="138" t="s">
        <v>269</v>
      </c>
      <c r="V177" s="35"/>
      <c r="W177" s="35" t="s">
        <v>1536</v>
      </c>
      <c r="X177" s="135" t="str">
        <f>HYPERLINK("https://api.typeform.com/responses/files/1afc47bfebd8ac72a62f3112dec57cbf34658f1dd36411edc8f03497e8159d83/CV___AI_Engineering_Intern___Trần_Văn_Trường.pdf")</f>
        <v>https://api.typeform.com/responses/files/1afc47bfebd8ac72a62f3112dec57cbf34658f1dd36411edc8f03497e8159d83/CV___AI_Engineering_Intern___Trần_Văn_Trường.pdf</v>
      </c>
      <c r="Y177" s="136">
        <v>46135.738032407404</v>
      </c>
      <c r="Z177" s="35" t="s">
        <v>1537</v>
      </c>
      <c r="AA177" s="137">
        <v>2.0</v>
      </c>
      <c r="AB177" s="139" t="s">
        <v>6381</v>
      </c>
      <c r="AC177" s="28" t="s">
        <v>6376</v>
      </c>
      <c r="AD177" s="28" t="s">
        <v>6431</v>
      </c>
      <c r="AE177" s="28"/>
      <c r="AF177" s="137" t="str">
        <f t="shared" si="5"/>
        <v/>
      </c>
      <c r="AG177" s="35"/>
      <c r="AH177" s="137"/>
      <c r="AI177" s="137"/>
      <c r="AJ177" s="137"/>
      <c r="AK177" s="137"/>
      <c r="AL177" s="137"/>
      <c r="AM177" s="137"/>
      <c r="AN177" s="137"/>
      <c r="AO177" s="137"/>
      <c r="AP177" s="137"/>
      <c r="AQ177" s="137"/>
      <c r="AR177" s="137"/>
      <c r="AS177" s="137"/>
      <c r="AT177" s="137"/>
      <c r="AU177" s="137"/>
      <c r="AV177" s="137"/>
      <c r="AW177" s="137"/>
      <c r="AX177" s="137"/>
      <c r="AY177" s="137"/>
      <c r="AZ177" s="137"/>
      <c r="BA177" s="137"/>
    </row>
    <row r="178" ht="17.25" hidden="1" customHeight="1">
      <c r="A178" s="35" t="s">
        <v>2265</v>
      </c>
      <c r="B178" s="132">
        <v>38283.0</v>
      </c>
      <c r="C178" s="35" t="s">
        <v>2266</v>
      </c>
      <c r="D178" s="133" t="s">
        <v>2267</v>
      </c>
      <c r="E178" s="35" t="s">
        <v>62</v>
      </c>
      <c r="F178" s="35" t="s">
        <v>82</v>
      </c>
      <c r="G178" s="35" t="s">
        <v>2268</v>
      </c>
      <c r="H178" s="35" t="s">
        <v>2269</v>
      </c>
      <c r="I178" s="35" t="s">
        <v>1069</v>
      </c>
      <c r="J178" s="35"/>
      <c r="K178" s="35" t="s">
        <v>67</v>
      </c>
      <c r="L178" s="35" t="s">
        <v>2270</v>
      </c>
      <c r="M178" s="134">
        <v>46539.0</v>
      </c>
      <c r="N178" s="133" t="s">
        <v>2271</v>
      </c>
      <c r="O178" s="135" t="str">
        <f>HYPERLINK("https://api.typeform.com/responses/files/a31bcedc0d831a06ca829342b94ffb0adb02f67543d3a4023ed6ea8d060223be/Transcipt___AI_Engineer_Intern___Đỗ_Việt_Hùng.pdf")</f>
        <v>https://api.typeform.com/responses/files/a31bcedc0d831a06ca829342b94ffb0adb02f67543d3a4023ed6ea8d060223be/Transcipt___AI_Engineer_Intern___Đỗ_Việt_Hùng.pdf</v>
      </c>
      <c r="P178" s="35" t="b">
        <v>1</v>
      </c>
      <c r="Q178" s="43" t="s">
        <v>2272</v>
      </c>
      <c r="R178" s="35" t="s">
        <v>2273</v>
      </c>
      <c r="S178" s="35" t="s">
        <v>72</v>
      </c>
      <c r="T178" s="35" t="s">
        <v>72</v>
      </c>
      <c r="U178" s="138" t="s">
        <v>188</v>
      </c>
      <c r="V178" s="35"/>
      <c r="W178" s="35" t="s">
        <v>2274</v>
      </c>
      <c r="X178" s="135" t="str">
        <f>HYPERLINK("https://api.typeform.com/responses/files/7cec12f3eeb8428454647de3a284e45740d3c7fd876e8cfdc5528178c59a6348/CV___AI_Engineer_Intern___Đỗ_Việt_Hùng.pdf")</f>
        <v>https://api.typeform.com/responses/files/7cec12f3eeb8428454647de3a284e45740d3c7fd876e8cfdc5528178c59a6348/CV___AI_Engineer_Intern___Đỗ_Việt_Hùng.pdf</v>
      </c>
      <c r="Y178" s="136">
        <v>46137.34388888889</v>
      </c>
      <c r="Z178" s="35" t="s">
        <v>2275</v>
      </c>
      <c r="AA178" s="137">
        <v>2.0</v>
      </c>
      <c r="AB178" s="139" t="s">
        <v>6381</v>
      </c>
      <c r="AC178" s="28" t="s">
        <v>6376</v>
      </c>
      <c r="AD178" s="28" t="s">
        <v>6431</v>
      </c>
      <c r="AE178" s="28"/>
      <c r="AF178" s="137" t="str">
        <f t="shared" si="5"/>
        <v/>
      </c>
      <c r="AG178" s="35"/>
      <c r="AH178" s="137"/>
      <c r="AI178" s="137"/>
      <c r="AJ178" s="137"/>
      <c r="AK178" s="137"/>
      <c r="AL178" s="137"/>
      <c r="AM178" s="137"/>
      <c r="AN178" s="137"/>
      <c r="AO178" s="137"/>
      <c r="AP178" s="137"/>
      <c r="AQ178" s="137"/>
      <c r="AR178" s="137"/>
      <c r="AS178" s="137"/>
      <c r="AT178" s="137"/>
      <c r="AU178" s="137"/>
      <c r="AV178" s="137"/>
      <c r="AW178" s="137"/>
      <c r="AX178" s="137"/>
      <c r="AY178" s="137"/>
      <c r="AZ178" s="137"/>
      <c r="BA178" s="137"/>
    </row>
    <row r="179" ht="17.25" hidden="1" customHeight="1">
      <c r="A179" s="149" t="s">
        <v>3052</v>
      </c>
      <c r="B179" s="150">
        <v>37996.0</v>
      </c>
      <c r="C179" s="149" t="s">
        <v>3053</v>
      </c>
      <c r="D179" s="151" t="s">
        <v>3054</v>
      </c>
      <c r="E179" s="149" t="s">
        <v>99</v>
      </c>
      <c r="F179" s="149" t="s">
        <v>99</v>
      </c>
      <c r="G179" s="149" t="s">
        <v>3055</v>
      </c>
      <c r="H179" s="149" t="s">
        <v>3056</v>
      </c>
      <c r="I179" s="149" t="s">
        <v>1069</v>
      </c>
      <c r="J179" s="149"/>
      <c r="K179" s="149" t="s">
        <v>67</v>
      </c>
      <c r="L179" s="149" t="s">
        <v>3057</v>
      </c>
      <c r="M179" s="152">
        <v>37996.0</v>
      </c>
      <c r="N179" s="151" t="s">
        <v>3058</v>
      </c>
      <c r="O179" s="153" t="str">
        <f>HYPERLINK("https://api.typeform.com/responses/files/c2c563cc703208cc9ff3a5b1c8706c6115a041ecbb2bd634e3a41572d19949f0/Transcript___Game_Design_Intern___Nguyễn_Thúy_Thương.xlsx")</f>
        <v>https://api.typeform.com/responses/files/c2c563cc703208cc9ff3a5b1c8706c6115a041ecbb2bd634e3a41572d19949f0/Transcript___Game_Design_Intern___Nguyễn_Thúy_Thương.xlsx</v>
      </c>
      <c r="P179" s="149" t="b">
        <v>1</v>
      </c>
      <c r="Q179" s="154" t="s">
        <v>3059</v>
      </c>
      <c r="R179" s="149" t="s">
        <v>3060</v>
      </c>
      <c r="S179" s="149" t="s">
        <v>72</v>
      </c>
      <c r="T179" s="149" t="s">
        <v>72</v>
      </c>
      <c r="U179" s="149" t="s">
        <v>90</v>
      </c>
      <c r="V179" s="149"/>
      <c r="W179" s="149" t="s">
        <v>3061</v>
      </c>
      <c r="X179" s="153" t="str">
        <f>HYPERLINK("https://api.typeform.com/responses/files/deaf0b89238194c92429ecb70ccd6b8e3958dac7f7a67f424e02b9e5cb661d54/CV___Game_Design_Intern___Nguyễn_Thúy_Thương.pdf")</f>
        <v>https://api.typeform.com/responses/files/deaf0b89238194c92429ecb70ccd6b8e3958dac7f7a67f424e02b9e5cb661d54/CV___Game_Design_Intern___Nguyễn_Thúy_Thương.pdf</v>
      </c>
      <c r="Y179" s="155">
        <v>46139.78836805555</v>
      </c>
      <c r="Z179" s="149" t="s">
        <v>3062</v>
      </c>
      <c r="AA179" s="156">
        <v>2.0</v>
      </c>
      <c r="AB179" s="157" t="s">
        <v>6381</v>
      </c>
      <c r="AC179" s="92" t="s">
        <v>6376</v>
      </c>
      <c r="AD179" s="158"/>
      <c r="AE179" s="92"/>
      <c r="AF179" s="137" t="str">
        <f t="shared" si="5"/>
        <v/>
      </c>
      <c r="AG179" s="149"/>
      <c r="AH179" s="156"/>
      <c r="AI179" s="156"/>
      <c r="AJ179" s="156"/>
      <c r="AK179" s="156"/>
      <c r="AL179" s="156"/>
      <c r="AM179" s="156"/>
      <c r="AN179" s="156"/>
      <c r="AO179" s="156"/>
      <c r="AP179" s="156"/>
      <c r="AQ179" s="156"/>
      <c r="AR179" s="156"/>
      <c r="AS179" s="156"/>
      <c r="AT179" s="156"/>
      <c r="AU179" s="156"/>
      <c r="AV179" s="156"/>
      <c r="AW179" s="156"/>
      <c r="AX179" s="156"/>
      <c r="AY179" s="156"/>
      <c r="AZ179" s="156"/>
      <c r="BA179" s="156"/>
    </row>
    <row r="180" ht="17.25" hidden="1" customHeight="1">
      <c r="A180" s="192" t="s">
        <v>4227</v>
      </c>
      <c r="B180" s="193">
        <v>38295.0</v>
      </c>
      <c r="C180" s="192" t="s">
        <v>4228</v>
      </c>
      <c r="D180" s="194" t="s">
        <v>4229</v>
      </c>
      <c r="E180" s="192" t="s">
        <v>62</v>
      </c>
      <c r="F180" s="192" t="s">
        <v>82</v>
      </c>
      <c r="G180" s="35" t="s">
        <v>4230</v>
      </c>
      <c r="H180" s="35" t="s">
        <v>4231</v>
      </c>
      <c r="I180" s="35" t="s">
        <v>85</v>
      </c>
      <c r="J180" s="35"/>
      <c r="K180" s="35" t="s">
        <v>103</v>
      </c>
      <c r="L180" s="35" t="s">
        <v>399</v>
      </c>
      <c r="M180" s="134">
        <v>46182.0</v>
      </c>
      <c r="N180" s="133" t="s">
        <v>901</v>
      </c>
      <c r="O180" s="135" t="str">
        <f>HYPERLINK("https://api.typeform.com/responses/files/fbcb20924b98c64bb736c9276c4e5232aa439ded6e7a4791fc0561d296194be8/AcademicTranscript_VNese_10.pdf")</f>
        <v>https://api.typeform.com/responses/files/fbcb20924b98c64bb736c9276c4e5232aa439ded6e7a4791fc0561d296194be8/AcademicTranscript_VNese_10.pdf</v>
      </c>
      <c r="P180" s="35" t="b">
        <v>1</v>
      </c>
      <c r="Q180" s="35" t="s">
        <v>4232</v>
      </c>
      <c r="R180" s="35" t="s">
        <v>222</v>
      </c>
      <c r="S180" s="35" t="s">
        <v>72</v>
      </c>
      <c r="T180" s="35" t="s">
        <v>72</v>
      </c>
      <c r="U180" s="138" t="s">
        <v>73</v>
      </c>
      <c r="V180" s="35"/>
      <c r="W180" s="35" t="s">
        <v>4233</v>
      </c>
      <c r="X180" s="195" t="str">
        <f>HYPERLINK("https://api.typeform.com/responses/files/f7662cc72f308ba94c48dda81508cdc28f7a30418e90f47ef1a45bce581df201/Resume_for_AI_Engineer_Intern___Le_Binh_Nguyen_.pdf")</f>
        <v>https://api.typeform.com/responses/files/f7662cc72f308ba94c48dda81508cdc28f7a30418e90f47ef1a45bce581df201/Resume_for_AI_Engineer_Intern___Le_Binh_Nguyen_.pdf</v>
      </c>
      <c r="Y180" s="196">
        <v>46142.78402777778</v>
      </c>
      <c r="Z180" s="35" t="s">
        <v>4234</v>
      </c>
      <c r="AA180" s="137">
        <v>2.0</v>
      </c>
      <c r="AB180" s="139" t="s">
        <v>6381</v>
      </c>
      <c r="AC180" s="28" t="s">
        <v>6377</v>
      </c>
      <c r="AD180" s="44" t="s">
        <v>6534</v>
      </c>
      <c r="AE180" s="28" t="s">
        <v>6379</v>
      </c>
      <c r="AF180" s="137" t="str">
        <f t="shared" si="5"/>
        <v>Quỳnh</v>
      </c>
      <c r="AG180" s="35"/>
      <c r="AH180" s="35"/>
      <c r="AI180" s="35"/>
      <c r="AJ180" s="35"/>
      <c r="AK180" s="35"/>
      <c r="AL180" s="35"/>
      <c r="AM180" s="35"/>
      <c r="AN180" s="35"/>
      <c r="AO180" s="35"/>
      <c r="AP180" s="35"/>
      <c r="AQ180" s="35"/>
      <c r="AR180" s="35"/>
      <c r="AS180" s="35"/>
      <c r="AT180" s="35"/>
      <c r="AU180" s="35"/>
      <c r="AV180" s="35"/>
      <c r="AW180" s="35"/>
      <c r="AX180" s="35"/>
      <c r="AY180" s="35"/>
      <c r="AZ180" s="35"/>
      <c r="BA180" s="35"/>
    </row>
    <row r="181" ht="17.25" hidden="1" customHeight="1">
      <c r="A181" s="197" t="s">
        <v>3073</v>
      </c>
      <c r="B181" s="198">
        <v>36613.0</v>
      </c>
      <c r="C181" s="197" t="s">
        <v>3074</v>
      </c>
      <c r="D181" s="199" t="s">
        <v>3075</v>
      </c>
      <c r="E181" s="197" t="s">
        <v>61</v>
      </c>
      <c r="F181" s="197" t="s">
        <v>61</v>
      </c>
      <c r="G181" s="35" t="s">
        <v>3076</v>
      </c>
      <c r="H181" s="35" t="s">
        <v>3077</v>
      </c>
      <c r="I181" s="35" t="s">
        <v>65</v>
      </c>
      <c r="J181" s="35" t="s">
        <v>3078</v>
      </c>
      <c r="K181" s="35" t="s">
        <v>103</v>
      </c>
      <c r="L181" s="35" t="s">
        <v>3079</v>
      </c>
      <c r="M181" s="134">
        <v>46041.0</v>
      </c>
      <c r="N181" s="133" t="s">
        <v>362</v>
      </c>
      <c r="O181" s="135" t="str">
        <f>HYPERLINK("https://api.typeform.com/responses/files/054f4a33d0427be3733dd54cb5ea5629e46e8506d33d41cbcc0c9540484d593e/Transcript___Unity_Game_Developer___Vu_Hoang_Long.PNG")</f>
        <v>https://api.typeform.com/responses/files/054f4a33d0427be3733dd54cb5ea5629e46e8506d33d41cbcc0c9540484d593e/Transcript___Unity_Game_Developer___Vu_Hoang_Long.PNG</v>
      </c>
      <c r="P181" s="35" t="b">
        <v>1</v>
      </c>
      <c r="Q181" s="35" t="s">
        <v>3080</v>
      </c>
      <c r="R181" s="35" t="s">
        <v>3081</v>
      </c>
      <c r="S181" s="35" t="s">
        <v>72</v>
      </c>
      <c r="T181" s="35" t="s">
        <v>72</v>
      </c>
      <c r="U181" s="35" t="s">
        <v>90</v>
      </c>
      <c r="V181" s="35"/>
      <c r="W181" s="35" t="s">
        <v>3082</v>
      </c>
      <c r="X181" s="200" t="str">
        <f>HYPERLINK("https://api.typeform.com/responses/files/7aa482b5dfd2f4b3d258f9fab9abea37c2b9f71b2798ece22f4813340cf1702c/Vu_Hoang_Long___Game_Developer.pdf")</f>
        <v>https://api.typeform.com/responses/files/7aa482b5dfd2f4b3d258f9fab9abea37c2b9f71b2798ece22f4813340cf1702c/Vu_Hoang_Long___Game_Developer.pdf</v>
      </c>
      <c r="Y181" s="201">
        <v>46140.113958333335</v>
      </c>
      <c r="Z181" s="35" t="s">
        <v>3083</v>
      </c>
      <c r="AA181" s="137">
        <v>2.0</v>
      </c>
      <c r="AB181" s="137" t="s">
        <v>93</v>
      </c>
      <c r="AC181" s="28" t="s">
        <v>6376</v>
      </c>
      <c r="AD181" s="27"/>
      <c r="AE181" s="28"/>
      <c r="AF181" s="137" t="str">
        <f t="shared" si="5"/>
        <v/>
      </c>
      <c r="AG181" s="35"/>
      <c r="AH181" s="35"/>
      <c r="AI181" s="35"/>
      <c r="AJ181" s="35"/>
      <c r="AK181" s="35"/>
      <c r="AL181" s="35"/>
      <c r="AM181" s="35"/>
      <c r="AN181" s="35"/>
      <c r="AO181" s="35"/>
      <c r="AP181" s="35"/>
      <c r="AQ181" s="35"/>
      <c r="AR181" s="35"/>
      <c r="AS181" s="35"/>
      <c r="AT181" s="35"/>
      <c r="AU181" s="35"/>
      <c r="AV181" s="35"/>
      <c r="AW181" s="35"/>
      <c r="AX181" s="35"/>
      <c r="AY181" s="35"/>
      <c r="AZ181" s="35"/>
      <c r="BA181" s="35"/>
    </row>
    <row r="182" ht="17.25" hidden="1" customHeight="1">
      <c r="A182" s="192" t="s">
        <v>3593</v>
      </c>
      <c r="B182" s="193">
        <v>38008.0</v>
      </c>
      <c r="C182" s="192" t="s">
        <v>3594</v>
      </c>
      <c r="D182" s="194" t="s">
        <v>3595</v>
      </c>
      <c r="E182" s="192" t="s">
        <v>62</v>
      </c>
      <c r="F182" s="192" t="s">
        <v>82</v>
      </c>
      <c r="G182" s="35" t="s">
        <v>3596</v>
      </c>
      <c r="H182" s="35" t="s">
        <v>3597</v>
      </c>
      <c r="I182" s="35" t="s">
        <v>85</v>
      </c>
      <c r="J182" s="35"/>
      <c r="K182" s="35" t="s">
        <v>67</v>
      </c>
      <c r="L182" s="35" t="s">
        <v>384</v>
      </c>
      <c r="M182" s="134">
        <v>46188.0</v>
      </c>
      <c r="N182" s="133" t="s">
        <v>2503</v>
      </c>
      <c r="O182" s="135" t="str">
        <f>HYPERLINK("https://api.typeform.com/responses/files/c7822a5d7bd88de88e7c5696e9e1dc1107e0f31d58646896c2852416159615c0/Kết_quả_học_tập.pdf")</f>
        <v>https://api.typeform.com/responses/files/c7822a5d7bd88de88e7c5696e9e1dc1107e0f31d58646896c2852416159615c0/Kết_quả_học_tập.pdf</v>
      </c>
      <c r="P182" s="35" t="b">
        <v>0</v>
      </c>
      <c r="Q182" s="35" t="s">
        <v>1437</v>
      </c>
      <c r="R182" s="35" t="s">
        <v>1437</v>
      </c>
      <c r="S182" s="35" t="s">
        <v>72</v>
      </c>
      <c r="T182" s="35" t="s">
        <v>72</v>
      </c>
      <c r="U182" s="138" t="s">
        <v>269</v>
      </c>
      <c r="V182" s="35"/>
      <c r="W182" s="35" t="s">
        <v>3598</v>
      </c>
      <c r="X182" s="195" t="str">
        <f>HYPERLINK("https://api.typeform.com/responses/files/115af0d537167c100bd1637b3f0bf415049e3025a5fa5c76a356914d77dd7a9c/CV_AI_DO_TUAN_TRUC.pdf")</f>
        <v>https://api.typeform.com/responses/files/115af0d537167c100bd1637b3f0bf415049e3025a5fa5c76a356914d77dd7a9c/CV_AI_DO_TUAN_TRUC.pdf</v>
      </c>
      <c r="Y182" s="196">
        <v>46140.58736111111</v>
      </c>
      <c r="Z182" s="35" t="s">
        <v>3599</v>
      </c>
      <c r="AA182" s="137">
        <v>2.0</v>
      </c>
      <c r="AB182" s="139" t="s">
        <v>6381</v>
      </c>
      <c r="AC182" s="28" t="s">
        <v>6376</v>
      </c>
      <c r="AD182" s="27"/>
      <c r="AE182" s="28"/>
      <c r="AF182" s="137" t="str">
        <f t="shared" si="5"/>
        <v/>
      </c>
      <c r="AG182" s="35"/>
      <c r="AH182" s="35"/>
      <c r="AI182" s="35"/>
      <c r="AJ182" s="35"/>
      <c r="AK182" s="35"/>
      <c r="AL182" s="35"/>
      <c r="AM182" s="35"/>
      <c r="AN182" s="35"/>
      <c r="AO182" s="35"/>
      <c r="AP182" s="35"/>
      <c r="AQ182" s="35"/>
      <c r="AR182" s="35"/>
      <c r="AS182" s="35"/>
      <c r="AT182" s="35"/>
      <c r="AU182" s="35"/>
      <c r="AV182" s="35"/>
      <c r="AW182" s="35"/>
      <c r="AX182" s="35"/>
      <c r="AY182" s="35"/>
      <c r="AZ182" s="35"/>
      <c r="BA182" s="35"/>
    </row>
    <row r="183" ht="17.25" hidden="1" customHeight="1">
      <c r="A183" s="197" t="s">
        <v>3093</v>
      </c>
      <c r="B183" s="198">
        <v>38234.0</v>
      </c>
      <c r="C183" s="197" t="s">
        <v>3094</v>
      </c>
      <c r="D183" s="199" t="s">
        <v>3095</v>
      </c>
      <c r="E183" s="197" t="s">
        <v>127</v>
      </c>
      <c r="F183" s="197" t="s">
        <v>127</v>
      </c>
      <c r="G183" s="35" t="s">
        <v>3096</v>
      </c>
      <c r="H183" s="35" t="s">
        <v>3097</v>
      </c>
      <c r="I183" s="35" t="s">
        <v>85</v>
      </c>
      <c r="J183" s="35"/>
      <c r="K183" s="35" t="s">
        <v>103</v>
      </c>
      <c r="L183" s="35" t="s">
        <v>900</v>
      </c>
      <c r="M183" s="134">
        <v>46182.0</v>
      </c>
      <c r="N183" s="133" t="s">
        <v>1792</v>
      </c>
      <c r="O183" s="135" t="str">
        <f>HYPERLINK("https://api.typeform.com/responses/files/d72291958ed546dae7869acdd92b1954654b69de4c101d4a130fa5c780b792ec/Transcript___Game_QA_Intern___Lê_Thái_Khánh_Ngân.pdf")</f>
        <v>https://api.typeform.com/responses/files/d72291958ed546dae7869acdd92b1954654b69de4c101d4a130fa5c780b792ec/Transcript___Game_QA_Intern___Lê_Thái_Khánh_Ngân.pdf</v>
      </c>
      <c r="P183" s="35" t="b">
        <v>1</v>
      </c>
      <c r="Q183" s="35" t="s">
        <v>3098</v>
      </c>
      <c r="R183" s="35" t="s">
        <v>3099</v>
      </c>
      <c r="S183" s="35" t="s">
        <v>72</v>
      </c>
      <c r="T183" s="35" t="s">
        <v>72</v>
      </c>
      <c r="U183" s="35" t="s">
        <v>236</v>
      </c>
      <c r="V183" s="35"/>
      <c r="W183" s="35" t="s">
        <v>3100</v>
      </c>
      <c r="X183" s="200" t="str">
        <f>HYPERLINK("https://api.typeform.com/responses/files/de0c4f2ca04b85e6343598dbd053c24a88735017b84e754267d177169c9e8884/CV___Game_QA_Intern___Lê_Thái_Khánh_Ngân.pdf")</f>
        <v>https://api.typeform.com/responses/files/de0c4f2ca04b85e6343598dbd053c24a88735017b84e754267d177169c9e8884/CV___Game_QA_Intern___Lê_Thái_Khánh_Ngân.pdf</v>
      </c>
      <c r="Y183" s="201">
        <v>46140.13011574074</v>
      </c>
      <c r="Z183" s="35" t="s">
        <v>3101</v>
      </c>
      <c r="AA183" s="137">
        <v>2.0</v>
      </c>
      <c r="AB183" s="137" t="s">
        <v>93</v>
      </c>
      <c r="AC183" s="28" t="s">
        <v>6377</v>
      </c>
      <c r="AD183" s="27"/>
      <c r="AE183" s="28" t="s">
        <v>6379</v>
      </c>
      <c r="AF183" s="137" t="str">
        <f t="shared" si="5"/>
        <v>Quỳnh</v>
      </c>
      <c r="AG183" s="35"/>
      <c r="AH183" s="35"/>
      <c r="AI183" s="35"/>
      <c r="AJ183" s="35"/>
      <c r="AK183" s="35"/>
      <c r="AL183" s="35"/>
      <c r="AM183" s="35"/>
      <c r="AN183" s="35"/>
      <c r="AO183" s="35"/>
      <c r="AP183" s="35"/>
      <c r="AQ183" s="35"/>
      <c r="AR183" s="35"/>
      <c r="AS183" s="35"/>
      <c r="AT183" s="35"/>
      <c r="AU183" s="35"/>
      <c r="AV183" s="35"/>
      <c r="AW183" s="35"/>
      <c r="AX183" s="35"/>
      <c r="AY183" s="35"/>
      <c r="AZ183" s="35"/>
      <c r="BA183" s="35"/>
    </row>
    <row r="184" ht="17.25" hidden="1" customHeight="1">
      <c r="A184" s="192" t="s">
        <v>3102</v>
      </c>
      <c r="B184" s="193">
        <v>38012.0</v>
      </c>
      <c r="C184" s="192" t="s">
        <v>3103</v>
      </c>
      <c r="D184" s="194" t="s">
        <v>3104</v>
      </c>
      <c r="E184" s="192" t="s">
        <v>61</v>
      </c>
      <c r="F184" s="192" t="s">
        <v>99</v>
      </c>
      <c r="G184" s="35" t="s">
        <v>3105</v>
      </c>
      <c r="H184" s="35" t="s">
        <v>3106</v>
      </c>
      <c r="I184" s="35" t="s">
        <v>715</v>
      </c>
      <c r="J184" s="35"/>
      <c r="K184" s="35" t="s">
        <v>67</v>
      </c>
      <c r="L184" s="35" t="s">
        <v>399</v>
      </c>
      <c r="M184" s="134">
        <v>46188.0</v>
      </c>
      <c r="N184" s="133" t="s">
        <v>1260</v>
      </c>
      <c r="O184" s="135" t="str">
        <f>HYPERLINK("https://api.typeform.com/responses/files/d3079af10677f22cae4d51a9a42526f18ad160865807c05a17f8e6bdda682460/Transcript___Unity_Development_Intern___Nguyễn_Mạnh_Hùng.pdf")</f>
        <v>https://api.typeform.com/responses/files/d3079af10677f22cae4d51a9a42526f18ad160865807c05a17f8e6bdda682460/Transcript___Unity_Development_Intern___Nguyễn_Mạnh_Hùng.pdf</v>
      </c>
      <c r="P184" s="35" t="b">
        <v>1</v>
      </c>
      <c r="Q184" s="182" t="s">
        <v>6535</v>
      </c>
      <c r="R184" s="35" t="s">
        <v>3108</v>
      </c>
      <c r="S184" s="35" t="s">
        <v>72</v>
      </c>
      <c r="T184" s="35" t="s">
        <v>72</v>
      </c>
      <c r="U184" s="35" t="s">
        <v>2389</v>
      </c>
      <c r="V184" s="35"/>
      <c r="W184" s="35" t="s">
        <v>3109</v>
      </c>
      <c r="X184" s="195" t="str">
        <f>HYPERLINK("https://api.typeform.com/responses/files/12b51474639b922550c1b1c3d0e25dca2e1f47f45dc800ec457ab37fbca86695/CV___Unity_Development_Intern___Nguyễn_Mạnh_Hùng.pdf")</f>
        <v>https://api.typeform.com/responses/files/12b51474639b922550c1b1c3d0e25dca2e1f47f45dc800ec457ab37fbca86695/CV___Unity_Development_Intern___Nguyễn_Mạnh_Hùng.pdf</v>
      </c>
      <c r="Y184" s="196">
        <v>46140.13439814815</v>
      </c>
      <c r="Z184" s="35" t="s">
        <v>3110</v>
      </c>
      <c r="AA184" s="137">
        <v>2.0</v>
      </c>
      <c r="AB184" s="137" t="s">
        <v>93</v>
      </c>
      <c r="AC184" s="28" t="s">
        <v>6377</v>
      </c>
      <c r="AD184" s="28" t="s">
        <v>6504</v>
      </c>
      <c r="AE184" s="28" t="s">
        <v>6379</v>
      </c>
      <c r="AF184" s="137" t="str">
        <f t="shared" si="5"/>
        <v>Quỳnh</v>
      </c>
      <c r="AG184" s="35"/>
      <c r="AH184" s="35"/>
      <c r="AI184" s="35"/>
      <c r="AJ184" s="35"/>
      <c r="AK184" s="35"/>
      <c r="AL184" s="35"/>
      <c r="AM184" s="35"/>
      <c r="AN184" s="35"/>
      <c r="AO184" s="35"/>
      <c r="AP184" s="35"/>
      <c r="AQ184" s="35"/>
      <c r="AR184" s="35"/>
      <c r="AS184" s="35"/>
      <c r="AT184" s="35"/>
      <c r="AU184" s="35"/>
      <c r="AV184" s="35"/>
      <c r="AW184" s="35"/>
      <c r="AX184" s="35"/>
      <c r="AY184" s="35"/>
      <c r="AZ184" s="35"/>
      <c r="BA184" s="35"/>
    </row>
    <row r="185" ht="17.25" hidden="1" customHeight="1">
      <c r="A185" s="197" t="s">
        <v>3111</v>
      </c>
      <c r="B185" s="198">
        <v>37353.0</v>
      </c>
      <c r="C185" s="197" t="s">
        <v>3112</v>
      </c>
      <c r="D185" s="199" t="s">
        <v>3113</v>
      </c>
      <c r="E185" s="197" t="s">
        <v>61</v>
      </c>
      <c r="F185" s="197" t="s">
        <v>99</v>
      </c>
      <c r="G185" s="35" t="s">
        <v>3114</v>
      </c>
      <c r="H185" s="35" t="s">
        <v>3115</v>
      </c>
      <c r="I185" s="35" t="s">
        <v>3116</v>
      </c>
      <c r="J185" s="35"/>
      <c r="K185" s="35" t="s">
        <v>103</v>
      </c>
      <c r="L185" s="35" t="s">
        <v>132</v>
      </c>
      <c r="M185" s="134">
        <v>45474.0</v>
      </c>
      <c r="N185" s="35" t="s">
        <v>3117</v>
      </c>
      <c r="O185" s="135" t="str">
        <f>HYPERLINK("https://api.typeform.com/responses/files/6f087ab6231e80b1133782c7d35cac9c6dd377a6c1dea6aa8554029334ab08b6/Transcript___Unity_Development_Intern___NguyenTranPhuocLoc.pdf")</f>
        <v>https://api.typeform.com/responses/files/6f087ab6231e80b1133782c7d35cac9c6dd377a6c1dea6aa8554029334ab08b6/Transcript___Unity_Development_Intern___NguyenTranPhuocLoc.pdf</v>
      </c>
      <c r="P185" s="35" t="b">
        <v>1</v>
      </c>
      <c r="Q185" s="35" t="s">
        <v>3118</v>
      </c>
      <c r="R185" s="35" t="s">
        <v>3119</v>
      </c>
      <c r="S185" s="35" t="s">
        <v>72</v>
      </c>
      <c r="T185" s="35" t="s">
        <v>72</v>
      </c>
      <c r="U185" s="35" t="s">
        <v>3120</v>
      </c>
      <c r="V185" s="35"/>
      <c r="W185" s="35" t="s">
        <v>3121</v>
      </c>
      <c r="X185" s="200" t="str">
        <f>HYPERLINK("https://api.typeform.com/responses/files/f4e5dfeb5dc6130a920d9e084ca06253a36359d8b0e743fe15d07d92a2e30e2e/CV___Unity_Development_Intern___NguyenTranPhuocLoc.pdf")</f>
        <v>https://api.typeform.com/responses/files/f4e5dfeb5dc6130a920d9e084ca06253a36359d8b0e743fe15d07d92a2e30e2e/CV___Unity_Development_Intern___NguyenTranPhuocLoc.pdf</v>
      </c>
      <c r="Y185" s="201">
        <v>46140.14251157407</v>
      </c>
      <c r="Z185" s="35" t="s">
        <v>3122</v>
      </c>
      <c r="AA185" s="137">
        <v>2.0</v>
      </c>
      <c r="AB185" s="137" t="s">
        <v>93</v>
      </c>
      <c r="AC185" s="28" t="s">
        <v>6376</v>
      </c>
      <c r="AD185" s="27"/>
      <c r="AE185" s="28"/>
      <c r="AF185" s="137" t="str">
        <f t="shared" si="5"/>
        <v/>
      </c>
      <c r="AG185" s="35"/>
      <c r="AH185" s="35"/>
      <c r="AI185" s="35"/>
      <c r="AJ185" s="35"/>
      <c r="AK185" s="35"/>
      <c r="AL185" s="35"/>
      <c r="AM185" s="35"/>
      <c r="AN185" s="35"/>
      <c r="AO185" s="35"/>
      <c r="AP185" s="35"/>
      <c r="AQ185" s="35"/>
      <c r="AR185" s="35"/>
      <c r="AS185" s="35"/>
      <c r="AT185" s="35"/>
      <c r="AU185" s="35"/>
      <c r="AV185" s="35"/>
      <c r="AW185" s="35"/>
      <c r="AX185" s="35"/>
      <c r="AY185" s="35"/>
      <c r="AZ185" s="35"/>
      <c r="BA185" s="35"/>
    </row>
    <row r="186" ht="17.25" hidden="1" customHeight="1">
      <c r="A186" s="192" t="s">
        <v>3123</v>
      </c>
      <c r="B186" s="193">
        <v>37781.0</v>
      </c>
      <c r="C186" s="192" t="s">
        <v>3124</v>
      </c>
      <c r="D186" s="194" t="s">
        <v>3125</v>
      </c>
      <c r="E186" s="192" t="s">
        <v>61</v>
      </c>
      <c r="F186" s="192" t="s">
        <v>774</v>
      </c>
      <c r="G186" s="35" t="s">
        <v>3126</v>
      </c>
      <c r="H186" s="35" t="s">
        <v>3127</v>
      </c>
      <c r="I186" s="35" t="s">
        <v>144</v>
      </c>
      <c r="J186" s="35"/>
      <c r="K186" s="35" t="s">
        <v>169</v>
      </c>
      <c r="L186" s="35" t="s">
        <v>457</v>
      </c>
      <c r="M186" s="134">
        <v>46260.0</v>
      </c>
      <c r="N186" s="35" t="s">
        <v>3128</v>
      </c>
      <c r="O186" s="135" t="str">
        <f>HYPERLINK("https://api.typeform.com/responses/files/75dc71c33abcb1889468fd4d02d7ae5ad1a235dcfd2b6ea2219962795cefd2e0/Transcript____Unity_Develeoper_Inter___Trần_Trung_Tuấn_Hưng.pdf")</f>
        <v>https://api.typeform.com/responses/files/75dc71c33abcb1889468fd4d02d7ae5ad1a235dcfd2b6ea2219962795cefd2e0/Transcript____Unity_Develeoper_Inter___Trần_Trung_Tuấn_Hưng.pdf</v>
      </c>
      <c r="P186" s="35" t="b">
        <v>1</v>
      </c>
      <c r="Q186" s="35" t="s">
        <v>3129</v>
      </c>
      <c r="R186" s="35" t="s">
        <v>3130</v>
      </c>
      <c r="S186" s="35" t="s">
        <v>72</v>
      </c>
      <c r="T186" s="35" t="s">
        <v>72</v>
      </c>
      <c r="U186" s="35" t="s">
        <v>236</v>
      </c>
      <c r="V186" s="35"/>
      <c r="W186" s="35" t="s">
        <v>3131</v>
      </c>
      <c r="X186" s="195" t="str">
        <f>HYPERLINK("https://api.typeform.com/responses/files/dc27ea6fc253615b5599296a3a708360b90b335ecd3063587ff670fcdf80ebec/CV___Unity_Developer_Intern___Trần_Trung_Tuấn_Hưng.pdf")</f>
        <v>https://api.typeform.com/responses/files/dc27ea6fc253615b5599296a3a708360b90b335ecd3063587ff670fcdf80ebec/CV___Unity_Developer_Intern___Trần_Trung_Tuấn_Hưng.pdf</v>
      </c>
      <c r="Y186" s="196">
        <v>46140.14506944444</v>
      </c>
      <c r="Z186" s="35" t="s">
        <v>3132</v>
      </c>
      <c r="AA186" s="137">
        <v>2.0</v>
      </c>
      <c r="AB186" s="137" t="s">
        <v>93</v>
      </c>
      <c r="AC186" s="28" t="s">
        <v>6377</v>
      </c>
      <c r="AD186" s="27"/>
      <c r="AE186" s="28" t="s">
        <v>6379</v>
      </c>
      <c r="AF186" s="137" t="str">
        <f t="shared" si="5"/>
        <v>Quỳnh</v>
      </c>
      <c r="AG186" s="35"/>
      <c r="AH186" s="35"/>
      <c r="AI186" s="35"/>
      <c r="AJ186" s="35"/>
      <c r="AK186" s="35"/>
      <c r="AL186" s="35"/>
      <c r="AM186" s="35"/>
      <c r="AN186" s="35"/>
      <c r="AO186" s="35"/>
      <c r="AP186" s="35"/>
      <c r="AQ186" s="35"/>
      <c r="AR186" s="35"/>
      <c r="AS186" s="35"/>
      <c r="AT186" s="35"/>
      <c r="AU186" s="35"/>
      <c r="AV186" s="35"/>
      <c r="AW186" s="35"/>
      <c r="AX186" s="35"/>
      <c r="AY186" s="35"/>
      <c r="AZ186" s="35"/>
      <c r="BA186" s="35"/>
    </row>
    <row r="187" ht="17.25" hidden="1" customHeight="1">
      <c r="A187" s="197" t="s">
        <v>1376</v>
      </c>
      <c r="B187" s="198">
        <v>38026.0</v>
      </c>
      <c r="C187" s="197" t="s">
        <v>1377</v>
      </c>
      <c r="D187" s="199" t="s">
        <v>1378</v>
      </c>
      <c r="E187" s="197" t="s">
        <v>62</v>
      </c>
      <c r="F187" s="197" t="s">
        <v>82</v>
      </c>
      <c r="G187" s="35" t="s">
        <v>1379</v>
      </c>
      <c r="H187" s="35" t="s">
        <v>1380</v>
      </c>
      <c r="I187" s="35" t="s">
        <v>326</v>
      </c>
      <c r="J187" s="35"/>
      <c r="K187" s="35" t="s">
        <v>67</v>
      </c>
      <c r="L187" s="35" t="s">
        <v>1381</v>
      </c>
      <c r="M187" s="134">
        <v>46234.0</v>
      </c>
      <c r="N187" s="133" t="s">
        <v>1382</v>
      </c>
      <c r="O187" s="135" t="str">
        <f>HYPERLINK("https://api.typeform.com/responses/files/4505dbeabfcfe0860072a384e32ea4325d92ddef9b489a9c0a95eb671043d24a/Bảng_điểm_22120153.pdf")</f>
        <v>https://api.typeform.com/responses/files/4505dbeabfcfe0860072a384e32ea4325d92ddef9b489a9c0a95eb671043d24a/Bảng_điểm_22120153.pdf</v>
      </c>
      <c r="P187" s="35" t="b">
        <v>0</v>
      </c>
      <c r="Q187" s="43" t="s">
        <v>1383</v>
      </c>
      <c r="R187" s="35" t="s">
        <v>1384</v>
      </c>
      <c r="S187" s="35" t="s">
        <v>72</v>
      </c>
      <c r="T187" s="35" t="s">
        <v>72</v>
      </c>
      <c r="U187" s="138" t="s">
        <v>269</v>
      </c>
      <c r="V187" s="35"/>
      <c r="W187" s="35" t="s">
        <v>1385</v>
      </c>
      <c r="X187" s="200" t="str">
        <f>HYPERLINK("https://api.typeform.com/responses/files/d6ec7fb30a25c3be9f0ffc7b41c32157ce5ae07026eb2e57a019cc82a32cb843/tran_duy_khang_CV.pdf")</f>
        <v>https://api.typeform.com/responses/files/d6ec7fb30a25c3be9f0ffc7b41c32157ce5ae07026eb2e57a019cc82a32cb843/tran_duy_khang_CV.pdf</v>
      </c>
      <c r="Y187" s="201">
        <v>46135.594618055555</v>
      </c>
      <c r="Z187" s="35" t="s">
        <v>1386</v>
      </c>
      <c r="AA187" s="137">
        <v>2.0</v>
      </c>
      <c r="AB187" s="139" t="s">
        <v>6381</v>
      </c>
      <c r="AC187" s="28" t="s">
        <v>6377</v>
      </c>
      <c r="AD187" s="28" t="s">
        <v>6536</v>
      </c>
      <c r="AE187" s="28" t="s">
        <v>6379</v>
      </c>
      <c r="AF187" s="137" t="str">
        <f t="shared" si="5"/>
        <v>Quỳnh</v>
      </c>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row>
    <row r="188" ht="17.25" hidden="1" customHeight="1">
      <c r="A188" s="140" t="s">
        <v>3142</v>
      </c>
      <c r="B188" s="141">
        <v>37938.0</v>
      </c>
      <c r="C188" s="140" t="s">
        <v>3143</v>
      </c>
      <c r="D188" s="142" t="s">
        <v>3144</v>
      </c>
      <c r="E188" s="140" t="s">
        <v>62</v>
      </c>
      <c r="F188" s="140" t="s">
        <v>82</v>
      </c>
      <c r="G188" s="140" t="s">
        <v>3145</v>
      </c>
      <c r="H188" s="140" t="s">
        <v>3146</v>
      </c>
      <c r="I188" s="140" t="s">
        <v>65</v>
      </c>
      <c r="J188" s="140" t="s">
        <v>3147</v>
      </c>
      <c r="K188" s="140" t="s">
        <v>103</v>
      </c>
      <c r="L188" s="140" t="s">
        <v>3148</v>
      </c>
      <c r="M188" s="143">
        <v>46131.0</v>
      </c>
      <c r="N188" s="142" t="s">
        <v>696</v>
      </c>
      <c r="O188" s="144" t="str">
        <f>HYPERLINK("https://api.typeform.com/responses/files/69c086d97da8e731bbb239654feca8b2e7a7d46f1d08e22ba031a5977b5ab1f1/SoftwareEngineer__NguyenPhuThinh.pdf")</f>
        <v>https://api.typeform.com/responses/files/69c086d97da8e731bbb239654feca8b2e7a7d46f1d08e22ba031a5977b5ab1f1/SoftwareEngineer__NguyenPhuThinh.pdf</v>
      </c>
      <c r="P188" s="140" t="b">
        <v>1</v>
      </c>
      <c r="Q188" s="140" t="s">
        <v>3149</v>
      </c>
      <c r="R188" s="140" t="s">
        <v>3150</v>
      </c>
      <c r="S188" s="140" t="s">
        <v>72</v>
      </c>
      <c r="T188" s="140" t="s">
        <v>72</v>
      </c>
      <c r="U188" s="140" t="s">
        <v>90</v>
      </c>
      <c r="V188" s="140"/>
      <c r="W188" s="140"/>
      <c r="X188" s="144" t="str">
        <f>HYPERLINK("https://api.typeform.com/responses/files/6019859376673d0f8fffe84970bd9f96da63e7a6bed3566f9b0154c678cd1dd0/SoftwareEngineer__NguyenPhuThinh.pdf")</f>
        <v>https://api.typeform.com/responses/files/6019859376673d0f8fffe84970bd9f96da63e7a6bed3566f9b0154c678cd1dd0/SoftwareEngineer__NguyenPhuThinh.pdf</v>
      </c>
      <c r="Y188" s="145">
        <v>46140.154016203705</v>
      </c>
      <c r="Z188" s="140" t="s">
        <v>3151</v>
      </c>
      <c r="AA188" s="146">
        <v>2.0</v>
      </c>
      <c r="AB188" s="147" t="s">
        <v>6381</v>
      </c>
      <c r="AC188" s="70" t="s">
        <v>6376</v>
      </c>
      <c r="AD188" s="148"/>
      <c r="AE188" s="70"/>
      <c r="AF188" s="146" t="str">
        <f t="shared" si="5"/>
        <v/>
      </c>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row>
    <row r="189" ht="17.25" hidden="1" customHeight="1">
      <c r="A189" s="197" t="s">
        <v>2946</v>
      </c>
      <c r="B189" s="198">
        <v>38063.0</v>
      </c>
      <c r="C189" s="197" t="s">
        <v>2947</v>
      </c>
      <c r="D189" s="199" t="s">
        <v>2948</v>
      </c>
      <c r="E189" s="197" t="s">
        <v>62</v>
      </c>
      <c r="F189" s="197"/>
      <c r="G189" s="35" t="s">
        <v>2949</v>
      </c>
      <c r="H189" s="35" t="s">
        <v>2950</v>
      </c>
      <c r="I189" s="35" t="s">
        <v>85</v>
      </c>
      <c r="J189" s="35"/>
      <c r="K189" s="35" t="s">
        <v>103</v>
      </c>
      <c r="L189" s="35" t="s">
        <v>570</v>
      </c>
      <c r="M189" s="134">
        <v>46111.0</v>
      </c>
      <c r="N189" s="133" t="s">
        <v>2951</v>
      </c>
      <c r="O189" s="135" t="str">
        <f>HYPERLINK("https://api.typeform.com/responses/files/a506b81cb41d7e88f92b76cfca699788d39a0c7747bce125d08c5cc631c442b6/Transcript___AI_Engineering_Intern___Cao_Huyền_My.pdf")</f>
        <v>https://api.typeform.com/responses/files/a506b81cb41d7e88f92b76cfca699788d39a0c7747bce125d08c5cc631c442b6/Transcript___AI_Engineering_Intern___Cao_Huyền_My.pdf</v>
      </c>
      <c r="P189" s="35" t="b">
        <v>0</v>
      </c>
      <c r="Q189" s="43" t="s">
        <v>300</v>
      </c>
      <c r="R189" s="35" t="s">
        <v>2952</v>
      </c>
      <c r="S189" s="35" t="s">
        <v>72</v>
      </c>
      <c r="T189" s="35" t="s">
        <v>72</v>
      </c>
      <c r="U189" s="138" t="s">
        <v>90</v>
      </c>
      <c r="V189" s="35"/>
      <c r="W189" s="35" t="s">
        <v>2953</v>
      </c>
      <c r="X189" s="200" t="str">
        <f>HYPERLINK("https://api.typeform.com/responses/files/57a193d4292cbeffd815cdea7810b6833423f3b4c528613ced54b0695bb253d4/CV___AI_Engineering_Intern___Cao_Huyền_My.pdf")</f>
        <v>https://api.typeform.com/responses/files/57a193d4292cbeffd815cdea7810b6833423f3b4c528613ced54b0695bb253d4/CV___AI_Engineering_Intern___Cao_Huyền_My.pdf</v>
      </c>
      <c r="Y189" s="201">
        <v>46139.64606481481</v>
      </c>
      <c r="Z189" s="35" t="s">
        <v>2954</v>
      </c>
      <c r="AA189" s="137">
        <v>2.0</v>
      </c>
      <c r="AB189" s="139" t="s">
        <v>6381</v>
      </c>
      <c r="AC189" s="28" t="s">
        <v>6377</v>
      </c>
      <c r="AD189" s="44" t="s">
        <v>6537</v>
      </c>
      <c r="AE189" s="28" t="s">
        <v>6379</v>
      </c>
      <c r="AF189" s="137" t="str">
        <f t="shared" si="5"/>
        <v>Quỳnh</v>
      </c>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row>
    <row r="190" ht="17.25" hidden="1" customHeight="1">
      <c r="A190" s="192" t="s">
        <v>4083</v>
      </c>
      <c r="B190" s="193">
        <v>38655.0</v>
      </c>
      <c r="C190" s="192" t="s">
        <v>4084</v>
      </c>
      <c r="D190" s="194" t="s">
        <v>4085</v>
      </c>
      <c r="E190" s="192" t="s">
        <v>82</v>
      </c>
      <c r="F190" s="192" t="s">
        <v>62</v>
      </c>
      <c r="G190" s="35" t="s">
        <v>4086</v>
      </c>
      <c r="H190" s="35" t="s">
        <v>4087</v>
      </c>
      <c r="I190" s="35" t="s">
        <v>85</v>
      </c>
      <c r="J190" s="35"/>
      <c r="K190" s="35" t="s">
        <v>219</v>
      </c>
      <c r="L190" s="35" t="s">
        <v>298</v>
      </c>
      <c r="M190" s="134">
        <v>46600.0</v>
      </c>
      <c r="N190" s="133" t="s">
        <v>4088</v>
      </c>
      <c r="O190" s="135" t="str">
        <f>HYPERLINK("https://api.typeform.com/responses/files/8c77fb7d03e6dccf667717e95baacb754d21ea52eaf71d4751a87627dbc26040/Transcript___Data_Analysis_Intern___Nguyễn_Phú_Toàn.pdf")</f>
        <v>https://api.typeform.com/responses/files/8c77fb7d03e6dccf667717e95baacb754d21ea52eaf71d4751a87627dbc26040/Transcript___Data_Analysis_Intern___Nguyễn_Phú_Toàn.pdf</v>
      </c>
      <c r="P190" s="35" t="b">
        <v>1</v>
      </c>
      <c r="Q190" s="35" t="s">
        <v>4089</v>
      </c>
      <c r="R190" s="35" t="s">
        <v>4090</v>
      </c>
      <c r="S190" s="35" t="s">
        <v>72</v>
      </c>
      <c r="T190" s="35" t="s">
        <v>72</v>
      </c>
      <c r="U190" s="35" t="s">
        <v>269</v>
      </c>
      <c r="V190" s="35"/>
      <c r="W190" s="35"/>
      <c r="X190" s="195" t="str">
        <f>HYPERLINK("https://api.typeform.com/responses/files/7d5b05b60821575e970aa078453b4376edbe45a23a9fdbdbd064df12b83a0d8e/CV___Data_Analysis_Intern___Nguyễn_Phú_Toàn.pdf")</f>
        <v>https://api.typeform.com/responses/files/7d5b05b60821575e970aa078453b4376edbe45a23a9fdbdbd064df12b83a0d8e/CV___Data_Analysis_Intern___Nguyễn_Phú_Toàn.pdf</v>
      </c>
      <c r="Y190" s="196">
        <v>46142.07135416667</v>
      </c>
      <c r="Z190" s="35" t="s">
        <v>4091</v>
      </c>
      <c r="AA190" s="137">
        <v>2.0</v>
      </c>
      <c r="AB190" s="137" t="s">
        <v>93</v>
      </c>
      <c r="AC190" s="28" t="s">
        <v>6376</v>
      </c>
      <c r="AD190" s="27"/>
      <c r="AE190" s="28"/>
      <c r="AF190" s="137" t="str">
        <f t="shared" si="5"/>
        <v/>
      </c>
      <c r="AG190" s="35"/>
      <c r="AH190" s="35"/>
      <c r="AI190" s="35"/>
      <c r="AJ190" s="35"/>
      <c r="AK190" s="35"/>
      <c r="AL190" s="35"/>
      <c r="AM190" s="35"/>
      <c r="AN190" s="35"/>
      <c r="AO190" s="35"/>
      <c r="AP190" s="35"/>
      <c r="AQ190" s="35"/>
      <c r="AR190" s="35"/>
      <c r="AS190" s="35"/>
      <c r="AT190" s="35"/>
      <c r="AU190" s="35"/>
      <c r="AV190" s="35"/>
      <c r="AW190" s="35"/>
      <c r="AX190" s="35"/>
      <c r="AY190" s="35"/>
      <c r="AZ190" s="35"/>
      <c r="BA190" s="35"/>
    </row>
    <row r="191" ht="17.25" hidden="1" customHeight="1">
      <c r="A191" s="197" t="s">
        <v>3170</v>
      </c>
      <c r="B191" s="198">
        <v>37988.0</v>
      </c>
      <c r="C191" s="197" t="s">
        <v>3171</v>
      </c>
      <c r="D191" s="199" t="s">
        <v>3172</v>
      </c>
      <c r="E191" s="197" t="s">
        <v>61</v>
      </c>
      <c r="F191" s="197" t="s">
        <v>62</v>
      </c>
      <c r="G191" s="35" t="s">
        <v>3173</v>
      </c>
      <c r="H191" s="35" t="s">
        <v>3174</v>
      </c>
      <c r="I191" s="35" t="s">
        <v>116</v>
      </c>
      <c r="J191" s="35"/>
      <c r="K191" s="35" t="s">
        <v>67</v>
      </c>
      <c r="L191" s="35" t="s">
        <v>1830</v>
      </c>
      <c r="M191" s="134">
        <v>46248.0</v>
      </c>
      <c r="N191" s="133" t="s">
        <v>3175</v>
      </c>
      <c r="O191" s="135" t="str">
        <f>HYPERLINK("https://api.typeform.com/responses/files/c2c8fa9e0bec5781299ed65600ceab916165d7a2f82cd426856c259f95743b34/Transcript____Unity_Development_Intern___Trần_Đình_Phú.xls")</f>
        <v>https://api.typeform.com/responses/files/c2c8fa9e0bec5781299ed65600ceab916165d7a2f82cd426856c259f95743b34/Transcript____Unity_Development_Intern___Trần_Đình_Phú.xls</v>
      </c>
      <c r="P191" s="35" t="b">
        <v>1</v>
      </c>
      <c r="Q191" s="35" t="s">
        <v>3176</v>
      </c>
      <c r="R191" s="35" t="s">
        <v>3177</v>
      </c>
      <c r="S191" s="35" t="s">
        <v>72</v>
      </c>
      <c r="T191" s="35" t="s">
        <v>72</v>
      </c>
      <c r="U191" s="35" t="s">
        <v>3178</v>
      </c>
      <c r="V191" s="35"/>
      <c r="W191" s="35" t="s">
        <v>3179</v>
      </c>
      <c r="X191" s="200" t="str">
        <f>HYPERLINK("https://api.typeform.com/responses/files/493c34e89b61ad58f6a00d439ba0d99bed21f31c5bbce827ca27c853f53bd08c/CV___Unity_Development_Intern___Tran_Dinh_Phu.pdf")</f>
        <v>https://api.typeform.com/responses/files/493c34e89b61ad58f6a00d439ba0d99bed21f31c5bbce827ca27c853f53bd08c/CV___Unity_Development_Intern___Tran_Dinh_Phu.pdf</v>
      </c>
      <c r="Y191" s="201">
        <v>46140.17145833333</v>
      </c>
      <c r="Z191" s="35" t="s">
        <v>3180</v>
      </c>
      <c r="AA191" s="137">
        <v>2.0</v>
      </c>
      <c r="AB191" s="137" t="s">
        <v>93</v>
      </c>
      <c r="AC191" s="28" t="s">
        <v>6377</v>
      </c>
      <c r="AD191" s="27"/>
      <c r="AE191" s="28" t="s">
        <v>6379</v>
      </c>
      <c r="AF191" s="137" t="str">
        <f t="shared" si="5"/>
        <v>Quỳnh</v>
      </c>
      <c r="AG191" s="35"/>
      <c r="AH191" s="35"/>
      <c r="AI191" s="35"/>
      <c r="AJ191" s="35"/>
      <c r="AK191" s="35"/>
      <c r="AL191" s="35"/>
      <c r="AM191" s="35"/>
      <c r="AN191" s="35"/>
      <c r="AO191" s="35"/>
      <c r="AP191" s="35"/>
      <c r="AQ191" s="35"/>
      <c r="AR191" s="35"/>
      <c r="AS191" s="35"/>
      <c r="AT191" s="35"/>
      <c r="AU191" s="35"/>
      <c r="AV191" s="35"/>
      <c r="AW191" s="35"/>
      <c r="AX191" s="35"/>
      <c r="AY191" s="35"/>
      <c r="AZ191" s="35"/>
      <c r="BA191" s="35"/>
    </row>
    <row r="192" ht="17.25" hidden="1" customHeight="1">
      <c r="A192" s="192" t="s">
        <v>2205</v>
      </c>
      <c r="B192" s="193">
        <v>37665.0</v>
      </c>
      <c r="C192" s="192" t="s">
        <v>2206</v>
      </c>
      <c r="D192" s="194" t="s">
        <v>2207</v>
      </c>
      <c r="E192" s="192" t="s">
        <v>82</v>
      </c>
      <c r="F192" s="192" t="s">
        <v>62</v>
      </c>
      <c r="G192" s="35" t="s">
        <v>2208</v>
      </c>
      <c r="H192" s="35" t="s">
        <v>2209</v>
      </c>
      <c r="I192" s="35" t="s">
        <v>85</v>
      </c>
      <c r="J192" s="35"/>
      <c r="K192" s="35" t="s">
        <v>103</v>
      </c>
      <c r="L192" s="35" t="s">
        <v>624</v>
      </c>
      <c r="M192" s="134">
        <v>45817.0</v>
      </c>
      <c r="N192" s="133" t="s">
        <v>2210</v>
      </c>
      <c r="O192" s="135" t="str">
        <f>HYPERLINK("https://api.typeform.com/responses/files/9f56f9490eb7a02292512c8b214bc2e71c1f27c796ff45af3e49e86c13be5c8d/Transcript___DA_Intern_AI_intern___Nguyễn_Tiến_Thịnh.pdf")</f>
        <v>https://api.typeform.com/responses/files/9f56f9490eb7a02292512c8b214bc2e71c1f27c796ff45af3e49e86c13be5c8d/Transcript___DA_Intern_AI_intern___Nguyễn_Tiến_Thịnh.pdf</v>
      </c>
      <c r="P192" s="35" t="b">
        <v>1</v>
      </c>
      <c r="Q192" s="43" t="s">
        <v>2211</v>
      </c>
      <c r="R192" s="35" t="s">
        <v>2212</v>
      </c>
      <c r="S192" s="35" t="s">
        <v>72</v>
      </c>
      <c r="T192" s="35" t="s">
        <v>72</v>
      </c>
      <c r="U192" s="35" t="s">
        <v>73</v>
      </c>
      <c r="V192" s="35"/>
      <c r="W192" s="35" t="s">
        <v>2213</v>
      </c>
      <c r="X192" s="195" t="str">
        <f>HYPERLINK("https://api.typeform.com/responses/files/c56df336e0a918048c26520948dc97aee04e97be8d48c620d2ac20a54a48e20e/CV_DA_NguyenTienThinh.pdf")</f>
        <v>https://api.typeform.com/responses/files/c56df336e0a918048c26520948dc97aee04e97be8d48c620d2ac20a54a48e20e/CV_DA_NguyenTienThinh.pdf</v>
      </c>
      <c r="Y192" s="196">
        <v>46137.26675925926</v>
      </c>
      <c r="Z192" s="35" t="s">
        <v>2214</v>
      </c>
      <c r="AA192" s="137">
        <v>2.0</v>
      </c>
      <c r="AB192" s="137" t="s">
        <v>93</v>
      </c>
      <c r="AC192" s="28" t="s">
        <v>6376</v>
      </c>
      <c r="AD192" s="27"/>
      <c r="AE192" s="28"/>
      <c r="AF192" s="137" t="str">
        <f t="shared" si="5"/>
        <v/>
      </c>
      <c r="AG192" s="35"/>
      <c r="AH192" s="35"/>
      <c r="AI192" s="35"/>
      <c r="AJ192" s="35"/>
      <c r="AK192" s="35"/>
      <c r="AL192" s="35"/>
      <c r="AM192" s="35"/>
      <c r="AN192" s="35"/>
      <c r="AO192" s="35"/>
      <c r="AP192" s="35"/>
      <c r="AQ192" s="35"/>
      <c r="AR192" s="35"/>
      <c r="AS192" s="35"/>
      <c r="AT192" s="35"/>
      <c r="AU192" s="35"/>
      <c r="AV192" s="35"/>
      <c r="AW192" s="35"/>
      <c r="AX192" s="35"/>
      <c r="AY192" s="35"/>
      <c r="AZ192" s="35"/>
      <c r="BA192" s="35"/>
    </row>
    <row r="193" ht="17.25" hidden="1" customHeight="1">
      <c r="A193" s="197" t="s">
        <v>2888</v>
      </c>
      <c r="B193" s="198">
        <v>38068.0</v>
      </c>
      <c r="C193" s="197" t="s">
        <v>2889</v>
      </c>
      <c r="D193" s="199" t="s">
        <v>2890</v>
      </c>
      <c r="E193" s="197" t="s">
        <v>62</v>
      </c>
      <c r="F193" s="197"/>
      <c r="G193" s="35" t="s">
        <v>2891</v>
      </c>
      <c r="H193" s="35" t="s">
        <v>2892</v>
      </c>
      <c r="I193" s="35" t="s">
        <v>326</v>
      </c>
      <c r="J193" s="35"/>
      <c r="K193" s="35" t="s">
        <v>67</v>
      </c>
      <c r="L193" s="35" t="s">
        <v>384</v>
      </c>
      <c r="M193" s="134">
        <v>46295.0</v>
      </c>
      <c r="N193" s="133" t="s">
        <v>696</v>
      </c>
      <c r="O193" s="135" t="str">
        <f>HYPERLINK("https://api.typeform.com/responses/files/3b95907238ce194913192f7a629ed85d6d42eaa52790a218ff74c7395412251e/Transcript___AI_Engineer_Intern___Phạm_Anh_Văn.pdf")</f>
        <v>https://api.typeform.com/responses/files/3b95907238ce194913192f7a629ed85d6d42eaa52790a218ff74c7395412251e/Transcript___AI_Engineer_Intern___Phạm_Anh_Văn.pdf</v>
      </c>
      <c r="P193" s="35" t="b">
        <v>0</v>
      </c>
      <c r="Q193" s="43" t="s">
        <v>2893</v>
      </c>
      <c r="R193" s="35" t="s">
        <v>2894</v>
      </c>
      <c r="S193" s="35" t="s">
        <v>72</v>
      </c>
      <c r="T193" s="35" t="s">
        <v>72</v>
      </c>
      <c r="U193" s="138" t="s">
        <v>2895</v>
      </c>
      <c r="V193" s="35"/>
      <c r="W193" s="35"/>
      <c r="X193" s="200" t="str">
        <f>HYPERLINK("https://api.typeform.com/responses/files/d9c53c0775a8114c78f7b366c3eb620fae032e08e6bdb4a9f0036fc6f854bba3/CV___AI_Engineer_Intern___Phạm_Anh_Văn.pdf")</f>
        <v>https://api.typeform.com/responses/files/d9c53c0775a8114c78f7b366c3eb620fae032e08e6bdb4a9f0036fc6f854bba3/CV___AI_Engineer_Intern___Phạm_Anh_Văn.pdf</v>
      </c>
      <c r="Y193" s="201">
        <v>46139.579872685186</v>
      </c>
      <c r="Z193" s="35" t="s">
        <v>2896</v>
      </c>
      <c r="AA193" s="137">
        <v>2.0</v>
      </c>
      <c r="AB193" s="139" t="s">
        <v>6381</v>
      </c>
      <c r="AC193" s="28" t="s">
        <v>6376</v>
      </c>
      <c r="AD193" s="28" t="s">
        <v>6431</v>
      </c>
      <c r="AE193" s="28"/>
      <c r="AF193" s="137" t="str">
        <f t="shared" si="5"/>
        <v/>
      </c>
      <c r="AG193" s="35"/>
      <c r="AH193" s="35"/>
      <c r="AI193" s="35"/>
      <c r="AJ193" s="35"/>
      <c r="AK193" s="35"/>
      <c r="AL193" s="35"/>
      <c r="AM193" s="35"/>
      <c r="AN193" s="35"/>
      <c r="AO193" s="35"/>
      <c r="AP193" s="35"/>
      <c r="AQ193" s="35"/>
      <c r="AR193" s="35"/>
      <c r="AS193" s="35"/>
      <c r="AT193" s="35"/>
      <c r="AU193" s="35"/>
      <c r="AV193" s="35"/>
      <c r="AW193" s="35"/>
      <c r="AX193" s="35"/>
      <c r="AY193" s="35"/>
      <c r="AZ193" s="35"/>
      <c r="BA193" s="35"/>
    </row>
    <row r="194" ht="17.25" hidden="1" customHeight="1">
      <c r="A194" s="192" t="s">
        <v>2725</v>
      </c>
      <c r="B194" s="193">
        <v>37783.0</v>
      </c>
      <c r="C194" s="192" t="s">
        <v>2726</v>
      </c>
      <c r="D194" s="194" t="s">
        <v>2727</v>
      </c>
      <c r="E194" s="192" t="s">
        <v>82</v>
      </c>
      <c r="F194" s="192" t="s">
        <v>82</v>
      </c>
      <c r="G194" s="35" t="s">
        <v>2728</v>
      </c>
      <c r="H194" s="35" t="s">
        <v>2729</v>
      </c>
      <c r="I194" s="35" t="s">
        <v>85</v>
      </c>
      <c r="J194" s="35"/>
      <c r="K194" s="35" t="s">
        <v>103</v>
      </c>
      <c r="L194" s="35" t="s">
        <v>2730</v>
      </c>
      <c r="M194" s="134">
        <v>45778.0</v>
      </c>
      <c r="N194" s="133" t="s">
        <v>2731</v>
      </c>
      <c r="O194" s="135" t="str">
        <f>HYPERLINK("https://api.typeform.com/responses/files/b39405d40f31bf1f172cb14416893901c7cb4e01cea796bca6e861fd154fe0aa/bangdiem.pdf")</f>
        <v>https://api.typeform.com/responses/files/b39405d40f31bf1f172cb14416893901c7cb4e01cea796bca6e861fd154fe0aa/bangdiem.pdf</v>
      </c>
      <c r="P194" s="35" t="b">
        <v>1</v>
      </c>
      <c r="Q194" s="43" t="s">
        <v>2732</v>
      </c>
      <c r="R194" s="35" t="s">
        <v>1660</v>
      </c>
      <c r="S194" s="35" t="s">
        <v>72</v>
      </c>
      <c r="T194" s="35" t="s">
        <v>72</v>
      </c>
      <c r="U194" s="35" t="s">
        <v>90</v>
      </c>
      <c r="V194" s="35"/>
      <c r="W194" s="35"/>
      <c r="X194" s="195" t="str">
        <f>HYPERLINK("https://api.typeform.com/responses/files/1d15e3b38ee43cd691dc6082f8364ea5f7c728b1e774a0610fdc099bcb639840/CV_DA_NuyenQuocAn.pdf")</f>
        <v>https://api.typeform.com/responses/files/1d15e3b38ee43cd691dc6082f8364ea5f7c728b1e774a0610fdc099bcb639840/CV_DA_NuyenQuocAn.pdf</v>
      </c>
      <c r="Y194" s="196">
        <v>46139.34275462963</v>
      </c>
      <c r="Z194" s="35" t="s">
        <v>2733</v>
      </c>
      <c r="AA194" s="137">
        <v>2.0</v>
      </c>
      <c r="AB194" s="137" t="s">
        <v>93</v>
      </c>
      <c r="AC194" s="28" t="s">
        <v>6376</v>
      </c>
      <c r="AD194" s="27"/>
      <c r="AE194" s="28"/>
      <c r="AF194" s="137" t="str">
        <f t="shared" si="5"/>
        <v/>
      </c>
      <c r="AG194" s="35"/>
      <c r="AH194" s="35"/>
      <c r="AI194" s="35"/>
      <c r="AJ194" s="35"/>
      <c r="AK194" s="35"/>
      <c r="AL194" s="35"/>
      <c r="AM194" s="35"/>
      <c r="AN194" s="35"/>
      <c r="AO194" s="35"/>
      <c r="AP194" s="35"/>
      <c r="AQ194" s="35"/>
      <c r="AR194" s="35"/>
      <c r="AS194" s="35"/>
      <c r="AT194" s="35"/>
      <c r="AU194" s="35"/>
      <c r="AV194" s="35"/>
      <c r="AW194" s="35"/>
      <c r="AX194" s="35"/>
      <c r="AY194" s="35"/>
      <c r="AZ194" s="35"/>
      <c r="BA194" s="35"/>
    </row>
    <row r="195" ht="17.25" hidden="1" customHeight="1">
      <c r="A195" s="149" t="s">
        <v>3208</v>
      </c>
      <c r="B195" s="150">
        <v>37622.0</v>
      </c>
      <c r="C195" s="149" t="s">
        <v>3209</v>
      </c>
      <c r="D195" s="151" t="s">
        <v>3210</v>
      </c>
      <c r="E195" s="149" t="s">
        <v>99</v>
      </c>
      <c r="F195" s="149" t="s">
        <v>61</v>
      </c>
      <c r="G195" s="149" t="s">
        <v>3211</v>
      </c>
      <c r="H195" s="149" t="s">
        <v>3212</v>
      </c>
      <c r="I195" s="149" t="s">
        <v>116</v>
      </c>
      <c r="J195" s="149"/>
      <c r="K195" s="149" t="s">
        <v>103</v>
      </c>
      <c r="L195" s="149" t="s">
        <v>1830</v>
      </c>
      <c r="M195" s="152">
        <v>46193.0</v>
      </c>
      <c r="N195" s="149" t="s">
        <v>3213</v>
      </c>
      <c r="O195" s="153" t="str">
        <f>HYPERLINK("https://api.typeform.com/responses/files/22c657491499eddf3b82ccf059457264d4fc1b571c7e48e9006c3029bd37d359/Transcript___Game_Developer_Intern___Nguyễn_Nhân_Quỳnh_Như.png")</f>
        <v>https://api.typeform.com/responses/files/22c657491499eddf3b82ccf059457264d4fc1b571c7e48e9006c3029bd37d359/Transcript___Game_Developer_Intern___Nguyễn_Nhân_Quỳnh_Như.png</v>
      </c>
      <c r="P195" s="149" t="b">
        <v>1</v>
      </c>
      <c r="Q195" s="149" t="s">
        <v>3214</v>
      </c>
      <c r="R195" s="149" t="s">
        <v>3215</v>
      </c>
      <c r="S195" s="149" t="s">
        <v>72</v>
      </c>
      <c r="T195" s="149" t="s">
        <v>72</v>
      </c>
      <c r="U195" s="149" t="s">
        <v>90</v>
      </c>
      <c r="V195" s="149"/>
      <c r="W195" s="149"/>
      <c r="X195" s="153" t="str">
        <f>HYPERLINK("https://api.typeform.com/responses/files/366385b849f43cce8ba17173f185ee0a557a5ccf2717d7e8d1d7b823037067cc/CV_Game_Developer_Intern_Nguyễn_Nhân_Quỳnh_Như.pdf")</f>
        <v>https://api.typeform.com/responses/files/366385b849f43cce8ba17173f185ee0a557a5ccf2717d7e8d1d7b823037067cc/CV_Game_Developer_Intern_Nguyễn_Nhân_Quỳnh_Như.pdf</v>
      </c>
      <c r="Y195" s="155">
        <v>46140.18524305556</v>
      </c>
      <c r="Z195" s="149" t="s">
        <v>3216</v>
      </c>
      <c r="AA195" s="156">
        <v>2.0</v>
      </c>
      <c r="AB195" s="157" t="s">
        <v>6381</v>
      </c>
      <c r="AC195" s="92" t="s">
        <v>6376</v>
      </c>
      <c r="AD195" s="158"/>
      <c r="AE195" s="92"/>
      <c r="AF195" s="137" t="str">
        <f t="shared" si="5"/>
        <v/>
      </c>
      <c r="AG195" s="149"/>
      <c r="AH195" s="149"/>
      <c r="AI195" s="149"/>
      <c r="AJ195" s="149"/>
      <c r="AK195" s="149"/>
      <c r="AL195" s="149"/>
      <c r="AM195" s="149"/>
      <c r="AN195" s="149"/>
      <c r="AO195" s="149"/>
      <c r="AP195" s="149"/>
      <c r="AQ195" s="149"/>
      <c r="AR195" s="149"/>
      <c r="AS195" s="149"/>
      <c r="AT195" s="149"/>
      <c r="AU195" s="149"/>
      <c r="AV195" s="149"/>
      <c r="AW195" s="149"/>
      <c r="AX195" s="149"/>
      <c r="AY195" s="149"/>
      <c r="AZ195" s="149"/>
      <c r="BA195" s="149"/>
    </row>
    <row r="196" ht="17.25" hidden="1" customHeight="1">
      <c r="A196" s="192" t="s">
        <v>3217</v>
      </c>
      <c r="B196" s="193">
        <v>38653.0</v>
      </c>
      <c r="C196" s="192" t="s">
        <v>3218</v>
      </c>
      <c r="D196" s="194" t="s">
        <v>3219</v>
      </c>
      <c r="E196" s="192" t="s">
        <v>82</v>
      </c>
      <c r="F196" s="192" t="s">
        <v>62</v>
      </c>
      <c r="G196" s="35" t="s">
        <v>3220</v>
      </c>
      <c r="H196" s="35" t="s">
        <v>3221</v>
      </c>
      <c r="I196" s="35" t="s">
        <v>116</v>
      </c>
      <c r="J196" s="35"/>
      <c r="K196" s="35" t="s">
        <v>219</v>
      </c>
      <c r="L196" s="35" t="s">
        <v>3222</v>
      </c>
      <c r="M196" s="134">
        <v>46505.0</v>
      </c>
      <c r="N196" s="133" t="s">
        <v>663</v>
      </c>
      <c r="O196" s="135" t="str">
        <f>HYPERLINK("https://api.typeform.com/responses/files/7f5642d3e6d49169e284787eb9c73709937e9944eb60c48071823365f8f89c97/Transcript___Data_Analysis_Intern___Triệu_Đoan_Kỳ.xls")</f>
        <v>https://api.typeform.com/responses/files/7f5642d3e6d49169e284787eb9c73709937e9944eb60c48071823365f8f89c97/Transcript___Data_Analysis_Intern___Triệu_Đoan_Kỳ.xls</v>
      </c>
      <c r="P196" s="35" t="b">
        <v>0</v>
      </c>
      <c r="Q196" s="35" t="s">
        <v>3223</v>
      </c>
      <c r="R196" s="35" t="s">
        <v>3224</v>
      </c>
      <c r="S196" s="35" t="s">
        <v>72</v>
      </c>
      <c r="T196" s="35" t="s">
        <v>72</v>
      </c>
      <c r="U196" s="35" t="s">
        <v>236</v>
      </c>
      <c r="V196" s="35"/>
      <c r="W196" s="35" t="s">
        <v>3225</v>
      </c>
      <c r="X196" s="195" t="str">
        <f>HYPERLINK("https://api.typeform.com/responses/files/2b9277c5234d83ba09fd1887d85bf0430d24b70449ed4ceae071cf0432b17470/CV___DataAnalyst___Triệu_Đoan_Kỳ.pdf")</f>
        <v>https://api.typeform.com/responses/files/2b9277c5234d83ba09fd1887d85bf0430d24b70449ed4ceae071cf0432b17470/CV___DataAnalyst___Triệu_Đoan_Kỳ.pdf</v>
      </c>
      <c r="Y196" s="196">
        <v>46140.18677083333</v>
      </c>
      <c r="Z196" s="35" t="s">
        <v>3226</v>
      </c>
      <c r="AA196" s="137">
        <v>2.0</v>
      </c>
      <c r="AB196" s="137" t="s">
        <v>93</v>
      </c>
      <c r="AC196" s="28" t="s">
        <v>6376</v>
      </c>
      <c r="AD196" s="27"/>
      <c r="AE196" s="28"/>
      <c r="AF196" s="137" t="str">
        <f t="shared" si="5"/>
        <v/>
      </c>
      <c r="AG196" s="35"/>
      <c r="AH196" s="35"/>
      <c r="AI196" s="35"/>
      <c r="AJ196" s="35"/>
      <c r="AK196" s="35"/>
      <c r="AL196" s="35"/>
      <c r="AM196" s="35"/>
      <c r="AN196" s="35"/>
      <c r="AO196" s="35"/>
      <c r="AP196" s="35"/>
      <c r="AQ196" s="35"/>
      <c r="AR196" s="35"/>
      <c r="AS196" s="35"/>
      <c r="AT196" s="35"/>
      <c r="AU196" s="35"/>
      <c r="AV196" s="35"/>
      <c r="AW196" s="35"/>
      <c r="AX196" s="35"/>
      <c r="AY196" s="35"/>
      <c r="AZ196" s="35"/>
      <c r="BA196" s="35"/>
    </row>
    <row r="197" ht="17.25" hidden="1" customHeight="1">
      <c r="A197" s="197" t="s">
        <v>2695</v>
      </c>
      <c r="B197" s="198">
        <v>38215.0</v>
      </c>
      <c r="C197" s="197" t="s">
        <v>2696</v>
      </c>
      <c r="D197" s="199" t="s">
        <v>2697</v>
      </c>
      <c r="E197" s="197" t="s">
        <v>82</v>
      </c>
      <c r="F197" s="197" t="s">
        <v>62</v>
      </c>
      <c r="G197" s="35" t="s">
        <v>2698</v>
      </c>
      <c r="H197" s="35" t="s">
        <v>2699</v>
      </c>
      <c r="I197" s="35" t="s">
        <v>116</v>
      </c>
      <c r="J197" s="35"/>
      <c r="K197" s="35" t="s">
        <v>67</v>
      </c>
      <c r="L197" s="35" t="s">
        <v>1773</v>
      </c>
      <c r="M197" s="134">
        <v>46198.0</v>
      </c>
      <c r="N197" s="35" t="s">
        <v>2700</v>
      </c>
      <c r="O197" s="135" t="str">
        <f>HYPERLINK("https://api.typeform.com/responses/files/8fe70278b146f14bf1a989b0593edcf317a5b40d45caa7b9f0a232c651bc4d53/Transcript___Data_Analysis_Intern___Phùng_Trung_Bắc.xlsx")</f>
        <v>https://api.typeform.com/responses/files/8fe70278b146f14bf1a989b0593edcf317a5b40d45caa7b9f0a232c651bc4d53/Transcript___Data_Analysis_Intern___Phùng_Trung_Bắc.xlsx</v>
      </c>
      <c r="P197" s="35" t="b">
        <v>0</v>
      </c>
      <c r="Q197" s="43" t="s">
        <v>2701</v>
      </c>
      <c r="R197" s="35" t="s">
        <v>2702</v>
      </c>
      <c r="S197" s="35" t="s">
        <v>72</v>
      </c>
      <c r="T197" s="35" t="s">
        <v>72</v>
      </c>
      <c r="U197" s="35" t="s">
        <v>73</v>
      </c>
      <c r="V197" s="35"/>
      <c r="W197" s="35" t="s">
        <v>2703</v>
      </c>
      <c r="X197" s="200" t="str">
        <f>HYPERLINK("https://api.typeform.com/responses/files/736cfecb7989cc074e9177d88534c229fb24e2346d0e3f7df28d09b6dbc90b06/CV___Data_Analysis_Intern___Phùng_Trung_Bắc.pdf")</f>
        <v>https://api.typeform.com/responses/files/736cfecb7989cc074e9177d88534c229fb24e2346d0e3f7df28d09b6dbc90b06/CV___Data_Analysis_Intern___Phùng_Trung_Bắc.pdf</v>
      </c>
      <c r="Y197" s="201">
        <v>46139.28496527778</v>
      </c>
      <c r="Z197" s="35" t="s">
        <v>2704</v>
      </c>
      <c r="AA197" s="137">
        <v>2.0</v>
      </c>
      <c r="AB197" s="137" t="s">
        <v>93</v>
      </c>
      <c r="AC197" s="28" t="s">
        <v>6376</v>
      </c>
      <c r="AD197" s="27"/>
      <c r="AE197" s="28"/>
      <c r="AF197" s="137" t="str">
        <f t="shared" si="5"/>
        <v/>
      </c>
      <c r="AG197" s="35"/>
      <c r="AH197" s="35"/>
      <c r="AI197" s="35"/>
      <c r="AJ197" s="35"/>
      <c r="AK197" s="35"/>
      <c r="AL197" s="35"/>
      <c r="AM197" s="35"/>
      <c r="AN197" s="35"/>
      <c r="AO197" s="35"/>
      <c r="AP197" s="35"/>
      <c r="AQ197" s="35"/>
      <c r="AR197" s="35"/>
      <c r="AS197" s="35"/>
      <c r="AT197" s="35"/>
      <c r="AU197" s="35"/>
      <c r="AV197" s="35"/>
      <c r="AW197" s="35"/>
      <c r="AX197" s="35"/>
      <c r="AY197" s="35"/>
      <c r="AZ197" s="35"/>
      <c r="BA197" s="35"/>
    </row>
    <row r="198" ht="17.25" hidden="1" customHeight="1">
      <c r="A198" s="192" t="s">
        <v>1359</v>
      </c>
      <c r="B198" s="193">
        <v>38135.0</v>
      </c>
      <c r="C198" s="192" t="s">
        <v>1360</v>
      </c>
      <c r="D198" s="194" t="s">
        <v>1361</v>
      </c>
      <c r="E198" s="192" t="s">
        <v>62</v>
      </c>
      <c r="F198" s="192" t="s">
        <v>82</v>
      </c>
      <c r="G198" s="35" t="s">
        <v>1362</v>
      </c>
      <c r="H198" s="35" t="s">
        <v>1363</v>
      </c>
      <c r="I198" s="35" t="s">
        <v>85</v>
      </c>
      <c r="J198" s="35"/>
      <c r="K198" s="35" t="s">
        <v>103</v>
      </c>
      <c r="L198" s="35" t="s">
        <v>737</v>
      </c>
      <c r="M198" s="134">
        <v>46188.0</v>
      </c>
      <c r="N198" s="133" t="s">
        <v>663</v>
      </c>
      <c r="O198" s="135" t="str">
        <f>HYPERLINK("https://api.typeform.com/responses/files/03d1850bd204f0b4979d7bbf5bf4c4a94d82feaf3a92ed7a38fa022f18fb1e6c/Transcript___AI_Engineering_Intern___Trần_Trí_Đức.pdf")</f>
        <v>https://api.typeform.com/responses/files/03d1850bd204f0b4979d7bbf5bf4c4a94d82feaf3a92ed7a38fa022f18fb1e6c/Transcript___AI_Engineering_Intern___Trần_Trí_Đức.pdf</v>
      </c>
      <c r="P198" s="35" t="b">
        <v>0</v>
      </c>
      <c r="Q198" s="43" t="s">
        <v>1364</v>
      </c>
      <c r="R198" s="35" t="s">
        <v>1365</v>
      </c>
      <c r="S198" s="35" t="s">
        <v>72</v>
      </c>
      <c r="T198" s="35" t="s">
        <v>72</v>
      </c>
      <c r="U198" s="138" t="s">
        <v>594</v>
      </c>
      <c r="V198" s="35"/>
      <c r="W198" s="35" t="s">
        <v>1366</v>
      </c>
      <c r="X198" s="195" t="str">
        <f>HYPERLINK("https://api.typeform.com/responses/files/8e854a713d1ac7e6f3b0364385fa75f82f181de03f82c59f11266f43eaea1b86/CV___AI_Engineering_Intern___Trần_Trí_Đức.pdf")</f>
        <v>https://api.typeform.com/responses/files/8e854a713d1ac7e6f3b0364385fa75f82f181de03f82c59f11266f43eaea1b86/CV___AI_Engineering_Intern___Trần_Trí_Đức.pdf</v>
      </c>
      <c r="Y198" s="196">
        <v>46135.56704861111</v>
      </c>
      <c r="Z198" s="35" t="s">
        <v>1367</v>
      </c>
      <c r="AA198" s="137">
        <v>2.0</v>
      </c>
      <c r="AB198" s="139" t="s">
        <v>6381</v>
      </c>
      <c r="AC198" s="28" t="s">
        <v>6377</v>
      </c>
      <c r="AD198" s="27"/>
      <c r="AE198" s="28" t="s">
        <v>6379</v>
      </c>
      <c r="AF198" s="137" t="str">
        <f t="shared" si="5"/>
        <v>Quỳnh</v>
      </c>
      <c r="AG198" s="35"/>
      <c r="AH198" s="35"/>
      <c r="AI198" s="35"/>
      <c r="AJ198" s="35"/>
      <c r="AK198" s="35"/>
      <c r="AL198" s="35"/>
      <c r="AM198" s="35"/>
      <c r="AN198" s="35"/>
      <c r="AO198" s="35"/>
      <c r="AP198" s="35"/>
      <c r="AQ198" s="35"/>
      <c r="AR198" s="35"/>
      <c r="AS198" s="35"/>
      <c r="AT198" s="35"/>
      <c r="AU198" s="35"/>
      <c r="AV198" s="35"/>
      <c r="AW198" s="35"/>
      <c r="AX198" s="35"/>
      <c r="AY198" s="35"/>
      <c r="AZ198" s="35"/>
      <c r="BA198" s="35"/>
    </row>
    <row r="199" ht="17.25" hidden="1" customHeight="1">
      <c r="A199" s="140" t="s">
        <v>3299</v>
      </c>
      <c r="B199" s="141">
        <v>38231.0</v>
      </c>
      <c r="C199" s="140" t="s">
        <v>3300</v>
      </c>
      <c r="D199" s="142" t="s">
        <v>3301</v>
      </c>
      <c r="E199" s="140" t="s">
        <v>62</v>
      </c>
      <c r="F199" s="140" t="s">
        <v>82</v>
      </c>
      <c r="G199" s="140" t="s">
        <v>3302</v>
      </c>
      <c r="H199" s="140" t="s">
        <v>3303</v>
      </c>
      <c r="I199" s="140" t="s">
        <v>65</v>
      </c>
      <c r="J199" s="140" t="s">
        <v>3304</v>
      </c>
      <c r="K199" s="140" t="s">
        <v>67</v>
      </c>
      <c r="L199" s="140" t="s">
        <v>86</v>
      </c>
      <c r="M199" s="143">
        <v>46174.0</v>
      </c>
      <c r="N199" s="142" t="s">
        <v>2346</v>
      </c>
      <c r="O199" s="144" t="str">
        <f>HYPERLINK("https://api.typeform.com/responses/files/35bcda81661c1ccf84833e628913df16041771719939565f4eb15bd709d15f53/Transcript___AI_Engineering_Intern___Trần_Anh_Thái.pdf")</f>
        <v>https://api.typeform.com/responses/files/35bcda81661c1ccf84833e628913df16041771719939565f4eb15bd709d15f53/Transcript___AI_Engineering_Intern___Trần_Anh_Thái.pdf</v>
      </c>
      <c r="P199" s="140" t="b">
        <v>1</v>
      </c>
      <c r="Q199" s="140" t="s">
        <v>3305</v>
      </c>
      <c r="R199" s="140" t="s">
        <v>3306</v>
      </c>
      <c r="S199" s="140" t="s">
        <v>72</v>
      </c>
      <c r="T199" s="140" t="s">
        <v>72</v>
      </c>
      <c r="U199" s="140" t="s">
        <v>90</v>
      </c>
      <c r="V199" s="140"/>
      <c r="W199" s="140" t="s">
        <v>3307</v>
      </c>
      <c r="X199" s="144" t="str">
        <f>HYPERLINK("https://api.typeform.com/responses/files/69d359b729b110003d16496405f843c192e6ec2df6f2b4eaf92641d08dc42c0e/CV___AI_Engineering_Intern___Trần_Anh_Thái.pdf")</f>
        <v>https://api.typeform.com/responses/files/69d359b729b110003d16496405f843c192e6ec2df6f2b4eaf92641d08dc42c0e/CV___AI_Engineering_Intern___Trần_Anh_Thái.pdf</v>
      </c>
      <c r="Y199" s="145">
        <v>46140.227858796294</v>
      </c>
      <c r="Z199" s="140" t="s">
        <v>3308</v>
      </c>
      <c r="AA199" s="146">
        <v>2.0</v>
      </c>
      <c r="AB199" s="147" t="s">
        <v>6381</v>
      </c>
      <c r="AC199" s="70" t="s">
        <v>6376</v>
      </c>
      <c r="AD199" s="148"/>
      <c r="AE199" s="70"/>
      <c r="AF199" s="146" t="str">
        <f t="shared" si="5"/>
        <v/>
      </c>
      <c r="AG199" s="140"/>
      <c r="AH199" s="140"/>
      <c r="AI199" s="140"/>
      <c r="AJ199" s="140"/>
      <c r="AK199" s="140"/>
      <c r="AL199" s="140"/>
      <c r="AM199" s="140"/>
      <c r="AN199" s="140"/>
      <c r="AO199" s="140"/>
      <c r="AP199" s="140"/>
      <c r="AQ199" s="140"/>
      <c r="AR199" s="140"/>
      <c r="AS199" s="140"/>
      <c r="AT199" s="140"/>
      <c r="AU199" s="140"/>
      <c r="AV199" s="140"/>
      <c r="AW199" s="140"/>
      <c r="AX199" s="140"/>
      <c r="AY199" s="140"/>
      <c r="AZ199" s="140"/>
      <c r="BA199" s="140"/>
    </row>
    <row r="200" ht="17.25" hidden="1" customHeight="1">
      <c r="A200" s="192" t="s">
        <v>4029</v>
      </c>
      <c r="B200" s="193">
        <v>38901.0</v>
      </c>
      <c r="C200" s="192" t="s">
        <v>4030</v>
      </c>
      <c r="D200" s="194" t="s">
        <v>4031</v>
      </c>
      <c r="E200" s="192" t="s">
        <v>82</v>
      </c>
      <c r="F200" s="192"/>
      <c r="G200" s="35" t="s">
        <v>4032</v>
      </c>
      <c r="H200" s="35" t="s">
        <v>4033</v>
      </c>
      <c r="I200" s="35" t="s">
        <v>2581</v>
      </c>
      <c r="J200" s="35"/>
      <c r="K200" s="35" t="s">
        <v>169</v>
      </c>
      <c r="L200" s="35" t="s">
        <v>4034</v>
      </c>
      <c r="M200" s="134">
        <v>46875.0</v>
      </c>
      <c r="N200" s="35" t="s">
        <v>4035</v>
      </c>
      <c r="O200" s="135" t="str">
        <f>HYPERLINK("https://api.typeform.com/responses/files/8085744a4409ee214be12edee9c6ef9cbea7e066764c32d6b24425dac6b284f0/Transcript___Data_Analysis_Intern___Cao_Thiên_Quang.pdf")</f>
        <v>https://api.typeform.com/responses/files/8085744a4409ee214be12edee9c6ef9cbea7e066764c32d6b24425dac6b284f0/Transcript___Data_Analysis_Intern___Cao_Thiên_Quang.pdf</v>
      </c>
      <c r="P200" s="35" t="b">
        <v>0</v>
      </c>
      <c r="Q200" s="35" t="s">
        <v>318</v>
      </c>
      <c r="R200" s="35" t="s">
        <v>4036</v>
      </c>
      <c r="S200" s="35" t="s">
        <v>72</v>
      </c>
      <c r="T200" s="35" t="s">
        <v>72</v>
      </c>
      <c r="U200" s="35" t="s">
        <v>73</v>
      </c>
      <c r="V200" s="35"/>
      <c r="W200" s="35"/>
      <c r="X200" s="195" t="str">
        <f>HYPERLINK("https://api.typeform.com/responses/files/b287ae7638789c4594952ee30cc4295efa793f3d6db1c9611b58848bca8c2097/CV___Data_Analysis___Cao_Thiên_Quang.pdf")</f>
        <v>https://api.typeform.com/responses/files/b287ae7638789c4594952ee30cc4295efa793f3d6db1c9611b58848bca8c2097/CV___Data_Analysis___Cao_Thiên_Quang.pdf</v>
      </c>
      <c r="Y200" s="196">
        <v>46141.672314814816</v>
      </c>
      <c r="Z200" s="35" t="s">
        <v>4037</v>
      </c>
      <c r="AA200" s="137">
        <v>2.0</v>
      </c>
      <c r="AB200" s="137" t="s">
        <v>93</v>
      </c>
      <c r="AC200" s="28" t="s">
        <v>6376</v>
      </c>
      <c r="AD200" s="27"/>
      <c r="AE200" s="28"/>
      <c r="AF200" s="137" t="str">
        <f t="shared" si="5"/>
        <v/>
      </c>
      <c r="AG200" s="35"/>
      <c r="AH200" s="35"/>
      <c r="AI200" s="35"/>
      <c r="AJ200" s="35"/>
      <c r="AK200" s="35"/>
      <c r="AL200" s="35"/>
      <c r="AM200" s="35"/>
      <c r="AN200" s="35"/>
      <c r="AO200" s="35"/>
      <c r="AP200" s="35"/>
      <c r="AQ200" s="35"/>
      <c r="AR200" s="35"/>
      <c r="AS200" s="35"/>
      <c r="AT200" s="35"/>
      <c r="AU200" s="35"/>
      <c r="AV200" s="35"/>
      <c r="AW200" s="35"/>
      <c r="AX200" s="35"/>
      <c r="AY200" s="35"/>
      <c r="AZ200" s="35"/>
      <c r="BA200" s="35"/>
    </row>
    <row r="201" ht="17.25" hidden="1" customHeight="1">
      <c r="A201" s="197" t="s">
        <v>2750</v>
      </c>
      <c r="B201" s="198">
        <v>38396.0</v>
      </c>
      <c r="C201" s="197" t="s">
        <v>2751</v>
      </c>
      <c r="D201" s="199" t="s">
        <v>2752</v>
      </c>
      <c r="E201" s="197" t="s">
        <v>82</v>
      </c>
      <c r="F201" s="197"/>
      <c r="G201" s="35" t="s">
        <v>2753</v>
      </c>
      <c r="H201" s="35" t="s">
        <v>2754</v>
      </c>
      <c r="I201" s="35" t="s">
        <v>65</v>
      </c>
      <c r="J201" s="35" t="s">
        <v>2755</v>
      </c>
      <c r="K201" s="35" t="s">
        <v>219</v>
      </c>
      <c r="L201" s="35" t="s">
        <v>1348</v>
      </c>
      <c r="M201" s="134">
        <v>46568.0</v>
      </c>
      <c r="N201" s="133" t="s">
        <v>118</v>
      </c>
      <c r="O201" s="135" t="str">
        <f>HYPERLINK("https://api.typeform.com/responses/files/e79e1922a6f9138f49159ba58c8ebf57b5aa9f5993f75cd4ccf5466269980a18/Transcript_Bui_Thien_Phuc.pdf")</f>
        <v>https://api.typeform.com/responses/files/e79e1922a6f9138f49159ba58c8ebf57b5aa9f5993f75cd4ccf5466269980a18/Transcript_Bui_Thien_Phuc.pdf</v>
      </c>
      <c r="P201" s="35" t="b">
        <v>0</v>
      </c>
      <c r="Q201" s="43" t="s">
        <v>300</v>
      </c>
      <c r="R201" s="35" t="s">
        <v>300</v>
      </c>
      <c r="S201" s="35" t="s">
        <v>72</v>
      </c>
      <c r="T201" s="35" t="s">
        <v>72</v>
      </c>
      <c r="U201" s="35" t="s">
        <v>90</v>
      </c>
      <c r="V201" s="35"/>
      <c r="W201" s="35"/>
      <c r="X201" s="200" t="str">
        <f>HYPERLINK("https://api.typeform.com/responses/files/796270f2a66bf2911a91b4455691b7128b9a8e654e44673b010b6b2547fb1b4c/CV___Data_Analysis_Intern___Bui_Thien_Phuc.pdf")</f>
        <v>https://api.typeform.com/responses/files/796270f2a66bf2911a91b4455691b7128b9a8e654e44673b010b6b2547fb1b4c/CV___Data_Analysis_Intern___Bui_Thien_Phuc.pdf</v>
      </c>
      <c r="Y201" s="201">
        <v>46139.38130787037</v>
      </c>
      <c r="Z201" s="35" t="s">
        <v>2756</v>
      </c>
      <c r="AA201" s="137">
        <v>2.0</v>
      </c>
      <c r="AB201" s="137" t="s">
        <v>93</v>
      </c>
      <c r="AC201" s="28" t="s">
        <v>6376</v>
      </c>
      <c r="AD201" s="27"/>
      <c r="AE201" s="28"/>
      <c r="AF201" s="137" t="str">
        <f t="shared" si="5"/>
        <v/>
      </c>
      <c r="AG201" s="35"/>
      <c r="AH201" s="35"/>
      <c r="AI201" s="35"/>
      <c r="AJ201" s="35"/>
      <c r="AK201" s="35"/>
      <c r="AL201" s="35"/>
      <c r="AM201" s="35"/>
      <c r="AN201" s="35"/>
      <c r="AO201" s="35"/>
      <c r="AP201" s="35"/>
      <c r="AQ201" s="35"/>
      <c r="AR201" s="35"/>
      <c r="AS201" s="35"/>
      <c r="AT201" s="35"/>
      <c r="AU201" s="35"/>
      <c r="AV201" s="35"/>
      <c r="AW201" s="35"/>
      <c r="AX201" s="35"/>
      <c r="AY201" s="35"/>
      <c r="AZ201" s="35"/>
      <c r="BA201" s="35"/>
    </row>
    <row r="202" ht="17.25" hidden="1" customHeight="1">
      <c r="A202" s="192" t="s">
        <v>3291</v>
      </c>
      <c r="B202" s="193">
        <v>38124.0</v>
      </c>
      <c r="C202" s="192" t="s">
        <v>3292</v>
      </c>
      <c r="D202" s="194" t="s">
        <v>3293</v>
      </c>
      <c r="E202" s="192" t="s">
        <v>82</v>
      </c>
      <c r="F202" s="192" t="s">
        <v>62</v>
      </c>
      <c r="G202" s="35" t="s">
        <v>3294</v>
      </c>
      <c r="H202" s="35" t="s">
        <v>3295</v>
      </c>
      <c r="I202" s="35" t="s">
        <v>777</v>
      </c>
      <c r="J202" s="35"/>
      <c r="K202" s="35" t="s">
        <v>67</v>
      </c>
      <c r="L202" s="35" t="s">
        <v>624</v>
      </c>
      <c r="M202" s="134">
        <v>46368.0</v>
      </c>
      <c r="N202" s="133" t="s">
        <v>118</v>
      </c>
      <c r="O202" s="135" t="str">
        <f>HYPERLINK("https://api.typeform.com/responses/files/d40db7e4108c1546e4c24bf498dd458c41572bdcd61723c2d6c3b0926c2af69e/Transcript___Data_Analysis_Intern___Võ_Nguyễn_Bảo_Ngọc.pdf")</f>
        <v>https://api.typeform.com/responses/files/d40db7e4108c1546e4c24bf498dd458c41572bdcd61723c2d6c3b0926c2af69e/Transcript___Data_Analysis_Intern___Võ_Nguyễn_Bảo_Ngọc.pdf</v>
      </c>
      <c r="P202" s="35" t="b">
        <v>0</v>
      </c>
      <c r="Q202" s="35" t="s">
        <v>3296</v>
      </c>
      <c r="R202" s="35" t="s">
        <v>3297</v>
      </c>
      <c r="S202" s="35" t="s">
        <v>72</v>
      </c>
      <c r="T202" s="35" t="s">
        <v>72</v>
      </c>
      <c r="U202" s="35" t="s">
        <v>90</v>
      </c>
      <c r="V202" s="35"/>
      <c r="W202" s="35"/>
      <c r="X202" s="195" t="str">
        <f>HYPERLINK("https://api.typeform.com/responses/files/61c3c67b255653ca9e9fa6d15d9728fafefd34b80ecd82f274ebe44bbd5409b4/CV_DataAnalysisIntern_VoNguyenBaoNgoc.pdf")</f>
        <v>https://api.typeform.com/responses/files/61c3c67b255653ca9e9fa6d15d9728fafefd34b80ecd82f274ebe44bbd5409b4/CV_DataAnalysisIntern_VoNguyenBaoNgoc.pdf</v>
      </c>
      <c r="Y202" s="196">
        <v>46140.21952546296</v>
      </c>
      <c r="Z202" s="35" t="s">
        <v>3298</v>
      </c>
      <c r="AA202" s="137">
        <v>2.0</v>
      </c>
      <c r="AB202" s="137" t="s">
        <v>93</v>
      </c>
      <c r="AC202" s="28" t="s">
        <v>6376</v>
      </c>
      <c r="AD202" s="27"/>
      <c r="AE202" s="28"/>
      <c r="AF202" s="137" t="str">
        <f t="shared" si="5"/>
        <v/>
      </c>
      <c r="AG202" s="35"/>
      <c r="AH202" s="35"/>
      <c r="AI202" s="35"/>
      <c r="AJ202" s="35"/>
      <c r="AK202" s="35"/>
      <c r="AL202" s="35"/>
      <c r="AM202" s="35"/>
      <c r="AN202" s="35"/>
      <c r="AO202" s="35"/>
      <c r="AP202" s="35"/>
      <c r="AQ202" s="35"/>
      <c r="AR202" s="35"/>
      <c r="AS202" s="35"/>
      <c r="AT202" s="35"/>
      <c r="AU202" s="35"/>
      <c r="AV202" s="35"/>
      <c r="AW202" s="35"/>
      <c r="AX202" s="35"/>
      <c r="AY202" s="35"/>
      <c r="AZ202" s="35"/>
      <c r="BA202" s="35"/>
    </row>
    <row r="203" ht="17.25" hidden="1" customHeight="1">
      <c r="A203" s="197" t="s">
        <v>2743</v>
      </c>
      <c r="B203" s="198">
        <v>38162.0</v>
      </c>
      <c r="C203" s="197" t="s">
        <v>2744</v>
      </c>
      <c r="D203" s="199" t="s">
        <v>2745</v>
      </c>
      <c r="E203" s="197" t="s">
        <v>62</v>
      </c>
      <c r="F203" s="197" t="s">
        <v>82</v>
      </c>
      <c r="G203" s="35" t="s">
        <v>2746</v>
      </c>
      <c r="H203" s="35" t="s">
        <v>2747</v>
      </c>
      <c r="I203" s="35" t="s">
        <v>244</v>
      </c>
      <c r="J203" s="35"/>
      <c r="K203" s="35" t="s">
        <v>67</v>
      </c>
      <c r="L203" s="35" t="s">
        <v>399</v>
      </c>
      <c r="M203" s="134">
        <v>46289.0</v>
      </c>
      <c r="N203" s="133" t="s">
        <v>133</v>
      </c>
      <c r="O203" s="135" t="str">
        <f>HYPERLINK("https://api.typeform.com/responses/files/8fc9c815eea2a0326eded95c88df731d8286de5a7dbe1832bd0db54be9db943d/Transcript___AI_Engineer_Intern___Nguyễn_Nam_Huy.pdf")</f>
        <v>https://api.typeform.com/responses/files/8fc9c815eea2a0326eded95c88df731d8286de5a7dbe1832bd0db54be9db943d/Transcript___AI_Engineer_Intern___Nguyễn_Nam_Huy.pdf</v>
      </c>
      <c r="P203" s="35" t="b">
        <v>0</v>
      </c>
      <c r="Q203" s="43" t="s">
        <v>222</v>
      </c>
      <c r="R203" s="35" t="s">
        <v>2748</v>
      </c>
      <c r="S203" s="35" t="s">
        <v>72</v>
      </c>
      <c r="T203" s="35" t="s">
        <v>72</v>
      </c>
      <c r="U203" s="138" t="s">
        <v>236</v>
      </c>
      <c r="V203" s="35"/>
      <c r="W203" s="35"/>
      <c r="X203" s="200" t="str">
        <f>HYPERLINK("https://api.typeform.com/responses/files/f7c8aae516d221defc9163c76516dbf9ca731976129f631832c0679f4f6fca82/CV___AI_Engineer_Intern___Nguyễn_Nam_Huy.pdf")</f>
        <v>https://api.typeform.com/responses/files/f7c8aae516d221defc9163c76516dbf9ca731976129f631832c0679f4f6fca82/CV___AI_Engineer_Intern___Nguyễn_Nam_Huy.pdf</v>
      </c>
      <c r="Y203" s="201">
        <v>46139.34657407407</v>
      </c>
      <c r="Z203" s="35" t="s">
        <v>2749</v>
      </c>
      <c r="AA203" s="137">
        <v>2.0</v>
      </c>
      <c r="AB203" s="139" t="s">
        <v>6381</v>
      </c>
      <c r="AC203" s="28" t="s">
        <v>6376</v>
      </c>
      <c r="AD203" s="28" t="s">
        <v>6431</v>
      </c>
      <c r="AE203" s="28"/>
      <c r="AF203" s="137" t="str">
        <f t="shared" si="5"/>
        <v/>
      </c>
      <c r="AG203" s="35"/>
      <c r="AH203" s="35"/>
      <c r="AI203" s="35"/>
      <c r="AJ203" s="35"/>
      <c r="AK203" s="35"/>
      <c r="AL203" s="35"/>
      <c r="AM203" s="35"/>
      <c r="AN203" s="35"/>
      <c r="AO203" s="35"/>
      <c r="AP203" s="35"/>
      <c r="AQ203" s="35"/>
      <c r="AR203" s="35"/>
      <c r="AS203" s="35"/>
      <c r="AT203" s="35"/>
      <c r="AU203" s="35"/>
      <c r="AV203" s="35"/>
      <c r="AW203" s="35"/>
      <c r="AX203" s="35"/>
      <c r="AY203" s="35"/>
      <c r="AZ203" s="35"/>
      <c r="BA203" s="35"/>
    </row>
    <row r="204" ht="17.25" hidden="1" customHeight="1">
      <c r="A204" s="192" t="s">
        <v>4316</v>
      </c>
      <c r="B204" s="193">
        <v>37555.0</v>
      </c>
      <c r="C204" s="192" t="s">
        <v>4317</v>
      </c>
      <c r="D204" s="194" t="s">
        <v>4318</v>
      </c>
      <c r="E204" s="192" t="s">
        <v>82</v>
      </c>
      <c r="F204" s="192" t="s">
        <v>774</v>
      </c>
      <c r="G204" s="35" t="s">
        <v>4319</v>
      </c>
      <c r="H204" s="35" t="s">
        <v>4320</v>
      </c>
      <c r="I204" s="35" t="s">
        <v>338</v>
      </c>
      <c r="J204" s="35"/>
      <c r="K204" s="35" t="s">
        <v>103</v>
      </c>
      <c r="L204" s="35" t="s">
        <v>132</v>
      </c>
      <c r="M204" s="134">
        <v>45883.0</v>
      </c>
      <c r="N204" s="133" t="s">
        <v>4321</v>
      </c>
      <c r="O204" s="135" t="str">
        <f>HYPERLINK("https://api.typeform.com/responses/files/9130f0bd6aca5f3235642ae1c8415ecbe99085528cad2382c3acf72bd548c791/CV_Data_Analyst_Intern_Nguyen_Thi_Anh_Thanh.pdf")</f>
        <v>https://api.typeform.com/responses/files/9130f0bd6aca5f3235642ae1c8415ecbe99085528cad2382c3acf72bd548c791/CV_Data_Analyst_Intern_Nguyen_Thi_Anh_Thanh.pdf</v>
      </c>
      <c r="P204" s="35" t="b">
        <v>1</v>
      </c>
      <c r="Q204" s="35" t="s">
        <v>4322</v>
      </c>
      <c r="R204" s="35" t="s">
        <v>4323</v>
      </c>
      <c r="S204" s="35" t="s">
        <v>72</v>
      </c>
      <c r="T204" s="35" t="s">
        <v>72</v>
      </c>
      <c r="U204" s="35" t="s">
        <v>90</v>
      </c>
      <c r="V204" s="35"/>
      <c r="W204" s="35" t="s">
        <v>4324</v>
      </c>
      <c r="X204" s="195" t="str">
        <f>HYPERLINK("https://api.typeform.com/responses/files/61ad82d8d88c6bbf079d5576f571578c596af9dea272aea878b1d32f072da126/CV_Data_Analyst_Intern_Nguyen_Thi_Anh_Thanh.pdf")</f>
        <v>https://api.typeform.com/responses/files/61ad82d8d88c6bbf079d5576f571578c596af9dea272aea878b1d32f072da126/CV_Data_Analyst_Intern_Nguyen_Thi_Anh_Thanh.pdf</v>
      </c>
      <c r="Y204" s="196">
        <v>46143.487650462965</v>
      </c>
      <c r="Z204" s="35" t="s">
        <v>4325</v>
      </c>
      <c r="AA204" s="137">
        <v>2.0</v>
      </c>
      <c r="AB204" s="137" t="s">
        <v>93</v>
      </c>
      <c r="AC204" s="28" t="s">
        <v>6377</v>
      </c>
      <c r="AD204" s="27"/>
      <c r="AE204" s="28" t="s">
        <v>6403</v>
      </c>
      <c r="AF204" s="137" t="str">
        <f t="shared" si="5"/>
        <v>Quỳnh</v>
      </c>
      <c r="AG204" s="35"/>
      <c r="AH204" s="35"/>
      <c r="AI204" s="35"/>
      <c r="AJ204" s="35"/>
      <c r="AK204" s="35"/>
      <c r="AL204" s="35"/>
      <c r="AM204" s="35"/>
      <c r="AN204" s="35"/>
      <c r="AO204" s="35"/>
      <c r="AP204" s="35"/>
      <c r="AQ204" s="35"/>
      <c r="AR204" s="35"/>
      <c r="AS204" s="35"/>
      <c r="AT204" s="35"/>
      <c r="AU204" s="35"/>
      <c r="AV204" s="35"/>
      <c r="AW204" s="35"/>
      <c r="AX204" s="35"/>
      <c r="AY204" s="35"/>
      <c r="AZ204" s="35"/>
      <c r="BA204" s="35"/>
    </row>
    <row r="205" ht="17.25" hidden="1" customHeight="1">
      <c r="A205" s="202" t="s">
        <v>6538</v>
      </c>
      <c r="B205" s="198">
        <v>38166.0</v>
      </c>
      <c r="C205" s="197" t="s">
        <v>3085</v>
      </c>
      <c r="D205" s="199" t="s">
        <v>3086</v>
      </c>
      <c r="E205" s="197" t="s">
        <v>62</v>
      </c>
      <c r="F205" s="197" t="s">
        <v>82</v>
      </c>
      <c r="G205" s="35" t="s">
        <v>3087</v>
      </c>
      <c r="H205" s="35" t="s">
        <v>3088</v>
      </c>
      <c r="I205" s="35" t="s">
        <v>326</v>
      </c>
      <c r="J205" s="35"/>
      <c r="K205" s="35" t="s">
        <v>67</v>
      </c>
      <c r="L205" s="35" t="s">
        <v>86</v>
      </c>
      <c r="M205" s="134">
        <v>46254.0</v>
      </c>
      <c r="N205" s="133" t="s">
        <v>613</v>
      </c>
      <c r="O205" s="135" t="str">
        <f>HYPERLINK("https://api.typeform.com/responses/files/07918f701f043951916e6c9bbfd424c5362f8f18f4588de2def7fdde67094069/Transcript_Nguyen_Duy_Huan.pdf")</f>
        <v>https://api.typeform.com/responses/files/07918f701f043951916e6c9bbfd424c5362f8f18f4588de2def7fdde67094069/Transcript_Nguyen_Duy_Huan.pdf</v>
      </c>
      <c r="P205" s="35" t="b">
        <v>0</v>
      </c>
      <c r="Q205" s="35" t="s">
        <v>3089</v>
      </c>
      <c r="R205" s="35" t="s">
        <v>3090</v>
      </c>
      <c r="S205" s="35" t="s">
        <v>72</v>
      </c>
      <c r="T205" s="35" t="s">
        <v>72</v>
      </c>
      <c r="U205" s="138" t="s">
        <v>269</v>
      </c>
      <c r="V205" s="35"/>
      <c r="W205" s="35" t="s">
        <v>3091</v>
      </c>
      <c r="X205" s="200" t="str">
        <f>HYPERLINK("https://api.typeform.com/responses/files/99d71161ed4ecbb00915046c3fabfb2f933f6abb5b0540523508eb2bee23f076/Resume___Nguyen_Duy_Huan_.pdf")</f>
        <v>https://api.typeform.com/responses/files/99d71161ed4ecbb00915046c3fabfb2f933f6abb5b0540523508eb2bee23f076/Resume___Nguyen_Duy_Huan_.pdf</v>
      </c>
      <c r="Y205" s="201">
        <v>46140.11850694445</v>
      </c>
      <c r="Z205" s="35" t="s">
        <v>3092</v>
      </c>
      <c r="AA205" s="137">
        <v>2.0</v>
      </c>
      <c r="AB205" s="139" t="s">
        <v>6381</v>
      </c>
      <c r="AC205" s="28" t="s">
        <v>6377</v>
      </c>
      <c r="AD205" s="27"/>
      <c r="AE205" s="28" t="s">
        <v>6379</v>
      </c>
      <c r="AF205" s="137" t="str">
        <f t="shared" si="5"/>
        <v>Quỳnh</v>
      </c>
      <c r="AG205" s="140"/>
      <c r="AH205" s="140"/>
      <c r="AI205" s="140"/>
      <c r="AJ205" s="140"/>
      <c r="AK205" s="140"/>
      <c r="AL205" s="140"/>
      <c r="AM205" s="140"/>
      <c r="AN205" s="140"/>
      <c r="AO205" s="140"/>
      <c r="AP205" s="140"/>
      <c r="AQ205" s="140"/>
      <c r="AR205" s="140"/>
      <c r="AS205" s="140"/>
      <c r="AT205" s="140"/>
      <c r="AU205" s="140"/>
      <c r="AV205" s="140"/>
      <c r="AW205" s="140"/>
      <c r="AX205" s="140"/>
      <c r="AY205" s="140"/>
      <c r="AZ205" s="140"/>
      <c r="BA205" s="140"/>
    </row>
    <row r="206" ht="17.25" hidden="1" customHeight="1">
      <c r="A206" s="192" t="s">
        <v>191</v>
      </c>
      <c r="B206" s="193">
        <v>37380.0</v>
      </c>
      <c r="C206" s="192" t="s">
        <v>3309</v>
      </c>
      <c r="D206" s="194" t="s">
        <v>3310</v>
      </c>
      <c r="E206" s="192" t="s">
        <v>61</v>
      </c>
      <c r="F206" s="192" t="s">
        <v>61</v>
      </c>
      <c r="G206" s="35" t="s">
        <v>3311</v>
      </c>
      <c r="H206" s="35" t="s">
        <v>3312</v>
      </c>
      <c r="I206" s="35" t="s">
        <v>326</v>
      </c>
      <c r="J206" s="35"/>
      <c r="K206" s="35" t="s">
        <v>103</v>
      </c>
      <c r="L206" s="35" t="s">
        <v>308</v>
      </c>
      <c r="M206" s="134">
        <v>46011.0</v>
      </c>
      <c r="N206" s="133" t="s">
        <v>3313</v>
      </c>
      <c r="O206" s="135" t="str">
        <f>HYPERLINK("https://api.typeform.com/responses/files/108d0aa2051e9c3e6220dd3146418e3af7b85e7894b26eb1256dc7c7f0ac6b6f/Transcript___Unity_Developer_Intern___Trần_Quốc_Đạt.pdf")</f>
        <v>https://api.typeform.com/responses/files/108d0aa2051e9c3e6220dd3146418e3af7b85e7894b26eb1256dc7c7f0ac6b6f/Transcript___Unity_Developer_Intern___Trần_Quốc_Đạt.pdf</v>
      </c>
      <c r="P206" s="35" t="b">
        <v>1</v>
      </c>
      <c r="Q206" s="35" t="s">
        <v>3314</v>
      </c>
      <c r="R206" s="35" t="s">
        <v>3315</v>
      </c>
      <c r="S206" s="35" t="s">
        <v>72</v>
      </c>
      <c r="T206" s="35" t="s">
        <v>72</v>
      </c>
      <c r="U206" s="35" t="s">
        <v>90</v>
      </c>
      <c r="V206" s="35"/>
      <c r="W206" s="35" t="s">
        <v>3316</v>
      </c>
      <c r="X206" s="195" t="str">
        <f>HYPERLINK("https://api.typeform.com/responses/files/683cf29f3b6e6fa6aab846a91d52326dd3bed6aac5c414e3bafedd019cf98c51/CV___Unity_Developer_Intern___Trần_Quốc_Đạt.pdf")</f>
        <v>https://api.typeform.com/responses/files/683cf29f3b6e6fa6aab846a91d52326dd3bed6aac5c414e3bafedd019cf98c51/CV___Unity_Developer_Intern___Trần_Quốc_Đạt.pdf</v>
      </c>
      <c r="Y206" s="196">
        <v>46140.22959490741</v>
      </c>
      <c r="Z206" s="35" t="s">
        <v>3317</v>
      </c>
      <c r="AA206" s="137">
        <v>2.0</v>
      </c>
      <c r="AB206" s="137" t="s">
        <v>93</v>
      </c>
      <c r="AC206" s="28" t="s">
        <v>6376</v>
      </c>
      <c r="AD206" s="27"/>
      <c r="AE206" s="28"/>
      <c r="AF206" s="137" t="str">
        <f t="shared" si="5"/>
        <v/>
      </c>
      <c r="AG206" s="35"/>
      <c r="AH206" s="35"/>
      <c r="AI206" s="35"/>
      <c r="AJ206" s="35"/>
      <c r="AK206" s="35"/>
      <c r="AL206" s="35"/>
      <c r="AM206" s="35"/>
      <c r="AN206" s="35"/>
      <c r="AO206" s="35"/>
      <c r="AP206" s="35"/>
      <c r="AQ206" s="35"/>
      <c r="AR206" s="35"/>
      <c r="AS206" s="35"/>
      <c r="AT206" s="35"/>
      <c r="AU206" s="35"/>
      <c r="AV206" s="35"/>
      <c r="AW206" s="35"/>
      <c r="AX206" s="35"/>
      <c r="AY206" s="35"/>
      <c r="AZ206" s="35"/>
      <c r="BA206" s="35"/>
    </row>
    <row r="207" ht="17.25" hidden="1" customHeight="1">
      <c r="A207" s="140" t="s">
        <v>1787</v>
      </c>
      <c r="B207" s="141">
        <v>38788.0</v>
      </c>
      <c r="C207" s="140" t="s">
        <v>1788</v>
      </c>
      <c r="D207" s="142" t="s">
        <v>1789</v>
      </c>
      <c r="E207" s="140" t="s">
        <v>62</v>
      </c>
      <c r="F207" s="140" t="s">
        <v>82</v>
      </c>
      <c r="G207" s="140" t="s">
        <v>1790</v>
      </c>
      <c r="H207" s="140" t="s">
        <v>1791</v>
      </c>
      <c r="I207" s="140" t="s">
        <v>85</v>
      </c>
      <c r="J207" s="140"/>
      <c r="K207" s="140" t="s">
        <v>169</v>
      </c>
      <c r="L207" s="140" t="s">
        <v>941</v>
      </c>
      <c r="M207" s="143">
        <v>46934.0</v>
      </c>
      <c r="N207" s="142" t="s">
        <v>1792</v>
      </c>
      <c r="O207" s="144" t="str">
        <f>HYPERLINK("https://api.typeform.com/responses/files/c19df85e07e66436976c627696e9ad0b4d063a599a11f63701ab19cb92d44500/bangdiem.pdf")</f>
        <v>https://api.typeform.com/responses/files/c19df85e07e66436976c627696e9ad0b4d063a599a11f63701ab19cb92d44500/bangdiem.pdf</v>
      </c>
      <c r="P207" s="140" t="b">
        <v>1</v>
      </c>
      <c r="Q207" s="161" t="s">
        <v>1793</v>
      </c>
      <c r="R207" s="140" t="s">
        <v>1794</v>
      </c>
      <c r="S207" s="140" t="s">
        <v>72</v>
      </c>
      <c r="T207" s="140" t="s">
        <v>72</v>
      </c>
      <c r="U207" s="140" t="s">
        <v>90</v>
      </c>
      <c r="V207" s="140"/>
      <c r="W207" s="140" t="s">
        <v>1795</v>
      </c>
      <c r="X207" s="144" t="str">
        <f>HYPERLINK("https://api.typeform.com/responses/files/7003080f7e09e0c2ed1be45925b4bb60f68aa71a183f5d0f45f127b63d1b1c86/CV.pdf")</f>
        <v>https://api.typeform.com/responses/files/7003080f7e09e0c2ed1be45925b4bb60f68aa71a183f5d0f45f127b63d1b1c86/CV.pdf</v>
      </c>
      <c r="Y207" s="145">
        <v>46136.23402777778</v>
      </c>
      <c r="Z207" s="140" t="s">
        <v>1796</v>
      </c>
      <c r="AA207" s="146">
        <v>2.0</v>
      </c>
      <c r="AB207" s="147" t="s">
        <v>6381</v>
      </c>
      <c r="AC207" s="70" t="s">
        <v>6376</v>
      </c>
      <c r="AD207" s="148"/>
      <c r="AE207" s="70"/>
      <c r="AF207" s="137" t="str">
        <f t="shared" si="5"/>
        <v/>
      </c>
      <c r="AG207" s="140"/>
      <c r="AH207" s="140"/>
      <c r="AI207" s="140"/>
      <c r="AJ207" s="140"/>
      <c r="AK207" s="140"/>
      <c r="AL207" s="140"/>
      <c r="AM207" s="140"/>
      <c r="AN207" s="140"/>
      <c r="AO207" s="140"/>
      <c r="AP207" s="140"/>
      <c r="AQ207" s="140"/>
      <c r="AR207" s="140"/>
      <c r="AS207" s="140"/>
      <c r="AT207" s="140"/>
      <c r="AU207" s="140"/>
      <c r="AV207" s="140"/>
      <c r="AW207" s="140"/>
      <c r="AX207" s="140"/>
      <c r="AY207" s="140"/>
      <c r="AZ207" s="140"/>
      <c r="BA207" s="140"/>
    </row>
    <row r="208" ht="17.25" hidden="1" customHeight="1">
      <c r="A208" s="192" t="s">
        <v>3327</v>
      </c>
      <c r="B208" s="193">
        <v>38064.0</v>
      </c>
      <c r="C208" s="192" t="s">
        <v>3328</v>
      </c>
      <c r="D208" s="194" t="s">
        <v>3329</v>
      </c>
      <c r="E208" s="192" t="s">
        <v>61</v>
      </c>
      <c r="F208" s="192" t="s">
        <v>99</v>
      </c>
      <c r="G208" s="182" t="s">
        <v>6539</v>
      </c>
      <c r="H208" s="35" t="s">
        <v>3331</v>
      </c>
      <c r="I208" s="35" t="s">
        <v>130</v>
      </c>
      <c r="J208" s="35" t="s">
        <v>3332</v>
      </c>
      <c r="K208" s="35" t="s">
        <v>67</v>
      </c>
      <c r="L208" s="35" t="s">
        <v>3333</v>
      </c>
      <c r="M208" s="134">
        <v>46387.0</v>
      </c>
      <c r="N208" s="35" t="s">
        <v>3334</v>
      </c>
      <c r="O208" s="135" t="str">
        <f>HYPERLINK("https://api.typeform.com/responses/files/cae5711f2c4e3985149fd97cc42c2e9db4bec9f78abdd90b0dd74719d50b711f/bảng_điểm.jpg")</f>
        <v>https://api.typeform.com/responses/files/cae5711f2c4e3985149fd97cc42c2e9db4bec9f78abdd90b0dd74719d50b711f/bảng_điểm.jpg</v>
      </c>
      <c r="P208" s="35" t="b">
        <v>1</v>
      </c>
      <c r="Q208" s="35" t="s">
        <v>3335</v>
      </c>
      <c r="R208" s="35" t="s">
        <v>3336</v>
      </c>
      <c r="S208" s="35" t="s">
        <v>72</v>
      </c>
      <c r="T208" s="35" t="s">
        <v>72</v>
      </c>
      <c r="U208" s="35" t="s">
        <v>236</v>
      </c>
      <c r="V208" s="35"/>
      <c r="W208" s="35" t="s">
        <v>3337</v>
      </c>
      <c r="X208" s="195" t="str">
        <f>HYPERLINK("https://api.typeform.com/responses/files/f7f6191c374de9cd988c56ac2e6d127b691e484e8656da608dd91f92ab48df80/CV_Đoàn_Minh_Đức.pdf")</f>
        <v>https://api.typeform.com/responses/files/f7f6191c374de9cd988c56ac2e6d127b691e484e8656da608dd91f92ab48df80/CV_Đoàn_Minh_Đức.pdf</v>
      </c>
      <c r="Y208" s="196">
        <v>46140.271053240744</v>
      </c>
      <c r="Z208" s="35" t="s">
        <v>3338</v>
      </c>
      <c r="AA208" s="137">
        <v>2.0</v>
      </c>
      <c r="AB208" s="137" t="s">
        <v>93</v>
      </c>
      <c r="AC208" s="28" t="s">
        <v>6388</v>
      </c>
      <c r="AD208" s="27"/>
      <c r="AE208" s="28" t="s">
        <v>6376</v>
      </c>
      <c r="AF208" s="137" t="str">
        <f t="shared" si="5"/>
        <v>Quỳnh</v>
      </c>
      <c r="AG208" s="35"/>
      <c r="AH208" s="35"/>
      <c r="AI208" s="35"/>
      <c r="AJ208" s="35"/>
      <c r="AK208" s="35"/>
      <c r="AL208" s="35"/>
      <c r="AM208" s="35"/>
      <c r="AN208" s="35"/>
      <c r="AO208" s="35"/>
      <c r="AP208" s="35"/>
      <c r="AQ208" s="35"/>
      <c r="AR208" s="35"/>
      <c r="AS208" s="35"/>
      <c r="AT208" s="35"/>
      <c r="AU208" s="35"/>
      <c r="AV208" s="35"/>
      <c r="AW208" s="35"/>
      <c r="AX208" s="35"/>
      <c r="AY208" s="35"/>
      <c r="AZ208" s="35"/>
      <c r="BA208" s="35"/>
    </row>
    <row r="209" ht="17.25" hidden="1" customHeight="1">
      <c r="A209" s="197" t="s">
        <v>2757</v>
      </c>
      <c r="B209" s="198">
        <v>35741.0</v>
      </c>
      <c r="C209" s="197" t="s">
        <v>2758</v>
      </c>
      <c r="D209" s="199" t="s">
        <v>2759</v>
      </c>
      <c r="E209" s="197" t="s">
        <v>82</v>
      </c>
      <c r="F209" s="197"/>
      <c r="G209" s="35" t="s">
        <v>2760</v>
      </c>
      <c r="H209" s="35" t="s">
        <v>2761</v>
      </c>
      <c r="I209" s="35" t="s">
        <v>65</v>
      </c>
      <c r="J209" s="35" t="s">
        <v>2762</v>
      </c>
      <c r="K209" s="35" t="s">
        <v>2763</v>
      </c>
      <c r="L209" s="35" t="s">
        <v>1348</v>
      </c>
      <c r="M209" s="134">
        <v>43617.0</v>
      </c>
      <c r="N209" s="133" t="s">
        <v>2764</v>
      </c>
      <c r="O209" s="135" t="str">
        <f>HYPERLINK("https://api.typeform.com/responses/files/e0db8e5e8644af347c65b9dc336c84ee3dee4c7d4a12238774031fd52f90fb07/Transcript___Data_Analysis_Intern___Dang_Quynh_Chau.pdf")</f>
        <v>https://api.typeform.com/responses/files/e0db8e5e8644af347c65b9dc336c84ee3dee4c7d4a12238774031fd52f90fb07/Transcript___Data_Analysis_Intern___Dang_Quynh_Chau.pdf</v>
      </c>
      <c r="P209" s="35" t="b">
        <v>1</v>
      </c>
      <c r="Q209" s="43" t="s">
        <v>2765</v>
      </c>
      <c r="R209" s="35" t="s">
        <v>2766</v>
      </c>
      <c r="S209" s="35" t="s">
        <v>72</v>
      </c>
      <c r="T209" s="35" t="s">
        <v>72</v>
      </c>
      <c r="U209" s="35" t="s">
        <v>90</v>
      </c>
      <c r="V209" s="35"/>
      <c r="W209" s="35" t="s">
        <v>2767</v>
      </c>
      <c r="X209" s="200" t="str">
        <f>HYPERLINK("https://api.typeform.com/responses/files/212dcb1d9d6c4f391488bc746a8696fd43b7ab4ee3569d748fa1f86f8f93c48e/CV___Data_Analysis_Intern___Dang_Quynh_Chau.pdf")</f>
        <v>https://api.typeform.com/responses/files/212dcb1d9d6c4f391488bc746a8696fd43b7ab4ee3569d748fa1f86f8f93c48e/CV___Data_Analysis_Intern___Dang_Quynh_Chau.pdf</v>
      </c>
      <c r="Y209" s="201">
        <v>46139.384039351855</v>
      </c>
      <c r="Z209" s="35" t="s">
        <v>2768</v>
      </c>
      <c r="AA209" s="137">
        <v>2.0</v>
      </c>
      <c r="AB209" s="137" t="s">
        <v>93</v>
      </c>
      <c r="AC209" s="28" t="s">
        <v>6376</v>
      </c>
      <c r="AD209" s="27"/>
      <c r="AE209" s="28"/>
      <c r="AF209" s="137" t="str">
        <f t="shared" si="5"/>
        <v/>
      </c>
      <c r="AG209" s="35"/>
      <c r="AH209" s="35"/>
      <c r="AI209" s="35"/>
      <c r="AJ209" s="35"/>
      <c r="AK209" s="35"/>
      <c r="AL209" s="35"/>
      <c r="AM209" s="35"/>
      <c r="AN209" s="35"/>
      <c r="AO209" s="35"/>
      <c r="AP209" s="35"/>
      <c r="AQ209" s="35"/>
      <c r="AR209" s="35"/>
      <c r="AS209" s="35"/>
      <c r="AT209" s="35"/>
      <c r="AU209" s="35"/>
      <c r="AV209" s="35"/>
      <c r="AW209" s="35"/>
      <c r="AX209" s="35"/>
      <c r="AY209" s="35"/>
      <c r="AZ209" s="35"/>
      <c r="BA209" s="35"/>
    </row>
    <row r="210" ht="17.25" hidden="1" customHeight="1">
      <c r="A210" s="192" t="s">
        <v>3348</v>
      </c>
      <c r="B210" s="193">
        <v>38154.0</v>
      </c>
      <c r="C210" s="192" t="s">
        <v>3349</v>
      </c>
      <c r="D210" s="194" t="s">
        <v>3350</v>
      </c>
      <c r="E210" s="192" t="s">
        <v>127</v>
      </c>
      <c r="F210" s="192" t="s">
        <v>99</v>
      </c>
      <c r="G210" s="35" t="s">
        <v>3351</v>
      </c>
      <c r="H210" s="35" t="s">
        <v>3352</v>
      </c>
      <c r="I210" s="35" t="s">
        <v>326</v>
      </c>
      <c r="J210" s="35"/>
      <c r="K210" s="35" t="s">
        <v>67</v>
      </c>
      <c r="L210" s="35" t="s">
        <v>3353</v>
      </c>
      <c r="M210" s="134">
        <v>46311.0</v>
      </c>
      <c r="N210" s="133" t="s">
        <v>3354</v>
      </c>
      <c r="O210" s="135" t="str">
        <f>HYPERLINK("https://api.typeform.com/responses/files/65e4387582a800677b90df4f6b83e303cf055a3f01a83606353cb710a9e586a5/Transcript___QA___Trần_Doãn_Thanh_Quý.pdf")</f>
        <v>https://api.typeform.com/responses/files/65e4387582a800677b90df4f6b83e303cf055a3f01a83606353cb710a9e586a5/Transcript___QA___Trần_Doãn_Thanh_Quý.pdf</v>
      </c>
      <c r="P210" s="35" t="b">
        <v>1</v>
      </c>
      <c r="Q210" s="35" t="s">
        <v>3355</v>
      </c>
      <c r="R210" s="35" t="s">
        <v>3356</v>
      </c>
      <c r="S210" s="35" t="s">
        <v>72</v>
      </c>
      <c r="T210" s="35" t="s">
        <v>72</v>
      </c>
      <c r="U210" s="35" t="s">
        <v>3357</v>
      </c>
      <c r="V210" s="35"/>
      <c r="W210" s="35" t="s">
        <v>3358</v>
      </c>
      <c r="X210" s="195" t="str">
        <f>HYPERLINK("https://api.typeform.com/responses/files/3bad88bb3211fc7ddb2b2da29e2f80e89ec1f7693db8d5046add7878257a8c7f/CV___TRAN_DOAN_THANH_QUY___TESTER.pdf")</f>
        <v>https://api.typeform.com/responses/files/3bad88bb3211fc7ddb2b2da29e2f80e89ec1f7693db8d5046add7878257a8c7f/CV___TRAN_DOAN_THANH_QUY___TESTER.pdf</v>
      </c>
      <c r="Y210" s="196">
        <v>46140.308217592596</v>
      </c>
      <c r="Z210" s="35" t="s">
        <v>3359</v>
      </c>
      <c r="AA210" s="137">
        <v>2.0</v>
      </c>
      <c r="AB210" s="137" t="s">
        <v>93</v>
      </c>
      <c r="AC210" s="28" t="s">
        <v>6376</v>
      </c>
      <c r="AD210" s="27"/>
      <c r="AE210" s="28"/>
      <c r="AF210" s="137" t="str">
        <f t="shared" si="5"/>
        <v/>
      </c>
      <c r="AG210" s="35"/>
      <c r="AH210" s="35"/>
      <c r="AI210" s="35"/>
      <c r="AJ210" s="35"/>
      <c r="AK210" s="35"/>
      <c r="AL210" s="35"/>
      <c r="AM210" s="35"/>
      <c r="AN210" s="35"/>
      <c r="AO210" s="35"/>
      <c r="AP210" s="35"/>
      <c r="AQ210" s="35"/>
      <c r="AR210" s="35"/>
      <c r="AS210" s="35"/>
      <c r="AT210" s="35"/>
      <c r="AU210" s="35"/>
      <c r="AV210" s="35"/>
      <c r="AW210" s="35"/>
      <c r="AX210" s="35"/>
      <c r="AY210" s="35"/>
      <c r="AZ210" s="35"/>
      <c r="BA210" s="35"/>
    </row>
    <row r="211" ht="17.25" hidden="1" customHeight="1">
      <c r="A211" s="197" t="s">
        <v>3360</v>
      </c>
      <c r="B211" s="198">
        <v>38228.0</v>
      </c>
      <c r="C211" s="197" t="s">
        <v>3361</v>
      </c>
      <c r="D211" s="199" t="s">
        <v>3362</v>
      </c>
      <c r="E211" s="197" t="s">
        <v>127</v>
      </c>
      <c r="F211" s="197" t="s">
        <v>99</v>
      </c>
      <c r="G211" s="35" t="s">
        <v>3363</v>
      </c>
      <c r="H211" s="35" t="s">
        <v>3364</v>
      </c>
      <c r="I211" s="35" t="s">
        <v>2293</v>
      </c>
      <c r="J211" s="35"/>
      <c r="K211" s="35" t="s">
        <v>103</v>
      </c>
      <c r="L211" s="35" t="s">
        <v>3365</v>
      </c>
      <c r="M211" s="134">
        <v>46134.0</v>
      </c>
      <c r="N211" s="35" t="s">
        <v>3366</v>
      </c>
      <c r="O211" s="135" t="str">
        <f>HYPERLINK("https://api.typeform.com/responses/files/5cbca643946f91e154082095a1f55c16a8671d91faf0e6f9c826be42e16c5799/Transcript___Game_Quality_Assurance_Intern___NguyenTranXuanNhi.pdf")</f>
        <v>https://api.typeform.com/responses/files/5cbca643946f91e154082095a1f55c16a8671d91faf0e6f9c826be42e16c5799/Transcript___Game_Quality_Assurance_Intern___NguyenTranXuanNhi.pdf</v>
      </c>
      <c r="P211" s="35" t="b">
        <v>1</v>
      </c>
      <c r="Q211" s="35" t="s">
        <v>3367</v>
      </c>
      <c r="R211" s="35" t="s">
        <v>3368</v>
      </c>
      <c r="S211" s="35" t="s">
        <v>72</v>
      </c>
      <c r="T211" s="35" t="s">
        <v>72</v>
      </c>
      <c r="U211" s="35" t="s">
        <v>236</v>
      </c>
      <c r="V211" s="35"/>
      <c r="W211" s="35" t="s">
        <v>3369</v>
      </c>
      <c r="X211" s="200" t="str">
        <f>HYPERLINK("https://api.typeform.com/responses/files/518b83a9cbd646d5007c832edd4f7a5332c396e1845818892ca58eede5222fd8/CV___Game_Quality_Assurance_Intern___NguyenTranXuanNhi.pdf")</f>
        <v>https://api.typeform.com/responses/files/518b83a9cbd646d5007c832edd4f7a5332c396e1845818892ca58eede5222fd8/CV___Game_Quality_Assurance_Intern___NguyenTranXuanNhi.pdf</v>
      </c>
      <c r="Y211" s="201">
        <v>46140.31061342593</v>
      </c>
      <c r="Z211" s="35" t="s">
        <v>3370</v>
      </c>
      <c r="AA211" s="137">
        <v>2.0</v>
      </c>
      <c r="AB211" s="137" t="s">
        <v>93</v>
      </c>
      <c r="AC211" s="28" t="s">
        <v>6376</v>
      </c>
      <c r="AD211" s="27"/>
      <c r="AE211" s="28"/>
      <c r="AF211" s="137" t="str">
        <f t="shared" si="5"/>
        <v/>
      </c>
      <c r="AG211" s="35"/>
      <c r="AH211" s="35"/>
      <c r="AI211" s="35"/>
      <c r="AJ211" s="35"/>
      <c r="AK211" s="35"/>
      <c r="AL211" s="35"/>
      <c r="AM211" s="35"/>
      <c r="AN211" s="35"/>
      <c r="AO211" s="35"/>
      <c r="AP211" s="35"/>
      <c r="AQ211" s="35"/>
      <c r="AR211" s="35"/>
      <c r="AS211" s="35"/>
      <c r="AT211" s="35"/>
      <c r="AU211" s="35"/>
      <c r="AV211" s="35"/>
      <c r="AW211" s="35"/>
      <c r="AX211" s="35"/>
      <c r="AY211" s="35"/>
      <c r="AZ211" s="35"/>
      <c r="BA211" s="35"/>
    </row>
    <row r="212" ht="17.25" hidden="1" customHeight="1">
      <c r="A212" s="192" t="s">
        <v>3371</v>
      </c>
      <c r="B212" s="193">
        <v>38202.0</v>
      </c>
      <c r="C212" s="192" t="s">
        <v>3372</v>
      </c>
      <c r="D212" s="194" t="s">
        <v>3373</v>
      </c>
      <c r="E212" s="192" t="s">
        <v>61</v>
      </c>
      <c r="F212" s="192" t="s">
        <v>99</v>
      </c>
      <c r="G212" s="35" t="s">
        <v>3374</v>
      </c>
      <c r="H212" s="35" t="s">
        <v>3375</v>
      </c>
      <c r="I212" s="35" t="s">
        <v>116</v>
      </c>
      <c r="J212" s="35"/>
      <c r="K212" s="35" t="s">
        <v>67</v>
      </c>
      <c r="L212" s="35" t="s">
        <v>1830</v>
      </c>
      <c r="M212" s="134">
        <v>46295.0</v>
      </c>
      <c r="N212" s="35" t="s">
        <v>3376</v>
      </c>
      <c r="O212" s="135" t="str">
        <f>HYPERLINK("https://api.typeform.com/responses/files/c3585b9f0afde92207aadc44225126e0b1762a8a439c5d7a74937c3ae5443df6/Transcript_UnityDevelopmentIntern_PhamDoQuangLong.xls")</f>
        <v>https://api.typeform.com/responses/files/c3585b9f0afde92207aadc44225126e0b1762a8a439c5d7a74937c3ae5443df6/Transcript_UnityDevelopmentIntern_PhamDoQuangLong.xls</v>
      </c>
      <c r="P212" s="35" t="b">
        <v>1</v>
      </c>
      <c r="Q212" s="35" t="s">
        <v>3377</v>
      </c>
      <c r="R212" s="35" t="s">
        <v>3378</v>
      </c>
      <c r="S212" s="35" t="s">
        <v>72</v>
      </c>
      <c r="T212" s="35" t="s">
        <v>72</v>
      </c>
      <c r="U212" s="35" t="s">
        <v>3178</v>
      </c>
      <c r="V212" s="35"/>
      <c r="W212" s="35" t="s">
        <v>3379</v>
      </c>
      <c r="X212" s="195" t="str">
        <f>HYPERLINK("https://api.typeform.com/responses/files/4af73e7e400b574bc0e088d9bacfa6ed81c2e472d12bf8c5a311e1f4e224d120/PhamDoQuangLong_InternUnityDeveloper_CV.pdf")</f>
        <v>https://api.typeform.com/responses/files/4af73e7e400b574bc0e088d9bacfa6ed81c2e472d12bf8c5a311e1f4e224d120/PhamDoQuangLong_InternUnityDeveloper_CV.pdf</v>
      </c>
      <c r="Y212" s="196">
        <v>46140.32247685185</v>
      </c>
      <c r="Z212" s="35" t="s">
        <v>3380</v>
      </c>
      <c r="AA212" s="137">
        <v>2.0</v>
      </c>
      <c r="AB212" s="137" t="s">
        <v>93</v>
      </c>
      <c r="AC212" s="28" t="s">
        <v>6388</v>
      </c>
      <c r="AD212" s="27"/>
      <c r="AE212" s="28" t="s">
        <v>6376</v>
      </c>
      <c r="AF212" s="137" t="str">
        <f t="shared" si="5"/>
        <v>Quỳnh</v>
      </c>
      <c r="AG212" s="35"/>
      <c r="AH212" s="35"/>
      <c r="AI212" s="35"/>
      <c r="AJ212" s="35"/>
      <c r="AK212" s="35"/>
      <c r="AL212" s="35"/>
      <c r="AM212" s="35"/>
      <c r="AN212" s="35"/>
      <c r="AO212" s="35"/>
      <c r="AP212" s="35"/>
      <c r="AQ212" s="35"/>
      <c r="AR212" s="35"/>
      <c r="AS212" s="35"/>
      <c r="AT212" s="35"/>
      <c r="AU212" s="35"/>
      <c r="AV212" s="35"/>
      <c r="AW212" s="35"/>
      <c r="AX212" s="35"/>
      <c r="AY212" s="35"/>
      <c r="AZ212" s="35"/>
      <c r="BA212" s="35"/>
    </row>
    <row r="213" ht="17.25" hidden="1" customHeight="1">
      <c r="A213" s="197" t="s">
        <v>3381</v>
      </c>
      <c r="B213" s="198">
        <v>38027.0</v>
      </c>
      <c r="C213" s="197" t="s">
        <v>3382</v>
      </c>
      <c r="D213" s="199" t="s">
        <v>3383</v>
      </c>
      <c r="E213" s="197" t="s">
        <v>61</v>
      </c>
      <c r="F213" s="197" t="s">
        <v>99</v>
      </c>
      <c r="G213" s="35" t="s">
        <v>3384</v>
      </c>
      <c r="H213" s="35" t="s">
        <v>3385</v>
      </c>
      <c r="I213" s="35" t="s">
        <v>644</v>
      </c>
      <c r="J213" s="35"/>
      <c r="K213" s="35" t="s">
        <v>67</v>
      </c>
      <c r="L213" s="35" t="s">
        <v>3386</v>
      </c>
      <c r="M213" s="134">
        <v>46295.0</v>
      </c>
      <c r="N213" s="133" t="s">
        <v>780</v>
      </c>
      <c r="O213" s="135" t="str">
        <f>HYPERLINK("https://api.typeform.com/responses/files/3191ebc4dbfd8528f3011fc06fe83de5221e818638eeef51f9c6243087687e2e/Nguyễn_Duy__DiemSinhVien.xls")</f>
        <v>https://api.typeform.com/responses/files/3191ebc4dbfd8528f3011fc06fe83de5221e818638eeef51f9c6243087687e2e/Nguyễn_Duy__DiemSinhVien.xls</v>
      </c>
      <c r="P213" s="35" t="b">
        <v>1</v>
      </c>
      <c r="Q213" s="35" t="s">
        <v>3387</v>
      </c>
      <c r="R213" s="35" t="s">
        <v>3388</v>
      </c>
      <c r="S213" s="35" t="s">
        <v>72</v>
      </c>
      <c r="T213" s="35" t="s">
        <v>72</v>
      </c>
      <c r="U213" s="35" t="s">
        <v>90</v>
      </c>
      <c r="V213" s="35"/>
      <c r="W213" s="35" t="s">
        <v>3389</v>
      </c>
      <c r="X213" s="200" t="str">
        <f>HYPERLINK("https://api.typeform.com/responses/files/2b7c76213ae07b77dbcc8489af13a92d8975bdf251b94df2ec5ff986d72a85ed/Nguyễn_Duy__CV_updatedMay2026.pdf")</f>
        <v>https://api.typeform.com/responses/files/2b7c76213ae07b77dbcc8489af13a92d8975bdf251b94df2ec5ff986d72a85ed/Nguyễn_Duy__CV_updatedMay2026.pdf</v>
      </c>
      <c r="Y213" s="201">
        <v>46140.3293287037</v>
      </c>
      <c r="Z213" s="35" t="s">
        <v>3390</v>
      </c>
      <c r="AA213" s="137">
        <v>2.0</v>
      </c>
      <c r="AB213" s="137" t="s">
        <v>93</v>
      </c>
      <c r="AC213" s="28" t="s">
        <v>6377</v>
      </c>
      <c r="AD213" s="28" t="s">
        <v>6540</v>
      </c>
      <c r="AE213" s="28" t="s">
        <v>6379</v>
      </c>
      <c r="AF213" s="137" t="str">
        <f t="shared" si="5"/>
        <v>Quỳnh</v>
      </c>
      <c r="AG213" s="35"/>
      <c r="AH213" s="35"/>
      <c r="AI213" s="35"/>
      <c r="AJ213" s="35"/>
      <c r="AK213" s="35"/>
      <c r="AL213" s="35"/>
      <c r="AM213" s="35"/>
      <c r="AN213" s="35"/>
      <c r="AO213" s="35"/>
      <c r="AP213" s="35"/>
      <c r="AQ213" s="35"/>
      <c r="AR213" s="35"/>
      <c r="AS213" s="35"/>
      <c r="AT213" s="35"/>
      <c r="AU213" s="35"/>
      <c r="AV213" s="35"/>
      <c r="AW213" s="35"/>
      <c r="AX213" s="35"/>
      <c r="AY213" s="35"/>
      <c r="AZ213" s="35"/>
      <c r="BA213" s="35"/>
    </row>
    <row r="214" ht="17.25" hidden="1" customHeight="1">
      <c r="A214" s="192" t="s">
        <v>2466</v>
      </c>
      <c r="B214" s="193">
        <v>38533.0</v>
      </c>
      <c r="C214" s="192" t="s">
        <v>2467</v>
      </c>
      <c r="D214" s="194" t="s">
        <v>2468</v>
      </c>
      <c r="E214" s="192" t="s">
        <v>99</v>
      </c>
      <c r="F214" s="192" t="s">
        <v>61</v>
      </c>
      <c r="G214" s="35" t="s">
        <v>2469</v>
      </c>
      <c r="H214" s="35" t="s">
        <v>2470</v>
      </c>
      <c r="I214" s="35" t="s">
        <v>468</v>
      </c>
      <c r="J214" s="35"/>
      <c r="K214" s="35" t="s">
        <v>219</v>
      </c>
      <c r="L214" s="35" t="s">
        <v>132</v>
      </c>
      <c r="M214" s="134">
        <v>46478.0</v>
      </c>
      <c r="N214" s="35" t="s">
        <v>2471</v>
      </c>
      <c r="O214" s="135" t="str">
        <f>HYPERLINK("https://api.typeform.com/responses/files/aab8bddceef1687ec09fe80dca9c4733e173702e3f4979a3791836116d1af7cb/Transcript___Game_Design_Intern___Võ_Anh_Khải.zip")</f>
        <v>https://api.typeform.com/responses/files/aab8bddceef1687ec09fe80dca9c4733e173702e3f4979a3791836116d1af7cb/Transcript___Game_Design_Intern___Võ_Anh_Khải.zip</v>
      </c>
      <c r="P214" s="35" t="b">
        <v>0</v>
      </c>
      <c r="Q214" s="43" t="s">
        <v>375</v>
      </c>
      <c r="R214" s="35" t="s">
        <v>2472</v>
      </c>
      <c r="S214" s="35" t="s">
        <v>72</v>
      </c>
      <c r="T214" s="35" t="s">
        <v>72</v>
      </c>
      <c r="U214" s="35" t="s">
        <v>188</v>
      </c>
      <c r="V214" s="35"/>
      <c r="W214" s="35"/>
      <c r="X214" s="195" t="str">
        <f>HYPERLINK("https://api.typeform.com/responses/files/083140d9954080659f330e9804ec412b89412c2289ae22a67b1a6c3dbe4616b2/CV___Game_Design_Intern___Võ_Anh_Khải.pdf")</f>
        <v>https://api.typeform.com/responses/files/083140d9954080659f330e9804ec412b89412c2289ae22a67b1a6c3dbe4616b2/CV___Game_Design_Intern___Võ_Anh_Khải.pdf</v>
      </c>
      <c r="Y214" s="196">
        <v>46138.168229166666</v>
      </c>
      <c r="Z214" s="35" t="s">
        <v>2473</v>
      </c>
      <c r="AA214" s="137">
        <v>2.0</v>
      </c>
      <c r="AB214" s="139" t="s">
        <v>6381</v>
      </c>
      <c r="AC214" s="28" t="s">
        <v>6377</v>
      </c>
      <c r="AD214" s="27"/>
      <c r="AE214" s="28" t="s">
        <v>6379</v>
      </c>
      <c r="AF214" s="137" t="str">
        <f t="shared" si="5"/>
        <v>Nhiên</v>
      </c>
      <c r="AG214" s="35"/>
      <c r="AH214" s="35"/>
      <c r="AI214" s="35"/>
      <c r="AJ214" s="35"/>
      <c r="AK214" s="35"/>
      <c r="AL214" s="35"/>
      <c r="AM214" s="35"/>
      <c r="AN214" s="35"/>
      <c r="AO214" s="35"/>
      <c r="AP214" s="35"/>
      <c r="AQ214" s="35"/>
      <c r="AR214" s="35"/>
      <c r="AS214" s="35"/>
      <c r="AT214" s="35"/>
      <c r="AU214" s="35"/>
      <c r="AV214" s="35"/>
      <c r="AW214" s="35"/>
      <c r="AX214" s="35"/>
      <c r="AY214" s="35"/>
      <c r="AZ214" s="35"/>
      <c r="BA214" s="35"/>
    </row>
    <row r="215" hidden="1">
      <c r="A215" s="197" t="s">
        <v>3686</v>
      </c>
      <c r="B215" s="198">
        <v>35122.0</v>
      </c>
      <c r="C215" s="197" t="s">
        <v>3687</v>
      </c>
      <c r="D215" s="199" t="s">
        <v>3688</v>
      </c>
      <c r="E215" s="197" t="s">
        <v>82</v>
      </c>
      <c r="F215" s="197" t="s">
        <v>62</v>
      </c>
      <c r="G215" s="35" t="s">
        <v>3689</v>
      </c>
      <c r="H215" s="35" t="s">
        <v>3690</v>
      </c>
      <c r="I215" s="35" t="s">
        <v>65</v>
      </c>
      <c r="J215" s="35" t="s">
        <v>102</v>
      </c>
      <c r="K215" s="35" t="s">
        <v>2763</v>
      </c>
      <c r="L215" s="35" t="s">
        <v>3691</v>
      </c>
      <c r="M215" s="134">
        <v>45096.0</v>
      </c>
      <c r="N215" s="133" t="s">
        <v>299</v>
      </c>
      <c r="O215" s="135" t="str">
        <f>HYPERLINK("https://api.typeform.com/responses/files/bdf2847420efd67977237ef01c0bb48b82ddcdae6fdc71b233f157d0b83ba5f7/Transcript___Data_Analysis_Intern___Lê_Tuấn_Khôi.jpg")</f>
        <v>https://api.typeform.com/responses/files/bdf2847420efd67977237ef01c0bb48b82ddcdae6fdc71b233f157d0b83ba5f7/Transcript___Data_Analysis_Intern___Lê_Tuấn_Khôi.jpg</v>
      </c>
      <c r="P215" s="35" t="b">
        <v>0</v>
      </c>
      <c r="Q215" s="35" t="s">
        <v>222</v>
      </c>
      <c r="R215" s="35" t="s">
        <v>3692</v>
      </c>
      <c r="S215" s="35" t="s">
        <v>72</v>
      </c>
      <c r="T215" s="35" t="s">
        <v>72</v>
      </c>
      <c r="U215" s="35" t="s">
        <v>73</v>
      </c>
      <c r="V215" s="35"/>
      <c r="W215" s="35" t="s">
        <v>3693</v>
      </c>
      <c r="X215" s="200" t="str">
        <f>HYPERLINK("https://api.typeform.com/responses/files/17c42f8208fe596b6ea8a9463a6e563f36467aab6798b087a7c729c1214961fb/CV___Data_Analysis_Intern___Lê_Tuấn_Khôi.pdf")</f>
        <v>https://api.typeform.com/responses/files/17c42f8208fe596b6ea8a9463a6e563f36467aab6798b087a7c729c1214961fb/CV___Data_Analysis_Intern___Lê_Tuấn_Khôi.pdf</v>
      </c>
      <c r="Y215" s="201">
        <v>46140.69537037037</v>
      </c>
      <c r="Z215" s="35" t="s">
        <v>3694</v>
      </c>
      <c r="AA215" s="137">
        <v>2.0</v>
      </c>
      <c r="AB215" s="137" t="s">
        <v>93</v>
      </c>
      <c r="AC215" s="28" t="s">
        <v>6376</v>
      </c>
      <c r="AD215" s="27"/>
      <c r="AE215" s="28"/>
      <c r="AF215" s="137" t="str">
        <f t="shared" si="5"/>
        <v/>
      </c>
    </row>
    <row r="216" ht="17.25" hidden="1" customHeight="1">
      <c r="A216" s="140" t="s">
        <v>3133</v>
      </c>
      <c r="B216" s="141">
        <v>37700.0</v>
      </c>
      <c r="C216" s="140" t="s">
        <v>3134</v>
      </c>
      <c r="D216" s="142" t="s">
        <v>3135</v>
      </c>
      <c r="E216" s="140" t="s">
        <v>62</v>
      </c>
      <c r="F216" s="140" t="s">
        <v>82</v>
      </c>
      <c r="G216" s="140" t="s">
        <v>3136</v>
      </c>
      <c r="H216" s="140" t="s">
        <v>3137</v>
      </c>
      <c r="I216" s="140" t="s">
        <v>338</v>
      </c>
      <c r="J216" s="140"/>
      <c r="K216" s="140" t="s">
        <v>67</v>
      </c>
      <c r="L216" s="140" t="s">
        <v>624</v>
      </c>
      <c r="M216" s="143">
        <v>46387.0</v>
      </c>
      <c r="N216" s="142" t="s">
        <v>171</v>
      </c>
      <c r="O216" s="144" t="str">
        <f>HYPERLINK("https://api.typeform.com/responses/files/a6af48fad382b888b7fa025c4f4d6ef31c70c890e7dbee037e6a4dea8ec4561f/Transcript___AI_Engineer_intern___Nguyễn_Minh_Trung_1.jpeg")</f>
        <v>https://api.typeform.com/responses/files/a6af48fad382b888b7fa025c4f4d6ef31c70c890e7dbee037e6a4dea8ec4561f/Transcript___AI_Engineer_intern___Nguyễn_Minh_Trung_1.jpeg</v>
      </c>
      <c r="P216" s="140" t="b">
        <v>1</v>
      </c>
      <c r="Q216" s="140" t="s">
        <v>3138</v>
      </c>
      <c r="R216" s="140" t="s">
        <v>3139</v>
      </c>
      <c r="S216" s="140" t="s">
        <v>72</v>
      </c>
      <c r="T216" s="140" t="s">
        <v>72</v>
      </c>
      <c r="U216" s="140" t="s">
        <v>90</v>
      </c>
      <c r="V216" s="140"/>
      <c r="W216" s="140" t="s">
        <v>3140</v>
      </c>
      <c r="X216" s="144" t="str">
        <f>HYPERLINK("https://api.typeform.com/responses/files/a1005cd70a4e4817593810dd0ba50ecb31721b46fe51f56afa75e69f07f769ab/CV___AI_Engineer_Intern___Nguyễn_Minh_Trung.pdf")</f>
        <v>https://api.typeform.com/responses/files/a1005cd70a4e4817593810dd0ba50ecb31721b46fe51f56afa75e69f07f769ab/CV___AI_Engineer_Intern___Nguyễn_Minh_Trung.pdf</v>
      </c>
      <c r="Y216" s="145">
        <v>46140.15163194444</v>
      </c>
      <c r="Z216" s="140" t="s">
        <v>3141</v>
      </c>
      <c r="AA216" s="146">
        <v>2.0</v>
      </c>
      <c r="AB216" s="147" t="s">
        <v>6381</v>
      </c>
      <c r="AC216" s="70" t="s">
        <v>6376</v>
      </c>
      <c r="AD216" s="148"/>
      <c r="AE216" s="70"/>
      <c r="AF216" s="146" t="str">
        <f t="shared" si="5"/>
        <v/>
      </c>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row>
    <row r="217" ht="17.25" hidden="1" customHeight="1">
      <c r="A217" s="197" t="s">
        <v>3402</v>
      </c>
      <c r="B217" s="198">
        <v>38180.0</v>
      </c>
      <c r="C217" s="197" t="s">
        <v>3403</v>
      </c>
      <c r="D217" s="199" t="s">
        <v>3404</v>
      </c>
      <c r="E217" s="197" t="s">
        <v>61</v>
      </c>
      <c r="F217" s="197" t="s">
        <v>61</v>
      </c>
      <c r="G217" s="35" t="s">
        <v>3405</v>
      </c>
      <c r="H217" s="35" t="s">
        <v>3406</v>
      </c>
      <c r="I217" s="35" t="s">
        <v>326</v>
      </c>
      <c r="J217" s="35"/>
      <c r="K217" s="35" t="s">
        <v>67</v>
      </c>
      <c r="L217" s="35" t="s">
        <v>3407</v>
      </c>
      <c r="M217" s="134">
        <v>46235.0</v>
      </c>
      <c r="N217" s="133" t="s">
        <v>1132</v>
      </c>
      <c r="O217" s="135" t="str">
        <f>HYPERLINK("https://api.typeform.com/responses/files/0594b4edd3cd039fe46f306258b58eefd0bd99b3c63c554756bc2567e2eed2cd/Transcript___Unity_Development_Intern___Nguyễn_.pdf")</f>
        <v>https://api.typeform.com/responses/files/0594b4edd3cd039fe46f306258b58eefd0bd99b3c63c554756bc2567e2eed2cd/Transcript___Unity_Development_Intern___Nguyễn_.pdf</v>
      </c>
      <c r="P217" s="35" t="b">
        <v>1</v>
      </c>
      <c r="Q217" s="35" t="s">
        <v>3408</v>
      </c>
      <c r="R217" s="35" t="s">
        <v>3409</v>
      </c>
      <c r="S217" s="35" t="s">
        <v>72</v>
      </c>
      <c r="T217" s="35" t="s">
        <v>72</v>
      </c>
      <c r="U217" s="35" t="s">
        <v>90</v>
      </c>
      <c r="V217" s="35"/>
      <c r="W217" s="35" t="s">
        <v>3410</v>
      </c>
      <c r="X217" s="200" t="str">
        <f>HYPERLINK("https://api.typeform.com/responses/files/0652128d676fb9d92391121b4e131f8188e2bf772a9e06fcd0ce871073292ee5/CV_Nguyen_Hung___Game_Development.pdf")</f>
        <v>https://api.typeform.com/responses/files/0652128d676fb9d92391121b4e131f8188e2bf772a9e06fcd0ce871073292ee5/CV_Nguyen_Hung___Game_Development.pdf</v>
      </c>
      <c r="Y217" s="201">
        <v>46140.356157407405</v>
      </c>
      <c r="Z217" s="35" t="s">
        <v>3411</v>
      </c>
      <c r="AA217" s="137">
        <v>2.0</v>
      </c>
      <c r="AB217" s="137" t="s">
        <v>93</v>
      </c>
      <c r="AC217" s="28" t="s">
        <v>6377</v>
      </c>
      <c r="AD217" s="27"/>
      <c r="AE217" s="28" t="s">
        <v>6379</v>
      </c>
      <c r="AF217" s="137" t="str">
        <f t="shared" si="5"/>
        <v>Quỳnh</v>
      </c>
      <c r="AG217" s="35"/>
      <c r="AH217" s="35"/>
      <c r="AI217" s="35"/>
      <c r="AJ217" s="35"/>
      <c r="AK217" s="35"/>
      <c r="AL217" s="35"/>
      <c r="AM217" s="35"/>
      <c r="AN217" s="35"/>
      <c r="AO217" s="35"/>
      <c r="AP217" s="35"/>
      <c r="AQ217" s="35"/>
      <c r="AR217" s="35"/>
      <c r="AS217" s="35"/>
      <c r="AT217" s="35"/>
      <c r="AU217" s="35"/>
      <c r="AV217" s="35"/>
      <c r="AW217" s="35"/>
      <c r="AX217" s="35"/>
      <c r="AY217" s="35"/>
      <c r="AZ217" s="35"/>
      <c r="BA217" s="35"/>
    </row>
    <row r="218" ht="17.25" hidden="1" customHeight="1">
      <c r="A218" s="192" t="s">
        <v>2215</v>
      </c>
      <c r="B218" s="193">
        <v>37955.0</v>
      </c>
      <c r="C218" s="192" t="s">
        <v>2216</v>
      </c>
      <c r="D218" s="194" t="s">
        <v>2217</v>
      </c>
      <c r="E218" s="192" t="s">
        <v>82</v>
      </c>
      <c r="F218" s="192" t="s">
        <v>633</v>
      </c>
      <c r="G218" s="35" t="s">
        <v>2218</v>
      </c>
      <c r="H218" s="35" t="s">
        <v>2219</v>
      </c>
      <c r="I218" s="35" t="s">
        <v>85</v>
      </c>
      <c r="J218" s="35"/>
      <c r="K218" s="35" t="s">
        <v>67</v>
      </c>
      <c r="L218" s="35" t="s">
        <v>384</v>
      </c>
      <c r="M218" s="134">
        <v>46173.0</v>
      </c>
      <c r="N218" s="133" t="s">
        <v>2220</v>
      </c>
      <c r="O218" s="135" t="str">
        <f>HYPERLINK("https://api.typeform.com/responses/files/618507352cb077fa9a06783e7b1046ab4a74e51421e6e43f708770d3d6a064d9/Transcript___Data_Analysis_Intern___Nguyen_Thi_Huyen_Trang.PDF")</f>
        <v>https://api.typeform.com/responses/files/618507352cb077fa9a06783e7b1046ab4a74e51421e6e43f708770d3d6a064d9/Transcript___Data_Analysis_Intern___Nguyen_Thi_Huyen_Trang.PDF</v>
      </c>
      <c r="P218" s="35" t="b">
        <v>1</v>
      </c>
      <c r="Q218" s="43" t="s">
        <v>2221</v>
      </c>
      <c r="R218" s="35" t="s">
        <v>2222</v>
      </c>
      <c r="S218" s="35" t="s">
        <v>72</v>
      </c>
      <c r="T218" s="35" t="s">
        <v>72</v>
      </c>
      <c r="U218" s="35" t="s">
        <v>269</v>
      </c>
      <c r="V218" s="35"/>
      <c r="W218" s="35" t="s">
        <v>2222</v>
      </c>
      <c r="X218" s="195" t="str">
        <f>HYPERLINK("https://api.typeform.com/responses/files/75eca038af4975fca224bbd5129f4c99722e0c7eb446693364107ddff813a768/CV___Data_Analysis_Intern___Nguyen_Thi_Huyen_Trang.pdf")</f>
        <v>https://api.typeform.com/responses/files/75eca038af4975fca224bbd5129f4c99722e0c7eb446693364107ddff813a768/CV___Data_Analysis_Intern___Nguyen_Thi_Huyen_Trang.pdf</v>
      </c>
      <c r="Y218" s="196">
        <v>46137.273877314816</v>
      </c>
      <c r="Z218" s="35" t="s">
        <v>2223</v>
      </c>
      <c r="AA218" s="137">
        <v>2.0</v>
      </c>
      <c r="AB218" s="137" t="s">
        <v>93</v>
      </c>
      <c r="AC218" s="28" t="s">
        <v>6377</v>
      </c>
      <c r="AD218" s="27"/>
      <c r="AE218" s="28" t="s">
        <v>6403</v>
      </c>
      <c r="AF218" s="137" t="str">
        <f t="shared" si="5"/>
        <v>Quỳnh</v>
      </c>
      <c r="AG218" s="35"/>
      <c r="AH218" s="35"/>
      <c r="AI218" s="35"/>
      <c r="AJ218" s="35"/>
      <c r="AK218" s="35"/>
      <c r="AL218" s="35"/>
      <c r="AM218" s="35"/>
      <c r="AN218" s="35"/>
      <c r="AO218" s="35"/>
      <c r="AP218" s="35"/>
      <c r="AQ218" s="35"/>
      <c r="AR218" s="35"/>
      <c r="AS218" s="35"/>
      <c r="AT218" s="35"/>
      <c r="AU218" s="35"/>
      <c r="AV218" s="35"/>
      <c r="AW218" s="35"/>
      <c r="AX218" s="35"/>
      <c r="AY218" s="35"/>
      <c r="AZ218" s="35"/>
      <c r="BA218" s="35"/>
    </row>
    <row r="219" ht="17.25" hidden="1" customHeight="1">
      <c r="A219" s="149" t="s">
        <v>2850</v>
      </c>
      <c r="B219" s="150">
        <v>38488.0</v>
      </c>
      <c r="C219" s="149" t="s">
        <v>2851</v>
      </c>
      <c r="D219" s="151" t="s">
        <v>2852</v>
      </c>
      <c r="E219" s="149" t="s">
        <v>99</v>
      </c>
      <c r="F219" s="149" t="s">
        <v>62</v>
      </c>
      <c r="G219" s="149" t="s">
        <v>2853</v>
      </c>
      <c r="H219" s="149" t="s">
        <v>2854</v>
      </c>
      <c r="I219" s="149" t="s">
        <v>715</v>
      </c>
      <c r="J219" s="149"/>
      <c r="K219" s="149" t="s">
        <v>219</v>
      </c>
      <c r="L219" s="149" t="s">
        <v>930</v>
      </c>
      <c r="M219" s="152">
        <v>46680.0</v>
      </c>
      <c r="N219" s="151" t="s">
        <v>483</v>
      </c>
      <c r="O219" s="153" t="str">
        <f>HYPERLINK("https://api.typeform.com/responses/files/3a416fa21ce81670b2fa809906de0237cf6097d8578520af81646fbec5c90706/Transcript___Game_Design_Intern___Võ_Đức_Cao_Thượng.pdf")</f>
        <v>https://api.typeform.com/responses/files/3a416fa21ce81670b2fa809906de0237cf6097d8578520af81646fbec5c90706/Transcript___Game_Design_Intern___Võ_Đức_Cao_Thượng.pdf</v>
      </c>
      <c r="P219" s="149" t="b">
        <v>0</v>
      </c>
      <c r="Q219" s="154" t="s">
        <v>2855</v>
      </c>
      <c r="R219" s="149" t="s">
        <v>2856</v>
      </c>
      <c r="S219" s="149" t="s">
        <v>72</v>
      </c>
      <c r="T219" s="149" t="s">
        <v>72</v>
      </c>
      <c r="U219" s="149" t="s">
        <v>2389</v>
      </c>
      <c r="V219" s="149"/>
      <c r="W219" s="149" t="s">
        <v>2857</v>
      </c>
      <c r="X219" s="153" t="str">
        <f>HYPERLINK("https://api.typeform.com/responses/files/e0a3382deedab1557c705fed0f36732e21d02375144091f75575e067d301d69f/CV___Game_Design_Intern___Võ_Đức_Cao_Thượng.pdf")</f>
        <v>https://api.typeform.com/responses/files/e0a3382deedab1557c705fed0f36732e21d02375144091f75575e067d301d69f/CV___Game_Design_Intern___Võ_Đức_Cao_Thượng.pdf</v>
      </c>
      <c r="Y219" s="155">
        <v>46139.50728009259</v>
      </c>
      <c r="Z219" s="149" t="s">
        <v>2858</v>
      </c>
      <c r="AA219" s="156">
        <v>2.0</v>
      </c>
      <c r="AB219" s="157" t="s">
        <v>6381</v>
      </c>
      <c r="AC219" s="92" t="s">
        <v>6376</v>
      </c>
      <c r="AD219" s="158"/>
      <c r="AE219" s="92"/>
      <c r="AF219" s="137" t="str">
        <f t="shared" si="5"/>
        <v/>
      </c>
      <c r="AG219" s="149"/>
      <c r="AH219" s="149"/>
      <c r="AI219" s="149"/>
      <c r="AJ219" s="149"/>
      <c r="AK219" s="149"/>
      <c r="AL219" s="149"/>
      <c r="AM219" s="149"/>
      <c r="AN219" s="149"/>
      <c r="AO219" s="149"/>
      <c r="AP219" s="149"/>
      <c r="AQ219" s="149"/>
      <c r="AR219" s="149"/>
      <c r="AS219" s="149"/>
      <c r="AT219" s="149"/>
      <c r="AU219" s="149"/>
      <c r="AV219" s="149"/>
      <c r="AW219" s="149"/>
      <c r="AX219" s="149"/>
      <c r="AY219" s="149"/>
      <c r="AZ219" s="149"/>
      <c r="BA219" s="149"/>
    </row>
    <row r="220" ht="17.25" hidden="1" customHeight="1">
      <c r="A220" s="192" t="s">
        <v>1559</v>
      </c>
      <c r="B220" s="193">
        <v>38511.0</v>
      </c>
      <c r="C220" s="192" t="s">
        <v>1560</v>
      </c>
      <c r="D220" s="194" t="s">
        <v>1561</v>
      </c>
      <c r="E220" s="192" t="s">
        <v>82</v>
      </c>
      <c r="F220" s="192" t="s">
        <v>62</v>
      </c>
      <c r="G220" s="35" t="s">
        <v>1562</v>
      </c>
      <c r="H220" s="35" t="s">
        <v>1563</v>
      </c>
      <c r="I220" s="35" t="s">
        <v>326</v>
      </c>
      <c r="J220" s="35"/>
      <c r="K220" s="35" t="s">
        <v>219</v>
      </c>
      <c r="L220" s="35" t="s">
        <v>384</v>
      </c>
      <c r="M220" s="134">
        <v>38511.0</v>
      </c>
      <c r="N220" s="133" t="s">
        <v>1564</v>
      </c>
      <c r="O220" s="135" t="str">
        <f>HYPERLINK("https://api.typeform.com/responses/files/15fefddcdc0af16b12383c78e1194d47838300087b4cdffc0c5c8c30ae068e0a/Transcript___Data_Analysis_Intern___Bùi_Hà_Bảo_Khanh.pdf")</f>
        <v>https://api.typeform.com/responses/files/15fefddcdc0af16b12383c78e1194d47838300087b4cdffc0c5c8c30ae068e0a/Transcript___Data_Analysis_Intern___Bùi_Hà_Bảo_Khanh.pdf</v>
      </c>
      <c r="P220" s="35" t="b">
        <v>1</v>
      </c>
      <c r="Q220" s="43" t="s">
        <v>1565</v>
      </c>
      <c r="R220" s="35" t="s">
        <v>1566</v>
      </c>
      <c r="S220" s="35" t="s">
        <v>72</v>
      </c>
      <c r="T220" s="35" t="s">
        <v>72</v>
      </c>
      <c r="U220" s="35" t="s">
        <v>269</v>
      </c>
      <c r="V220" s="35"/>
      <c r="W220" s="35" t="s">
        <v>1567</v>
      </c>
      <c r="X220" s="195" t="str">
        <f>HYPERLINK("https://api.typeform.com/responses/files/79295053935289dd9da03964968497f6a2f474a98fe4aa938beb745bebb63b56/CV___Data_Analysis_Intern___Bui_Ha_Bao_Khanh.pdf")</f>
        <v>https://api.typeform.com/responses/files/79295053935289dd9da03964968497f6a2f474a98fe4aa938beb745bebb63b56/CV___Data_Analysis_Intern___Bui_Ha_Bao_Khanh.pdf</v>
      </c>
      <c r="Y220" s="196">
        <v>46135.76291666667</v>
      </c>
      <c r="Z220" s="35" t="s">
        <v>1568</v>
      </c>
      <c r="AA220" s="137">
        <v>2.0</v>
      </c>
      <c r="AB220" s="137" t="s">
        <v>93</v>
      </c>
      <c r="AC220" s="28" t="s">
        <v>6376</v>
      </c>
      <c r="AD220" s="28" t="s">
        <v>6541</v>
      </c>
      <c r="AE220" s="28"/>
      <c r="AF220" s="137" t="str">
        <f t="shared" si="5"/>
        <v/>
      </c>
      <c r="AG220" s="35"/>
      <c r="AH220" s="35"/>
      <c r="AI220" s="35"/>
      <c r="AJ220" s="35"/>
      <c r="AK220" s="35"/>
      <c r="AL220" s="35"/>
      <c r="AM220" s="35"/>
      <c r="AN220" s="35"/>
      <c r="AO220" s="35"/>
      <c r="AP220" s="35"/>
      <c r="AQ220" s="35"/>
      <c r="AR220" s="35"/>
      <c r="AS220" s="35"/>
      <c r="AT220" s="35"/>
      <c r="AU220" s="35"/>
      <c r="AV220" s="35"/>
      <c r="AW220" s="35"/>
      <c r="AX220" s="35"/>
      <c r="AY220" s="35"/>
      <c r="AZ220" s="35"/>
      <c r="BA220" s="35"/>
    </row>
    <row r="221" ht="17.25" hidden="1" customHeight="1">
      <c r="A221" s="197" t="s">
        <v>3441</v>
      </c>
      <c r="B221" s="198">
        <v>37290.0</v>
      </c>
      <c r="C221" s="197" t="s">
        <v>3442</v>
      </c>
      <c r="D221" s="199" t="s">
        <v>3443</v>
      </c>
      <c r="E221" s="197" t="s">
        <v>127</v>
      </c>
      <c r="F221" s="197" t="s">
        <v>82</v>
      </c>
      <c r="G221" s="35" t="s">
        <v>3444</v>
      </c>
      <c r="H221" s="35" t="s">
        <v>3445</v>
      </c>
      <c r="I221" s="35" t="s">
        <v>65</v>
      </c>
      <c r="J221" s="35" t="s">
        <v>3446</v>
      </c>
      <c r="K221" s="35" t="s">
        <v>103</v>
      </c>
      <c r="L221" s="35" t="s">
        <v>3447</v>
      </c>
      <c r="M221" s="134">
        <v>45654.0</v>
      </c>
      <c r="N221" s="133" t="s">
        <v>1935</v>
      </c>
      <c r="O221" s="135" t="str">
        <f>HYPERLINK("https://api.typeform.com/responses/files/073f4b967cceb7b59b99ddf380fb9c85ff6be2b2ba8507269c1dc5af29df424a/bangdiem_QAIntern_NguyenThanhTruc.xlsx")</f>
        <v>https://api.typeform.com/responses/files/073f4b967cceb7b59b99ddf380fb9c85ff6be2b2ba8507269c1dc5af29df424a/bangdiem_QAIntern_NguyenThanhTruc.xlsx</v>
      </c>
      <c r="P221" s="35" t="b">
        <v>1</v>
      </c>
      <c r="Q221" s="35" t="s">
        <v>3448</v>
      </c>
      <c r="R221" s="35" t="s">
        <v>3449</v>
      </c>
      <c r="S221" s="35" t="s">
        <v>72</v>
      </c>
      <c r="T221" s="35" t="s">
        <v>72</v>
      </c>
      <c r="U221" s="35" t="s">
        <v>73</v>
      </c>
      <c r="V221" s="35"/>
      <c r="W221" s="35" t="s">
        <v>3450</v>
      </c>
      <c r="X221" s="200" t="str">
        <f>HYPERLINK("https://api.typeform.com/responses/files/f7a5482d3ec3a138553a6787b80b0827b59b389f28ab7b1b76dc48d1f8cc8123/CV_QAIntern_NguyenThanhTruc.pdf")</f>
        <v>https://api.typeform.com/responses/files/f7a5482d3ec3a138553a6787b80b0827b59b389f28ab7b1b76dc48d1f8cc8123/CV_QAIntern_NguyenThanhTruc.pdf</v>
      </c>
      <c r="Y221" s="201">
        <v>46140.38706018519</v>
      </c>
      <c r="Z221" s="35" t="s">
        <v>3451</v>
      </c>
      <c r="AA221" s="137">
        <v>2.0</v>
      </c>
      <c r="AB221" s="137" t="s">
        <v>93</v>
      </c>
      <c r="AC221" s="28" t="s">
        <v>6376</v>
      </c>
      <c r="AD221" s="27"/>
      <c r="AE221" s="28"/>
      <c r="AF221" s="137" t="str">
        <f t="shared" si="5"/>
        <v/>
      </c>
      <c r="AG221" s="35"/>
      <c r="AH221" s="35"/>
      <c r="AI221" s="35"/>
      <c r="AJ221" s="35"/>
      <c r="AK221" s="35"/>
      <c r="AL221" s="35"/>
      <c r="AM221" s="35"/>
      <c r="AN221" s="35"/>
      <c r="AO221" s="35"/>
      <c r="AP221" s="35"/>
      <c r="AQ221" s="35"/>
      <c r="AR221" s="35"/>
      <c r="AS221" s="35"/>
      <c r="AT221" s="35"/>
      <c r="AU221" s="35"/>
      <c r="AV221" s="35"/>
      <c r="AW221" s="35"/>
      <c r="AX221" s="35"/>
      <c r="AY221" s="35"/>
      <c r="AZ221" s="35"/>
      <c r="BA221" s="35"/>
    </row>
    <row r="222" ht="17.25" hidden="1" customHeight="1">
      <c r="A222" s="192" t="s">
        <v>3452</v>
      </c>
      <c r="B222" s="193">
        <v>38053.0</v>
      </c>
      <c r="C222" s="192" t="s">
        <v>3453</v>
      </c>
      <c r="D222" s="194" t="s">
        <v>3454</v>
      </c>
      <c r="E222" s="192" t="s">
        <v>61</v>
      </c>
      <c r="F222" s="192" t="s">
        <v>99</v>
      </c>
      <c r="G222" s="35" t="s">
        <v>3455</v>
      </c>
      <c r="H222" s="35" t="s">
        <v>3456</v>
      </c>
      <c r="I222" s="35" t="s">
        <v>116</v>
      </c>
      <c r="J222" s="35"/>
      <c r="K222" s="35" t="s">
        <v>67</v>
      </c>
      <c r="L222" s="35" t="s">
        <v>3457</v>
      </c>
      <c r="M222" s="134">
        <v>46387.0</v>
      </c>
      <c r="N222" s="35" t="s">
        <v>3458</v>
      </c>
      <c r="O222" s="135" t="str">
        <f>HYPERLINK("https://api.typeform.com/responses/files/281095dac50ea0e003ac74573e0b79867153330cde4ac3f08e83c779ef43bdc5/Transcript___Game_Development_Intern___Bùi_Bình_Nguyên.xlsx")</f>
        <v>https://api.typeform.com/responses/files/281095dac50ea0e003ac74573e0b79867153330cde4ac3f08e83c779ef43bdc5/Transcript___Game_Development_Intern___Bùi_Bình_Nguyên.xlsx</v>
      </c>
      <c r="P222" s="35" t="b">
        <v>1</v>
      </c>
      <c r="Q222" s="35" t="s">
        <v>3459</v>
      </c>
      <c r="R222" s="35" t="s">
        <v>3460</v>
      </c>
      <c r="S222" s="35" t="s">
        <v>72</v>
      </c>
      <c r="T222" s="35" t="s">
        <v>72</v>
      </c>
      <c r="U222" s="35" t="s">
        <v>73</v>
      </c>
      <c r="V222" s="35"/>
      <c r="W222" s="35" t="s">
        <v>3461</v>
      </c>
      <c r="X222" s="195" t="str">
        <f>HYPERLINK("https://api.typeform.com/responses/files/4033858a0460b53a496a53b19701205315cb9c5b8b7809272ac8ce75126a3eaf/CV___Game_Development_Intern___Bùi_Bình_Nguyên.pdf")</f>
        <v>https://api.typeform.com/responses/files/4033858a0460b53a496a53b19701205315cb9c5b8b7809272ac8ce75126a3eaf/CV___Game_Development_Intern___Bùi_Bình_Nguyên.pdf</v>
      </c>
      <c r="Y222" s="196">
        <v>46140.40896990741</v>
      </c>
      <c r="Z222" s="35" t="s">
        <v>3462</v>
      </c>
      <c r="AA222" s="137">
        <v>2.0</v>
      </c>
      <c r="AB222" s="137" t="s">
        <v>93</v>
      </c>
      <c r="AC222" s="28" t="s">
        <v>6376</v>
      </c>
      <c r="AD222" s="27"/>
      <c r="AE222" s="28"/>
      <c r="AF222" s="137" t="str">
        <f t="shared" si="5"/>
        <v/>
      </c>
      <c r="AG222" s="35"/>
      <c r="AH222" s="35"/>
      <c r="AI222" s="35"/>
      <c r="AJ222" s="35"/>
      <c r="AK222" s="35"/>
      <c r="AL222" s="35"/>
      <c r="AM222" s="35"/>
      <c r="AN222" s="35"/>
      <c r="AO222" s="35"/>
      <c r="AP222" s="35"/>
      <c r="AQ222" s="35"/>
      <c r="AR222" s="35"/>
      <c r="AS222" s="35"/>
      <c r="AT222" s="35"/>
      <c r="AU222" s="35"/>
      <c r="AV222" s="35"/>
      <c r="AW222" s="35"/>
      <c r="AX222" s="35"/>
      <c r="AY222" s="35"/>
      <c r="AZ222" s="35"/>
      <c r="BA222" s="35"/>
    </row>
    <row r="223" ht="17.25" hidden="1" customHeight="1">
      <c r="A223" s="197" t="s">
        <v>3463</v>
      </c>
      <c r="B223" s="198">
        <v>38081.0</v>
      </c>
      <c r="C223" s="197" t="s">
        <v>3464</v>
      </c>
      <c r="D223" s="199" t="s">
        <v>3465</v>
      </c>
      <c r="E223" s="197" t="s">
        <v>61</v>
      </c>
      <c r="F223" s="197" t="s">
        <v>99</v>
      </c>
      <c r="G223" s="35" t="s">
        <v>3466</v>
      </c>
      <c r="H223" s="35" t="s">
        <v>3467</v>
      </c>
      <c r="I223" s="35" t="s">
        <v>85</v>
      </c>
      <c r="J223" s="35"/>
      <c r="K223" s="35" t="s">
        <v>67</v>
      </c>
      <c r="L223" s="35" t="s">
        <v>1425</v>
      </c>
      <c r="M223" s="134">
        <v>46270.0</v>
      </c>
      <c r="N223" s="133" t="s">
        <v>105</v>
      </c>
      <c r="O223" s="135" t="str">
        <f>HYPERLINK("https://api.typeform.com/responses/files/33323c9db922ac831bc1edb5c96d9eaeaa334ab373b5bc1dafd7a4e7c2a2b0e8/Transcript___Unity_Development_Intern___Hồng_Chung_Lâm.pdf")</f>
        <v>https://api.typeform.com/responses/files/33323c9db922ac831bc1edb5c96d9eaeaa334ab373b5bc1dafd7a4e7c2a2b0e8/Transcript___Unity_Development_Intern___Hồng_Chung_Lâm.pdf</v>
      </c>
      <c r="P223" s="35" t="b">
        <v>1</v>
      </c>
      <c r="Q223" s="35" t="s">
        <v>3468</v>
      </c>
      <c r="R223" s="35" t="s">
        <v>3469</v>
      </c>
      <c r="S223" s="35" t="s">
        <v>72</v>
      </c>
      <c r="T223" s="35" t="s">
        <v>72</v>
      </c>
      <c r="U223" s="35" t="s">
        <v>269</v>
      </c>
      <c r="V223" s="35"/>
      <c r="W223" s="35" t="s">
        <v>3470</v>
      </c>
      <c r="X223" s="200" t="str">
        <f>HYPERLINK("https://api.typeform.com/responses/files/7b4fb2aaf30e858ea994711ce5cb758dae1ee36ec8e8db40e1ed06a2b4011f0d/CV___Unity_Development_Intern___Hồng_Chung_Lâm.pdf")</f>
        <v>https://api.typeform.com/responses/files/7b4fb2aaf30e858ea994711ce5cb758dae1ee36ec8e8db40e1ed06a2b4011f0d/CV___Unity_Development_Intern___Hồng_Chung_Lâm.pdf</v>
      </c>
      <c r="Y223" s="201">
        <v>46140.41501157408</v>
      </c>
      <c r="Z223" s="35" t="s">
        <v>3471</v>
      </c>
      <c r="AA223" s="137">
        <v>2.0</v>
      </c>
      <c r="AB223" s="137" t="s">
        <v>93</v>
      </c>
      <c r="AC223" s="28" t="s">
        <v>6388</v>
      </c>
      <c r="AD223" s="27"/>
      <c r="AE223" s="28" t="s">
        <v>6376</v>
      </c>
      <c r="AF223" s="137" t="str">
        <f t="shared" si="5"/>
        <v>Quỳnh</v>
      </c>
      <c r="AG223" s="35"/>
      <c r="AH223" s="35"/>
      <c r="AI223" s="35"/>
      <c r="AJ223" s="35"/>
      <c r="AK223" s="35"/>
      <c r="AL223" s="35"/>
      <c r="AM223" s="35"/>
      <c r="AN223" s="35"/>
      <c r="AO223" s="35"/>
      <c r="AP223" s="35"/>
      <c r="AQ223" s="35"/>
      <c r="AR223" s="35"/>
      <c r="AS223" s="35"/>
      <c r="AT223" s="35"/>
      <c r="AU223" s="35"/>
      <c r="AV223" s="35"/>
      <c r="AW223" s="35"/>
      <c r="AX223" s="35"/>
      <c r="AY223" s="35"/>
      <c r="AZ223" s="35"/>
      <c r="BA223" s="35"/>
    </row>
    <row r="224" ht="17.25" hidden="1" customHeight="1">
      <c r="A224" s="192" t="s">
        <v>2508</v>
      </c>
      <c r="B224" s="193">
        <v>38199.0</v>
      </c>
      <c r="C224" s="192" t="s">
        <v>2509</v>
      </c>
      <c r="D224" s="194" t="s">
        <v>2510</v>
      </c>
      <c r="E224" s="192" t="s">
        <v>62</v>
      </c>
      <c r="F224" s="192" t="s">
        <v>127</v>
      </c>
      <c r="G224" s="35" t="s">
        <v>2511</v>
      </c>
      <c r="H224" s="35" t="s">
        <v>2512</v>
      </c>
      <c r="I224" s="35" t="s">
        <v>326</v>
      </c>
      <c r="J224" s="35"/>
      <c r="K224" s="35" t="s">
        <v>67</v>
      </c>
      <c r="L224" s="35" t="s">
        <v>399</v>
      </c>
      <c r="M224" s="134">
        <v>46203.0</v>
      </c>
      <c r="N224" s="133" t="s">
        <v>233</v>
      </c>
      <c r="O224" s="135" t="str">
        <f>HYPERLINK("https://api.typeform.com/responses/files/65aac48c32c9c6150d022d89763d50a5d972a85356ccb600682013b6a3b843a5/Transcript___AI_Engineering_Intern___Phạm_Nguyễn_Quang_Thoại.pdf")</f>
        <v>https://api.typeform.com/responses/files/65aac48c32c9c6150d022d89763d50a5d972a85356ccb600682013b6a3b843a5/Transcript___AI_Engineering_Intern___Phạm_Nguyễn_Quang_Thoại.pdf</v>
      </c>
      <c r="P224" s="35" t="b">
        <v>0</v>
      </c>
      <c r="Q224" s="43" t="s">
        <v>2513</v>
      </c>
      <c r="R224" s="35" t="s">
        <v>268</v>
      </c>
      <c r="S224" s="35" t="s">
        <v>72</v>
      </c>
      <c r="T224" s="35" t="s">
        <v>72</v>
      </c>
      <c r="U224" s="138" t="s">
        <v>2389</v>
      </c>
      <c r="V224" s="35"/>
      <c r="W224" s="35" t="s">
        <v>2514</v>
      </c>
      <c r="X224" s="195" t="str">
        <f>HYPERLINK("https://api.typeform.com/responses/files/188c9453c76d9e2d2e36e578bb23715065269138300e90536e37b9ea69ccf521/CV___AI_Engineering_Intern___Phạm_Nguyễn_Quang_Thoạ.pdf")</f>
        <v>https://api.typeform.com/responses/files/188c9453c76d9e2d2e36e578bb23715065269138300e90536e37b9ea69ccf521/CV___AI_Engineering_Intern___Phạm_Nguyễn_Quang_Thoạ.pdf</v>
      </c>
      <c r="Y224" s="196">
        <v>46138.42550925926</v>
      </c>
      <c r="Z224" s="35" t="s">
        <v>2515</v>
      </c>
      <c r="AA224" s="137">
        <v>2.0</v>
      </c>
      <c r="AB224" s="139" t="s">
        <v>6381</v>
      </c>
      <c r="AC224" s="28" t="s">
        <v>6376</v>
      </c>
      <c r="AD224" s="27"/>
      <c r="AE224" s="28"/>
      <c r="AF224" s="137" t="str">
        <f t="shared" si="5"/>
        <v/>
      </c>
      <c r="AG224" s="35"/>
      <c r="AH224" s="35"/>
      <c r="AI224" s="35"/>
      <c r="AJ224" s="35"/>
      <c r="AK224" s="35"/>
      <c r="AL224" s="35"/>
      <c r="AM224" s="35"/>
      <c r="AN224" s="35"/>
      <c r="AO224" s="35"/>
      <c r="AP224" s="35"/>
      <c r="AQ224" s="35"/>
      <c r="AR224" s="35"/>
      <c r="AS224" s="35"/>
      <c r="AT224" s="35"/>
      <c r="AU224" s="35"/>
      <c r="AV224" s="35"/>
      <c r="AW224" s="35"/>
      <c r="AX224" s="35"/>
      <c r="AY224" s="35"/>
      <c r="AZ224" s="35"/>
      <c r="BA224" s="35"/>
    </row>
    <row r="225" ht="17.25" hidden="1" customHeight="1">
      <c r="A225" s="197" t="s">
        <v>4110</v>
      </c>
      <c r="B225" s="198">
        <v>38486.0</v>
      </c>
      <c r="C225" s="197" t="s">
        <v>4111</v>
      </c>
      <c r="D225" s="199" t="s">
        <v>4112</v>
      </c>
      <c r="E225" s="197" t="s">
        <v>82</v>
      </c>
      <c r="F225" s="197" t="s">
        <v>61</v>
      </c>
      <c r="G225" s="35" t="s">
        <v>4113</v>
      </c>
      <c r="H225" s="35" t="s">
        <v>4114</v>
      </c>
      <c r="I225" s="35" t="s">
        <v>715</v>
      </c>
      <c r="J225" s="35"/>
      <c r="K225" s="35" t="s">
        <v>219</v>
      </c>
      <c r="L225" s="35" t="s">
        <v>399</v>
      </c>
      <c r="M225" s="134">
        <v>46521.0</v>
      </c>
      <c r="N225" s="133" t="s">
        <v>613</v>
      </c>
      <c r="O225" s="135" t="str">
        <f>HYPERLINK("https://api.typeform.com/responses/files/d9f6812b7ec84f26c2a70c867e3dfd4689be122752ba4953a50abbf9ba9b1b42/Transcript___Data_Analysis_Intern___Nguyễn_Đức_Toàn.pdf")</f>
        <v>https://api.typeform.com/responses/files/d9f6812b7ec84f26c2a70c867e3dfd4689be122752ba4953a50abbf9ba9b1b42/Transcript___Data_Analysis_Intern___Nguyễn_Đức_Toàn.pdf</v>
      </c>
      <c r="P225" s="35" t="b">
        <v>1</v>
      </c>
      <c r="Q225" s="35" t="s">
        <v>4115</v>
      </c>
      <c r="R225" s="35" t="s">
        <v>4116</v>
      </c>
      <c r="S225" s="35" t="s">
        <v>72</v>
      </c>
      <c r="T225" s="35" t="s">
        <v>72</v>
      </c>
      <c r="U225" s="35" t="s">
        <v>73</v>
      </c>
      <c r="V225" s="35"/>
      <c r="W225" s="35" t="s">
        <v>4117</v>
      </c>
      <c r="X225" s="200" t="str">
        <f>HYPERLINK("https://api.typeform.com/responses/files/d4fa94e9d3a9b2611159b3e38d74ad422ceeeb5750aaa06935ec231c26f8bcdc/CV___Data_Analysis_Intern___Nguyễn_Đức_Toàn.pdf")</f>
        <v>https://api.typeform.com/responses/files/d4fa94e9d3a9b2611159b3e38d74ad422ceeeb5750aaa06935ec231c26f8bcdc/CV___Data_Analysis_Intern___Nguyễn_Đức_Toàn.pdf</v>
      </c>
      <c r="Y225" s="201">
        <v>46142.169120370374</v>
      </c>
      <c r="Z225" s="35" t="s">
        <v>4118</v>
      </c>
      <c r="AA225" s="137">
        <v>2.0</v>
      </c>
      <c r="AB225" s="137" t="s">
        <v>93</v>
      </c>
      <c r="AC225" s="28" t="s">
        <v>6376</v>
      </c>
      <c r="AD225" s="27"/>
      <c r="AE225" s="28"/>
      <c r="AF225" s="137" t="str">
        <f t="shared" si="5"/>
        <v/>
      </c>
      <c r="AG225" s="35"/>
      <c r="AH225" s="35"/>
      <c r="AI225" s="35"/>
      <c r="AJ225" s="35"/>
      <c r="AK225" s="35"/>
      <c r="AL225" s="35"/>
      <c r="AM225" s="35"/>
      <c r="AN225" s="35"/>
      <c r="AO225" s="35"/>
      <c r="AP225" s="35"/>
      <c r="AQ225" s="35"/>
      <c r="AR225" s="35"/>
      <c r="AS225" s="35"/>
      <c r="AT225" s="35"/>
      <c r="AU225" s="35"/>
      <c r="AV225" s="35"/>
      <c r="AW225" s="35"/>
      <c r="AX225" s="35"/>
      <c r="AY225" s="35"/>
      <c r="AZ225" s="35"/>
      <c r="BA225" s="35"/>
    </row>
    <row r="226" ht="17.25" hidden="1" customHeight="1">
      <c r="A226" s="192" t="s">
        <v>2004</v>
      </c>
      <c r="B226" s="193">
        <v>38251.0</v>
      </c>
      <c r="C226" s="192" t="s">
        <v>2005</v>
      </c>
      <c r="D226" s="194" t="s">
        <v>2006</v>
      </c>
      <c r="E226" s="192" t="s">
        <v>62</v>
      </c>
      <c r="F226" s="192" t="s">
        <v>82</v>
      </c>
      <c r="G226" s="35" t="s">
        <v>2007</v>
      </c>
      <c r="H226" s="35" t="s">
        <v>2008</v>
      </c>
      <c r="I226" s="35" t="s">
        <v>326</v>
      </c>
      <c r="J226" s="35"/>
      <c r="K226" s="35" t="s">
        <v>67</v>
      </c>
      <c r="L226" s="35" t="s">
        <v>86</v>
      </c>
      <c r="M226" s="134">
        <v>46266.0</v>
      </c>
      <c r="N226" s="133" t="s">
        <v>2009</v>
      </c>
      <c r="O226" s="135" t="str">
        <f>HYPERLINK("https://api.typeform.com/responses/files/93be56b4e61aab7b695f154ea4e0b27b932c8a58ad91f926dccd2ccff98d60a7/Transcript___AI_Engineering_Intern___Nguyễn_Đức_Phúc.pdf")</f>
        <v>https://api.typeform.com/responses/files/93be56b4e61aab7b695f154ea4e0b27b932c8a58ad91f926dccd2ccff98d60a7/Transcript___AI_Engineering_Intern___Nguyễn_Đức_Phúc.pdf</v>
      </c>
      <c r="P226" s="35" t="b">
        <v>0</v>
      </c>
      <c r="Q226" s="43" t="s">
        <v>401</v>
      </c>
      <c r="R226" s="35" t="s">
        <v>2010</v>
      </c>
      <c r="S226" s="35" t="s">
        <v>72</v>
      </c>
      <c r="T226" s="35" t="s">
        <v>72</v>
      </c>
      <c r="U226" s="138" t="s">
        <v>1061</v>
      </c>
      <c r="V226" s="35"/>
      <c r="W226" s="35" t="s">
        <v>2011</v>
      </c>
      <c r="X226" s="195" t="str">
        <f>HYPERLINK("https://api.typeform.com/responses/files/8f8754802964975d835db760d648d2e930c52185783da368697e17fa871e30f5/CV___AI_Engineering_Intern___Nguyễn_Đức_Phúc.pdf")</f>
        <v>https://api.typeform.com/responses/files/8f8754802964975d835db760d648d2e930c52185783da368697e17fa871e30f5/CV___AI_Engineering_Intern___Nguyễn_Đức_Phúc.pdf</v>
      </c>
      <c r="Y226" s="196">
        <v>46136.521840277775</v>
      </c>
      <c r="Z226" s="35" t="s">
        <v>2012</v>
      </c>
      <c r="AA226" s="137">
        <v>2.0</v>
      </c>
      <c r="AB226" s="139" t="s">
        <v>6381</v>
      </c>
      <c r="AC226" s="28" t="s">
        <v>6377</v>
      </c>
      <c r="AD226" s="27"/>
      <c r="AE226" s="28" t="s">
        <v>6379</v>
      </c>
      <c r="AF226" s="137" t="str">
        <f t="shared" si="5"/>
        <v>Quỳnh</v>
      </c>
      <c r="AG226" s="35"/>
      <c r="AH226" s="35"/>
      <c r="AI226" s="35"/>
      <c r="AJ226" s="35"/>
      <c r="AK226" s="35"/>
      <c r="AL226" s="35"/>
      <c r="AM226" s="35"/>
      <c r="AN226" s="35"/>
      <c r="AO226" s="35"/>
      <c r="AP226" s="35"/>
      <c r="AQ226" s="35"/>
      <c r="AR226" s="35"/>
      <c r="AS226" s="35"/>
      <c r="AT226" s="35"/>
      <c r="AU226" s="35"/>
      <c r="AV226" s="35"/>
      <c r="AW226" s="35"/>
      <c r="AX226" s="35"/>
      <c r="AY226" s="35"/>
      <c r="AZ226" s="35"/>
      <c r="BA226" s="35"/>
    </row>
    <row r="227" ht="17.25" hidden="1" customHeight="1">
      <c r="A227" s="197" t="s">
        <v>3502</v>
      </c>
      <c r="B227" s="198">
        <v>36530.0</v>
      </c>
      <c r="C227" s="197" t="s">
        <v>3503</v>
      </c>
      <c r="D227" s="199" t="s">
        <v>3504</v>
      </c>
      <c r="E227" s="197" t="s">
        <v>127</v>
      </c>
      <c r="F227" s="197" t="s">
        <v>774</v>
      </c>
      <c r="G227" s="35" t="s">
        <v>3505</v>
      </c>
      <c r="H227" s="35" t="s">
        <v>3506</v>
      </c>
      <c r="I227" s="35" t="s">
        <v>244</v>
      </c>
      <c r="J227" s="35"/>
      <c r="K227" s="35" t="s">
        <v>103</v>
      </c>
      <c r="L227" s="35" t="s">
        <v>104</v>
      </c>
      <c r="M227" s="134">
        <v>46113.0</v>
      </c>
      <c r="N227" s="133" t="s">
        <v>3507</v>
      </c>
      <c r="O227" s="135" t="str">
        <f>HYPERLINK("https://api.typeform.com/responses/files/0ac37181f3a7b728a6b1a8b17d226ec21646b5c6b1bad34a223c27c8b8c8861d/file_không_có_gì.txt")</f>
        <v>https://api.typeform.com/responses/files/0ac37181f3a7b728a6b1a8b17d226ec21646b5c6b1bad34a223c27c8b8c8861d/file_không_có_gì.txt</v>
      </c>
      <c r="P227" s="35" t="b">
        <v>0</v>
      </c>
      <c r="Q227" s="35" t="s">
        <v>268</v>
      </c>
      <c r="R227" s="35" t="s">
        <v>268</v>
      </c>
      <c r="S227" s="35" t="s">
        <v>72</v>
      </c>
      <c r="T227" s="35" t="s">
        <v>72</v>
      </c>
      <c r="U227" s="35" t="s">
        <v>90</v>
      </c>
      <c r="V227" s="35"/>
      <c r="W227" s="35" t="s">
        <v>3508</v>
      </c>
      <c r="X227" s="200" t="str">
        <f>HYPERLINK("https://api.typeform.com/responses/files/91eb0fb0ffca9bddc561b3df876a5a51d49eddf882587f61d0cb2cc221c0b590/CV_VuQuangHuy.pdf")</f>
        <v>https://api.typeform.com/responses/files/91eb0fb0ffca9bddc561b3df876a5a51d49eddf882587f61d0cb2cc221c0b590/CV_VuQuangHuy.pdf</v>
      </c>
      <c r="Y227" s="201">
        <v>46140.454733796294</v>
      </c>
      <c r="Z227" s="35" t="s">
        <v>3509</v>
      </c>
      <c r="AA227" s="137">
        <v>2.0</v>
      </c>
      <c r="AB227" s="137" t="s">
        <v>93</v>
      </c>
      <c r="AC227" s="28" t="s">
        <v>6376</v>
      </c>
      <c r="AD227" s="27"/>
      <c r="AE227" s="28"/>
      <c r="AF227" s="137" t="str">
        <f t="shared" si="5"/>
        <v/>
      </c>
      <c r="AG227" s="35"/>
      <c r="AH227" s="35"/>
      <c r="AI227" s="35"/>
      <c r="AJ227" s="35"/>
      <c r="AK227" s="35"/>
      <c r="AL227" s="35"/>
      <c r="AM227" s="35"/>
      <c r="AN227" s="35"/>
      <c r="AO227" s="35"/>
      <c r="AP227" s="35"/>
      <c r="AQ227" s="35"/>
      <c r="AR227" s="35"/>
      <c r="AS227" s="35"/>
      <c r="AT227" s="35"/>
      <c r="AU227" s="35"/>
      <c r="AV227" s="35"/>
      <c r="AW227" s="35"/>
      <c r="AX227" s="35"/>
      <c r="AY227" s="35"/>
      <c r="AZ227" s="35"/>
      <c r="BA227" s="35"/>
    </row>
    <row r="228" ht="17.25" hidden="1" customHeight="1">
      <c r="A228" s="192" t="s">
        <v>3558</v>
      </c>
      <c r="B228" s="193">
        <v>38397.0</v>
      </c>
      <c r="C228" s="192" t="s">
        <v>3559</v>
      </c>
      <c r="D228" s="194" t="s">
        <v>3560</v>
      </c>
      <c r="E228" s="192" t="s">
        <v>62</v>
      </c>
      <c r="F228" s="192" t="s">
        <v>82</v>
      </c>
      <c r="G228" s="35" t="s">
        <v>3561</v>
      </c>
      <c r="H228" s="35" t="s">
        <v>3562</v>
      </c>
      <c r="I228" s="35" t="s">
        <v>326</v>
      </c>
      <c r="J228" s="35"/>
      <c r="K228" s="35" t="s">
        <v>219</v>
      </c>
      <c r="L228" s="35" t="s">
        <v>384</v>
      </c>
      <c r="M228" s="134">
        <v>46583.0</v>
      </c>
      <c r="N228" s="35" t="s">
        <v>3563</v>
      </c>
      <c r="O228" s="135" t="str">
        <f>HYPERLINK("https://api.typeform.com/responses/files/e53a7484052e14c4581f8e2d64331498bcefb5b94b7428478957bb1db7d4f50c/Transcript___AI_Engineering_Intern___Nguyễn_Hồng_Yến.pdf")</f>
        <v>https://api.typeform.com/responses/files/e53a7484052e14c4581f8e2d64331498bcefb5b94b7428478957bb1db7d4f50c/Transcript___AI_Engineering_Intern___Nguyễn_Hồng_Yến.pdf</v>
      </c>
      <c r="P228" s="35" t="b">
        <v>1</v>
      </c>
      <c r="Q228" s="35" t="s">
        <v>3564</v>
      </c>
      <c r="R228" s="35" t="s">
        <v>3565</v>
      </c>
      <c r="S228" s="35" t="s">
        <v>72</v>
      </c>
      <c r="T228" s="35" t="s">
        <v>72</v>
      </c>
      <c r="U228" s="138" t="s">
        <v>90</v>
      </c>
      <c r="V228" s="35"/>
      <c r="W228" s="35"/>
      <c r="X228" s="195" t="str">
        <f>HYPERLINK("https://api.typeform.com/responses/files/00d04e3d3079dc01ccff888a32e579862e1a7841ebff37e3222e8a2b564a72fd/CV___AI_Engineering_Intern___Nguyễn_Hồng_Yến.pdf")</f>
        <v>https://api.typeform.com/responses/files/00d04e3d3079dc01ccff888a32e579862e1a7841ebff37e3222e8a2b564a72fd/CV___AI_Engineering_Intern___Nguyễn_Hồng_Yến.pdf</v>
      </c>
      <c r="Y228" s="196">
        <v>46140.54027777778</v>
      </c>
      <c r="Z228" s="35" t="s">
        <v>3566</v>
      </c>
      <c r="AA228" s="137">
        <v>2.0</v>
      </c>
      <c r="AB228" s="139" t="s">
        <v>6381</v>
      </c>
      <c r="AC228" s="28" t="s">
        <v>6377</v>
      </c>
      <c r="AD228" s="160" t="s">
        <v>6542</v>
      </c>
      <c r="AE228" s="28" t="s">
        <v>6379</v>
      </c>
      <c r="AF228" s="137" t="str">
        <f t="shared" si="5"/>
        <v>Quỳnh</v>
      </c>
      <c r="AG228" s="35"/>
      <c r="AH228" s="35"/>
      <c r="AI228" s="35"/>
      <c r="AJ228" s="35"/>
      <c r="AK228" s="35"/>
      <c r="AL228" s="35"/>
      <c r="AM228" s="35"/>
      <c r="AN228" s="35"/>
      <c r="AO228" s="35"/>
      <c r="AP228" s="35"/>
      <c r="AQ228" s="35"/>
      <c r="AR228" s="35"/>
      <c r="AS228" s="35"/>
      <c r="AT228" s="35"/>
      <c r="AU228" s="35"/>
      <c r="AV228" s="35"/>
      <c r="AW228" s="35"/>
      <c r="AX228" s="35"/>
      <c r="AY228" s="35"/>
      <c r="AZ228" s="35"/>
      <c r="BA228" s="35"/>
    </row>
    <row r="229" ht="17.25" hidden="1" customHeight="1">
      <c r="A229" s="197" t="s">
        <v>3792</v>
      </c>
      <c r="B229" s="198">
        <v>39021.0</v>
      </c>
      <c r="C229" s="197" t="s">
        <v>3793</v>
      </c>
      <c r="D229" s="199" t="s">
        <v>3794</v>
      </c>
      <c r="E229" s="197" t="s">
        <v>82</v>
      </c>
      <c r="F229" s="197" t="s">
        <v>82</v>
      </c>
      <c r="G229" s="35" t="s">
        <v>3795</v>
      </c>
      <c r="H229" s="35" t="s">
        <v>3796</v>
      </c>
      <c r="I229" s="35" t="s">
        <v>1069</v>
      </c>
      <c r="J229" s="35"/>
      <c r="K229" s="35" t="s">
        <v>169</v>
      </c>
      <c r="L229" s="35" t="s">
        <v>3797</v>
      </c>
      <c r="M229" s="134">
        <v>39021.0</v>
      </c>
      <c r="N229" s="35" t="s">
        <v>3798</v>
      </c>
      <c r="O229" s="135" t="str">
        <f>HYPERLINK("https://api.typeform.com/responses/files/bf44dceea9fc1735af5e9a312a3261cd299d33aad8a9a385b90cb5678a405b07/Transcript_Data_Analysis_Intern_Nguyen_Thao_Ly.xlsx")</f>
        <v>https://api.typeform.com/responses/files/bf44dceea9fc1735af5e9a312a3261cd299d33aad8a9a385b90cb5678a405b07/Transcript_Data_Analysis_Intern_Nguyen_Thao_Ly.xlsx</v>
      </c>
      <c r="P229" s="35" t="b">
        <v>0</v>
      </c>
      <c r="Q229" s="35" t="s">
        <v>3799</v>
      </c>
      <c r="R229" s="35" t="s">
        <v>3800</v>
      </c>
      <c r="S229" s="35" t="s">
        <v>72</v>
      </c>
      <c r="T229" s="35" t="s">
        <v>72</v>
      </c>
      <c r="U229" s="35" t="s">
        <v>236</v>
      </c>
      <c r="V229" s="35"/>
      <c r="W229" s="35" t="s">
        <v>3801</v>
      </c>
      <c r="X229" s="200" t="str">
        <f>HYPERLINK("https://api.typeform.com/responses/files/9d846a63c4acefa4189888978d736315a8acdfc9110e20a358cccff02bfda417/CV_Data_Analysis_Intern_Nguyen_Thao_Ly.pdf")</f>
        <v>https://api.typeform.com/responses/files/9d846a63c4acefa4189888978d736315a8acdfc9110e20a358cccff02bfda417/CV_Data_Analysis_Intern_Nguyen_Thao_Ly.pdf</v>
      </c>
      <c r="Y229" s="201">
        <v>46141.210497685184</v>
      </c>
      <c r="Z229" s="35" t="s">
        <v>3802</v>
      </c>
      <c r="AA229" s="137">
        <v>2.0</v>
      </c>
      <c r="AB229" s="137" t="s">
        <v>93</v>
      </c>
      <c r="AC229" s="28" t="s">
        <v>6376</v>
      </c>
      <c r="AD229" s="27"/>
      <c r="AE229" s="28"/>
      <c r="AF229" s="137" t="str">
        <f t="shared" si="5"/>
        <v/>
      </c>
      <c r="AG229" s="35"/>
      <c r="AH229" s="35"/>
      <c r="AI229" s="35"/>
      <c r="AJ229" s="35"/>
      <c r="AK229" s="35"/>
      <c r="AL229" s="35"/>
      <c r="AM229" s="35"/>
      <c r="AN229" s="35"/>
      <c r="AO229" s="35"/>
      <c r="AP229" s="35"/>
      <c r="AQ229" s="35"/>
      <c r="AR229" s="35"/>
      <c r="AS229" s="35"/>
      <c r="AT229" s="35"/>
      <c r="AU229" s="35"/>
      <c r="AV229" s="35"/>
      <c r="AW229" s="35"/>
      <c r="AX229" s="35"/>
      <c r="AY229" s="35"/>
      <c r="AZ229" s="35"/>
      <c r="BA229" s="35"/>
    </row>
    <row r="230" ht="17.25" hidden="1" customHeight="1">
      <c r="A230" s="192" t="s">
        <v>2907</v>
      </c>
      <c r="B230" s="193">
        <v>34579.0</v>
      </c>
      <c r="C230" s="192" t="s">
        <v>2908</v>
      </c>
      <c r="D230" s="194" t="s">
        <v>2909</v>
      </c>
      <c r="E230" s="192" t="s">
        <v>82</v>
      </c>
      <c r="F230" s="192" t="s">
        <v>99</v>
      </c>
      <c r="G230" s="35" t="s">
        <v>2910</v>
      </c>
      <c r="H230" s="35" t="s">
        <v>2911</v>
      </c>
      <c r="I230" s="35" t="s">
        <v>842</v>
      </c>
      <c r="J230" s="35"/>
      <c r="K230" s="35" t="s">
        <v>103</v>
      </c>
      <c r="L230" s="35" t="s">
        <v>2912</v>
      </c>
      <c r="M230" s="134">
        <v>46280.0</v>
      </c>
      <c r="N230" s="35" t="s">
        <v>2913</v>
      </c>
      <c r="O230" s="135" t="str">
        <f>HYPERLINK("https://api.typeform.com/responses/files/a529b1333b693ccdaed75e268bbabea57c01aad2fe0093200d2d6767750edcd5/Transcript___Data_Analysis_Intern___Dang_Quoc_Viet.pdf")</f>
        <v>https://api.typeform.com/responses/files/a529b1333b693ccdaed75e268bbabea57c01aad2fe0093200d2d6767750edcd5/Transcript___Data_Analysis_Intern___Dang_Quoc_Viet.pdf</v>
      </c>
      <c r="P230" s="35" t="b">
        <v>1</v>
      </c>
      <c r="Q230" s="43" t="s">
        <v>2914</v>
      </c>
      <c r="R230" s="35" t="s">
        <v>2915</v>
      </c>
      <c r="S230" s="35" t="s">
        <v>72</v>
      </c>
      <c r="T230" s="35" t="s">
        <v>72</v>
      </c>
      <c r="U230" s="35" t="s">
        <v>90</v>
      </c>
      <c r="V230" s="35"/>
      <c r="W230" s="35" t="s">
        <v>2916</v>
      </c>
      <c r="X230" s="195" t="str">
        <f>HYPERLINK("https://api.typeform.com/responses/files/a009391b92accbcc8513bff609b0f8fad28c84388d06d2ed975ccbc91761904a/CV___Data_Analysis_Intern___Dang_Quoc_Viet.pdf")</f>
        <v>https://api.typeform.com/responses/files/a009391b92accbcc8513bff609b0f8fad28c84388d06d2ed975ccbc91761904a/CV___Data_Analysis_Intern___Dang_Quoc_Viet.pdf</v>
      </c>
      <c r="Y230" s="196">
        <v>46139.62929398148</v>
      </c>
      <c r="Z230" s="35" t="s">
        <v>2917</v>
      </c>
      <c r="AA230" s="137">
        <v>2.0</v>
      </c>
      <c r="AB230" s="137" t="s">
        <v>93</v>
      </c>
      <c r="AC230" s="28" t="s">
        <v>6376</v>
      </c>
      <c r="AD230" s="27"/>
      <c r="AE230" s="28"/>
      <c r="AF230" s="137" t="str">
        <f t="shared" si="5"/>
        <v/>
      </c>
      <c r="AG230" s="35"/>
      <c r="AH230" s="35"/>
      <c r="AI230" s="35"/>
      <c r="AJ230" s="35"/>
      <c r="AK230" s="35"/>
      <c r="AL230" s="35"/>
      <c r="AM230" s="35"/>
      <c r="AN230" s="35"/>
      <c r="AO230" s="35"/>
      <c r="AP230" s="35"/>
      <c r="AQ230" s="35"/>
      <c r="AR230" s="35"/>
      <c r="AS230" s="35"/>
      <c r="AT230" s="35"/>
      <c r="AU230" s="35"/>
      <c r="AV230" s="35"/>
      <c r="AW230" s="35"/>
      <c r="AX230" s="35"/>
      <c r="AY230" s="35"/>
      <c r="AZ230" s="35"/>
      <c r="BA230" s="35"/>
    </row>
    <row r="231" ht="17.25" hidden="1" customHeight="1">
      <c r="A231" s="197" t="s">
        <v>4020</v>
      </c>
      <c r="B231" s="198">
        <v>37923.0</v>
      </c>
      <c r="C231" s="197" t="s">
        <v>4021</v>
      </c>
      <c r="D231" s="199" t="s">
        <v>4022</v>
      </c>
      <c r="E231" s="197" t="s">
        <v>82</v>
      </c>
      <c r="F231" s="197" t="s">
        <v>633</v>
      </c>
      <c r="G231" s="35" t="s">
        <v>4023</v>
      </c>
      <c r="H231" s="35" t="s">
        <v>4024</v>
      </c>
      <c r="I231" s="35" t="s">
        <v>326</v>
      </c>
      <c r="J231" s="35"/>
      <c r="K231" s="35" t="s">
        <v>103</v>
      </c>
      <c r="L231" s="35" t="s">
        <v>384</v>
      </c>
      <c r="M231" s="134">
        <v>46019.0</v>
      </c>
      <c r="N231" s="133" t="s">
        <v>221</v>
      </c>
      <c r="O231" s="135" t="str">
        <f>HYPERLINK("https://api.typeform.com/responses/files/612e7296ea8faaa33f179a47924795f3199130cb43781d013d2232168972025e/Transcript___Data_Analysis_Intern___Nguyễn_Phúc_Loan.pdf")</f>
        <v>https://api.typeform.com/responses/files/612e7296ea8faaa33f179a47924795f3199130cb43781d013d2232168972025e/Transcript___Data_Analysis_Intern___Nguyễn_Phúc_Loan.pdf</v>
      </c>
      <c r="P231" s="35" t="b">
        <v>1</v>
      </c>
      <c r="Q231" s="35" t="s">
        <v>4025</v>
      </c>
      <c r="R231" s="35" t="s">
        <v>4026</v>
      </c>
      <c r="S231" s="35" t="s">
        <v>72</v>
      </c>
      <c r="T231" s="35" t="s">
        <v>72</v>
      </c>
      <c r="U231" s="35" t="s">
        <v>90</v>
      </c>
      <c r="V231" s="35"/>
      <c r="W231" s="35" t="s">
        <v>4027</v>
      </c>
      <c r="X231" s="200" t="str">
        <f>HYPERLINK("https://api.typeform.com/responses/files/ffa81d373808ca4ebecb4356fae24cd12818c3a9f11c2170b2cc5fe25a07c4d7/CV___Data_Analysis_Intern___Nguyễn_Phúc_Loan.pdf")</f>
        <v>https://api.typeform.com/responses/files/ffa81d373808ca4ebecb4356fae24cd12818c3a9f11c2170b2cc5fe25a07c4d7/CV___Data_Analysis_Intern___Nguyễn_Phúc_Loan.pdf</v>
      </c>
      <c r="Y231" s="201">
        <v>46141.64579861111</v>
      </c>
      <c r="Z231" s="35" t="s">
        <v>4028</v>
      </c>
      <c r="AA231" s="137">
        <v>2.0</v>
      </c>
      <c r="AB231" s="137" t="s">
        <v>93</v>
      </c>
      <c r="AC231" s="28" t="s">
        <v>6376</v>
      </c>
      <c r="AD231" s="27"/>
      <c r="AE231" s="28"/>
      <c r="AF231" s="137" t="str">
        <f t="shared" si="5"/>
        <v/>
      </c>
      <c r="AG231" s="35"/>
      <c r="AH231" s="35"/>
      <c r="AI231" s="35"/>
      <c r="AJ231" s="35"/>
      <c r="AK231" s="35"/>
      <c r="AL231" s="35"/>
      <c r="AM231" s="35"/>
      <c r="AN231" s="35"/>
      <c r="AO231" s="35"/>
      <c r="AP231" s="35"/>
      <c r="AQ231" s="35"/>
      <c r="AR231" s="35"/>
      <c r="AS231" s="35"/>
      <c r="AT231" s="35"/>
      <c r="AU231" s="35"/>
      <c r="AV231" s="35"/>
      <c r="AW231" s="35"/>
      <c r="AX231" s="35"/>
      <c r="AY231" s="35"/>
      <c r="AZ231" s="35"/>
      <c r="BA231" s="35"/>
    </row>
    <row r="232" ht="17.25" hidden="1" customHeight="1">
      <c r="A232" s="192" t="s">
        <v>1085</v>
      </c>
      <c r="B232" s="193">
        <v>38426.0</v>
      </c>
      <c r="C232" s="192" t="s">
        <v>3237</v>
      </c>
      <c r="D232" s="194" t="s">
        <v>3238</v>
      </c>
      <c r="E232" s="192" t="s">
        <v>62</v>
      </c>
      <c r="F232" s="192"/>
      <c r="G232" s="35" t="s">
        <v>3239</v>
      </c>
      <c r="H232" s="35" t="s">
        <v>3240</v>
      </c>
      <c r="I232" s="35" t="s">
        <v>715</v>
      </c>
      <c r="J232" s="35"/>
      <c r="K232" s="35" t="s">
        <v>219</v>
      </c>
      <c r="L232" s="35" t="s">
        <v>399</v>
      </c>
      <c r="M232" s="134">
        <v>46692.0</v>
      </c>
      <c r="N232" s="133" t="s">
        <v>3241</v>
      </c>
      <c r="O232" s="135" t="str">
        <f>HYPERLINK("https://api.typeform.com/responses/files/31cd1c8f1591a2c0c460a421ca4a47a8050d64528509945e88824bd954045fb7/Transcript___AI_Engineer___NguyenHoangQuan.pdf")</f>
        <v>https://api.typeform.com/responses/files/31cd1c8f1591a2c0c460a421ca4a47a8050d64528509945e88824bd954045fb7/Transcript___AI_Engineer___NguyenHoangQuan.pdf</v>
      </c>
      <c r="P232" s="35" t="b">
        <v>1</v>
      </c>
      <c r="Q232" s="35" t="s">
        <v>3242</v>
      </c>
      <c r="R232" s="35" t="s">
        <v>3243</v>
      </c>
      <c r="S232" s="35" t="s">
        <v>72</v>
      </c>
      <c r="T232" s="35" t="s">
        <v>72</v>
      </c>
      <c r="U232" s="138" t="s">
        <v>188</v>
      </c>
      <c r="V232" s="35"/>
      <c r="W232" s="35"/>
      <c r="X232" s="195" t="str">
        <f>HYPERLINK("https://api.typeform.com/responses/files/4ff2620c66418220bd033574eab3d0c68da34d9e6af7be6bbc0ab097f7e8971e/CV_AI_Engineer_Intern_NguyenHoangQuan.pdf")</f>
        <v>https://api.typeform.com/responses/files/4ff2620c66418220bd033574eab3d0c68da34d9e6af7be6bbc0ab097f7e8971e/CV_AI_Engineer_Intern_NguyenHoangQuan.pdf</v>
      </c>
      <c r="Y232" s="196">
        <v>46140.193564814814</v>
      </c>
      <c r="Z232" s="35" t="s">
        <v>3244</v>
      </c>
      <c r="AA232" s="137">
        <v>2.0</v>
      </c>
      <c r="AB232" s="139" t="s">
        <v>6381</v>
      </c>
      <c r="AC232" s="28" t="s">
        <v>6377</v>
      </c>
      <c r="AD232" s="160" t="s">
        <v>6543</v>
      </c>
      <c r="AE232" s="28" t="s">
        <v>6379</v>
      </c>
      <c r="AF232" s="137" t="str">
        <f t="shared" si="5"/>
        <v>Quỳnh</v>
      </c>
      <c r="AG232" s="35"/>
      <c r="AH232" s="35"/>
      <c r="AI232" s="35"/>
      <c r="AJ232" s="35"/>
      <c r="AK232" s="35"/>
      <c r="AL232" s="35"/>
      <c r="AM232" s="35"/>
      <c r="AN232" s="35"/>
      <c r="AO232" s="35"/>
      <c r="AP232" s="35"/>
      <c r="AQ232" s="35"/>
      <c r="AR232" s="35"/>
      <c r="AS232" s="35"/>
      <c r="AT232" s="35"/>
      <c r="AU232" s="35"/>
      <c r="AV232" s="35"/>
      <c r="AW232" s="35"/>
      <c r="AX232" s="35"/>
      <c r="AY232" s="35"/>
      <c r="AZ232" s="35"/>
      <c r="BA232" s="35"/>
    </row>
    <row r="233" ht="17.25" hidden="1" customHeight="1">
      <c r="A233" s="197" t="s">
        <v>4102</v>
      </c>
      <c r="B233" s="198">
        <v>38426.0</v>
      </c>
      <c r="C233" s="197" t="s">
        <v>4103</v>
      </c>
      <c r="D233" s="199" t="s">
        <v>4104</v>
      </c>
      <c r="E233" s="197" t="s">
        <v>62</v>
      </c>
      <c r="F233" s="197" t="s">
        <v>82</v>
      </c>
      <c r="G233" s="35" t="s">
        <v>4105</v>
      </c>
      <c r="H233" s="35" t="s">
        <v>4106</v>
      </c>
      <c r="I233" s="35" t="s">
        <v>715</v>
      </c>
      <c r="J233" s="35"/>
      <c r="K233" s="35" t="s">
        <v>219</v>
      </c>
      <c r="L233" s="35" t="s">
        <v>399</v>
      </c>
      <c r="M233" s="134">
        <v>46492.0</v>
      </c>
      <c r="N233" s="133" t="s">
        <v>1220</v>
      </c>
      <c r="O233" s="135" t="str">
        <f>HYPERLINK("https://api.typeform.com/responses/files/8961cd1606b031decca85e9149fec8c58a393f0f40123908e0cc102f074f08c1/Transcript_AI_Intern_PhamHongPhat.pdf")</f>
        <v>https://api.typeform.com/responses/files/8961cd1606b031decca85e9149fec8c58a393f0f40123908e0cc102f074f08c1/Transcript_AI_Intern_PhamHongPhat.pdf</v>
      </c>
      <c r="P233" s="35" t="b">
        <v>1</v>
      </c>
      <c r="Q233" s="35" t="s">
        <v>4107</v>
      </c>
      <c r="R233" s="35" t="s">
        <v>4108</v>
      </c>
      <c r="S233" s="35" t="s">
        <v>72</v>
      </c>
      <c r="T233" s="35" t="s">
        <v>72</v>
      </c>
      <c r="U233" s="138" t="s">
        <v>2389</v>
      </c>
      <c r="V233" s="35"/>
      <c r="W233" s="35"/>
      <c r="X233" s="200" t="str">
        <f>HYPERLINK("https://api.typeform.com/responses/files/fad3858ae008c95d2a1dc719a5a84afc8a78e05b1b1b887a9499ec52afd3ed52/CV_AI_Intern_PhamHongPhat.pdf")</f>
        <v>https://api.typeform.com/responses/files/fad3858ae008c95d2a1dc719a5a84afc8a78e05b1b1b887a9499ec52afd3ed52/CV_AI_Intern_PhamHongPhat.pdf</v>
      </c>
      <c r="Y233" s="201">
        <v>46142.15399305556</v>
      </c>
      <c r="Z233" s="35" t="s">
        <v>4109</v>
      </c>
      <c r="AA233" s="137">
        <v>2.0</v>
      </c>
      <c r="AB233" s="139" t="s">
        <v>6381</v>
      </c>
      <c r="AC233" s="28" t="s">
        <v>6376</v>
      </c>
      <c r="AD233" s="27"/>
      <c r="AE233" s="28"/>
      <c r="AF233" s="137" t="str">
        <f t="shared" si="5"/>
        <v/>
      </c>
      <c r="AG233" s="35"/>
      <c r="AH233" s="35"/>
      <c r="AI233" s="35"/>
      <c r="AJ233" s="35"/>
      <c r="AK233" s="35"/>
      <c r="AL233" s="35"/>
      <c r="AM233" s="35"/>
      <c r="AN233" s="35"/>
      <c r="AO233" s="35"/>
      <c r="AP233" s="35"/>
      <c r="AQ233" s="35"/>
      <c r="AR233" s="35"/>
      <c r="AS233" s="35"/>
      <c r="AT233" s="35"/>
      <c r="AU233" s="35"/>
      <c r="AV233" s="35"/>
      <c r="AW233" s="35"/>
      <c r="AX233" s="35"/>
      <c r="AY233" s="35"/>
      <c r="AZ233" s="35"/>
      <c r="BA233" s="35"/>
    </row>
    <row r="234" ht="17.25" hidden="1" customHeight="1">
      <c r="A234" s="192" t="s">
        <v>3567</v>
      </c>
      <c r="B234" s="193">
        <v>37898.0</v>
      </c>
      <c r="C234" s="192" t="s">
        <v>3568</v>
      </c>
      <c r="D234" s="194" t="s">
        <v>3569</v>
      </c>
      <c r="E234" s="192" t="s">
        <v>61</v>
      </c>
      <c r="F234" s="192" t="s">
        <v>82</v>
      </c>
      <c r="G234" s="35" t="s">
        <v>3570</v>
      </c>
      <c r="H234" s="35" t="s">
        <v>3571</v>
      </c>
      <c r="I234" s="35" t="s">
        <v>644</v>
      </c>
      <c r="J234" s="35"/>
      <c r="K234" s="35" t="s">
        <v>67</v>
      </c>
      <c r="L234" s="35" t="s">
        <v>624</v>
      </c>
      <c r="M234" s="134">
        <v>45992.0</v>
      </c>
      <c r="N234" s="133" t="s">
        <v>2210</v>
      </c>
      <c r="O234" s="135" t="str">
        <f>HYPERLINK("https://api.typeform.com/responses/files/d4367f0e75e7df144d14254959d2771df6794f39ce81779e41fc9f2bddecb5ec/Transcript_Unity_Development_Intern_Phạm_Tuấn_Đăng_Khoa.pdf")</f>
        <v>https://api.typeform.com/responses/files/d4367f0e75e7df144d14254959d2771df6794f39ce81779e41fc9f2bddecb5ec/Transcript_Unity_Development_Intern_Phạm_Tuấn_Đăng_Khoa.pdf</v>
      </c>
      <c r="P234" s="35" t="b">
        <v>1</v>
      </c>
      <c r="Q234" s="35" t="s">
        <v>3572</v>
      </c>
      <c r="R234" s="35" t="s">
        <v>3573</v>
      </c>
      <c r="S234" s="35" t="s">
        <v>72</v>
      </c>
      <c r="T234" s="35" t="s">
        <v>72</v>
      </c>
      <c r="U234" s="35" t="s">
        <v>269</v>
      </c>
      <c r="V234" s="35"/>
      <c r="W234" s="35" t="s">
        <v>3574</v>
      </c>
      <c r="X234" s="195" t="str">
        <f>HYPERLINK("https://api.typeform.com/responses/files/73a39a20cfdf9c1b8c35a140dacc055fb91d2c05dea4e67834ca426363f8885b/CV_Unity_Development_Intern_Phạm_Tuấn_Đăng_Khoa.pdf")</f>
        <v>https://api.typeform.com/responses/files/73a39a20cfdf9c1b8c35a140dacc055fb91d2c05dea4e67834ca426363f8885b/CV_Unity_Development_Intern_Phạm_Tuấn_Đăng_Khoa.pdf</v>
      </c>
      <c r="Y234" s="196">
        <v>46140.56597222222</v>
      </c>
      <c r="Z234" s="35" t="s">
        <v>3575</v>
      </c>
      <c r="AA234" s="137">
        <v>2.0</v>
      </c>
      <c r="AB234" s="137" t="s">
        <v>93</v>
      </c>
      <c r="AC234" s="28" t="s">
        <v>6376</v>
      </c>
      <c r="AD234" s="27"/>
      <c r="AE234" s="28"/>
      <c r="AF234" s="137" t="str">
        <f t="shared" si="5"/>
        <v/>
      </c>
      <c r="AG234" s="35"/>
      <c r="AH234" s="35"/>
      <c r="AI234" s="35"/>
      <c r="AJ234" s="35"/>
      <c r="AK234" s="35"/>
      <c r="AL234" s="35"/>
      <c r="AM234" s="35"/>
      <c r="AN234" s="35"/>
      <c r="AO234" s="35"/>
      <c r="AP234" s="35"/>
      <c r="AQ234" s="35"/>
      <c r="AR234" s="35"/>
      <c r="AS234" s="35"/>
      <c r="AT234" s="35"/>
      <c r="AU234" s="35"/>
      <c r="AV234" s="35"/>
      <c r="AW234" s="35"/>
      <c r="AX234" s="35"/>
      <c r="AY234" s="35"/>
      <c r="AZ234" s="35"/>
      <c r="BA234" s="35"/>
    </row>
    <row r="235" ht="17.25" hidden="1" customHeight="1">
      <c r="A235" s="197" t="s">
        <v>3576</v>
      </c>
      <c r="B235" s="198">
        <v>38404.0</v>
      </c>
      <c r="C235" s="197" t="s">
        <v>3577</v>
      </c>
      <c r="D235" s="199" t="s">
        <v>3578</v>
      </c>
      <c r="E235" s="197" t="s">
        <v>61</v>
      </c>
      <c r="F235" s="197" t="s">
        <v>99</v>
      </c>
      <c r="G235" s="35" t="s">
        <v>3579</v>
      </c>
      <c r="H235" s="35" t="s">
        <v>3580</v>
      </c>
      <c r="I235" s="35" t="s">
        <v>715</v>
      </c>
      <c r="J235" s="35"/>
      <c r="K235" s="35" t="s">
        <v>219</v>
      </c>
      <c r="L235" s="35" t="s">
        <v>399</v>
      </c>
      <c r="M235" s="134">
        <v>46539.0</v>
      </c>
      <c r="N235" s="133" t="s">
        <v>780</v>
      </c>
      <c r="O235" s="135" t="str">
        <f>HYPERLINK("https://api.typeform.com/responses/files/ebe2077dc45c5c666d17008d94e763c0bbb9c721f3ec2f642566dda59b7aeca6/Transcript___Unity_Development_Intern___Nguyễn_Trung_Tín.pdf")</f>
        <v>https://api.typeform.com/responses/files/ebe2077dc45c5c666d17008d94e763c0bbb9c721f3ec2f642566dda59b7aeca6/Transcript___Unity_Development_Intern___Nguyễn_Trung_Tín.pdf</v>
      </c>
      <c r="P235" s="35" t="b">
        <v>1</v>
      </c>
      <c r="Q235" s="35" t="s">
        <v>3581</v>
      </c>
      <c r="R235" s="35" t="s">
        <v>3582</v>
      </c>
      <c r="S235" s="35" t="s">
        <v>72</v>
      </c>
      <c r="T235" s="35" t="s">
        <v>72</v>
      </c>
      <c r="U235" s="35" t="s">
        <v>3583</v>
      </c>
      <c r="V235" s="35"/>
      <c r="W235" s="35" t="s">
        <v>3584</v>
      </c>
      <c r="X235" s="200" t="str">
        <f>HYPERLINK("https://api.typeform.com/responses/files/c60d8d5f88e4f639f3ef8259a6485ecfe2981b10029c90625f0be3e25f2f1a9f/CV___Unity_Development_Intern___Nguyễn_Trung_Tín.pdf")</f>
        <v>https://api.typeform.com/responses/files/c60d8d5f88e4f639f3ef8259a6485ecfe2981b10029c90625f0be3e25f2f1a9f/CV___Unity_Development_Intern___Nguyễn_Trung_Tín.pdf</v>
      </c>
      <c r="Y235" s="201">
        <v>46140.568923611114</v>
      </c>
      <c r="Z235" s="35" t="s">
        <v>3585</v>
      </c>
      <c r="AA235" s="137">
        <v>2.0</v>
      </c>
      <c r="AB235" s="137" t="s">
        <v>93</v>
      </c>
      <c r="AC235" s="28" t="s">
        <v>6377</v>
      </c>
      <c r="AD235" s="27"/>
      <c r="AE235" s="28" t="s">
        <v>6379</v>
      </c>
      <c r="AF235" s="137" t="str">
        <f t="shared" si="5"/>
        <v>Quỳnh</v>
      </c>
      <c r="AG235" s="35"/>
      <c r="AH235" s="35"/>
      <c r="AI235" s="35"/>
      <c r="AJ235" s="35"/>
      <c r="AK235" s="35"/>
      <c r="AL235" s="35"/>
      <c r="AM235" s="35"/>
      <c r="AN235" s="35"/>
      <c r="AO235" s="35"/>
      <c r="AP235" s="35"/>
      <c r="AQ235" s="35"/>
      <c r="AR235" s="35"/>
      <c r="AS235" s="35"/>
      <c r="AT235" s="35"/>
      <c r="AU235" s="35"/>
      <c r="AV235" s="35"/>
      <c r="AW235" s="35"/>
      <c r="AX235" s="35"/>
      <c r="AY235" s="35"/>
      <c r="AZ235" s="35"/>
      <c r="BA235" s="35"/>
    </row>
    <row r="236" ht="17.25" hidden="1" customHeight="1">
      <c r="A236" s="192" t="s">
        <v>3539</v>
      </c>
      <c r="B236" s="193">
        <v>38414.0</v>
      </c>
      <c r="C236" s="192" t="s">
        <v>3540</v>
      </c>
      <c r="D236" s="194" t="s">
        <v>3541</v>
      </c>
      <c r="E236" s="192" t="s">
        <v>82</v>
      </c>
      <c r="F236" s="192" t="s">
        <v>82</v>
      </c>
      <c r="G236" s="35" t="s">
        <v>3542</v>
      </c>
      <c r="H236" s="35" t="s">
        <v>3543</v>
      </c>
      <c r="I236" s="35" t="s">
        <v>1311</v>
      </c>
      <c r="J236" s="35"/>
      <c r="K236" s="35" t="s">
        <v>219</v>
      </c>
      <c r="L236" s="35" t="s">
        <v>3544</v>
      </c>
      <c r="M236" s="134">
        <v>46492.0</v>
      </c>
      <c r="N236" s="133" t="s">
        <v>1620</v>
      </c>
      <c r="O236" s="135" t="str">
        <f>HYPERLINK("https://api.typeform.com/responses/files/917636c0e7a2c7d2c3528abb1aa1a22c944022da0938fa5c17d98e26209bbcc7/Transcript___Data_Analysis_Intern___Trần_Tiến_Dũng.pdf")</f>
        <v>https://api.typeform.com/responses/files/917636c0e7a2c7d2c3528abb1aa1a22c944022da0938fa5c17d98e26209bbcc7/Transcript___Data_Analysis_Intern___Trần_Tiến_Dũng.pdf</v>
      </c>
      <c r="P236" s="35" t="b">
        <v>1</v>
      </c>
      <c r="Q236" s="35" t="s">
        <v>3545</v>
      </c>
      <c r="R236" s="35" t="s">
        <v>3546</v>
      </c>
      <c r="S236" s="35" t="s">
        <v>72</v>
      </c>
      <c r="T236" s="35" t="s">
        <v>72</v>
      </c>
      <c r="U236" s="35" t="s">
        <v>73</v>
      </c>
      <c r="V236" s="35"/>
      <c r="W236" s="35" t="s">
        <v>3547</v>
      </c>
      <c r="X236" s="195" t="str">
        <f>HYPERLINK("https://api.typeform.com/responses/files/b2a94487ca5d75478286d72f85782efc348e0982cc457f76c8a9287665891c22/CV___Data_Analysis_Intern___Trần_Tiến_Dũng.pdf")</f>
        <v>https://api.typeform.com/responses/files/b2a94487ca5d75478286d72f85782efc348e0982cc457f76c8a9287665891c22/CV___Data_Analysis_Intern___Trần_Tiến_Dũng.pdf</v>
      </c>
      <c r="Y236" s="196">
        <v>46140.53165509259</v>
      </c>
      <c r="Z236" s="35" t="s">
        <v>3548</v>
      </c>
      <c r="AA236" s="137">
        <v>2.0</v>
      </c>
      <c r="AB236" s="137" t="s">
        <v>93</v>
      </c>
      <c r="AC236" s="28" t="s">
        <v>6376</v>
      </c>
      <c r="AD236" s="27"/>
      <c r="AE236" s="28"/>
      <c r="AF236" s="137" t="str">
        <f t="shared" si="5"/>
        <v/>
      </c>
      <c r="AG236" s="35"/>
      <c r="AH236" s="35"/>
      <c r="AI236" s="35"/>
      <c r="AJ236" s="35"/>
      <c r="AK236" s="35"/>
      <c r="AL236" s="35"/>
      <c r="AM236" s="35"/>
      <c r="AN236" s="35"/>
      <c r="AO236" s="35"/>
      <c r="AP236" s="35"/>
      <c r="AQ236" s="35"/>
      <c r="AR236" s="35"/>
      <c r="AS236" s="35"/>
      <c r="AT236" s="35"/>
      <c r="AU236" s="35"/>
      <c r="AV236" s="35"/>
      <c r="AW236" s="35"/>
      <c r="AX236" s="35"/>
      <c r="AY236" s="35"/>
      <c r="AZ236" s="35"/>
      <c r="BA236" s="35"/>
    </row>
    <row r="237" ht="17.25" hidden="1" customHeight="1">
      <c r="A237" s="197" t="s">
        <v>3808</v>
      </c>
      <c r="B237" s="198">
        <v>38530.0</v>
      </c>
      <c r="C237" s="197" t="s">
        <v>3809</v>
      </c>
      <c r="D237" s="199" t="s">
        <v>3810</v>
      </c>
      <c r="E237" s="197" t="s">
        <v>62</v>
      </c>
      <c r="F237" s="197" t="s">
        <v>82</v>
      </c>
      <c r="G237" s="35" t="s">
        <v>3811</v>
      </c>
      <c r="H237" s="35" t="s">
        <v>3812</v>
      </c>
      <c r="I237" s="35" t="s">
        <v>715</v>
      </c>
      <c r="J237" s="35"/>
      <c r="K237" s="35" t="s">
        <v>219</v>
      </c>
      <c r="L237" s="35" t="s">
        <v>941</v>
      </c>
      <c r="M237" s="134">
        <v>46692.0</v>
      </c>
      <c r="N237" s="133" t="s">
        <v>881</v>
      </c>
      <c r="O237" s="135" t="str">
        <f>HYPERLINK("https://api.typeform.com/responses/files/d364ab1c0c8f536be92ad775772fdbc842d318bcf2e8319d3237c213fc212e09/Transcipt_AI_Engineering_Nguyễn_Quốc_Duy.pdf")</f>
        <v>https://api.typeform.com/responses/files/d364ab1c0c8f536be92ad775772fdbc842d318bcf2e8319d3237c213fc212e09/Transcipt_AI_Engineering_Nguyễn_Quốc_Duy.pdf</v>
      </c>
      <c r="P237" s="35" t="b">
        <v>1</v>
      </c>
      <c r="Q237" s="35" t="s">
        <v>3813</v>
      </c>
      <c r="R237" s="35" t="s">
        <v>3814</v>
      </c>
      <c r="S237" s="35" t="s">
        <v>72</v>
      </c>
      <c r="T237" s="35" t="s">
        <v>72</v>
      </c>
      <c r="U237" s="138" t="s">
        <v>3815</v>
      </c>
      <c r="V237" s="35"/>
      <c r="W237" s="35" t="s">
        <v>3816</v>
      </c>
      <c r="X237" s="200" t="str">
        <f>HYPERLINK("https://api.typeform.com/responses/files/a98dcd99e6c2945daf633b1ce56cc0bb6817c0ef2d60143de27f82de99852bd4/CV_AI_Engineering_Intern_NguyenQuocDuy.pdf")</f>
        <v>https://api.typeform.com/responses/files/a98dcd99e6c2945daf633b1ce56cc0bb6817c0ef2d60143de27f82de99852bd4/CV_AI_Engineering_Intern_NguyenQuocDuy.pdf</v>
      </c>
      <c r="Y237" s="201">
        <v>46141.24722222222</v>
      </c>
      <c r="Z237" s="35" t="s">
        <v>3817</v>
      </c>
      <c r="AA237" s="137">
        <v>2.0</v>
      </c>
      <c r="AB237" s="139" t="s">
        <v>6381</v>
      </c>
      <c r="AC237" s="28" t="s">
        <v>6376</v>
      </c>
      <c r="AD237" s="27"/>
      <c r="AE237" s="28"/>
      <c r="AF237" s="137" t="str">
        <f t="shared" si="5"/>
        <v/>
      </c>
      <c r="AG237" s="35"/>
      <c r="AH237" s="35"/>
      <c r="AI237" s="35"/>
      <c r="AJ237" s="35"/>
      <c r="AK237" s="35"/>
      <c r="AL237" s="35"/>
      <c r="AM237" s="35"/>
      <c r="AN237" s="35"/>
      <c r="AO237" s="35"/>
      <c r="AP237" s="35"/>
      <c r="AQ237" s="35"/>
      <c r="AR237" s="35"/>
      <c r="AS237" s="35"/>
      <c r="AT237" s="35"/>
      <c r="AU237" s="35"/>
      <c r="AV237" s="35"/>
      <c r="AW237" s="35"/>
      <c r="AX237" s="35"/>
      <c r="AY237" s="35"/>
      <c r="AZ237" s="35"/>
      <c r="BA237" s="35"/>
    </row>
    <row r="238" ht="17.25" hidden="1" customHeight="1">
      <c r="A238" s="192" t="s">
        <v>3600</v>
      </c>
      <c r="B238" s="193">
        <v>38271.0</v>
      </c>
      <c r="C238" s="192" t="s">
        <v>3601</v>
      </c>
      <c r="D238" s="194" t="s">
        <v>3602</v>
      </c>
      <c r="E238" s="192" t="s">
        <v>61</v>
      </c>
      <c r="F238" s="192" t="s">
        <v>99</v>
      </c>
      <c r="G238" s="35" t="s">
        <v>3603</v>
      </c>
      <c r="H238" s="35" t="s">
        <v>3604</v>
      </c>
      <c r="I238" s="35" t="s">
        <v>3605</v>
      </c>
      <c r="J238" s="35"/>
      <c r="K238" s="35" t="s">
        <v>67</v>
      </c>
      <c r="L238" s="35" t="s">
        <v>1830</v>
      </c>
      <c r="M238" s="134">
        <v>46264.0</v>
      </c>
      <c r="N238" s="133" t="s">
        <v>413</v>
      </c>
      <c r="O238" s="135" t="str">
        <f>HYPERLINK("https://api.typeform.com/responses/files/a77f8b2673efbb5e00d87a81f6e8d019d1573a51f5bbf6e6cf5087c65e738849/Transcript___Game_Unity_Intern___Nguyễn_Hoàng_Phúc.pdf")</f>
        <v>https://api.typeform.com/responses/files/a77f8b2673efbb5e00d87a81f6e8d019d1573a51f5bbf6e6cf5087c65e738849/Transcript___Game_Unity_Intern___Nguyễn_Hoàng_Phúc.pdf</v>
      </c>
      <c r="P238" s="35" t="b">
        <v>1</v>
      </c>
      <c r="Q238" s="35" t="s">
        <v>3606</v>
      </c>
      <c r="R238" s="35" t="s">
        <v>3607</v>
      </c>
      <c r="S238" s="35" t="s">
        <v>3608</v>
      </c>
      <c r="T238" s="35" t="s">
        <v>72</v>
      </c>
      <c r="U238" s="35" t="s">
        <v>90</v>
      </c>
      <c r="V238" s="35"/>
      <c r="W238" s="35" t="s">
        <v>3609</v>
      </c>
      <c r="X238" s="195" t="str">
        <f>HYPERLINK("https://api.typeform.com/responses/files/c3f13922188a1795b829cb861449f4fb8b7f24325645ab3e3a52f14645738795/Nguyen_Hoang_Phuc_UNITY_GAME_DEVELOPER_.pdf")</f>
        <v>https://api.typeform.com/responses/files/c3f13922188a1795b829cb861449f4fb8b7f24325645ab3e3a52f14645738795/Nguyen_Hoang_Phuc_UNITY_GAME_DEVELOPER_.pdf</v>
      </c>
      <c r="Y238" s="196">
        <v>46140.59763888889</v>
      </c>
      <c r="Z238" s="35" t="s">
        <v>3610</v>
      </c>
      <c r="AA238" s="137">
        <v>2.0</v>
      </c>
      <c r="AB238" s="137" t="s">
        <v>93</v>
      </c>
      <c r="AC238" s="28" t="s">
        <v>6376</v>
      </c>
      <c r="AD238" s="27"/>
      <c r="AE238" s="28"/>
      <c r="AF238" s="137" t="str">
        <f t="shared" si="5"/>
        <v/>
      </c>
      <c r="AG238" s="35"/>
      <c r="AH238" s="35"/>
      <c r="AI238" s="35"/>
      <c r="AJ238" s="35"/>
      <c r="AK238" s="35"/>
      <c r="AL238" s="35"/>
      <c r="AM238" s="35"/>
      <c r="AN238" s="35"/>
      <c r="AO238" s="35"/>
      <c r="AP238" s="35"/>
      <c r="AQ238" s="35"/>
      <c r="AR238" s="35"/>
      <c r="AS238" s="35"/>
      <c r="AT238" s="35"/>
      <c r="AU238" s="35"/>
      <c r="AV238" s="35"/>
      <c r="AW238" s="35"/>
      <c r="AX238" s="35"/>
      <c r="AY238" s="35"/>
      <c r="AZ238" s="35"/>
      <c r="BA238" s="35"/>
    </row>
    <row r="239" ht="17.25" hidden="1" customHeight="1">
      <c r="A239" s="197" t="s">
        <v>2040</v>
      </c>
      <c r="B239" s="198">
        <v>37760.0</v>
      </c>
      <c r="C239" s="197" t="s">
        <v>2041</v>
      </c>
      <c r="D239" s="199" t="s">
        <v>2042</v>
      </c>
      <c r="E239" s="197" t="s">
        <v>82</v>
      </c>
      <c r="F239" s="197" t="s">
        <v>633</v>
      </c>
      <c r="G239" s="35" t="s">
        <v>2043</v>
      </c>
      <c r="H239" s="35" t="s">
        <v>2044</v>
      </c>
      <c r="I239" s="35" t="s">
        <v>842</v>
      </c>
      <c r="J239" s="35"/>
      <c r="K239" s="35" t="s">
        <v>103</v>
      </c>
      <c r="L239" s="35" t="s">
        <v>2045</v>
      </c>
      <c r="M239" s="134">
        <v>46116.0</v>
      </c>
      <c r="N239" s="133" t="s">
        <v>1679</v>
      </c>
      <c r="O239" s="135" t="str">
        <f>HYPERLINK("https://api.typeform.com/responses/files/a7d0def9e1c67664cdfa89b006bcb27ff900e2d32b56ba7ff2fb93d0ca02f62f/inbound5568924586459795018.pdf")</f>
        <v>https://api.typeform.com/responses/files/a7d0def9e1c67664cdfa89b006bcb27ff900e2d32b56ba7ff2fb93d0ca02f62f/inbound5568924586459795018.pdf</v>
      </c>
      <c r="P239" s="35" t="b">
        <v>0</v>
      </c>
      <c r="Q239" s="43" t="s">
        <v>222</v>
      </c>
      <c r="R239" s="35" t="s">
        <v>222</v>
      </c>
      <c r="S239" s="35" t="s">
        <v>72</v>
      </c>
      <c r="T239" s="35" t="s">
        <v>72</v>
      </c>
      <c r="U239" s="35" t="s">
        <v>73</v>
      </c>
      <c r="V239" s="35"/>
      <c r="W239" s="35"/>
      <c r="X239" s="200" t="str">
        <f>HYPERLINK("https://api.typeform.com/responses/files/ff10dabb425ee3c6c4d7bf642d083f8104d2afee023cb9a2488f3da8b8603896/inbound2870604163729616293.pdf")</f>
        <v>https://api.typeform.com/responses/files/ff10dabb425ee3c6c4d7bf642d083f8104d2afee023cb9a2488f3da8b8603896/inbound2870604163729616293.pdf</v>
      </c>
      <c r="Y239" s="201">
        <v>46136.64832175926</v>
      </c>
      <c r="Z239" s="35" t="s">
        <v>2046</v>
      </c>
      <c r="AA239" s="137">
        <v>2.0</v>
      </c>
      <c r="AB239" s="137" t="s">
        <v>93</v>
      </c>
      <c r="AC239" s="28" t="s">
        <v>6376</v>
      </c>
      <c r="AD239" s="27"/>
      <c r="AE239" s="28"/>
      <c r="AF239" s="137" t="str">
        <f t="shared" si="5"/>
        <v/>
      </c>
      <c r="AG239" s="35"/>
      <c r="AH239" s="35"/>
      <c r="AI239" s="35"/>
      <c r="AJ239" s="35"/>
      <c r="AK239" s="35"/>
      <c r="AL239" s="35"/>
      <c r="AM239" s="35"/>
      <c r="AN239" s="35"/>
      <c r="AO239" s="35"/>
      <c r="AP239" s="35"/>
      <c r="AQ239" s="35"/>
      <c r="AR239" s="35"/>
      <c r="AS239" s="35"/>
      <c r="AT239" s="35"/>
      <c r="AU239" s="35"/>
      <c r="AV239" s="35"/>
      <c r="AW239" s="35"/>
      <c r="AX239" s="35"/>
      <c r="AY239" s="35"/>
      <c r="AZ239" s="35"/>
      <c r="BA239" s="35"/>
    </row>
    <row r="240" ht="17.25" hidden="1" customHeight="1">
      <c r="A240" s="192" t="s">
        <v>3619</v>
      </c>
      <c r="B240" s="193">
        <v>38491.0</v>
      </c>
      <c r="C240" s="192" t="s">
        <v>3620</v>
      </c>
      <c r="D240" s="194" t="s">
        <v>3621</v>
      </c>
      <c r="E240" s="192" t="s">
        <v>61</v>
      </c>
      <c r="F240" s="192" t="s">
        <v>127</v>
      </c>
      <c r="G240" s="35" t="s">
        <v>3622</v>
      </c>
      <c r="H240" s="35" t="s">
        <v>3623</v>
      </c>
      <c r="I240" s="35" t="s">
        <v>715</v>
      </c>
      <c r="J240" s="35"/>
      <c r="K240" s="35" t="s">
        <v>219</v>
      </c>
      <c r="L240" s="35" t="s">
        <v>930</v>
      </c>
      <c r="M240" s="134">
        <v>46719.0</v>
      </c>
      <c r="N240" s="133" t="s">
        <v>3624</v>
      </c>
      <c r="O240" s="135" t="str">
        <f>HYPERLINK("https://api.typeform.com/responses/files/748f03eb3eebbb27d9119d38dc9f6985db95a2f1b4a4414c795f9151f9fbf8a8/Transcript___Unity_Development_Intern___Dương_Thị_Bảo_Trân.pdf")</f>
        <v>https://api.typeform.com/responses/files/748f03eb3eebbb27d9119d38dc9f6985db95a2f1b4a4414c795f9151f9fbf8a8/Transcript___Unity_Development_Intern___Dương_Thị_Bảo_Trân.pdf</v>
      </c>
      <c r="P240" s="35" t="b">
        <v>1</v>
      </c>
      <c r="Q240" s="35" t="s">
        <v>3625</v>
      </c>
      <c r="R240" s="35" t="s">
        <v>3626</v>
      </c>
      <c r="S240" s="35" t="s">
        <v>3627</v>
      </c>
      <c r="T240" s="35" t="s">
        <v>3628</v>
      </c>
      <c r="U240" s="35" t="s">
        <v>2389</v>
      </c>
      <c r="V240" s="35"/>
      <c r="W240" s="35" t="s">
        <v>3629</v>
      </c>
      <c r="X240" s="195" t="str">
        <f>HYPERLINK("https://api.typeform.com/responses/files/3a8ea45b49431587d6d84ee6f39540109e8e77c6a3618bf34f2497864d4db907/CV___Unity_Development_Intern___Dương_Thị_Bảo_Trân.pdf")</f>
        <v>https://api.typeform.com/responses/files/3a8ea45b49431587d6d84ee6f39540109e8e77c6a3618bf34f2497864d4db907/CV___Unity_Development_Intern___Dương_Thị_Bảo_Trân.pdf</v>
      </c>
      <c r="Y240" s="196">
        <v>46140.6156712963</v>
      </c>
      <c r="Z240" s="35" t="s">
        <v>3630</v>
      </c>
      <c r="AA240" s="137">
        <v>2.0</v>
      </c>
      <c r="AB240" s="137" t="s">
        <v>93</v>
      </c>
      <c r="AC240" s="28" t="s">
        <v>6376</v>
      </c>
      <c r="AD240" s="27"/>
      <c r="AE240" s="28"/>
      <c r="AF240" s="137" t="str">
        <f t="shared" si="5"/>
        <v/>
      </c>
      <c r="AG240" s="35"/>
      <c r="AH240" s="35"/>
      <c r="AI240" s="35"/>
      <c r="AJ240" s="35"/>
      <c r="AK240" s="35"/>
      <c r="AL240" s="35"/>
      <c r="AM240" s="35"/>
      <c r="AN240" s="35"/>
      <c r="AO240" s="35"/>
      <c r="AP240" s="35"/>
      <c r="AQ240" s="35"/>
      <c r="AR240" s="35"/>
      <c r="AS240" s="35"/>
      <c r="AT240" s="35"/>
      <c r="AU240" s="35"/>
      <c r="AV240" s="35"/>
      <c r="AW240" s="35"/>
      <c r="AX240" s="35"/>
      <c r="AY240" s="35"/>
      <c r="AZ240" s="35"/>
      <c r="BA240" s="35"/>
    </row>
    <row r="241" ht="17.25" hidden="1" customHeight="1">
      <c r="A241" s="197" t="s">
        <v>2793</v>
      </c>
      <c r="B241" s="198">
        <v>38709.0</v>
      </c>
      <c r="C241" s="197" t="s">
        <v>3631</v>
      </c>
      <c r="D241" s="199" t="s">
        <v>3632</v>
      </c>
      <c r="E241" s="197" t="s">
        <v>61</v>
      </c>
      <c r="F241" s="197" t="s">
        <v>99</v>
      </c>
      <c r="G241" s="35" t="s">
        <v>3633</v>
      </c>
      <c r="H241" s="35" t="s">
        <v>3634</v>
      </c>
      <c r="I241" s="35" t="s">
        <v>445</v>
      </c>
      <c r="J241" s="35"/>
      <c r="K241" s="35" t="s">
        <v>219</v>
      </c>
      <c r="L241" s="35" t="s">
        <v>551</v>
      </c>
      <c r="M241" s="134">
        <v>46376.0</v>
      </c>
      <c r="N241" s="133" t="s">
        <v>267</v>
      </c>
      <c r="O241" s="135" t="str">
        <f>HYPERLINK("https://api.typeform.com/responses/files/55ba2f35f56fcd41e799f875878da5b2400c450f30eb19277302cc96da946f90/Transcript_Game_Developer_Intern_Trần_Tiến_Đạt.pdf")</f>
        <v>https://api.typeform.com/responses/files/55ba2f35f56fcd41e799f875878da5b2400c450f30eb19277302cc96da946f90/Transcript_Game_Developer_Intern_Trần_Tiến_Đạt.pdf</v>
      </c>
      <c r="P241" s="35" t="b">
        <v>1</v>
      </c>
      <c r="Q241" s="35" t="s">
        <v>3635</v>
      </c>
      <c r="R241" s="35" t="s">
        <v>3636</v>
      </c>
      <c r="S241" s="35" t="s">
        <v>72</v>
      </c>
      <c r="T241" s="35" t="s">
        <v>72</v>
      </c>
      <c r="U241" s="35" t="s">
        <v>73</v>
      </c>
      <c r="V241" s="35"/>
      <c r="W241" s="35" t="s">
        <v>3637</v>
      </c>
      <c r="X241" s="200" t="str">
        <f>HYPERLINK("https://api.typeform.com/responses/files/f4ca096090e0deb44d6cd31f865c2865b1dc2710a2b6209c973486f98e952bb0/TrầnTiếnĐạt_CV_GameDeveloper_Intern.pdf")</f>
        <v>https://api.typeform.com/responses/files/f4ca096090e0deb44d6cd31f865c2865b1dc2710a2b6209c973486f98e952bb0/TrầnTiếnĐạt_CV_GameDeveloper_Intern.pdf</v>
      </c>
      <c r="Y241" s="201">
        <v>46140.62230324074</v>
      </c>
      <c r="Z241" s="35" t="s">
        <v>3638</v>
      </c>
      <c r="AA241" s="137">
        <v>2.0</v>
      </c>
      <c r="AB241" s="137" t="s">
        <v>93</v>
      </c>
      <c r="AC241" s="28" t="s">
        <v>6376</v>
      </c>
      <c r="AD241" s="27"/>
      <c r="AE241" s="28"/>
      <c r="AF241" s="137" t="str">
        <f t="shared" si="5"/>
        <v/>
      </c>
      <c r="AG241" s="35"/>
      <c r="AH241" s="35"/>
      <c r="AI241" s="35"/>
      <c r="AJ241" s="35"/>
      <c r="AK241" s="35"/>
      <c r="AL241" s="35"/>
      <c r="AM241" s="35"/>
      <c r="AN241" s="35"/>
      <c r="AO241" s="35"/>
      <c r="AP241" s="35"/>
      <c r="AQ241" s="35"/>
      <c r="AR241" s="35"/>
      <c r="AS241" s="35"/>
      <c r="AT241" s="35"/>
      <c r="AU241" s="35"/>
      <c r="AV241" s="35"/>
      <c r="AW241" s="35"/>
      <c r="AX241" s="35"/>
      <c r="AY241" s="35"/>
      <c r="AZ241" s="35"/>
      <c r="BA241" s="35"/>
    </row>
    <row r="242" ht="17.25" hidden="1" customHeight="1">
      <c r="A242" s="192" t="s">
        <v>4155</v>
      </c>
      <c r="B242" s="193">
        <v>37768.0</v>
      </c>
      <c r="C242" s="192" t="s">
        <v>4156</v>
      </c>
      <c r="D242" s="194" t="s">
        <v>4157</v>
      </c>
      <c r="E242" s="192" t="s">
        <v>82</v>
      </c>
      <c r="F242" s="192" t="s">
        <v>127</v>
      </c>
      <c r="G242" s="35" t="s">
        <v>4158</v>
      </c>
      <c r="H242" s="35" t="s">
        <v>4159</v>
      </c>
      <c r="I242" s="35" t="s">
        <v>2581</v>
      </c>
      <c r="J242" s="35"/>
      <c r="K242" s="35" t="s">
        <v>103</v>
      </c>
      <c r="L242" s="35" t="s">
        <v>4160</v>
      </c>
      <c r="M242" s="134">
        <v>45857.0</v>
      </c>
      <c r="N242" s="133" t="s">
        <v>1679</v>
      </c>
      <c r="O242" s="135" t="str">
        <f>HYPERLINK("https://api.typeform.com/responses/files/cd5a625ba8624d2265d4c4f46506b2d3c3fd3b6bb1b2b1d8eb5a69bb1a3b1fd0/Transcript___Data_Analysis_Intern___Lục_Minh_Phú_.jpg")</f>
        <v>https://api.typeform.com/responses/files/cd5a625ba8624d2265d4c4f46506b2d3c3fd3b6bb1b2b1d8eb5a69bb1a3b1fd0/Transcript___Data_Analysis_Intern___Lục_Minh_Phú_.jpg</v>
      </c>
      <c r="P242" s="35" t="b">
        <v>1</v>
      </c>
      <c r="Q242" s="35" t="s">
        <v>4161</v>
      </c>
      <c r="R242" s="35" t="s">
        <v>4162</v>
      </c>
      <c r="S242" s="35" t="s">
        <v>72</v>
      </c>
      <c r="T242" s="35" t="s">
        <v>72</v>
      </c>
      <c r="U242" s="35" t="s">
        <v>73</v>
      </c>
      <c r="V242" s="35"/>
      <c r="W242" s="35"/>
      <c r="X242" s="195" t="str">
        <f>HYPERLINK("https://api.typeform.com/responses/files/72c0f66aacfa33924e1c24756bcd83c1df9f242af3ad9a5fe40c90802f4b1178/CV___Data_Analysis_Intern___Lục_Minh_Phú.pdf")</f>
        <v>https://api.typeform.com/responses/files/72c0f66aacfa33924e1c24756bcd83c1df9f242af3ad9a5fe40c90802f4b1178/CV___Data_Analysis_Intern___Lục_Minh_Phú.pdf</v>
      </c>
      <c r="Y242" s="196">
        <v>46142.340995370374</v>
      </c>
      <c r="Z242" s="35" t="s">
        <v>4163</v>
      </c>
      <c r="AA242" s="137">
        <v>2.0</v>
      </c>
      <c r="AB242" s="137" t="s">
        <v>93</v>
      </c>
      <c r="AC242" s="28" t="s">
        <v>6376</v>
      </c>
      <c r="AD242" s="27"/>
      <c r="AE242" s="28"/>
      <c r="AF242" s="137" t="str">
        <f t="shared" si="5"/>
        <v/>
      </c>
      <c r="AG242" s="35"/>
      <c r="AH242" s="35"/>
      <c r="AI242" s="35"/>
      <c r="AJ242" s="35"/>
      <c r="AK242" s="35"/>
      <c r="AL242" s="35"/>
      <c r="AM242" s="35"/>
      <c r="AN242" s="35"/>
      <c r="AO242" s="35"/>
      <c r="AP242" s="35"/>
      <c r="AQ242" s="35"/>
      <c r="AR242" s="35"/>
      <c r="AS242" s="35"/>
      <c r="AT242" s="35"/>
      <c r="AU242" s="35"/>
      <c r="AV242" s="35"/>
      <c r="AW242" s="35"/>
      <c r="AX242" s="35"/>
      <c r="AY242" s="35"/>
      <c r="AZ242" s="35"/>
      <c r="BA242" s="35"/>
    </row>
    <row r="243" ht="17.25" hidden="1" customHeight="1">
      <c r="A243" s="197" t="s">
        <v>2995</v>
      </c>
      <c r="B243" s="198">
        <v>38548.0</v>
      </c>
      <c r="C243" s="197" t="s">
        <v>2996</v>
      </c>
      <c r="D243" s="199" t="s">
        <v>2997</v>
      </c>
      <c r="E243" s="197" t="s">
        <v>62</v>
      </c>
      <c r="F243" s="197" t="s">
        <v>82</v>
      </c>
      <c r="G243" s="35" t="s">
        <v>2998</v>
      </c>
      <c r="H243" s="35" t="s">
        <v>2999</v>
      </c>
      <c r="I243" s="35" t="s">
        <v>326</v>
      </c>
      <c r="J243" s="35"/>
      <c r="K243" s="35" t="s">
        <v>219</v>
      </c>
      <c r="L243" s="35" t="s">
        <v>384</v>
      </c>
      <c r="M243" s="134">
        <v>46569.0</v>
      </c>
      <c r="N243" s="133" t="s">
        <v>1291</v>
      </c>
      <c r="O243" s="135" t="str">
        <f>HYPERLINK("https://api.typeform.com/responses/files/b65e70b72db3731da6c3b512b1c62caa1531095adf058866c42671b2fbb6f181/Transcript___AI_Engineer_Intern___Bùi_Nam_Việt.pdf")</f>
        <v>https://api.typeform.com/responses/files/b65e70b72db3731da6c3b512b1c62caa1531095adf058866c42671b2fbb6f181/Transcript___AI_Engineer_Intern___Bùi_Nam_Việt.pdf</v>
      </c>
      <c r="P243" s="35" t="b">
        <v>1</v>
      </c>
      <c r="Q243" s="43" t="s">
        <v>3000</v>
      </c>
      <c r="R243" s="35" t="s">
        <v>3001</v>
      </c>
      <c r="S243" s="35" t="s">
        <v>72</v>
      </c>
      <c r="T243" s="35" t="s">
        <v>72</v>
      </c>
      <c r="U243" s="138" t="s">
        <v>2389</v>
      </c>
      <c r="V243" s="35"/>
      <c r="W243" s="35" t="s">
        <v>3002</v>
      </c>
      <c r="X243" s="200" t="str">
        <f>HYPERLINK("https://api.typeform.com/responses/files/605fe83fdfa8901b54f088a98702fcf3dff1a73d24e8da3ee8f85cbfed1f6b62/CV___AI_Engineer_Intern___Bùi_Nam_Việt.pdf")</f>
        <v>https://api.typeform.com/responses/files/605fe83fdfa8901b54f088a98702fcf3dff1a73d24e8da3ee8f85cbfed1f6b62/CV___AI_Engineer_Intern___Bùi_Nam_Việt.pdf</v>
      </c>
      <c r="Y243" s="201">
        <v>46139.66946759259</v>
      </c>
      <c r="Z243" s="35" t="s">
        <v>3003</v>
      </c>
      <c r="AA243" s="137">
        <v>2.0</v>
      </c>
      <c r="AB243" s="139" t="s">
        <v>6381</v>
      </c>
      <c r="AC243" s="28" t="s">
        <v>6377</v>
      </c>
      <c r="AD243" s="28" t="s">
        <v>6416</v>
      </c>
      <c r="AE243" s="28" t="s">
        <v>6379</v>
      </c>
      <c r="AF243" s="137" t="str">
        <f t="shared" si="5"/>
        <v>Quỳnh</v>
      </c>
      <c r="AG243" s="35"/>
      <c r="AH243" s="35"/>
      <c r="AI243" s="35"/>
      <c r="AJ243" s="35"/>
      <c r="AK243" s="35"/>
      <c r="AL243" s="35"/>
      <c r="AM243" s="35"/>
      <c r="AN243" s="35"/>
      <c r="AO243" s="35"/>
      <c r="AP243" s="35"/>
      <c r="AQ243" s="35"/>
      <c r="AR243" s="35"/>
      <c r="AS243" s="35"/>
      <c r="AT243" s="35"/>
      <c r="AU243" s="35"/>
      <c r="AV243" s="35"/>
      <c r="AW243" s="35"/>
      <c r="AX243" s="35"/>
      <c r="AY243" s="35"/>
      <c r="AZ243" s="35"/>
      <c r="BA243" s="35"/>
    </row>
    <row r="244" ht="17.25" hidden="1" customHeight="1">
      <c r="A244" s="192" t="s">
        <v>3655</v>
      </c>
      <c r="B244" s="193">
        <v>38545.0</v>
      </c>
      <c r="C244" s="192" t="s">
        <v>3656</v>
      </c>
      <c r="D244" s="194" t="s">
        <v>3657</v>
      </c>
      <c r="E244" s="192" t="s">
        <v>633</v>
      </c>
      <c r="F244" s="192" t="s">
        <v>633</v>
      </c>
      <c r="G244" s="35" t="s">
        <v>3658</v>
      </c>
      <c r="H244" s="35" t="s">
        <v>3659</v>
      </c>
      <c r="I244" s="35" t="s">
        <v>842</v>
      </c>
      <c r="J244" s="35"/>
      <c r="K244" s="35" t="s">
        <v>219</v>
      </c>
      <c r="L244" s="35" t="s">
        <v>3660</v>
      </c>
      <c r="M244" s="134">
        <v>46447.0</v>
      </c>
      <c r="N244" s="133" t="s">
        <v>3241</v>
      </c>
      <c r="O244" s="135" t="str">
        <f>HYPERLINK("https://api.typeform.com/responses/files/1a1571085663750d7c1f2ce81e81df49e074caf9760c50524d5a53f00b06192a/KQHT_31231023720__1_.xlsx")</f>
        <v>https://api.typeform.com/responses/files/1a1571085663750d7c1f2ce81e81df49e074caf9760c50524d5a53f00b06192a/KQHT_31231023720__1_.xlsx</v>
      </c>
      <c r="P244" s="35" t="b">
        <v>1</v>
      </c>
      <c r="Q244" s="35" t="s">
        <v>3661</v>
      </c>
      <c r="R244" s="35" t="s">
        <v>3662</v>
      </c>
      <c r="S244" s="35" t="s">
        <v>72</v>
      </c>
      <c r="T244" s="35" t="s">
        <v>72</v>
      </c>
      <c r="U244" s="35" t="s">
        <v>73</v>
      </c>
      <c r="V244" s="35"/>
      <c r="W244" s="35" t="s">
        <v>3663</v>
      </c>
      <c r="X244" s="195" t="str">
        <f>HYPERLINK("https://api.typeform.com/responses/files/1fe8cf128180c1ccea0b85e05f9907d756a0f802916da93b6cc8003df880feac/_VŨ_ĐỖ_BÌNH_AN__CV_APPLY_INTERN_HR.pdf")</f>
        <v>https://api.typeform.com/responses/files/1fe8cf128180c1ccea0b85e05f9907d756a0f802916da93b6cc8003df880feac/_VŨ_ĐỖ_BÌNH_AN__CV_APPLY_INTERN_HR.pdf</v>
      </c>
      <c r="Y244" s="196">
        <v>46140.649305555555</v>
      </c>
      <c r="Z244" s="35" t="s">
        <v>3664</v>
      </c>
      <c r="AA244" s="137">
        <v>2.0</v>
      </c>
      <c r="AB244" s="203" t="s">
        <v>93</v>
      </c>
      <c r="AC244" s="28" t="s">
        <v>6376</v>
      </c>
      <c r="AD244" s="27"/>
      <c r="AE244" s="28"/>
      <c r="AF244" s="137" t="str">
        <f t="shared" si="5"/>
        <v/>
      </c>
      <c r="AG244" s="35"/>
      <c r="AH244" s="35"/>
      <c r="AI244" s="35"/>
      <c r="AJ244" s="35"/>
      <c r="AK244" s="35"/>
      <c r="AL244" s="35"/>
      <c r="AM244" s="35"/>
      <c r="AN244" s="35"/>
      <c r="AO244" s="35"/>
      <c r="AP244" s="35"/>
      <c r="AQ244" s="35"/>
      <c r="AR244" s="35"/>
      <c r="AS244" s="35"/>
      <c r="AT244" s="35"/>
      <c r="AU244" s="35"/>
      <c r="AV244" s="35"/>
      <c r="AW244" s="35"/>
      <c r="AX244" s="35"/>
      <c r="AY244" s="35"/>
      <c r="AZ244" s="35"/>
      <c r="BA244" s="35"/>
    </row>
    <row r="245" ht="17.25" hidden="1" customHeight="1">
      <c r="A245" s="197" t="s">
        <v>2984</v>
      </c>
      <c r="B245" s="198">
        <v>38570.0</v>
      </c>
      <c r="C245" s="197" t="s">
        <v>2985</v>
      </c>
      <c r="D245" s="199" t="s">
        <v>2986</v>
      </c>
      <c r="E245" s="197" t="s">
        <v>62</v>
      </c>
      <c r="F245" s="197" t="s">
        <v>82</v>
      </c>
      <c r="G245" s="35" t="s">
        <v>2987</v>
      </c>
      <c r="H245" s="35" t="s">
        <v>2988</v>
      </c>
      <c r="I245" s="35" t="s">
        <v>715</v>
      </c>
      <c r="J245" s="35"/>
      <c r="K245" s="35" t="s">
        <v>219</v>
      </c>
      <c r="L245" s="35" t="s">
        <v>930</v>
      </c>
      <c r="M245" s="134">
        <v>46539.0</v>
      </c>
      <c r="N245" s="133" t="s">
        <v>2989</v>
      </c>
      <c r="O245" s="135" t="str">
        <f>HYPERLINK("https://api.typeform.com/responses/files/608bdf1e7840b8662f3f6ca3afff51e6e7bc0570684aabc3370cbfa1dbe534d5/Transcript___AI_Engineer_Intern___Nguyễn_Tất_Kiên.pdf")</f>
        <v>https://api.typeform.com/responses/files/608bdf1e7840b8662f3f6ca3afff51e6e7bc0570684aabc3370cbfa1dbe534d5/Transcript___AI_Engineer_Intern___Nguyễn_Tất_Kiên.pdf</v>
      </c>
      <c r="P245" s="35" t="b">
        <v>1</v>
      </c>
      <c r="Q245" s="43" t="s">
        <v>2990</v>
      </c>
      <c r="R245" s="35" t="s">
        <v>2991</v>
      </c>
      <c r="S245" s="35" t="s">
        <v>72</v>
      </c>
      <c r="T245" s="35" t="s">
        <v>72</v>
      </c>
      <c r="U245" s="138" t="s">
        <v>2992</v>
      </c>
      <c r="V245" s="35"/>
      <c r="W245" s="35" t="s">
        <v>2993</v>
      </c>
      <c r="X245" s="200" t="str">
        <f>HYPERLINK("https://api.typeform.com/responses/files/59e5af3c95ff53a3810dfc999443fb41b90fa0e34f48f0d05dbf3765ebdc0f20/CV___AI_Engineer_Intern___Nguyễn_Tất_Kiên.pdf")</f>
        <v>https://api.typeform.com/responses/files/59e5af3c95ff53a3810dfc999443fb41b90fa0e34f48f0d05dbf3765ebdc0f20/CV___AI_Engineer_Intern___Nguyễn_Tất_Kiên.pdf</v>
      </c>
      <c r="Y245" s="201">
        <v>46139.666608796295</v>
      </c>
      <c r="Z245" s="35" t="s">
        <v>2994</v>
      </c>
      <c r="AA245" s="137">
        <v>2.0</v>
      </c>
      <c r="AB245" s="139" t="s">
        <v>6381</v>
      </c>
      <c r="AC245" s="28" t="s">
        <v>6377</v>
      </c>
      <c r="AD245" s="27"/>
      <c r="AE245" s="28" t="s">
        <v>6379</v>
      </c>
      <c r="AF245" s="137" t="str">
        <f t="shared" si="5"/>
        <v>Quỳnh</v>
      </c>
      <c r="AG245" s="35"/>
      <c r="AH245" s="35"/>
      <c r="AI245" s="35"/>
      <c r="AJ245" s="35"/>
      <c r="AK245" s="35"/>
      <c r="AL245" s="35"/>
      <c r="AM245" s="35"/>
      <c r="AN245" s="35"/>
      <c r="AO245" s="35"/>
      <c r="AP245" s="35"/>
      <c r="AQ245" s="35"/>
      <c r="AR245" s="35"/>
      <c r="AS245" s="35"/>
      <c r="AT245" s="35"/>
      <c r="AU245" s="35"/>
      <c r="AV245" s="35"/>
      <c r="AW245" s="35"/>
      <c r="AX245" s="35"/>
      <c r="AY245" s="35"/>
      <c r="AZ245" s="35"/>
      <c r="BA245" s="35"/>
    </row>
    <row r="246" ht="17.25" hidden="1" customHeight="1">
      <c r="A246" s="192" t="s">
        <v>3675</v>
      </c>
      <c r="B246" s="193">
        <v>37107.0</v>
      </c>
      <c r="C246" s="192" t="s">
        <v>3676</v>
      </c>
      <c r="D246" s="194" t="s">
        <v>3677</v>
      </c>
      <c r="E246" s="192" t="s">
        <v>61</v>
      </c>
      <c r="F246" s="192" t="s">
        <v>127</v>
      </c>
      <c r="G246" s="35" t="s">
        <v>3678</v>
      </c>
      <c r="H246" s="35" t="s">
        <v>3679</v>
      </c>
      <c r="I246" s="35" t="s">
        <v>130</v>
      </c>
      <c r="J246" s="35"/>
      <c r="K246" s="35" t="s">
        <v>67</v>
      </c>
      <c r="L246" s="35" t="s">
        <v>132</v>
      </c>
      <c r="M246" s="134">
        <v>46558.0</v>
      </c>
      <c r="N246" s="133" t="s">
        <v>3680</v>
      </c>
      <c r="O246" s="135" t="str">
        <f>HYPERLINK("https://api.typeform.com/responses/files/80b6610a03cebc2e250a0d3bf5f4f537fb45429ccbf9f216802617067484ba5c/Transcript___Unity_Development_Intern___Lê_Tấn_.pdf")</f>
        <v>https://api.typeform.com/responses/files/80b6610a03cebc2e250a0d3bf5f4f537fb45429ccbf9f216802617067484ba5c/Transcript___Unity_Development_Intern___Lê_Tấn_.pdf</v>
      </c>
      <c r="P246" s="35" t="b">
        <v>0</v>
      </c>
      <c r="Q246" s="35" t="s">
        <v>3681</v>
      </c>
      <c r="R246" s="35" t="s">
        <v>3682</v>
      </c>
      <c r="S246" s="35" t="s">
        <v>72</v>
      </c>
      <c r="T246" s="35" t="s">
        <v>72</v>
      </c>
      <c r="U246" s="35" t="s">
        <v>3683</v>
      </c>
      <c r="V246" s="35"/>
      <c r="W246" s="35" t="s">
        <v>3684</v>
      </c>
      <c r="X246" s="195" t="str">
        <f>HYPERLINK("https://api.typeform.com/responses/files/15c14c9f5125d5ef58c52228dda160d740e013a43235b0fc2ffea99075ee7cc1/CV___Unity_Development_Intern___Lê_Tấn_.pdf")</f>
        <v>https://api.typeform.com/responses/files/15c14c9f5125d5ef58c52228dda160d740e013a43235b0fc2ffea99075ee7cc1/CV___Unity_Development_Intern___Lê_Tấn_.pdf</v>
      </c>
      <c r="Y246" s="196">
        <v>46140.663148148145</v>
      </c>
      <c r="Z246" s="35" t="s">
        <v>3685</v>
      </c>
      <c r="AA246" s="137">
        <v>2.0</v>
      </c>
      <c r="AB246" s="137" t="s">
        <v>93</v>
      </c>
      <c r="AC246" s="28" t="s">
        <v>6376</v>
      </c>
      <c r="AD246" s="27"/>
      <c r="AE246" s="28"/>
      <c r="AF246" s="137" t="str">
        <f t="shared" si="5"/>
        <v/>
      </c>
      <c r="AG246" s="35"/>
      <c r="AH246" s="35"/>
      <c r="AI246" s="35"/>
      <c r="AJ246" s="35"/>
      <c r="AK246" s="35"/>
      <c r="AL246" s="35"/>
      <c r="AM246" s="35"/>
      <c r="AN246" s="35"/>
      <c r="AO246" s="35"/>
      <c r="AP246" s="35"/>
      <c r="AQ246" s="35"/>
      <c r="AR246" s="35"/>
      <c r="AS246" s="35"/>
      <c r="AT246" s="35"/>
      <c r="AU246" s="35"/>
      <c r="AV246" s="35"/>
      <c r="AW246" s="35"/>
      <c r="AX246" s="35"/>
      <c r="AY246" s="35"/>
      <c r="AZ246" s="35"/>
      <c r="BA246" s="35"/>
    </row>
    <row r="247" ht="17.25" hidden="1" customHeight="1">
      <c r="A247" s="197" t="s">
        <v>2936</v>
      </c>
      <c r="B247" s="198">
        <v>37846.0</v>
      </c>
      <c r="C247" s="197" t="s">
        <v>2937</v>
      </c>
      <c r="D247" s="199" t="s">
        <v>2938</v>
      </c>
      <c r="E247" s="197" t="s">
        <v>82</v>
      </c>
      <c r="F247" s="197" t="s">
        <v>774</v>
      </c>
      <c r="G247" s="35" t="s">
        <v>2939</v>
      </c>
      <c r="H247" s="35" t="s">
        <v>2940</v>
      </c>
      <c r="I247" s="35" t="s">
        <v>1610</v>
      </c>
      <c r="J247" s="35"/>
      <c r="K247" s="35" t="s">
        <v>67</v>
      </c>
      <c r="L247" s="35" t="s">
        <v>2941</v>
      </c>
      <c r="M247" s="134">
        <v>46244.0</v>
      </c>
      <c r="N247" s="133" t="s">
        <v>105</v>
      </c>
      <c r="O247" s="135" t="str">
        <f>HYPERLINK("https://api.typeform.com/responses/files/9ea942fe5c2bfc84f14dac92144d0c2c46a4c027b71bdbb4f98b6cb060d80e15/Transcript___Data_Analysis_Intern___Vo_Thi_Ngoc_Chi.pdf")</f>
        <v>https://api.typeform.com/responses/files/9ea942fe5c2bfc84f14dac92144d0c2c46a4c027b71bdbb4f98b6cb060d80e15/Transcript___Data_Analysis_Intern___Vo_Thi_Ngoc_Chi.pdf</v>
      </c>
      <c r="P247" s="35" t="b">
        <v>1</v>
      </c>
      <c r="Q247" s="43" t="s">
        <v>2942</v>
      </c>
      <c r="R247" s="35" t="s">
        <v>2943</v>
      </c>
      <c r="S247" s="35" t="s">
        <v>72</v>
      </c>
      <c r="T247" s="35" t="s">
        <v>72</v>
      </c>
      <c r="U247" s="35" t="s">
        <v>90</v>
      </c>
      <c r="V247" s="35"/>
      <c r="W247" s="35" t="s">
        <v>2944</v>
      </c>
      <c r="X247" s="200" t="str">
        <f>HYPERLINK("https://api.typeform.com/responses/files/4235eb66ee30ac658eb78411d60e0ffc74a0a5ca76b0d58e8647da8ae7e094b6/CV___Data_Analysis_Intern___Vo_Thi_Ngoc_Chi.pdf")</f>
        <v>https://api.typeform.com/responses/files/4235eb66ee30ac658eb78411d60e0ffc74a0a5ca76b0d58e8647da8ae7e094b6/CV___Data_Analysis_Intern___Vo_Thi_Ngoc_Chi.pdf</v>
      </c>
      <c r="Y247" s="201">
        <v>46139.64368055556</v>
      </c>
      <c r="Z247" s="35" t="s">
        <v>2945</v>
      </c>
      <c r="AA247" s="137">
        <v>2.0</v>
      </c>
      <c r="AB247" s="137" t="s">
        <v>93</v>
      </c>
      <c r="AC247" s="28" t="s">
        <v>6376</v>
      </c>
      <c r="AD247" s="27"/>
      <c r="AE247" s="28"/>
      <c r="AF247" s="137" t="str">
        <f t="shared" si="5"/>
        <v/>
      </c>
      <c r="AG247" s="35"/>
      <c r="AH247" s="35"/>
      <c r="AI247" s="35"/>
      <c r="AJ247" s="35"/>
      <c r="AK247" s="35"/>
      <c r="AL247" s="35"/>
      <c r="AM247" s="35"/>
      <c r="AN247" s="35"/>
      <c r="AO247" s="35"/>
      <c r="AP247" s="35"/>
      <c r="AQ247" s="35"/>
      <c r="AR247" s="35"/>
      <c r="AS247" s="35"/>
      <c r="AT247" s="35"/>
      <c r="AU247" s="35"/>
      <c r="AV247" s="35"/>
      <c r="AW247" s="35"/>
      <c r="AX247" s="35"/>
      <c r="AY247" s="35"/>
      <c r="AZ247" s="35"/>
      <c r="BA247" s="35"/>
    </row>
    <row r="248" ht="17.25" hidden="1" customHeight="1">
      <c r="A248" s="192" t="s">
        <v>3695</v>
      </c>
      <c r="B248" s="193">
        <v>38193.0</v>
      </c>
      <c r="C248" s="192" t="s">
        <v>3696</v>
      </c>
      <c r="D248" s="194" t="s">
        <v>3697</v>
      </c>
      <c r="E248" s="192" t="s">
        <v>127</v>
      </c>
      <c r="F248" s="192" t="s">
        <v>82</v>
      </c>
      <c r="G248" s="35" t="s">
        <v>3698</v>
      </c>
      <c r="H248" s="35" t="s">
        <v>3699</v>
      </c>
      <c r="I248" s="35" t="s">
        <v>65</v>
      </c>
      <c r="J248" s="35" t="s">
        <v>3700</v>
      </c>
      <c r="K248" s="35" t="s">
        <v>103</v>
      </c>
      <c r="L248" s="35" t="s">
        <v>1183</v>
      </c>
      <c r="M248" s="134">
        <v>46119.0</v>
      </c>
      <c r="N248" s="133" t="s">
        <v>3701</v>
      </c>
      <c r="O248" s="135" t="str">
        <f>HYPERLINK("https://api.typeform.com/responses/files/cf9dc8f2b14c4800336fcc3af63cf31eae0308215abf2a9832075c0cdac49cc9/LamTheRin___AcademicTranscript.pdf")</f>
        <v>https://api.typeform.com/responses/files/cf9dc8f2b14c4800336fcc3af63cf31eae0308215abf2a9832075c0cdac49cc9/LamTheRin___AcademicTranscript.pdf</v>
      </c>
      <c r="P248" s="35" t="b">
        <v>1</v>
      </c>
      <c r="Q248" s="35" t="s">
        <v>3702</v>
      </c>
      <c r="R248" s="35" t="s">
        <v>3703</v>
      </c>
      <c r="S248" s="35" t="s">
        <v>72</v>
      </c>
      <c r="T248" s="35" t="s">
        <v>72</v>
      </c>
      <c r="U248" s="35" t="s">
        <v>224</v>
      </c>
      <c r="V248" s="35"/>
      <c r="W248" s="35" t="s">
        <v>3704</v>
      </c>
      <c r="X248" s="195" t="str">
        <f>HYPERLINK("https://api.typeform.com/responses/files/992e4110c5462f01e1f46a83750f5f5481ecf02f5e03535d8c36054b112b898d/CV_GameQAIntern_LamTheRin.pdf")</f>
        <v>https://api.typeform.com/responses/files/992e4110c5462f01e1f46a83750f5f5481ecf02f5e03535d8c36054b112b898d/CV_GameQAIntern_LamTheRin.pdf</v>
      </c>
      <c r="Y248" s="196">
        <v>46140.71270833333</v>
      </c>
      <c r="Z248" s="35" t="s">
        <v>3705</v>
      </c>
      <c r="AA248" s="137">
        <v>2.0</v>
      </c>
      <c r="AB248" s="137" t="s">
        <v>93</v>
      </c>
      <c r="AC248" s="28" t="s">
        <v>6376</v>
      </c>
      <c r="AD248" s="27"/>
      <c r="AE248" s="28"/>
      <c r="AF248" s="137" t="str">
        <f t="shared" si="5"/>
        <v/>
      </c>
      <c r="AG248" s="35"/>
      <c r="AH248" s="35"/>
      <c r="AI248" s="35"/>
      <c r="AJ248" s="35"/>
      <c r="AK248" s="35"/>
      <c r="AL248" s="35"/>
      <c r="AM248" s="35"/>
      <c r="AN248" s="35"/>
      <c r="AO248" s="35"/>
      <c r="AP248" s="35"/>
      <c r="AQ248" s="35"/>
      <c r="AR248" s="35"/>
      <c r="AS248" s="35"/>
      <c r="AT248" s="35"/>
      <c r="AU248" s="35"/>
      <c r="AV248" s="35"/>
      <c r="AW248" s="35"/>
      <c r="AX248" s="35"/>
      <c r="AY248" s="35"/>
      <c r="AZ248" s="35"/>
      <c r="BA248" s="35"/>
    </row>
    <row r="249" ht="17.25" hidden="1" customHeight="1">
      <c r="A249" s="197" t="s">
        <v>3706</v>
      </c>
      <c r="B249" s="198">
        <v>37861.0</v>
      </c>
      <c r="C249" s="197" t="s">
        <v>3707</v>
      </c>
      <c r="D249" s="199" t="s">
        <v>3708</v>
      </c>
      <c r="E249" s="197" t="s">
        <v>127</v>
      </c>
      <c r="F249" s="197" t="s">
        <v>633</v>
      </c>
      <c r="G249" s="35" t="s">
        <v>3709</v>
      </c>
      <c r="H249" s="35" t="s">
        <v>3710</v>
      </c>
      <c r="I249" s="35" t="s">
        <v>116</v>
      </c>
      <c r="J249" s="35"/>
      <c r="K249" s="35" t="s">
        <v>103</v>
      </c>
      <c r="L249" s="35" t="s">
        <v>3711</v>
      </c>
      <c r="M249" s="134">
        <v>46038.0</v>
      </c>
      <c r="N249" s="35" t="s">
        <v>3712</v>
      </c>
      <c r="O249" s="135" t="str">
        <f>HYPERLINK("https://api.typeform.com/responses/files/2ff98c8072412e0dad09463c0c0e8e912db15ebff0d18a0ed1266cd813237314/Transcript___Game_Quality_Assurance_Intern___Tran_Truong_Lan_Anh.JPG")</f>
        <v>https://api.typeform.com/responses/files/2ff98c8072412e0dad09463c0c0e8e912db15ebff0d18a0ed1266cd813237314/Transcript___Game_Quality_Assurance_Intern___Tran_Truong_Lan_Anh.JPG</v>
      </c>
      <c r="P249" s="35" t="b">
        <v>1</v>
      </c>
      <c r="Q249" s="35" t="s">
        <v>3713</v>
      </c>
      <c r="R249" s="35" t="s">
        <v>3714</v>
      </c>
      <c r="S249" s="35" t="s">
        <v>72</v>
      </c>
      <c r="T249" s="35" t="s">
        <v>72</v>
      </c>
      <c r="U249" s="35" t="s">
        <v>90</v>
      </c>
      <c r="V249" s="35"/>
      <c r="W249" s="35"/>
      <c r="X249" s="200" t="str">
        <f>HYPERLINK("https://api.typeform.com/responses/files/e7fd7a5333616e04e776e3111076e9bcc00a7e40e37ec5e9cc020dfe154c4a0e/CV___Game_Quality_Assurance_Intern___Tran_Truong_Lan_Anh.pdf.pdf")</f>
        <v>https://api.typeform.com/responses/files/e7fd7a5333616e04e776e3111076e9bcc00a7e40e37ec5e9cc020dfe154c4a0e/CV___Game_Quality_Assurance_Intern___Tran_Truong_Lan_Anh.pdf.pdf</v>
      </c>
      <c r="Y249" s="201">
        <v>46140.883101851854</v>
      </c>
      <c r="Z249" s="35" t="s">
        <v>3715</v>
      </c>
      <c r="AA249" s="137">
        <v>2.0</v>
      </c>
      <c r="AB249" s="137" t="s">
        <v>93</v>
      </c>
      <c r="AC249" s="28" t="s">
        <v>6376</v>
      </c>
      <c r="AD249" s="27"/>
      <c r="AE249" s="28"/>
      <c r="AF249" s="137" t="str">
        <f t="shared" si="5"/>
        <v/>
      </c>
      <c r="AG249" s="35"/>
      <c r="AH249" s="35"/>
      <c r="AI249" s="35"/>
      <c r="AJ249" s="35"/>
      <c r="AK249" s="35"/>
      <c r="AL249" s="35"/>
      <c r="AM249" s="35"/>
      <c r="AN249" s="35"/>
      <c r="AO249" s="35"/>
      <c r="AP249" s="35"/>
      <c r="AQ249" s="35"/>
      <c r="AR249" s="35"/>
      <c r="AS249" s="35"/>
      <c r="AT249" s="35"/>
      <c r="AU249" s="35"/>
      <c r="AV249" s="35"/>
      <c r="AW249" s="35"/>
      <c r="AX249" s="35"/>
      <c r="AY249" s="35"/>
      <c r="AZ249" s="35"/>
      <c r="BA249" s="35"/>
    </row>
    <row r="250" ht="17.25" hidden="1" customHeight="1">
      <c r="A250" s="192" t="s">
        <v>3253</v>
      </c>
      <c r="B250" s="193">
        <v>37965.0</v>
      </c>
      <c r="C250" s="192" t="s">
        <v>3254</v>
      </c>
      <c r="D250" s="194" t="s">
        <v>3255</v>
      </c>
      <c r="E250" s="192" t="s">
        <v>82</v>
      </c>
      <c r="F250" s="192" t="s">
        <v>127</v>
      </c>
      <c r="G250" s="35" t="s">
        <v>3256</v>
      </c>
      <c r="H250" s="35" t="s">
        <v>3257</v>
      </c>
      <c r="I250" s="35" t="s">
        <v>326</v>
      </c>
      <c r="J250" s="35"/>
      <c r="K250" s="35" t="s">
        <v>103</v>
      </c>
      <c r="L250" s="35" t="s">
        <v>220</v>
      </c>
      <c r="M250" s="134">
        <v>45938.0</v>
      </c>
      <c r="N250" s="133" t="s">
        <v>105</v>
      </c>
      <c r="O250" s="135" t="str">
        <f>HYPERLINK("https://api.typeform.com/responses/files/a8ae18abc12184f859e395d523ca41b76ea8b37b10bd86a2978dfe88bc5f91b0/Transcript___Data_Analysis_Intern___Lê_Phan_Xuân_Dũng.pdf")</f>
        <v>https://api.typeform.com/responses/files/a8ae18abc12184f859e395d523ca41b76ea8b37b10bd86a2978dfe88bc5f91b0/Transcript___Data_Analysis_Intern___Lê_Phan_Xuân_Dũng.pdf</v>
      </c>
      <c r="P250" s="35" t="b">
        <v>0</v>
      </c>
      <c r="Q250" s="35" t="s">
        <v>222</v>
      </c>
      <c r="R250" s="35" t="s">
        <v>3258</v>
      </c>
      <c r="S250" s="35" t="s">
        <v>72</v>
      </c>
      <c r="T250" s="35" t="s">
        <v>72</v>
      </c>
      <c r="U250" s="35" t="s">
        <v>90</v>
      </c>
      <c r="V250" s="35"/>
      <c r="W250" s="35"/>
      <c r="X250" s="195" t="str">
        <f>HYPERLINK("https://api.typeform.com/responses/files/73dc63d4c8d26934dc624de9481bd65889888d0a873e52ef97f1cc678abe23f1/CV___Data_Analyst_Intern___Lê_Phan_Xuân_Dũng.pdf")</f>
        <v>https://api.typeform.com/responses/files/73dc63d4c8d26934dc624de9481bd65889888d0a873e52ef97f1cc678abe23f1/CV___Data_Analyst_Intern___Lê_Phan_Xuân_Dũng.pdf</v>
      </c>
      <c r="Y250" s="196">
        <v>46140.19559027778</v>
      </c>
      <c r="Z250" s="35" t="s">
        <v>3259</v>
      </c>
      <c r="AA250" s="137">
        <v>2.0</v>
      </c>
      <c r="AB250" s="137" t="s">
        <v>93</v>
      </c>
      <c r="AC250" s="28" t="s">
        <v>6376</v>
      </c>
      <c r="AD250" s="27"/>
      <c r="AE250" s="28"/>
      <c r="AF250" s="137" t="str">
        <f t="shared" si="5"/>
        <v/>
      </c>
      <c r="AG250" s="35"/>
      <c r="AH250" s="35"/>
      <c r="AI250" s="35"/>
      <c r="AJ250" s="35"/>
      <c r="AK250" s="35"/>
      <c r="AL250" s="35"/>
      <c r="AM250" s="35"/>
      <c r="AN250" s="35"/>
      <c r="AO250" s="35"/>
      <c r="AP250" s="35"/>
      <c r="AQ250" s="35"/>
      <c r="AR250" s="35"/>
      <c r="AS250" s="35"/>
      <c r="AT250" s="35"/>
      <c r="AU250" s="35"/>
      <c r="AV250" s="35"/>
      <c r="AW250" s="35"/>
      <c r="AX250" s="35"/>
      <c r="AY250" s="35"/>
      <c r="AZ250" s="35"/>
      <c r="BA250" s="35"/>
    </row>
    <row r="251" ht="17.25" hidden="1" customHeight="1">
      <c r="A251" s="197" t="s">
        <v>4235</v>
      </c>
      <c r="B251" s="198">
        <v>38600.0</v>
      </c>
      <c r="C251" s="197" t="s">
        <v>4236</v>
      </c>
      <c r="D251" s="199" t="s">
        <v>4237</v>
      </c>
      <c r="E251" s="197" t="s">
        <v>62</v>
      </c>
      <c r="F251" s="197" t="s">
        <v>82</v>
      </c>
      <c r="G251" s="35" t="s">
        <v>4238</v>
      </c>
      <c r="H251" s="35" t="s">
        <v>4239</v>
      </c>
      <c r="I251" s="35" t="s">
        <v>326</v>
      </c>
      <c r="J251" s="35"/>
      <c r="K251" s="35" t="s">
        <v>219</v>
      </c>
      <c r="L251" s="35" t="s">
        <v>412</v>
      </c>
      <c r="M251" s="134">
        <v>46721.0</v>
      </c>
      <c r="N251" s="133" t="s">
        <v>1456</v>
      </c>
      <c r="O251" s="135" t="str">
        <f>HYPERLINK("https://api.typeform.com/responses/files/e8ea1d88e1bd4399c5ad09ad672a938de3dfbc44dde05afb0c642124036c99f2/Transcript_AI_Engineering_Intern_Phan_Huynh_Chau_Thinh.pdf")</f>
        <v>https://api.typeform.com/responses/files/e8ea1d88e1bd4399c5ad09ad672a938de3dfbc44dde05afb0c642124036c99f2/Transcript_AI_Engineering_Intern_Phan_Huynh_Chau_Thinh.pdf</v>
      </c>
      <c r="P251" s="35" t="b">
        <v>1</v>
      </c>
      <c r="Q251" s="35" t="s">
        <v>4240</v>
      </c>
      <c r="R251" s="35" t="s">
        <v>4241</v>
      </c>
      <c r="S251" s="35" t="s">
        <v>72</v>
      </c>
      <c r="T251" s="35" t="s">
        <v>72</v>
      </c>
      <c r="U251" s="138" t="s">
        <v>269</v>
      </c>
      <c r="V251" s="35"/>
      <c r="W251" s="35" t="s">
        <v>4242</v>
      </c>
      <c r="X251" s="200" t="str">
        <f>HYPERLINK("https://api.typeform.com/responses/files/56b272a3d7c7d9ec19e7efd7803580f4bbe24cc8f9935b65f7e634d26ea8d94c/CV_AI_Engineering_Intern_Phan_Huynh_Chau_Thinh.pdf")</f>
        <v>https://api.typeform.com/responses/files/56b272a3d7c7d9ec19e7efd7803580f4bbe24cc8f9935b65f7e634d26ea8d94c/CV_AI_Engineering_Intern_Phan_Huynh_Chau_Thinh.pdf</v>
      </c>
      <c r="Y251" s="201">
        <v>46143.16292824074</v>
      </c>
      <c r="Z251" s="35" t="s">
        <v>4243</v>
      </c>
      <c r="AA251" s="137">
        <v>2.0</v>
      </c>
      <c r="AB251" s="139" t="s">
        <v>6381</v>
      </c>
      <c r="AC251" s="28" t="s">
        <v>6377</v>
      </c>
      <c r="AD251" s="27"/>
      <c r="AE251" s="28" t="s">
        <v>6379</v>
      </c>
      <c r="AF251" s="137" t="str">
        <f t="shared" si="5"/>
        <v>Quỳnh</v>
      </c>
      <c r="AG251" s="35"/>
      <c r="AH251" s="35"/>
      <c r="AI251" s="35"/>
      <c r="AJ251" s="35"/>
      <c r="AK251" s="35"/>
      <c r="AL251" s="35"/>
      <c r="AM251" s="35"/>
      <c r="AN251" s="35"/>
      <c r="AO251" s="35"/>
      <c r="AP251" s="35"/>
      <c r="AQ251" s="35"/>
      <c r="AR251" s="35"/>
      <c r="AS251" s="35"/>
      <c r="AT251" s="35"/>
      <c r="AU251" s="35"/>
      <c r="AV251" s="35"/>
      <c r="AW251" s="35"/>
      <c r="AX251" s="35"/>
      <c r="AY251" s="35"/>
      <c r="AZ251" s="35"/>
      <c r="BA251" s="35"/>
    </row>
    <row r="252" ht="17.25" hidden="1" customHeight="1">
      <c r="A252" s="192" t="s">
        <v>2715</v>
      </c>
      <c r="B252" s="193">
        <v>38230.0</v>
      </c>
      <c r="C252" s="192" t="s">
        <v>2716</v>
      </c>
      <c r="D252" s="194" t="s">
        <v>2717</v>
      </c>
      <c r="E252" s="192" t="s">
        <v>82</v>
      </c>
      <c r="F252" s="192" t="s">
        <v>62</v>
      </c>
      <c r="G252" s="35" t="s">
        <v>2718</v>
      </c>
      <c r="H252" s="35" t="s">
        <v>2719</v>
      </c>
      <c r="I252" s="35" t="s">
        <v>715</v>
      </c>
      <c r="J252" s="35"/>
      <c r="K252" s="35" t="s">
        <v>67</v>
      </c>
      <c r="L252" s="35" t="s">
        <v>399</v>
      </c>
      <c r="M252" s="134">
        <v>46341.0</v>
      </c>
      <c r="N252" s="133" t="s">
        <v>2720</v>
      </c>
      <c r="O252" s="135" t="str">
        <f>HYPERLINK("https://api.typeform.com/responses/files/3903894c42a7e8f0c2b4bdca156888493bb282e24fc91a0d4a322558b690f288/CV___Data_Analysis_Intern___Phan_Thảo_Vy.xlsx")</f>
        <v>https://api.typeform.com/responses/files/3903894c42a7e8f0c2b4bdca156888493bb282e24fc91a0d4a322558b690f288/CV___Data_Analysis_Intern___Phan_Thảo_Vy.xlsx</v>
      </c>
      <c r="P252" s="35" t="b">
        <v>1</v>
      </c>
      <c r="Q252" s="43" t="s">
        <v>2721</v>
      </c>
      <c r="R252" s="35" t="s">
        <v>2722</v>
      </c>
      <c r="S252" s="35" t="s">
        <v>72</v>
      </c>
      <c r="T252" s="35" t="s">
        <v>72</v>
      </c>
      <c r="U252" s="35" t="s">
        <v>269</v>
      </c>
      <c r="V252" s="35"/>
      <c r="W252" s="35" t="s">
        <v>2723</v>
      </c>
      <c r="X252" s="195" t="str">
        <f>HYPERLINK("https://api.typeform.com/responses/files/c6eb1de938c3bcd00c9460c5ab60db6d96b4de6b05110054d261b9b46e86f22a/CV___Data_Analysis_Intern___Phan_Thảo_Vy.pdf")</f>
        <v>https://api.typeform.com/responses/files/c6eb1de938c3bcd00c9460c5ab60db6d96b4de6b05110054d261b9b46e86f22a/CV___Data_Analysis_Intern___Phan_Thảo_Vy.pdf</v>
      </c>
      <c r="Y252" s="196">
        <v>46139.330104166664</v>
      </c>
      <c r="Z252" s="35" t="s">
        <v>2724</v>
      </c>
      <c r="AA252" s="137">
        <v>2.0</v>
      </c>
      <c r="AB252" s="137" t="s">
        <v>93</v>
      </c>
      <c r="AC252" s="28" t="s">
        <v>6376</v>
      </c>
      <c r="AD252" s="27"/>
      <c r="AE252" s="28"/>
      <c r="AF252" s="137" t="str">
        <f t="shared" si="5"/>
        <v/>
      </c>
      <c r="AG252" s="35"/>
      <c r="AH252" s="35"/>
      <c r="AI252" s="35"/>
      <c r="AJ252" s="35"/>
      <c r="AK252" s="35"/>
      <c r="AL252" s="35"/>
      <c r="AM252" s="35"/>
      <c r="AN252" s="35"/>
      <c r="AO252" s="35"/>
      <c r="AP252" s="35"/>
      <c r="AQ252" s="35"/>
      <c r="AR252" s="35"/>
      <c r="AS252" s="35"/>
      <c r="AT252" s="35"/>
      <c r="AU252" s="35"/>
      <c r="AV252" s="35"/>
      <c r="AW252" s="35"/>
      <c r="AX252" s="35"/>
      <c r="AY252" s="35"/>
      <c r="AZ252" s="35"/>
      <c r="BA252" s="35"/>
    </row>
    <row r="253" ht="17.25" hidden="1" customHeight="1">
      <c r="A253" s="197" t="s">
        <v>4217</v>
      </c>
      <c r="B253" s="198">
        <v>38653.0</v>
      </c>
      <c r="C253" s="197" t="s">
        <v>4218</v>
      </c>
      <c r="D253" s="199" t="s">
        <v>4219</v>
      </c>
      <c r="E253" s="197" t="s">
        <v>82</v>
      </c>
      <c r="F253" s="197" t="s">
        <v>62</v>
      </c>
      <c r="G253" s="35" t="s">
        <v>4220</v>
      </c>
      <c r="H253" s="35" t="s">
        <v>4221</v>
      </c>
      <c r="I253" s="35" t="s">
        <v>2281</v>
      </c>
      <c r="J253" s="35"/>
      <c r="K253" s="35" t="s">
        <v>219</v>
      </c>
      <c r="L253" s="35" t="s">
        <v>4222</v>
      </c>
      <c r="M253" s="134">
        <v>46418.0</v>
      </c>
      <c r="N253" s="133" t="s">
        <v>2503</v>
      </c>
      <c r="O253" s="135" t="str">
        <f>HYPERLINK("https://api.typeform.com/responses/files/7278cbe0b440cfdef0be431f400eca781f0d189f79eb7e9cfdf1c671ee24c2cb/Transcript___Data_Analysis_Intern___Nguyễn_Lê_Yến_Nhi.pdf")</f>
        <v>https://api.typeform.com/responses/files/7278cbe0b440cfdef0be431f400eca781f0d189f79eb7e9cfdf1c671ee24c2cb/Transcript___Data_Analysis_Intern___Nguyễn_Lê_Yến_Nhi.pdf</v>
      </c>
      <c r="P253" s="35" t="b">
        <v>0</v>
      </c>
      <c r="Q253" s="35" t="s">
        <v>300</v>
      </c>
      <c r="R253" s="35" t="s">
        <v>4223</v>
      </c>
      <c r="S253" s="35" t="s">
        <v>72</v>
      </c>
      <c r="T253" s="35" t="s">
        <v>72</v>
      </c>
      <c r="U253" s="35" t="s">
        <v>4224</v>
      </c>
      <c r="V253" s="35"/>
      <c r="W253" s="35" t="s">
        <v>4225</v>
      </c>
      <c r="X253" s="200" t="str">
        <f>HYPERLINK("https://api.typeform.com/responses/files/662e16d885e161527b5359aec37737fb3a1e8e9d960ed718cdb123fb50941893/CV___Data_Analysis_Intern___Nguyễn_Lê_Yến_Nhi.pdf")</f>
        <v>https://api.typeform.com/responses/files/662e16d885e161527b5359aec37737fb3a1e8e9d960ed718cdb123fb50941893/CV___Data_Analysis_Intern___Nguyễn_Lê_Yến_Nhi.pdf</v>
      </c>
      <c r="Y253" s="201">
        <v>46142.65207175926</v>
      </c>
      <c r="Z253" s="35" t="s">
        <v>4226</v>
      </c>
      <c r="AA253" s="137">
        <v>2.0</v>
      </c>
      <c r="AB253" s="137" t="s">
        <v>93</v>
      </c>
      <c r="AC253" s="28" t="s">
        <v>6376</v>
      </c>
      <c r="AD253" s="27"/>
      <c r="AE253" s="28"/>
      <c r="AF253" s="137" t="str">
        <f t="shared" si="5"/>
        <v/>
      </c>
      <c r="AG253" s="35"/>
      <c r="AH253" s="35"/>
      <c r="AI253" s="35"/>
      <c r="AJ253" s="35"/>
      <c r="AK253" s="35"/>
      <c r="AL253" s="35"/>
      <c r="AM253" s="35"/>
      <c r="AN253" s="35"/>
      <c r="AO253" s="35"/>
      <c r="AP253" s="35"/>
      <c r="AQ253" s="35"/>
      <c r="AR253" s="35"/>
      <c r="AS253" s="35"/>
      <c r="AT253" s="35"/>
      <c r="AU253" s="35"/>
      <c r="AV253" s="35"/>
      <c r="AW253" s="35"/>
      <c r="AX253" s="35"/>
      <c r="AY253" s="35"/>
      <c r="AZ253" s="35"/>
      <c r="BA253" s="35"/>
    </row>
    <row r="254" ht="17.25" customHeight="1">
      <c r="A254" s="192" t="s">
        <v>3753</v>
      </c>
      <c r="B254" s="193">
        <v>38608.0</v>
      </c>
      <c r="C254" s="192" t="s">
        <v>3754</v>
      </c>
      <c r="D254" s="194" t="s">
        <v>3755</v>
      </c>
      <c r="E254" s="192" t="s">
        <v>633</v>
      </c>
      <c r="F254" s="192" t="s">
        <v>633</v>
      </c>
      <c r="G254" s="35" t="s">
        <v>3756</v>
      </c>
      <c r="H254" s="35" t="s">
        <v>3757</v>
      </c>
      <c r="I254" s="35" t="s">
        <v>842</v>
      </c>
      <c r="J254" s="35"/>
      <c r="K254" s="35" t="s">
        <v>219</v>
      </c>
      <c r="L254" s="35" t="s">
        <v>3758</v>
      </c>
      <c r="M254" s="134">
        <v>46387.0</v>
      </c>
      <c r="N254" s="35" t="s">
        <v>3759</v>
      </c>
      <c r="O254" s="135" t="str">
        <f>HYPERLINK("https://api.typeform.com/responses/files/3eb718a363b111f561d1c6ba1f16cea0b99d2dacb4ea8a61cf7bad9c0f580958/Transcript___HR_Intern___Võ_Phạm_Gia_Long.pdf")</f>
        <v>https://api.typeform.com/responses/files/3eb718a363b111f561d1c6ba1f16cea0b99d2dacb4ea8a61cf7bad9c0f580958/Transcript___HR_Intern___Võ_Phạm_Gia_Long.pdf</v>
      </c>
      <c r="P254" s="35" t="b">
        <v>1</v>
      </c>
      <c r="Q254" s="35" t="s">
        <v>3760</v>
      </c>
      <c r="R254" s="35" t="s">
        <v>3761</v>
      </c>
      <c r="S254" s="35" t="s">
        <v>72</v>
      </c>
      <c r="T254" s="35" t="s">
        <v>72</v>
      </c>
      <c r="U254" s="35" t="s">
        <v>3762</v>
      </c>
      <c r="V254" s="35"/>
      <c r="W254" s="35" t="s">
        <v>3763</v>
      </c>
      <c r="X254" s="195" t="str">
        <f>HYPERLINK("https://api.typeform.com/responses/files/743556302d7fe191f5ae9124af2d2a767f43c739ec93bd653b1cd503d99ad6f7/CV___HR_Intern___Võ_Phạm_Gia_Long.pdf")</f>
        <v>https://api.typeform.com/responses/files/743556302d7fe191f5ae9124af2d2a767f43c739ec93bd653b1cd503d99ad6f7/CV___HR_Intern___Võ_Phạm_Gia_Long.pdf</v>
      </c>
      <c r="Y254" s="196">
        <v>46141.1541087963</v>
      </c>
      <c r="Z254" s="35" t="s">
        <v>3764</v>
      </c>
      <c r="AA254" s="137">
        <v>2.0</v>
      </c>
      <c r="AB254" s="203" t="s">
        <v>93</v>
      </c>
      <c r="AC254" s="28" t="s">
        <v>6377</v>
      </c>
      <c r="AD254" s="27"/>
      <c r="AE254" s="28" t="s">
        <v>6403</v>
      </c>
      <c r="AF254" s="137" t="s">
        <v>76</v>
      </c>
      <c r="AG254" s="35"/>
      <c r="AH254" s="35"/>
      <c r="AI254" s="35"/>
      <c r="AJ254" s="35"/>
      <c r="AK254" s="35"/>
      <c r="AL254" s="35"/>
      <c r="AM254" s="35"/>
      <c r="AN254" s="35"/>
      <c r="AO254" s="35"/>
      <c r="AP254" s="35"/>
      <c r="AQ254" s="35"/>
      <c r="AR254" s="35"/>
      <c r="AS254" s="35"/>
      <c r="AT254" s="35"/>
      <c r="AU254" s="35"/>
      <c r="AV254" s="35"/>
      <c r="AW254" s="35"/>
      <c r="AX254" s="35"/>
      <c r="AY254" s="35"/>
      <c r="AZ254" s="35"/>
      <c r="BA254" s="35"/>
    </row>
    <row r="255" ht="17.25" customHeight="1">
      <c r="A255" s="197" t="s">
        <v>3765</v>
      </c>
      <c r="B255" s="198">
        <v>38306.0</v>
      </c>
      <c r="C255" s="197" t="s">
        <v>3766</v>
      </c>
      <c r="D255" s="199" t="s">
        <v>3767</v>
      </c>
      <c r="E255" s="197" t="s">
        <v>633</v>
      </c>
      <c r="F255" s="197" t="s">
        <v>633</v>
      </c>
      <c r="G255" s="35" t="s">
        <v>3768</v>
      </c>
      <c r="H255" s="35" t="s">
        <v>3769</v>
      </c>
      <c r="I255" s="35" t="s">
        <v>244</v>
      </c>
      <c r="J255" s="35"/>
      <c r="K255" s="35" t="s">
        <v>67</v>
      </c>
      <c r="L255" s="35" t="s">
        <v>1630</v>
      </c>
      <c r="M255" s="134">
        <v>46567.0</v>
      </c>
      <c r="N255" s="133" t="s">
        <v>299</v>
      </c>
      <c r="O255" s="135" t="str">
        <f>HYPERLINK("https://api.typeform.com/responses/files/1a2e74a3aa3a9c42ed7f54d18a8ae2c8a2552f37bb82bae151bba31c4dceba16/Transcript_HR_INTERN_HO_NGOC_NHUNG.pdf")</f>
        <v>https://api.typeform.com/responses/files/1a2e74a3aa3a9c42ed7f54d18a8ae2c8a2552f37bb82bae151bba31c4dceba16/Transcript_HR_INTERN_HO_NGOC_NHUNG.pdf</v>
      </c>
      <c r="P255" s="35" t="b">
        <v>1</v>
      </c>
      <c r="Q255" s="35" t="s">
        <v>3770</v>
      </c>
      <c r="R255" s="35" t="s">
        <v>3771</v>
      </c>
      <c r="S255" s="35" t="s">
        <v>72</v>
      </c>
      <c r="T255" s="35" t="s">
        <v>72</v>
      </c>
      <c r="U255" s="35" t="s">
        <v>73</v>
      </c>
      <c r="V255" s="35"/>
      <c r="W255" s="35" t="s">
        <v>3772</v>
      </c>
      <c r="X255" s="200" t="str">
        <f>HYPERLINK("https://api.typeform.com/responses/files/a8f9730e9aae6bf78af572cea425980cd5f8e270f11e147ef1293750f2f584e2/CV_HR_INTERN_HO_NGOC_NHUNG_SUNSTUDIO..pdf")</f>
        <v>https://api.typeform.com/responses/files/a8f9730e9aae6bf78af572cea425980cd5f8e270f11e147ef1293750f2f584e2/CV_HR_INTERN_HO_NGOC_NHUNG_SUNSTUDIO..pdf</v>
      </c>
      <c r="Y255" s="201">
        <v>46141.16365740741</v>
      </c>
      <c r="Z255" s="35" t="s">
        <v>3773</v>
      </c>
      <c r="AA255" s="137">
        <v>2.0</v>
      </c>
      <c r="AB255" s="203" t="s">
        <v>93</v>
      </c>
      <c r="AC255" s="28" t="s">
        <v>6377</v>
      </c>
      <c r="AD255" s="27"/>
      <c r="AE255" s="28" t="s">
        <v>6403</v>
      </c>
      <c r="AF255" s="137" t="s">
        <v>76</v>
      </c>
      <c r="AG255" s="35"/>
      <c r="AH255" s="35"/>
      <c r="AI255" s="35"/>
      <c r="AJ255" s="35"/>
      <c r="AK255" s="35"/>
      <c r="AL255" s="35"/>
      <c r="AM255" s="35"/>
      <c r="AN255" s="35"/>
      <c r="AO255" s="35"/>
      <c r="AP255" s="35"/>
      <c r="AQ255" s="35"/>
      <c r="AR255" s="35"/>
      <c r="AS255" s="35"/>
      <c r="AT255" s="35"/>
      <c r="AU255" s="35"/>
      <c r="AV255" s="35"/>
      <c r="AW255" s="35"/>
      <c r="AX255" s="35"/>
      <c r="AY255" s="35"/>
      <c r="AZ255" s="35"/>
      <c r="BA255" s="35"/>
    </row>
    <row r="256" ht="17.25" hidden="1" customHeight="1">
      <c r="A256" s="192" t="s">
        <v>3227</v>
      </c>
      <c r="B256" s="193">
        <v>38210.0</v>
      </c>
      <c r="C256" s="192" t="s">
        <v>3228</v>
      </c>
      <c r="D256" s="194" t="s">
        <v>3229</v>
      </c>
      <c r="E256" s="192" t="s">
        <v>82</v>
      </c>
      <c r="F256" s="192" t="s">
        <v>62</v>
      </c>
      <c r="G256" s="35" t="s">
        <v>3230</v>
      </c>
      <c r="H256" s="35" t="s">
        <v>3231</v>
      </c>
      <c r="I256" s="35" t="s">
        <v>65</v>
      </c>
      <c r="J256" s="35" t="s">
        <v>3232</v>
      </c>
      <c r="K256" s="35" t="s">
        <v>67</v>
      </c>
      <c r="L256" s="35" t="s">
        <v>384</v>
      </c>
      <c r="M256" s="134">
        <v>46235.0</v>
      </c>
      <c r="N256" s="133" t="s">
        <v>147</v>
      </c>
      <c r="O256" s="135" t="str">
        <f>HYPERLINK("https://api.typeform.com/responses/files/4900966993706cbddb33f3d6008e9f2432117031fd7a1f0e7e8a2ca86ac4f4e6/Transcript___Data_Analyst_Intern___Nguyen_Van_Quoc.pdf")</f>
        <v>https://api.typeform.com/responses/files/4900966993706cbddb33f3d6008e9f2432117031fd7a1f0e7e8a2ca86ac4f4e6/Transcript___Data_Analyst_Intern___Nguyen_Van_Quoc.pdf</v>
      </c>
      <c r="P256" s="35" t="b">
        <v>1</v>
      </c>
      <c r="Q256" s="35" t="s">
        <v>3233</v>
      </c>
      <c r="R256" s="35" t="s">
        <v>3234</v>
      </c>
      <c r="S256" s="35" t="s">
        <v>72</v>
      </c>
      <c r="T256" s="35" t="s">
        <v>72</v>
      </c>
      <c r="U256" s="35" t="s">
        <v>3235</v>
      </c>
      <c r="V256" s="35"/>
      <c r="W256" s="35"/>
      <c r="X256" s="195" t="str">
        <f>HYPERLINK("https://api.typeform.com/responses/files/45f12a77ddba46f770b4660ac5d2f878e99ef2e4f19c3fc2e53c3cefbacfe839/CV_Data_Analysis_Intern___Nguyen_Van_Quoc.pdf")</f>
        <v>https://api.typeform.com/responses/files/45f12a77ddba46f770b4660ac5d2f878e99ef2e4f19c3fc2e53c3cefbacfe839/CV_Data_Analysis_Intern___Nguyen_Van_Quoc.pdf</v>
      </c>
      <c r="Y256" s="196">
        <v>46140.19298611111</v>
      </c>
      <c r="Z256" s="35" t="s">
        <v>3236</v>
      </c>
      <c r="AA256" s="137">
        <v>2.0</v>
      </c>
      <c r="AB256" s="137" t="s">
        <v>93</v>
      </c>
      <c r="AC256" s="28" t="s">
        <v>6376</v>
      </c>
      <c r="AD256" s="27"/>
      <c r="AE256" s="28"/>
      <c r="AF256" s="137" t="str">
        <f t="shared" ref="AF256:AF266" si="6">IFERROR(
  IFS(
    AND(OR(AE256="Test",AE256="Chờ test",AE256="Test Review",AE256="Passed",AE256="Failed"), OR(E256="Game User Acquisition Intern",E256="Game Design Intern")), "Nhiên",
    AND(OR(AE256="Test",AE256="Chờ test",AE256="Test Review",AE256="Passed",AE256="Failed"), E256&lt;&gt;"Human Resources Intern", NOT(OR(E256="Game User Acquisition Intern",E256="Game Design Intern"))), "Quỳnh",
    AND(OR(AE256="Test",AE256="Chờ test",AE256="Test Review",AE256="Passed",AE256="Failed"), E256="Human Resources Intern"), "Chờ assign"
  ),
"")</f>
        <v/>
      </c>
      <c r="AG256" s="35"/>
      <c r="AH256" s="35"/>
      <c r="AI256" s="35"/>
      <c r="AJ256" s="35"/>
      <c r="AK256" s="35"/>
      <c r="AL256" s="35"/>
      <c r="AM256" s="35"/>
      <c r="AN256" s="35"/>
      <c r="AO256" s="35"/>
      <c r="AP256" s="35"/>
      <c r="AQ256" s="35"/>
      <c r="AR256" s="35"/>
      <c r="AS256" s="35"/>
      <c r="AT256" s="35"/>
      <c r="AU256" s="35"/>
      <c r="AV256" s="35"/>
      <c r="AW256" s="35"/>
      <c r="AX256" s="35"/>
      <c r="AY256" s="35"/>
      <c r="AZ256" s="35"/>
      <c r="BA256" s="35"/>
    </row>
    <row r="257" ht="17.25" hidden="1" customHeight="1">
      <c r="A257" s="197" t="s">
        <v>3260</v>
      </c>
      <c r="B257" s="198">
        <v>38356.0</v>
      </c>
      <c r="C257" s="197" t="s">
        <v>3261</v>
      </c>
      <c r="D257" s="199" t="s">
        <v>3262</v>
      </c>
      <c r="E257" s="197" t="s">
        <v>82</v>
      </c>
      <c r="F257" s="197" t="s">
        <v>82</v>
      </c>
      <c r="G257" s="35" t="s">
        <v>3263</v>
      </c>
      <c r="H257" s="35" t="s">
        <v>3264</v>
      </c>
      <c r="I257" s="35" t="s">
        <v>65</v>
      </c>
      <c r="J257" s="35" t="s">
        <v>3265</v>
      </c>
      <c r="K257" s="35" t="s">
        <v>219</v>
      </c>
      <c r="L257" s="35" t="s">
        <v>86</v>
      </c>
      <c r="M257" s="134">
        <v>46539.0</v>
      </c>
      <c r="N257" s="133" t="s">
        <v>147</v>
      </c>
      <c r="O257" s="135" t="str">
        <f>HYPERLINK("https://api.typeform.com/responses/files/06a72adec2ec70f02eca43134146773001ba633156a92ee9da456351a7b9d274/Transcript___Data_Analysis_Intern___Biện_Hữu_Khang.png")</f>
        <v>https://api.typeform.com/responses/files/06a72adec2ec70f02eca43134146773001ba633156a92ee9da456351a7b9d274/Transcript___Data_Analysis_Intern___Biện_Hữu_Khang.png</v>
      </c>
      <c r="P257" s="35" t="b">
        <v>1</v>
      </c>
      <c r="Q257" s="35" t="s">
        <v>3266</v>
      </c>
      <c r="R257" s="35" t="s">
        <v>3267</v>
      </c>
      <c r="S257" s="35" t="s">
        <v>72</v>
      </c>
      <c r="T257" s="35" t="s">
        <v>72</v>
      </c>
      <c r="U257" s="35" t="s">
        <v>3268</v>
      </c>
      <c r="V257" s="35"/>
      <c r="W257" s="35" t="s">
        <v>3269</v>
      </c>
      <c r="X257" s="200" t="str">
        <f>HYPERLINK("https://api.typeform.com/responses/files/0b96e23d90d650bc4a29633ac1bd316ff1585684b19e17981280660557a3cc24/CV___Data_Analysis_Intern___Biện_Hữu_Khang.pdf")</f>
        <v>https://api.typeform.com/responses/files/0b96e23d90d650bc4a29633ac1bd316ff1585684b19e17981280660557a3cc24/CV___Data_Analysis_Intern___Biện_Hữu_Khang.pdf</v>
      </c>
      <c r="Y257" s="201">
        <v>46140.20369212963</v>
      </c>
      <c r="Z257" s="35" t="s">
        <v>3270</v>
      </c>
      <c r="AA257" s="137">
        <v>2.0</v>
      </c>
      <c r="AB257" s="137" t="s">
        <v>93</v>
      </c>
      <c r="AC257" s="28" t="s">
        <v>6376</v>
      </c>
      <c r="AD257" s="27"/>
      <c r="AE257" s="28"/>
      <c r="AF257" s="137" t="str">
        <f t="shared" si="6"/>
        <v/>
      </c>
      <c r="AG257" s="35"/>
      <c r="AH257" s="35"/>
      <c r="AI257" s="35"/>
      <c r="AJ257" s="35"/>
      <c r="AK257" s="35"/>
      <c r="AL257" s="35"/>
      <c r="AM257" s="35"/>
      <c r="AN257" s="35"/>
      <c r="AO257" s="35"/>
      <c r="AP257" s="35"/>
      <c r="AQ257" s="35"/>
      <c r="AR257" s="35"/>
      <c r="AS257" s="35"/>
      <c r="AT257" s="35"/>
      <c r="AU257" s="35"/>
      <c r="AV257" s="35"/>
      <c r="AW257" s="35"/>
      <c r="AX257" s="35"/>
      <c r="AY257" s="35"/>
      <c r="AZ257" s="35"/>
      <c r="BA257" s="35"/>
    </row>
    <row r="258" ht="17.25" hidden="1" customHeight="1">
      <c r="A258" s="192" t="s">
        <v>3639</v>
      </c>
      <c r="B258" s="193">
        <v>38350.0</v>
      </c>
      <c r="C258" s="192" t="s">
        <v>3640</v>
      </c>
      <c r="D258" s="194" t="s">
        <v>3641</v>
      </c>
      <c r="E258" s="192" t="s">
        <v>82</v>
      </c>
      <c r="F258" s="192" t="s">
        <v>82</v>
      </c>
      <c r="G258" s="35" t="s">
        <v>3642</v>
      </c>
      <c r="H258" s="35" t="s">
        <v>3643</v>
      </c>
      <c r="I258" s="35" t="s">
        <v>85</v>
      </c>
      <c r="J258" s="35"/>
      <c r="K258" s="35" t="s">
        <v>67</v>
      </c>
      <c r="L258" s="35" t="s">
        <v>581</v>
      </c>
      <c r="M258" s="134">
        <v>46539.0</v>
      </c>
      <c r="N258" s="133" t="s">
        <v>147</v>
      </c>
      <c r="O258" s="135" t="str">
        <f>HYPERLINK("https://api.typeform.com/responses/files/01e07568ab9ffca741156a54b113fb2915a844e8326f0d9f88423da48a6be628/Transcript___Data_Analysis_Intern___Nguyễn_Quốc_Huy.pdf")</f>
        <v>https://api.typeform.com/responses/files/01e07568ab9ffca741156a54b113fb2915a844e8326f0d9f88423da48a6be628/Transcript___Data_Analysis_Intern___Nguyễn_Quốc_Huy.pdf</v>
      </c>
      <c r="P258" s="35" t="b">
        <v>0</v>
      </c>
      <c r="Q258" s="35" t="s">
        <v>401</v>
      </c>
      <c r="R258" s="35" t="s">
        <v>3644</v>
      </c>
      <c r="S258" s="35" t="s">
        <v>72</v>
      </c>
      <c r="T258" s="35" t="s">
        <v>72</v>
      </c>
      <c r="U258" s="35" t="s">
        <v>73</v>
      </c>
      <c r="V258" s="35"/>
      <c r="W258" s="35" t="s">
        <v>401</v>
      </c>
      <c r="X258" s="195" t="str">
        <f>HYPERLINK("https://api.typeform.com/responses/files/ab0677562a7554faf9cc03fdd1f40749a71fda9c076fede83248b0fba552be69/CV___Data_Analysis_Intern___Nguyễn_Quốc_Huy.pdf")</f>
        <v>https://api.typeform.com/responses/files/ab0677562a7554faf9cc03fdd1f40749a71fda9c076fede83248b0fba552be69/CV___Data_Analysis_Intern___Nguyễn_Quốc_Huy.pdf</v>
      </c>
      <c r="Y258" s="196">
        <v>46140.62577546296</v>
      </c>
      <c r="Z258" s="35" t="s">
        <v>3645</v>
      </c>
      <c r="AA258" s="137">
        <v>2.0</v>
      </c>
      <c r="AB258" s="137" t="s">
        <v>93</v>
      </c>
      <c r="AC258" s="28" t="s">
        <v>6376</v>
      </c>
      <c r="AD258" s="27"/>
      <c r="AE258" s="28"/>
      <c r="AF258" s="137" t="str">
        <f t="shared" si="6"/>
        <v/>
      </c>
      <c r="AG258" s="35"/>
      <c r="AH258" s="35"/>
      <c r="AI258" s="35"/>
      <c r="AJ258" s="35"/>
      <c r="AK258" s="35"/>
      <c r="AL258" s="35"/>
      <c r="AM258" s="35"/>
      <c r="AN258" s="35"/>
      <c r="AO258" s="35"/>
      <c r="AP258" s="35"/>
      <c r="AQ258" s="35"/>
      <c r="AR258" s="35"/>
      <c r="AS258" s="35"/>
      <c r="AT258" s="35"/>
      <c r="AU258" s="35"/>
      <c r="AV258" s="35"/>
      <c r="AW258" s="35"/>
      <c r="AX258" s="35"/>
      <c r="AY258" s="35"/>
      <c r="AZ258" s="35"/>
      <c r="BA258" s="35"/>
    </row>
    <row r="259" ht="17.25" hidden="1" customHeight="1">
      <c r="A259" s="197" t="s">
        <v>452</v>
      </c>
      <c r="B259" s="198">
        <v>38215.0</v>
      </c>
      <c r="C259" s="197" t="s">
        <v>453</v>
      </c>
      <c r="D259" s="199" t="s">
        <v>454</v>
      </c>
      <c r="E259" s="197" t="s">
        <v>61</v>
      </c>
      <c r="F259" s="197" t="s">
        <v>99</v>
      </c>
      <c r="G259" s="35" t="s">
        <v>3803</v>
      </c>
      <c r="H259" s="35" t="s">
        <v>3804</v>
      </c>
      <c r="I259" s="35" t="s">
        <v>144</v>
      </c>
      <c r="J259" s="35"/>
      <c r="K259" s="35" t="s">
        <v>103</v>
      </c>
      <c r="L259" s="35" t="s">
        <v>3009</v>
      </c>
      <c r="M259" s="134">
        <v>45981.0</v>
      </c>
      <c r="N259" s="133" t="s">
        <v>458</v>
      </c>
      <c r="O259" s="135" t="str">
        <f>HYPERLINK("https://api.typeform.com/responses/files/0b811d1e88c29c52575709f06b43dba7d2450a65f017475bf2f2d66971c2f58a/Bảng_điểm__FPT_Polytechnic.pdf")</f>
        <v>https://api.typeform.com/responses/files/0b811d1e88c29c52575709f06b43dba7d2450a65f017475bf2f2d66971c2f58a/Bảng_điểm__FPT_Polytechnic.pdf</v>
      </c>
      <c r="P259" s="35" t="b">
        <v>1</v>
      </c>
      <c r="Q259" s="35" t="s">
        <v>3805</v>
      </c>
      <c r="R259" s="35" t="s">
        <v>460</v>
      </c>
      <c r="S259" s="35" t="s">
        <v>72</v>
      </c>
      <c r="T259" s="35" t="s">
        <v>72</v>
      </c>
      <c r="U259" s="35" t="s">
        <v>73</v>
      </c>
      <c r="V259" s="35"/>
      <c r="W259" s="35" t="s">
        <v>3806</v>
      </c>
      <c r="X259" s="200" t="str">
        <f>HYPERLINK("https://api.typeform.com/responses/files/e2a2b48b08e0a69da089c5f0c3b8d7cdcf9b2d77ce5339e2f2fae26d87c9a38d/NguyenThanhHien.pdf")</f>
        <v>https://api.typeform.com/responses/files/e2a2b48b08e0a69da089c5f0c3b8d7cdcf9b2d77ce5339e2f2fae26d87c9a38d/NguyenThanhHien.pdf</v>
      </c>
      <c r="Y259" s="201">
        <v>46141.21119212963</v>
      </c>
      <c r="Z259" s="35" t="s">
        <v>3807</v>
      </c>
      <c r="AA259" s="137">
        <v>2.0</v>
      </c>
      <c r="AB259" s="137" t="s">
        <v>93</v>
      </c>
      <c r="AC259" s="28" t="s">
        <v>6388</v>
      </c>
      <c r="AD259" s="28" t="s">
        <v>6504</v>
      </c>
      <c r="AE259" s="28" t="s">
        <v>6376</v>
      </c>
      <c r="AF259" s="137" t="str">
        <f t="shared" si="6"/>
        <v>Quỳnh</v>
      </c>
      <c r="AG259" s="35"/>
      <c r="AH259" s="35"/>
      <c r="AI259" s="35"/>
      <c r="AJ259" s="35"/>
      <c r="AK259" s="35"/>
      <c r="AL259" s="35"/>
      <c r="AM259" s="35"/>
      <c r="AN259" s="35"/>
      <c r="AO259" s="35"/>
      <c r="AP259" s="35"/>
      <c r="AQ259" s="35"/>
      <c r="AR259" s="35"/>
      <c r="AS259" s="35"/>
      <c r="AT259" s="35"/>
      <c r="AU259" s="35"/>
      <c r="AV259" s="35"/>
      <c r="AW259" s="35"/>
      <c r="AX259" s="35"/>
      <c r="AY259" s="35"/>
      <c r="AZ259" s="35"/>
      <c r="BA259" s="35"/>
    </row>
    <row r="260" ht="17.25" hidden="1" customHeight="1">
      <c r="A260" s="192" t="s">
        <v>3510</v>
      </c>
      <c r="B260" s="193">
        <v>38617.0</v>
      </c>
      <c r="C260" s="192" t="s">
        <v>3511</v>
      </c>
      <c r="D260" s="194" t="s">
        <v>3512</v>
      </c>
      <c r="E260" s="192" t="s">
        <v>62</v>
      </c>
      <c r="F260" s="192" t="s">
        <v>82</v>
      </c>
      <c r="G260" s="35" t="s">
        <v>3513</v>
      </c>
      <c r="H260" s="35" t="s">
        <v>3514</v>
      </c>
      <c r="I260" s="35" t="s">
        <v>326</v>
      </c>
      <c r="J260" s="35"/>
      <c r="K260" s="35" t="s">
        <v>219</v>
      </c>
      <c r="L260" s="35" t="s">
        <v>3515</v>
      </c>
      <c r="M260" s="134">
        <v>46599.0</v>
      </c>
      <c r="N260" s="133" t="s">
        <v>2397</v>
      </c>
      <c r="O260" s="135" t="str">
        <f>HYPERLINK("https://api.typeform.com/responses/files/abfdcd463dc8a05a6267c065cdf959dfc4818334bea861f9676448a3d3638e00/Academic_Transcript.pdf")</f>
        <v>https://api.typeform.com/responses/files/abfdcd463dc8a05a6267c065cdf959dfc4818334bea861f9676448a3d3638e00/Academic_Transcript.pdf</v>
      </c>
      <c r="P260" s="35" t="b">
        <v>1</v>
      </c>
      <c r="Q260" s="35" t="s">
        <v>3516</v>
      </c>
      <c r="R260" s="35" t="s">
        <v>3517</v>
      </c>
      <c r="S260" s="35" t="s">
        <v>72</v>
      </c>
      <c r="T260" s="35" t="s">
        <v>72</v>
      </c>
      <c r="U260" s="138" t="s">
        <v>269</v>
      </c>
      <c r="V260" s="35"/>
      <c r="W260" s="35" t="s">
        <v>3518</v>
      </c>
      <c r="X260" s="195" t="str">
        <f>HYPERLINK("https://api.typeform.com/responses/files/e13f4d928def6bd9949b0ba6ddc742e17ea8d2a1acd8f651e2e5f3b4843d59b6/CV___AI_Engineering_Intern___Phan_Thế_Hoàng.pdf")</f>
        <v>https://api.typeform.com/responses/files/e13f4d928def6bd9949b0ba6ddc742e17ea8d2a1acd8f651e2e5f3b4843d59b6/CV___AI_Engineering_Intern___Phan_Thế_Hoàng.pdf</v>
      </c>
      <c r="Y260" s="196">
        <v>46140.45648148148</v>
      </c>
      <c r="Z260" s="35" t="s">
        <v>3519</v>
      </c>
      <c r="AA260" s="137">
        <v>2.0</v>
      </c>
      <c r="AB260" s="139" t="s">
        <v>6381</v>
      </c>
      <c r="AC260" s="28" t="s">
        <v>6377</v>
      </c>
      <c r="AD260" s="27"/>
      <c r="AE260" s="28" t="s">
        <v>6379</v>
      </c>
      <c r="AF260" s="137" t="str">
        <f t="shared" si="6"/>
        <v>Quỳnh</v>
      </c>
      <c r="AG260" s="35"/>
      <c r="AH260" s="35"/>
      <c r="AI260" s="35"/>
      <c r="AJ260" s="35"/>
      <c r="AK260" s="35"/>
      <c r="AL260" s="35"/>
      <c r="AM260" s="35"/>
      <c r="AN260" s="35"/>
      <c r="AO260" s="35"/>
      <c r="AP260" s="35"/>
      <c r="AQ260" s="35"/>
      <c r="AR260" s="35"/>
      <c r="AS260" s="35"/>
      <c r="AT260" s="35"/>
      <c r="AU260" s="35"/>
      <c r="AV260" s="35"/>
      <c r="AW260" s="35"/>
      <c r="AX260" s="35"/>
      <c r="AY260" s="35"/>
      <c r="AZ260" s="35"/>
      <c r="BA260" s="35"/>
    </row>
    <row r="261" ht="17.25" hidden="1" customHeight="1">
      <c r="A261" s="197" t="s">
        <v>3818</v>
      </c>
      <c r="B261" s="198">
        <v>38291.0</v>
      </c>
      <c r="C261" s="197" t="s">
        <v>3819</v>
      </c>
      <c r="D261" s="199" t="s">
        <v>3820</v>
      </c>
      <c r="E261" s="197" t="s">
        <v>127</v>
      </c>
      <c r="F261" s="197" t="s">
        <v>774</v>
      </c>
      <c r="G261" s="35" t="s">
        <v>3821</v>
      </c>
      <c r="H261" s="35" t="s">
        <v>3822</v>
      </c>
      <c r="I261" s="35" t="s">
        <v>65</v>
      </c>
      <c r="J261" s="35" t="s">
        <v>961</v>
      </c>
      <c r="K261" s="35" t="s">
        <v>67</v>
      </c>
      <c r="L261" s="35" t="s">
        <v>684</v>
      </c>
      <c r="M261" s="134">
        <v>46203.0</v>
      </c>
      <c r="N261" s="35" t="s">
        <v>3823</v>
      </c>
      <c r="O261" s="135" t="str">
        <f>HYPERLINK("https://api.typeform.com/responses/files/08329fdbfda6c739ede485c94e9c12bea317c442cb59459f740f08ddd81f3489/CV___Game_Quality_Assurance_Intern___Hồ_Tài_Liên_Vy_Kha.pdf")</f>
        <v>https://api.typeform.com/responses/files/08329fdbfda6c739ede485c94e9c12bea317c442cb59459f740f08ddd81f3489/CV___Game_Quality_Assurance_Intern___Hồ_Tài_Liên_Vy_Kha.pdf</v>
      </c>
      <c r="P261" s="35" t="b">
        <v>1</v>
      </c>
      <c r="Q261" s="35" t="s">
        <v>3824</v>
      </c>
      <c r="R261" s="35" t="s">
        <v>3825</v>
      </c>
      <c r="S261" s="35" t="s">
        <v>72</v>
      </c>
      <c r="T261" s="35" t="s">
        <v>72</v>
      </c>
      <c r="U261" s="35" t="s">
        <v>236</v>
      </c>
      <c r="V261" s="35"/>
      <c r="W261" s="35" t="s">
        <v>3826</v>
      </c>
      <c r="X261" s="200" t="str">
        <f>HYPERLINK("https://api.typeform.com/responses/files/8fee4c19c250388c165b45f0338c886973e5d3b20d4ce5e20b1fe8d9cbbc1553/CV___Game_Quality_Assurance_Intern___Hồ_Tài_Liên_Vy_Kha.pdf")</f>
        <v>https://api.typeform.com/responses/files/8fee4c19c250388c165b45f0338c886973e5d3b20d4ce5e20b1fe8d9cbbc1553/CV___Game_Quality_Assurance_Intern___Hồ_Tài_Liên_Vy_Kha.pdf</v>
      </c>
      <c r="Y261" s="201">
        <v>46141.26665509259</v>
      </c>
      <c r="Z261" s="35" t="s">
        <v>3827</v>
      </c>
      <c r="AA261" s="137">
        <v>2.0</v>
      </c>
      <c r="AB261" s="137" t="s">
        <v>93</v>
      </c>
      <c r="AC261" s="28" t="s">
        <v>6388</v>
      </c>
      <c r="AD261" s="27"/>
      <c r="AE261" s="28"/>
      <c r="AF261" s="137" t="str">
        <f t="shared" si="6"/>
        <v/>
      </c>
      <c r="AG261" s="35"/>
      <c r="AH261" s="35"/>
      <c r="AI261" s="35"/>
      <c r="AJ261" s="35"/>
      <c r="AK261" s="35"/>
      <c r="AL261" s="35"/>
      <c r="AM261" s="35"/>
      <c r="AN261" s="35"/>
      <c r="AO261" s="35"/>
      <c r="AP261" s="35"/>
      <c r="AQ261" s="35"/>
      <c r="AR261" s="35"/>
      <c r="AS261" s="35"/>
      <c r="AT261" s="35"/>
      <c r="AU261" s="35"/>
      <c r="AV261" s="35"/>
      <c r="AW261" s="35"/>
      <c r="AX261" s="35"/>
      <c r="AY261" s="35"/>
      <c r="AZ261" s="35"/>
      <c r="BA261" s="35"/>
    </row>
    <row r="262" ht="17.25" hidden="1" customHeight="1">
      <c r="A262" s="140" t="s">
        <v>3828</v>
      </c>
      <c r="B262" s="141">
        <v>38325.0</v>
      </c>
      <c r="C262" s="140" t="s">
        <v>3829</v>
      </c>
      <c r="D262" s="142" t="s">
        <v>3830</v>
      </c>
      <c r="E262" s="140" t="s">
        <v>62</v>
      </c>
      <c r="F262" s="140" t="s">
        <v>62</v>
      </c>
      <c r="G262" s="140" t="s">
        <v>3831</v>
      </c>
      <c r="H262" s="140" t="s">
        <v>3832</v>
      </c>
      <c r="I262" s="140" t="s">
        <v>65</v>
      </c>
      <c r="J262" s="140" t="s">
        <v>961</v>
      </c>
      <c r="K262" s="140" t="s">
        <v>67</v>
      </c>
      <c r="L262" s="140" t="s">
        <v>3833</v>
      </c>
      <c r="M262" s="143">
        <v>46157.0</v>
      </c>
      <c r="N262" s="142" t="s">
        <v>1212</v>
      </c>
      <c r="O262" s="144" t="str">
        <f>HYPERLINK("https://api.typeform.com/responses/files/75c4f44c21ac5e858f1bdf2c664880cdb3c24ce407cdc706c1e76717cf458d7e/Transcript___AI_Engineer_intern___Pham_Nguyen_Khanh_Minh.pdf")</f>
        <v>https://api.typeform.com/responses/files/75c4f44c21ac5e858f1bdf2c664880cdb3c24ce407cdc706c1e76717cf458d7e/Transcript___AI_Engineer_intern___Pham_Nguyen_Khanh_Minh.pdf</v>
      </c>
      <c r="P262" s="140" t="b">
        <v>1</v>
      </c>
      <c r="Q262" s="140" t="s">
        <v>3834</v>
      </c>
      <c r="R262" s="140" t="s">
        <v>3835</v>
      </c>
      <c r="S262" s="140" t="s">
        <v>72</v>
      </c>
      <c r="T262" s="140" t="s">
        <v>72</v>
      </c>
      <c r="U262" s="140" t="s">
        <v>2389</v>
      </c>
      <c r="V262" s="140"/>
      <c r="W262" s="140"/>
      <c r="X262" s="144" t="str">
        <f>HYPERLINK("https://api.typeform.com/responses/files/c1dbc4c91813b28b35f87f9f28d2a632a58f75b1e898838bce6891fcdb49c799/CV___AI_Engineer_intern___Pham_Nguyen_Khanh_Minh.pdf")</f>
        <v>https://api.typeform.com/responses/files/c1dbc4c91813b28b35f87f9f28d2a632a58f75b1e898838bce6891fcdb49c799/CV___AI_Engineer_intern___Pham_Nguyen_Khanh_Minh.pdf</v>
      </c>
      <c r="Y262" s="145">
        <v>46141.2843287037</v>
      </c>
      <c r="Z262" s="140" t="s">
        <v>3836</v>
      </c>
      <c r="AA262" s="146">
        <v>2.0</v>
      </c>
      <c r="AB262" s="147" t="s">
        <v>6381</v>
      </c>
      <c r="AC262" s="70" t="s">
        <v>6376</v>
      </c>
      <c r="AD262" s="148"/>
      <c r="AE262" s="70"/>
      <c r="AF262" s="146" t="str">
        <f t="shared" si="6"/>
        <v/>
      </c>
      <c r="AG262" s="140"/>
      <c r="AH262" s="140"/>
      <c r="AI262" s="140"/>
      <c r="AJ262" s="140"/>
      <c r="AK262" s="140"/>
      <c r="AL262" s="140"/>
      <c r="AM262" s="140"/>
      <c r="AN262" s="140"/>
      <c r="AO262" s="140"/>
      <c r="AP262" s="140"/>
      <c r="AQ262" s="140"/>
      <c r="AR262" s="140"/>
      <c r="AS262" s="140"/>
      <c r="AT262" s="140"/>
      <c r="AU262" s="140"/>
      <c r="AV262" s="140"/>
      <c r="AW262" s="140"/>
      <c r="AX262" s="140"/>
      <c r="AY262" s="140"/>
      <c r="AZ262" s="140"/>
      <c r="BA262" s="140"/>
    </row>
    <row r="263" ht="17.25" hidden="1" customHeight="1">
      <c r="A263" s="197" t="s">
        <v>3837</v>
      </c>
      <c r="B263" s="198">
        <v>38540.0</v>
      </c>
      <c r="C263" s="197" t="s">
        <v>3838</v>
      </c>
      <c r="D263" s="199" t="s">
        <v>3839</v>
      </c>
      <c r="E263" s="197" t="s">
        <v>61</v>
      </c>
      <c r="F263" s="197" t="s">
        <v>127</v>
      </c>
      <c r="G263" s="35" t="s">
        <v>3840</v>
      </c>
      <c r="H263" s="35" t="s">
        <v>3841</v>
      </c>
      <c r="I263" s="35" t="s">
        <v>715</v>
      </c>
      <c r="J263" s="35"/>
      <c r="K263" s="35" t="s">
        <v>219</v>
      </c>
      <c r="L263" s="35" t="s">
        <v>612</v>
      </c>
      <c r="M263" s="134">
        <v>46568.0</v>
      </c>
      <c r="N263" s="133" t="s">
        <v>3842</v>
      </c>
      <c r="O263" s="135" t="str">
        <f>HYPERLINK("https://api.typeform.com/responses/files/d4f84ff943591ed1c9cefc7fbf176ba86e415d6a8232c940ce19fa04c3113935/Transcript___Unity_Development_Intern___Bùi_Tuấn_Cường.pdf")</f>
        <v>https://api.typeform.com/responses/files/d4f84ff943591ed1c9cefc7fbf176ba86e415d6a8232c940ce19fa04c3113935/Transcript___Unity_Development_Intern___Bùi_Tuấn_Cường.pdf</v>
      </c>
      <c r="P263" s="35" t="b">
        <v>1</v>
      </c>
      <c r="Q263" s="35" t="s">
        <v>3843</v>
      </c>
      <c r="R263" s="35" t="s">
        <v>3844</v>
      </c>
      <c r="S263" s="35" t="s">
        <v>72</v>
      </c>
      <c r="T263" s="35" t="s">
        <v>72</v>
      </c>
      <c r="U263" s="35" t="s">
        <v>3845</v>
      </c>
      <c r="V263" s="35"/>
      <c r="W263" s="35" t="s">
        <v>3846</v>
      </c>
      <c r="X263" s="200" t="str">
        <f>HYPERLINK("https://api.typeform.com/responses/files/3ad58c06726848cbeb2bc57cdec2e2f69b64ca155904b6e2e316f4ccbb5af784/CV___Unity_Development_Intern___Bùi_Tuấn_Cường.pdf")</f>
        <v>https://api.typeform.com/responses/files/3ad58c06726848cbeb2bc57cdec2e2f69b64ca155904b6e2e316f4ccbb5af784/CV___Unity_Development_Intern___Bùi_Tuấn_Cường.pdf</v>
      </c>
      <c r="Y263" s="201">
        <v>46141.287199074075</v>
      </c>
      <c r="Z263" s="35" t="s">
        <v>3847</v>
      </c>
      <c r="AA263" s="137">
        <v>2.0</v>
      </c>
      <c r="AB263" s="137" t="s">
        <v>93</v>
      </c>
      <c r="AC263" s="28" t="s">
        <v>6377</v>
      </c>
      <c r="AD263" s="28" t="s">
        <v>6544</v>
      </c>
      <c r="AE263" s="28" t="s">
        <v>6379</v>
      </c>
      <c r="AF263" s="137" t="str">
        <f t="shared" si="6"/>
        <v>Quỳnh</v>
      </c>
      <c r="AG263" s="35"/>
      <c r="AH263" s="35"/>
      <c r="AI263" s="35"/>
      <c r="AJ263" s="35"/>
      <c r="AK263" s="35"/>
      <c r="AL263" s="35"/>
      <c r="AM263" s="35"/>
      <c r="AN263" s="35"/>
      <c r="AO263" s="35"/>
      <c r="AP263" s="35"/>
      <c r="AQ263" s="35"/>
      <c r="AR263" s="35"/>
      <c r="AS263" s="35"/>
      <c r="AT263" s="35"/>
      <c r="AU263" s="35"/>
      <c r="AV263" s="35"/>
      <c r="AW263" s="35"/>
      <c r="AX263" s="35"/>
      <c r="AY263" s="35"/>
      <c r="AZ263" s="35"/>
      <c r="BA263" s="35"/>
    </row>
    <row r="264" ht="17.25" hidden="1" customHeight="1">
      <c r="A264" s="169" t="s">
        <v>2926</v>
      </c>
      <c r="B264" s="170">
        <v>38261.0</v>
      </c>
      <c r="C264" s="169" t="s">
        <v>2927</v>
      </c>
      <c r="D264" s="171" t="s">
        <v>2928</v>
      </c>
      <c r="E264" s="169" t="s">
        <v>99</v>
      </c>
      <c r="F264" s="169" t="s">
        <v>127</v>
      </c>
      <c r="G264" s="169" t="s">
        <v>2929</v>
      </c>
      <c r="H264" s="169" t="s">
        <v>2930</v>
      </c>
      <c r="I264" s="169" t="s">
        <v>65</v>
      </c>
      <c r="J264" s="169" t="s">
        <v>2931</v>
      </c>
      <c r="K264" s="169" t="s">
        <v>103</v>
      </c>
      <c r="L264" s="169" t="s">
        <v>624</v>
      </c>
      <c r="M264" s="172">
        <v>46121.0</v>
      </c>
      <c r="N264" s="171" t="s">
        <v>1659</v>
      </c>
      <c r="O264" s="173" t="str">
        <f>HYPERLINK("https://api.typeform.com/responses/files/88e757356362c2bf17123eb28aaf2c12de0312cf9683bca39c6e724ea0f99e22/Transcript_Game_Design_Intern_Đoàn_Nguyễn_Đan_Quỳnh_1.pdf")</f>
        <v>https://api.typeform.com/responses/files/88e757356362c2bf17123eb28aaf2c12de0312cf9683bca39c6e724ea0f99e22/Transcript_Game_Design_Intern_Đoàn_Nguyễn_Đan_Quỳnh_1.pdf</v>
      </c>
      <c r="P264" s="169" t="b">
        <v>0</v>
      </c>
      <c r="Q264" s="174" t="s">
        <v>2932</v>
      </c>
      <c r="R264" s="169" t="s">
        <v>2933</v>
      </c>
      <c r="S264" s="169" t="s">
        <v>72</v>
      </c>
      <c r="T264" s="169" t="s">
        <v>72</v>
      </c>
      <c r="U264" s="169" t="s">
        <v>90</v>
      </c>
      <c r="V264" s="169"/>
      <c r="W264" s="169" t="s">
        <v>2934</v>
      </c>
      <c r="X264" s="173" t="str">
        <f>HYPERLINK("https://api.typeform.com/responses/files/a4a5136dc525001089ee88f240459dccbe2d8761dc44f62d211fcb3767385a9c/CV_Game_Desin_Intern_Đoàn_Nguyễn_Đan_Quỳnh.docx")</f>
        <v>https://api.typeform.com/responses/files/a4a5136dc525001089ee88f240459dccbe2d8761dc44f62d211fcb3767385a9c/CV_Game_Desin_Intern_Đoàn_Nguyễn_Đan_Quỳnh.docx</v>
      </c>
      <c r="Y264" s="175">
        <v>46139.64256944445</v>
      </c>
      <c r="Z264" s="169" t="s">
        <v>2935</v>
      </c>
      <c r="AA264" s="176">
        <v>2.0</v>
      </c>
      <c r="AB264" s="177" t="s">
        <v>6381</v>
      </c>
      <c r="AC264" s="178" t="s">
        <v>6376</v>
      </c>
      <c r="AD264" s="178" t="s">
        <v>6545</v>
      </c>
      <c r="AE264" s="178"/>
      <c r="AF264" s="137" t="str">
        <f t="shared" si="6"/>
        <v/>
      </c>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row>
    <row r="265" ht="17.25" hidden="1" customHeight="1">
      <c r="A265" s="140" t="s">
        <v>2897</v>
      </c>
      <c r="B265" s="141">
        <v>38654.0</v>
      </c>
      <c r="C265" s="140" t="s">
        <v>2898</v>
      </c>
      <c r="D265" s="142" t="s">
        <v>2899</v>
      </c>
      <c r="E265" s="140" t="s">
        <v>62</v>
      </c>
      <c r="F265" s="140" t="s">
        <v>82</v>
      </c>
      <c r="G265" s="140" t="s">
        <v>2900</v>
      </c>
      <c r="H265" s="140" t="s">
        <v>2901</v>
      </c>
      <c r="I265" s="140" t="s">
        <v>715</v>
      </c>
      <c r="J265" s="140"/>
      <c r="K265" s="140" t="s">
        <v>219</v>
      </c>
      <c r="L265" s="140" t="s">
        <v>2902</v>
      </c>
      <c r="M265" s="143">
        <v>46350.0</v>
      </c>
      <c r="N265" s="142" t="s">
        <v>1230</v>
      </c>
      <c r="O265" s="144" t="str">
        <f>HYPERLINK("https://api.typeform.com/responses/files/9398200d847916894d8c486fae0fa72e8ed58f55b905d8a14d3f5b52d4114d41/Transcript___AI_Engineering_Intern___Trần_Phan_Đăng_Khôi.pdf")</f>
        <v>https://api.typeform.com/responses/files/9398200d847916894d8c486fae0fa72e8ed58f55b905d8a14d3f5b52d4114d41/Transcript___AI_Engineering_Intern___Trần_Phan_Đăng_Khôi.pdf</v>
      </c>
      <c r="P265" s="140" t="b">
        <v>1</v>
      </c>
      <c r="Q265" s="161" t="s">
        <v>2903</v>
      </c>
      <c r="R265" s="140" t="s">
        <v>2904</v>
      </c>
      <c r="S265" s="140" t="s">
        <v>72</v>
      </c>
      <c r="T265" s="140" t="s">
        <v>72</v>
      </c>
      <c r="U265" s="204" t="s">
        <v>2556</v>
      </c>
      <c r="V265" s="140"/>
      <c r="W265" s="140" t="s">
        <v>2905</v>
      </c>
      <c r="X265" s="144" t="str">
        <f>HYPERLINK("https://api.typeform.com/responses/files/e42ad0690863ee0c0807476615fecff714dfb6072bc8d98f5312ebbb85c33e5a/CV___AI_Engineering_Intern___Trần_Phan_Đăng_Khôi.pdf")</f>
        <v>https://api.typeform.com/responses/files/e42ad0690863ee0c0807476615fecff714dfb6072bc8d98f5312ebbb85c33e5a/CV___AI_Engineering_Intern___Trần_Phan_Đăng_Khôi.pdf</v>
      </c>
      <c r="Y265" s="145">
        <v>46139.611122685186</v>
      </c>
      <c r="Z265" s="140" t="s">
        <v>2906</v>
      </c>
      <c r="AA265" s="146">
        <v>2.0</v>
      </c>
      <c r="AB265" s="147" t="s">
        <v>6381</v>
      </c>
      <c r="AC265" s="70" t="s">
        <v>6376</v>
      </c>
      <c r="AD265" s="70" t="s">
        <v>6546</v>
      </c>
      <c r="AE265" s="70"/>
      <c r="AF265" s="146" t="str">
        <f t="shared" si="6"/>
        <v/>
      </c>
      <c r="AG265" s="140"/>
      <c r="AH265" s="140"/>
      <c r="AI265" s="140"/>
      <c r="AJ265" s="140"/>
      <c r="AK265" s="140"/>
      <c r="AL265" s="140"/>
      <c r="AM265" s="140"/>
      <c r="AN265" s="140"/>
      <c r="AO265" s="140"/>
      <c r="AP265" s="140"/>
      <c r="AQ265" s="140"/>
      <c r="AR265" s="140"/>
      <c r="AS265" s="140"/>
      <c r="AT265" s="140"/>
      <c r="AU265" s="140"/>
      <c r="AV265" s="140"/>
      <c r="AW265" s="140"/>
      <c r="AX265" s="140"/>
      <c r="AY265" s="140"/>
      <c r="AZ265" s="140"/>
      <c r="BA265" s="140"/>
    </row>
    <row r="266" ht="17.25" hidden="1" customHeight="1">
      <c r="A266" s="192" t="s">
        <v>2897</v>
      </c>
      <c r="B266" s="193">
        <v>38654.0</v>
      </c>
      <c r="C266" s="192" t="s">
        <v>2898</v>
      </c>
      <c r="D266" s="194" t="s">
        <v>2899</v>
      </c>
      <c r="E266" s="192" t="s">
        <v>62</v>
      </c>
      <c r="F266" s="192" t="s">
        <v>82</v>
      </c>
      <c r="G266" s="35" t="s">
        <v>4244</v>
      </c>
      <c r="H266" s="35" t="s">
        <v>4245</v>
      </c>
      <c r="I266" s="35" t="s">
        <v>715</v>
      </c>
      <c r="J266" s="35"/>
      <c r="K266" s="35" t="s">
        <v>219</v>
      </c>
      <c r="L266" s="35" t="s">
        <v>2902</v>
      </c>
      <c r="M266" s="134">
        <v>46350.0</v>
      </c>
      <c r="N266" s="133" t="s">
        <v>1230</v>
      </c>
      <c r="O266" s="135" t="str">
        <f>HYPERLINK("https://api.typeform.com/responses/files/16a9664261f28b6f42ea7316010d80fb2325e5972311099b719b7b28f9b58dff/Transcript___AI_Engineering_Intern___Trần_Phan_Đăng_Khôi.pdf")</f>
        <v>https://api.typeform.com/responses/files/16a9664261f28b6f42ea7316010d80fb2325e5972311099b719b7b28f9b58dff/Transcript___AI_Engineering_Intern___Trần_Phan_Đăng_Khôi.pdf</v>
      </c>
      <c r="P266" s="35" t="b">
        <v>1</v>
      </c>
      <c r="Q266" s="35" t="s">
        <v>4246</v>
      </c>
      <c r="R266" s="35" t="s">
        <v>4247</v>
      </c>
      <c r="S266" s="35" t="s">
        <v>72</v>
      </c>
      <c r="T266" s="35" t="s">
        <v>72</v>
      </c>
      <c r="U266" s="138" t="s">
        <v>188</v>
      </c>
      <c r="V266" s="35"/>
      <c r="W266" s="35" t="s">
        <v>4248</v>
      </c>
      <c r="X266" s="195" t="str">
        <f>HYPERLINK("https://api.typeform.com/responses/files/5ef87c18772b3673166d0cf7e19096162ff175728c1d079cf59ee43297cfad84/CV___AI_Engineer_Intern___Trần_Phan_Đăng_Khôi.pdf")</f>
        <v>https://api.typeform.com/responses/files/5ef87c18772b3673166d0cf7e19096162ff175728c1d079cf59ee43297cfad84/CV___AI_Engineer_Intern___Trần_Phan_Đăng_Khôi.pdf</v>
      </c>
      <c r="Y266" s="196">
        <v>46143.17828703704</v>
      </c>
      <c r="Z266" s="35" t="s">
        <v>4249</v>
      </c>
      <c r="AA266" s="137">
        <v>2.0</v>
      </c>
      <c r="AB266" s="139" t="s">
        <v>6381</v>
      </c>
      <c r="AC266" s="28" t="s">
        <v>6377</v>
      </c>
      <c r="AD266" s="28" t="s">
        <v>6547</v>
      </c>
      <c r="AE266" s="28"/>
      <c r="AF266" s="137" t="str">
        <f t="shared" si="6"/>
        <v/>
      </c>
      <c r="AG266" s="140"/>
      <c r="AH266" s="140"/>
      <c r="AI266" s="140"/>
      <c r="AJ266" s="140"/>
      <c r="AK266" s="140"/>
      <c r="AL266" s="140"/>
      <c r="AM266" s="140"/>
      <c r="AN266" s="140"/>
      <c r="AO266" s="140"/>
      <c r="AP266" s="140"/>
      <c r="AQ266" s="140"/>
      <c r="AR266" s="140"/>
      <c r="AS266" s="140"/>
      <c r="AT266" s="140"/>
      <c r="AU266" s="140"/>
      <c r="AV266" s="140"/>
      <c r="AW266" s="140"/>
      <c r="AX266" s="140"/>
      <c r="AY266" s="140"/>
      <c r="AZ266" s="140"/>
      <c r="BA266" s="140"/>
    </row>
    <row r="267" ht="17.25" customHeight="1">
      <c r="A267" s="205" t="s">
        <v>3871</v>
      </c>
      <c r="B267" s="206">
        <v>38657.0</v>
      </c>
      <c r="C267" s="205" t="s">
        <v>3872</v>
      </c>
      <c r="D267" s="207" t="s">
        <v>3873</v>
      </c>
      <c r="E267" s="205" t="s">
        <v>633</v>
      </c>
      <c r="F267" s="205" t="s">
        <v>633</v>
      </c>
      <c r="G267" s="162" t="s">
        <v>3874</v>
      </c>
      <c r="H267" s="162" t="s">
        <v>3875</v>
      </c>
      <c r="I267" s="162" t="s">
        <v>715</v>
      </c>
      <c r="J267" s="162"/>
      <c r="K267" s="162" t="s">
        <v>219</v>
      </c>
      <c r="L267" s="162" t="s">
        <v>3876</v>
      </c>
      <c r="M267" s="165">
        <v>46628.0</v>
      </c>
      <c r="N267" s="164" t="s">
        <v>685</v>
      </c>
      <c r="O267" s="135" t="str">
        <f>HYPERLINK("https://api.typeform.com/responses/files/1df14ed49353dbc0eb8900f7ba227103b7ab7bdf2a58d9b7857c7b979b020f77/Phòng_Đào_tạo___Academic_Affairs_Office.pdf")</f>
        <v>https://api.typeform.com/responses/files/1df14ed49353dbc0eb8900f7ba227103b7ab7bdf2a58d9b7857c7b979b020f77/Phòng_Đào_tạo___Academic_Affairs_Office.pdf</v>
      </c>
      <c r="P267" s="162" t="b">
        <v>1</v>
      </c>
      <c r="Q267" s="162" t="s">
        <v>3877</v>
      </c>
      <c r="R267" s="162" t="s">
        <v>3878</v>
      </c>
      <c r="S267" s="162" t="s">
        <v>72</v>
      </c>
      <c r="T267" s="162" t="s">
        <v>72</v>
      </c>
      <c r="U267" s="162" t="s">
        <v>73</v>
      </c>
      <c r="V267" s="162"/>
      <c r="W267" s="162"/>
      <c r="X267" s="200" t="str">
        <f>HYPERLINK("https://api.typeform.com/responses/files/195ab61c19a0702579601939a805ec60bde7c44b828dbb8287ea057b1ad03e9a/NGUYEN_VO_VAN_ANH_TA_INTERN.pdf")</f>
        <v>https://api.typeform.com/responses/files/195ab61c19a0702579601939a805ec60bde7c44b828dbb8287ea057b1ad03e9a/NGUYEN_VO_VAN_ANH_TA_INTERN.pdf</v>
      </c>
      <c r="Y267" s="208">
        <v>46141.37236111111</v>
      </c>
      <c r="Z267" s="162" t="s">
        <v>3879</v>
      </c>
      <c r="AA267" s="168">
        <v>2.0</v>
      </c>
      <c r="AB267" s="209" t="s">
        <v>93</v>
      </c>
      <c r="AC267" s="111" t="s">
        <v>6377</v>
      </c>
      <c r="AD267" s="111" t="s">
        <v>6548</v>
      </c>
      <c r="AE267" s="111" t="s">
        <v>6377</v>
      </c>
      <c r="AF267" s="168" t="s">
        <v>76</v>
      </c>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row>
    <row r="268" ht="17.25" hidden="1" customHeight="1">
      <c r="A268" s="192" t="s">
        <v>3880</v>
      </c>
      <c r="B268" s="193">
        <v>37991.0</v>
      </c>
      <c r="C268" s="192" t="s">
        <v>3881</v>
      </c>
      <c r="D268" s="194" t="s">
        <v>3882</v>
      </c>
      <c r="E268" s="192" t="s">
        <v>127</v>
      </c>
      <c r="F268" s="192" t="s">
        <v>82</v>
      </c>
      <c r="G268" s="35" t="s">
        <v>3883</v>
      </c>
      <c r="H268" s="35" t="s">
        <v>3884</v>
      </c>
      <c r="I268" s="35" t="s">
        <v>65</v>
      </c>
      <c r="J268" s="35" t="s">
        <v>3885</v>
      </c>
      <c r="K268" s="35" t="s">
        <v>67</v>
      </c>
      <c r="L268" s="35" t="s">
        <v>446</v>
      </c>
      <c r="M268" s="134">
        <v>46260.0</v>
      </c>
      <c r="N268" s="133" t="s">
        <v>105</v>
      </c>
      <c r="O268" s="135" t="str">
        <f>HYPERLINK("https://api.typeform.com/responses/files/9f309a4987210c0eab47c981ec6f1c12fb91474f317c6b3a1b90d26ae4c3b1a0/Transcript___Game_QA_Intern___Lê_Trương_Thiên_Bảo.png")</f>
        <v>https://api.typeform.com/responses/files/9f309a4987210c0eab47c981ec6f1c12fb91474f317c6b3a1b90d26ae4c3b1a0/Transcript___Game_QA_Intern___Lê_Trương_Thiên_Bảo.png</v>
      </c>
      <c r="P268" s="35" t="b">
        <v>1</v>
      </c>
      <c r="Q268" s="35" t="s">
        <v>3886</v>
      </c>
      <c r="R268" s="35" t="s">
        <v>3887</v>
      </c>
      <c r="S268" s="35" t="s">
        <v>72</v>
      </c>
      <c r="T268" s="35" t="s">
        <v>72</v>
      </c>
      <c r="U268" s="35" t="s">
        <v>90</v>
      </c>
      <c r="V268" s="35"/>
      <c r="W268" s="35" t="s">
        <v>3888</v>
      </c>
      <c r="X268" s="195" t="str">
        <f>HYPERLINK("https://api.typeform.com/responses/files/952bb526c9fb69bf815d43b27d3bbb058fc6cf61615c3449b04d943caf0c5a25/CV_GameQAIntern_LeTruongThienBao.pdf")</f>
        <v>https://api.typeform.com/responses/files/952bb526c9fb69bf815d43b27d3bbb058fc6cf61615c3449b04d943caf0c5a25/CV_GameQAIntern_LeTruongThienBao.pdf</v>
      </c>
      <c r="Y268" s="196">
        <v>46141.39895833333</v>
      </c>
      <c r="Z268" s="35" t="s">
        <v>3889</v>
      </c>
      <c r="AA268" s="137">
        <v>2.0</v>
      </c>
      <c r="AB268" s="137" t="s">
        <v>93</v>
      </c>
      <c r="AC268" s="28" t="s">
        <v>6377</v>
      </c>
      <c r="AD268" s="27"/>
      <c r="AE268" s="28" t="s">
        <v>6379</v>
      </c>
      <c r="AF268" s="137" t="str">
        <f t="shared" ref="AF268:AF296" si="7">IFERROR(
  IFS(
    AND(OR(AE268="Test",AE268="Chờ test",AE268="Test Review",AE268="Passed",AE268="Failed"), OR(E268="Game User Acquisition Intern",E268="Game Design Intern")), "Nhiên",
    AND(OR(AE268="Test",AE268="Chờ test",AE268="Test Review",AE268="Passed",AE268="Failed"), E268&lt;&gt;"Human Resources Intern", NOT(OR(E268="Game User Acquisition Intern",E268="Game Design Intern"))), "Quỳnh",
    AND(OR(AE268="Test",AE268="Chờ test",AE268="Test Review",AE268="Passed",AE268="Failed"), E268="Human Resources Intern"), "Chờ assign"
  ),
"")</f>
        <v>Quỳnh</v>
      </c>
      <c r="AG268" s="35"/>
      <c r="AH268" s="35"/>
      <c r="AI268" s="35"/>
      <c r="AJ268" s="35"/>
      <c r="AK268" s="35"/>
      <c r="AL268" s="35"/>
      <c r="AM268" s="35"/>
      <c r="AN268" s="35"/>
      <c r="AO268" s="35"/>
      <c r="AP268" s="35"/>
      <c r="AQ268" s="35"/>
      <c r="AR268" s="35"/>
      <c r="AS268" s="35"/>
      <c r="AT268" s="35"/>
      <c r="AU268" s="35"/>
      <c r="AV268" s="35"/>
      <c r="AW268" s="35"/>
      <c r="AX268" s="35"/>
      <c r="AY268" s="35"/>
      <c r="AZ268" s="35"/>
      <c r="BA268" s="35"/>
    </row>
    <row r="269" ht="17.25" hidden="1" customHeight="1">
      <c r="A269" s="197" t="s">
        <v>3890</v>
      </c>
      <c r="B269" s="198">
        <v>38267.0</v>
      </c>
      <c r="C269" s="197" t="s">
        <v>3891</v>
      </c>
      <c r="D269" s="199" t="s">
        <v>3892</v>
      </c>
      <c r="E269" s="197" t="s">
        <v>127</v>
      </c>
      <c r="F269" s="197"/>
      <c r="G269" s="35" t="s">
        <v>3893</v>
      </c>
      <c r="H269" s="35" t="s">
        <v>3894</v>
      </c>
      <c r="I269" s="35" t="s">
        <v>2293</v>
      </c>
      <c r="J269" s="35"/>
      <c r="K269" s="35" t="s">
        <v>103</v>
      </c>
      <c r="L269" s="35" t="s">
        <v>3895</v>
      </c>
      <c r="M269" s="134">
        <v>46134.0</v>
      </c>
      <c r="N269" s="133" t="s">
        <v>1513</v>
      </c>
      <c r="O269" s="135" t="str">
        <f>HYPERLINK("https://api.typeform.com/responses/files/c4c85713658901ce41343d1d67f99683fbc2bd5b38c9d732e0be9fe3a99282aa/Transcript___Game_Quality_Assurance_Intern___Vũ_Kim_Khanh.pdf")</f>
        <v>https://api.typeform.com/responses/files/c4c85713658901ce41343d1d67f99683fbc2bd5b38c9d732e0be9fe3a99282aa/Transcript___Game_Quality_Assurance_Intern___Vũ_Kim_Khanh.pdf</v>
      </c>
      <c r="P269" s="35" t="b">
        <v>1</v>
      </c>
      <c r="Q269" s="35" t="s">
        <v>3896</v>
      </c>
      <c r="R269" s="182" t="s">
        <v>6549</v>
      </c>
      <c r="S269" s="35" t="s">
        <v>72</v>
      </c>
      <c r="T269" s="35" t="s">
        <v>72</v>
      </c>
      <c r="U269" s="35" t="s">
        <v>90</v>
      </c>
      <c r="V269" s="35"/>
      <c r="W269" s="35" t="s">
        <v>3898</v>
      </c>
      <c r="X269" s="200" t="str">
        <f>HYPERLINK("https://api.typeform.com/responses/files/5ad89e456a97fca45b6a112ec00abd5b9867183ed80e0f48c2a68228f9436680/CV___Game_Quality_Assurance_Intern___Vũ_Kim_Khanh.pdf")</f>
        <v>https://api.typeform.com/responses/files/5ad89e456a97fca45b6a112ec00abd5b9867183ed80e0f48c2a68228f9436680/CV___Game_Quality_Assurance_Intern___Vũ_Kim_Khanh.pdf</v>
      </c>
      <c r="Y269" s="201">
        <v>46141.42034722222</v>
      </c>
      <c r="Z269" s="35" t="s">
        <v>3899</v>
      </c>
      <c r="AA269" s="137">
        <v>2.0</v>
      </c>
      <c r="AB269" s="137" t="s">
        <v>93</v>
      </c>
      <c r="AC269" s="28" t="s">
        <v>6376</v>
      </c>
      <c r="AD269" s="27"/>
      <c r="AE269" s="28"/>
      <c r="AF269" s="137" t="str">
        <f t="shared" si="7"/>
        <v/>
      </c>
      <c r="AG269" s="35"/>
      <c r="AH269" s="35"/>
      <c r="AI269" s="35"/>
      <c r="AJ269" s="35"/>
      <c r="AK269" s="35"/>
      <c r="AL269" s="35"/>
      <c r="AM269" s="35"/>
      <c r="AN269" s="35"/>
      <c r="AO269" s="35"/>
      <c r="AP269" s="35"/>
      <c r="AQ269" s="35"/>
      <c r="AR269" s="35"/>
      <c r="AS269" s="35"/>
      <c r="AT269" s="35"/>
      <c r="AU269" s="35"/>
      <c r="AV269" s="35"/>
      <c r="AW269" s="35"/>
      <c r="AX269" s="35"/>
      <c r="AY269" s="35"/>
      <c r="AZ269" s="35"/>
      <c r="BA269" s="35"/>
    </row>
    <row r="270" ht="17.25" hidden="1" customHeight="1">
      <c r="A270" s="192" t="s">
        <v>3900</v>
      </c>
      <c r="B270" s="193">
        <v>38600.0</v>
      </c>
      <c r="C270" s="192" t="s">
        <v>3901</v>
      </c>
      <c r="D270" s="194" t="s">
        <v>3902</v>
      </c>
      <c r="E270" s="192" t="s">
        <v>633</v>
      </c>
      <c r="F270" s="192" t="s">
        <v>774</v>
      </c>
      <c r="G270" s="35" t="s">
        <v>3903</v>
      </c>
      <c r="H270" s="35" t="s">
        <v>3904</v>
      </c>
      <c r="I270" s="35" t="s">
        <v>842</v>
      </c>
      <c r="J270" s="35"/>
      <c r="K270" s="35" t="s">
        <v>219</v>
      </c>
      <c r="L270" s="35" t="s">
        <v>1348</v>
      </c>
      <c r="M270" s="134">
        <v>46447.0</v>
      </c>
      <c r="N270" s="133" t="s">
        <v>1173</v>
      </c>
      <c r="O270" s="135" t="str">
        <f>HYPERLINK("https://api.typeform.com/responses/files/f9882e203f3438c22e681e3a0308e1451829ba3e3ef2331273603f7c9d00e476/Transcript___Game_User_Acquisition_Intern___Trần_Hữu_Kim_Quý.pdf")</f>
        <v>https://api.typeform.com/responses/files/f9882e203f3438c22e681e3a0308e1451829ba3e3ef2331273603f7c9d00e476/Transcript___Game_User_Acquisition_Intern___Trần_Hữu_Kim_Quý.pdf</v>
      </c>
      <c r="P270" s="35" t="b">
        <v>1</v>
      </c>
      <c r="Q270" s="35" t="s">
        <v>3905</v>
      </c>
      <c r="R270" s="35" t="s">
        <v>3906</v>
      </c>
      <c r="S270" s="35" t="s">
        <v>72</v>
      </c>
      <c r="T270" s="35" t="s">
        <v>72</v>
      </c>
      <c r="U270" s="35" t="s">
        <v>73</v>
      </c>
      <c r="V270" s="35"/>
      <c r="W270" s="35" t="s">
        <v>3907</v>
      </c>
      <c r="X270" s="195" t="str">
        <f>HYPERLINK("https://api.typeform.com/responses/files/4a044940dba2e2c2c586612ee189ba486babdf63a6c3862949cd258847eac32e/CV___Human_Resources_Intern___Trần_Hữu_Kim_Quý.pdf")</f>
        <v>https://api.typeform.com/responses/files/4a044940dba2e2c2c586612ee189ba486babdf63a6c3862949cd258847eac32e/CV___Human_Resources_Intern___Trần_Hữu_Kim_Quý.pdf</v>
      </c>
      <c r="Y270" s="196">
        <v>46141.42084490741</v>
      </c>
      <c r="Z270" s="35" t="s">
        <v>3908</v>
      </c>
      <c r="AA270" s="137">
        <v>2.0</v>
      </c>
      <c r="AB270" s="203" t="s">
        <v>93</v>
      </c>
      <c r="AC270" s="28" t="s">
        <v>6376</v>
      </c>
      <c r="AD270" s="27"/>
      <c r="AE270" s="28"/>
      <c r="AF270" s="137" t="str">
        <f t="shared" si="7"/>
        <v/>
      </c>
      <c r="AG270" s="35"/>
      <c r="AH270" s="35"/>
      <c r="AI270" s="35"/>
      <c r="AJ270" s="35"/>
      <c r="AK270" s="35"/>
      <c r="AL270" s="35"/>
      <c r="AM270" s="35"/>
      <c r="AN270" s="35"/>
      <c r="AO270" s="35"/>
      <c r="AP270" s="35"/>
      <c r="AQ270" s="35"/>
      <c r="AR270" s="35"/>
      <c r="AS270" s="35"/>
      <c r="AT270" s="35"/>
      <c r="AU270" s="35"/>
      <c r="AV270" s="35"/>
      <c r="AW270" s="35"/>
      <c r="AX270" s="35"/>
      <c r="AY270" s="35"/>
      <c r="AZ270" s="35"/>
      <c r="BA270" s="35"/>
    </row>
    <row r="271" ht="17.25" hidden="1" customHeight="1">
      <c r="A271" s="140" t="s">
        <v>3909</v>
      </c>
      <c r="B271" s="141">
        <v>37817.0</v>
      </c>
      <c r="C271" s="140" t="s">
        <v>3910</v>
      </c>
      <c r="D271" s="142" t="s">
        <v>3911</v>
      </c>
      <c r="E271" s="140" t="s">
        <v>774</v>
      </c>
      <c r="F271" s="140" t="s">
        <v>633</v>
      </c>
      <c r="G271" s="140" t="s">
        <v>3912</v>
      </c>
      <c r="H271" s="140" t="s">
        <v>3913</v>
      </c>
      <c r="I271" s="140" t="s">
        <v>338</v>
      </c>
      <c r="J271" s="140"/>
      <c r="K271" s="140" t="s">
        <v>103</v>
      </c>
      <c r="L271" s="140" t="s">
        <v>3914</v>
      </c>
      <c r="M271" s="143">
        <v>45885.0</v>
      </c>
      <c r="N271" s="142" t="s">
        <v>920</v>
      </c>
      <c r="O271" s="144" t="str">
        <f>HYPERLINK("https://api.typeform.com/responses/files/e158bc377d387467af20989fe7376bc15f09727e333d4b2fbca15c63d3cd7994/Transcript___Game_User_Acquisition_Intern___Hoàng_Nguyên_Hương.pdf")</f>
        <v>https://api.typeform.com/responses/files/e158bc377d387467af20989fe7376bc15f09727e333d4b2fbca15c63d3cd7994/Transcript___Game_User_Acquisition_Intern___Hoàng_Nguyên_Hương.pdf</v>
      </c>
      <c r="P271" s="140" t="b">
        <v>0</v>
      </c>
      <c r="Q271" s="140" t="s">
        <v>3915</v>
      </c>
      <c r="R271" s="140" t="s">
        <v>3916</v>
      </c>
      <c r="S271" s="140" t="s">
        <v>72</v>
      </c>
      <c r="T271" s="140" t="s">
        <v>72</v>
      </c>
      <c r="U271" s="140" t="s">
        <v>73</v>
      </c>
      <c r="V271" s="140"/>
      <c r="W271" s="140" t="s">
        <v>3917</v>
      </c>
      <c r="X271" s="144" t="str">
        <f>HYPERLINK("https://api.typeform.com/responses/files/5d7cf0c7da55b1887444fa5f7c21aef16c129678f760ccff20ba97ad148ccd55/CV___Game_User_Acquisition_Intern___Hoàng_Nguyên_Hương.pdf")</f>
        <v>https://api.typeform.com/responses/files/5d7cf0c7da55b1887444fa5f7c21aef16c129678f760ccff20ba97ad148ccd55/CV___Game_User_Acquisition_Intern___Hoàng_Nguyên_Hương.pdf</v>
      </c>
      <c r="Y271" s="145">
        <v>46141.4315625</v>
      </c>
      <c r="Z271" s="140" t="s">
        <v>3918</v>
      </c>
      <c r="AA271" s="146">
        <v>2.0</v>
      </c>
      <c r="AB271" s="140"/>
      <c r="AC271" s="70" t="s">
        <v>6376</v>
      </c>
      <c r="AD271" s="148"/>
      <c r="AE271" s="70"/>
      <c r="AF271" s="146" t="str">
        <f t="shared" si="7"/>
        <v/>
      </c>
      <c r="AG271" s="140"/>
      <c r="AH271" s="140"/>
      <c r="AI271" s="140"/>
      <c r="AJ271" s="140"/>
      <c r="AK271" s="140"/>
      <c r="AL271" s="140"/>
      <c r="AM271" s="140"/>
      <c r="AN271" s="140"/>
      <c r="AO271" s="140"/>
      <c r="AP271" s="140"/>
      <c r="AQ271" s="140"/>
      <c r="AR271" s="140"/>
      <c r="AS271" s="140"/>
      <c r="AT271" s="140"/>
      <c r="AU271" s="140"/>
      <c r="AV271" s="140"/>
      <c r="AW271" s="140"/>
      <c r="AX271" s="140"/>
      <c r="AY271" s="140"/>
      <c r="AZ271" s="140"/>
      <c r="BA271" s="140"/>
    </row>
    <row r="272" ht="17.25" hidden="1" customHeight="1">
      <c r="A272" s="192" t="s">
        <v>3493</v>
      </c>
      <c r="B272" s="193">
        <v>38708.0</v>
      </c>
      <c r="C272" s="192" t="s">
        <v>3494</v>
      </c>
      <c r="D272" s="194" t="s">
        <v>3495</v>
      </c>
      <c r="E272" s="192" t="s">
        <v>62</v>
      </c>
      <c r="F272" s="192"/>
      <c r="G272" s="35" t="s">
        <v>3496</v>
      </c>
      <c r="H272" s="35" t="s">
        <v>3497</v>
      </c>
      <c r="I272" s="35" t="s">
        <v>85</v>
      </c>
      <c r="J272" s="35"/>
      <c r="K272" s="35" t="s">
        <v>219</v>
      </c>
      <c r="L272" s="35" t="s">
        <v>399</v>
      </c>
      <c r="M272" s="134">
        <v>46418.0</v>
      </c>
      <c r="N272" s="133" t="s">
        <v>2142</v>
      </c>
      <c r="O272" s="135" t="str">
        <f>HYPERLINK("https://api.typeform.com/responses/files/4911e0cf736f938b7ae0c0ab098f7bd8fe726f679b8484ab1f0d24f56a11c075/Transcript___AI_Engineer_Intern___Lê_Minh_Kha.pdf")</f>
        <v>https://api.typeform.com/responses/files/4911e0cf736f938b7ae0c0ab098f7bd8fe726f679b8484ab1f0d24f56a11c075/Transcript___AI_Engineer_Intern___Lê_Minh_Kha.pdf</v>
      </c>
      <c r="P272" s="35" t="b">
        <v>1</v>
      </c>
      <c r="Q272" s="35" t="s">
        <v>3498</v>
      </c>
      <c r="R272" s="35" t="s">
        <v>3499</v>
      </c>
      <c r="S272" s="35" t="s">
        <v>72</v>
      </c>
      <c r="T272" s="35" t="s">
        <v>72</v>
      </c>
      <c r="U272" s="138" t="s">
        <v>73</v>
      </c>
      <c r="V272" s="35"/>
      <c r="W272" s="35" t="s">
        <v>3500</v>
      </c>
      <c r="X272" s="195" t="str">
        <f>HYPERLINK("https://api.typeform.com/responses/files/6e77427eded286645bccf7423e090e1d1ea41f2a1b769512ddb8e8f4c2b5fe58/CV___AI_Engineer_Intern___Lê_Minh_Kha.pdf")</f>
        <v>https://api.typeform.com/responses/files/6e77427eded286645bccf7423e090e1d1ea41f2a1b769512ddb8e8f4c2b5fe58/CV___AI_Engineer_Intern___Lê_Minh_Kha.pdf</v>
      </c>
      <c r="Y272" s="196">
        <v>46140.45060185185</v>
      </c>
      <c r="Z272" s="35" t="s">
        <v>3501</v>
      </c>
      <c r="AA272" s="137">
        <v>2.0</v>
      </c>
      <c r="AB272" s="139" t="s">
        <v>6381</v>
      </c>
      <c r="AC272" s="28" t="s">
        <v>6376</v>
      </c>
      <c r="AD272" s="27"/>
      <c r="AE272" s="28"/>
      <c r="AF272" s="137" t="str">
        <f t="shared" si="7"/>
        <v/>
      </c>
      <c r="AG272" s="35"/>
      <c r="AH272" s="35"/>
      <c r="AI272" s="35"/>
      <c r="AJ272" s="35"/>
      <c r="AK272" s="35"/>
      <c r="AL272" s="35"/>
      <c r="AM272" s="35"/>
      <c r="AN272" s="35"/>
      <c r="AO272" s="35"/>
      <c r="AP272" s="35"/>
      <c r="AQ272" s="35"/>
      <c r="AR272" s="35"/>
      <c r="AS272" s="35"/>
      <c r="AT272" s="35"/>
      <c r="AU272" s="35"/>
      <c r="AV272" s="35"/>
      <c r="AW272" s="35"/>
      <c r="AX272" s="35"/>
      <c r="AY272" s="35"/>
      <c r="AZ272" s="35"/>
      <c r="BA272" s="35"/>
    </row>
    <row r="273" ht="17.25" hidden="1" customHeight="1">
      <c r="A273" s="197" t="s">
        <v>2842</v>
      </c>
      <c r="B273" s="198">
        <v>38712.0</v>
      </c>
      <c r="C273" s="197" t="s">
        <v>2843</v>
      </c>
      <c r="D273" s="199" t="s">
        <v>2844</v>
      </c>
      <c r="E273" s="197" t="s">
        <v>62</v>
      </c>
      <c r="F273" s="197" t="s">
        <v>62</v>
      </c>
      <c r="G273" s="35" t="s">
        <v>2845</v>
      </c>
      <c r="H273" s="35" t="s">
        <v>2846</v>
      </c>
      <c r="I273" s="35" t="s">
        <v>326</v>
      </c>
      <c r="J273" s="35"/>
      <c r="K273" s="35" t="s">
        <v>219</v>
      </c>
      <c r="L273" s="35" t="s">
        <v>86</v>
      </c>
      <c r="M273" s="134">
        <v>46598.0</v>
      </c>
      <c r="N273" s="133" t="s">
        <v>1382</v>
      </c>
      <c r="O273" s="135" t="str">
        <f>HYPERLINK("https://api.typeform.com/responses/files/cca08a5a64f0991a01cda7d9a26e884c93e33dd8cbccf49b661624765729d270/Transcript___AI_Engineer_Intern___Lê_Võ_Xuân_Hưng.png")</f>
        <v>https://api.typeform.com/responses/files/cca08a5a64f0991a01cda7d9a26e884c93e33dd8cbccf49b661624765729d270/Transcript___AI_Engineer_Intern___Lê_Võ_Xuân_Hưng.png</v>
      </c>
      <c r="P273" s="35" t="b">
        <v>1</v>
      </c>
      <c r="Q273" s="43" t="s">
        <v>2847</v>
      </c>
      <c r="R273" s="35" t="s">
        <v>2848</v>
      </c>
      <c r="S273" s="35" t="s">
        <v>72</v>
      </c>
      <c r="T273" s="35" t="s">
        <v>72</v>
      </c>
      <c r="U273" s="138" t="s">
        <v>269</v>
      </c>
      <c r="V273" s="35"/>
      <c r="W273" s="35"/>
      <c r="X273" s="200" t="str">
        <f>HYPERLINK("https://api.typeform.com/responses/files/0c8b72ee6699e33050c92c01eb879238608e518eb432b8fbd2387256e7b09851/CV___AI_Engineer_Intern___Lê_Võ_Xuân_Hưng.pdf")</f>
        <v>https://api.typeform.com/responses/files/0c8b72ee6699e33050c92c01eb879238608e518eb432b8fbd2387256e7b09851/CV___AI_Engineer_Intern___Lê_Võ_Xuân_Hưng.pdf</v>
      </c>
      <c r="Y273" s="201">
        <v>46139.499444444446</v>
      </c>
      <c r="Z273" s="35" t="s">
        <v>2849</v>
      </c>
      <c r="AA273" s="137">
        <v>2.0</v>
      </c>
      <c r="AB273" s="139" t="s">
        <v>6381</v>
      </c>
      <c r="AC273" s="28" t="s">
        <v>6377</v>
      </c>
      <c r="AD273" s="27"/>
      <c r="AE273" s="28" t="s">
        <v>6379</v>
      </c>
      <c r="AF273" s="137" t="str">
        <f t="shared" si="7"/>
        <v>Quỳnh</v>
      </c>
      <c r="AG273" s="35"/>
      <c r="AH273" s="35"/>
      <c r="AI273" s="35"/>
      <c r="AJ273" s="35"/>
      <c r="AK273" s="35"/>
      <c r="AL273" s="35"/>
      <c r="AM273" s="35"/>
      <c r="AN273" s="35"/>
      <c r="AO273" s="35"/>
      <c r="AP273" s="35"/>
      <c r="AQ273" s="35"/>
      <c r="AR273" s="35"/>
      <c r="AS273" s="35"/>
      <c r="AT273" s="35"/>
      <c r="AU273" s="35"/>
      <c r="AV273" s="35"/>
      <c r="AW273" s="35"/>
      <c r="AX273" s="35"/>
      <c r="AY273" s="35"/>
      <c r="AZ273" s="35"/>
      <c r="BA273" s="35"/>
    </row>
    <row r="274" ht="17.25" hidden="1" customHeight="1">
      <c r="A274" s="140" t="s">
        <v>3973</v>
      </c>
      <c r="B274" s="141">
        <v>38037.0</v>
      </c>
      <c r="C274" s="140" t="s">
        <v>3974</v>
      </c>
      <c r="D274" s="142" t="s">
        <v>3975</v>
      </c>
      <c r="E274" s="140" t="s">
        <v>774</v>
      </c>
      <c r="F274" s="140" t="s">
        <v>774</v>
      </c>
      <c r="G274" s="140" t="s">
        <v>3976</v>
      </c>
      <c r="H274" s="140" t="s">
        <v>3977</v>
      </c>
      <c r="I274" s="140" t="s">
        <v>338</v>
      </c>
      <c r="J274" s="140"/>
      <c r="K274" s="140" t="s">
        <v>67</v>
      </c>
      <c r="L274" s="140" t="s">
        <v>1090</v>
      </c>
      <c r="M274" s="143">
        <v>46235.0</v>
      </c>
      <c r="N274" s="142" t="s">
        <v>2583</v>
      </c>
      <c r="O274" s="144" t="str">
        <f>HYPERLINK("https://api.typeform.com/responses/files/14b50256ddfe71d5f90255a6b45fbba5cdb00574c67b830edb3544456635b556/Transcript_USER_ACQUISITION_INTERN__Trần_Duy_Phát.pdf")</f>
        <v>https://api.typeform.com/responses/files/14b50256ddfe71d5f90255a6b45fbba5cdb00574c67b830edb3544456635b556/Transcript_USER_ACQUISITION_INTERN__Trần_Duy_Phát.pdf</v>
      </c>
      <c r="P274" s="140" t="b">
        <v>1</v>
      </c>
      <c r="Q274" s="140" t="s">
        <v>3978</v>
      </c>
      <c r="R274" s="140" t="s">
        <v>3979</v>
      </c>
      <c r="S274" s="140" t="s">
        <v>72</v>
      </c>
      <c r="T274" s="140" t="s">
        <v>72</v>
      </c>
      <c r="U274" s="140" t="s">
        <v>73</v>
      </c>
      <c r="V274" s="140"/>
      <c r="W274" s="140" t="s">
        <v>3980</v>
      </c>
      <c r="X274" s="144" t="str">
        <f>HYPERLINK("https://api.typeform.com/responses/files/933b8e11c99182ee9e40889eab50ec326b7ec2f84652d685a5879bb9f486c23a/CV_USER_ACQUISITION_INTERN_Trần_Duy_Phát.pdf")</f>
        <v>https://api.typeform.com/responses/files/933b8e11c99182ee9e40889eab50ec326b7ec2f84652d685a5879bb9f486c23a/CV_USER_ACQUISITION_INTERN_Trần_Duy_Phát.pdf</v>
      </c>
      <c r="Y274" s="145">
        <v>46141.582233796296</v>
      </c>
      <c r="Z274" s="140" t="s">
        <v>3981</v>
      </c>
      <c r="AA274" s="146">
        <v>2.0</v>
      </c>
      <c r="AB274" s="140"/>
      <c r="AC274" s="70" t="s">
        <v>6376</v>
      </c>
      <c r="AD274" s="148"/>
      <c r="AE274" s="70"/>
      <c r="AF274" s="146" t="str">
        <f t="shared" si="7"/>
        <v/>
      </c>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row>
    <row r="275" ht="17.25" hidden="1" customHeight="1">
      <c r="A275" s="197" t="s">
        <v>3937</v>
      </c>
      <c r="B275" s="198">
        <v>38392.0</v>
      </c>
      <c r="C275" s="197" t="s">
        <v>3938</v>
      </c>
      <c r="D275" s="199" t="s">
        <v>3939</v>
      </c>
      <c r="E275" s="197" t="s">
        <v>774</v>
      </c>
      <c r="F275" s="197" t="s">
        <v>82</v>
      </c>
      <c r="G275" s="35" t="s">
        <v>3940</v>
      </c>
      <c r="H275" s="35" t="s">
        <v>3941</v>
      </c>
      <c r="I275" s="35" t="s">
        <v>842</v>
      </c>
      <c r="J275" s="35"/>
      <c r="K275" s="35" t="s">
        <v>219</v>
      </c>
      <c r="L275" s="35" t="s">
        <v>1496</v>
      </c>
      <c r="M275" s="134">
        <v>46577.0</v>
      </c>
      <c r="N275" s="133" t="s">
        <v>118</v>
      </c>
      <c r="O275" s="135" t="str">
        <f>HYPERLINK("https://api.typeform.com/responses/files/a8d74b18ec2e1c2ac595117e670a6133a8a42fec986ef8a11de51bcad1ccde63/Transcript___Game_User_Acquisition_Intern___Trần_Thị_Cát_Tường.pdf")</f>
        <v>https://api.typeform.com/responses/files/a8d74b18ec2e1c2ac595117e670a6133a8a42fec986ef8a11de51bcad1ccde63/Transcript___Game_User_Acquisition_Intern___Trần_Thị_Cát_Tường.pdf</v>
      </c>
      <c r="P275" s="35" t="b">
        <v>0</v>
      </c>
      <c r="Q275" s="35" t="s">
        <v>3942</v>
      </c>
      <c r="R275" s="35" t="s">
        <v>3943</v>
      </c>
      <c r="S275" s="35" t="s">
        <v>72</v>
      </c>
      <c r="T275" s="35" t="s">
        <v>72</v>
      </c>
      <c r="U275" s="35" t="s">
        <v>73</v>
      </c>
      <c r="V275" s="35"/>
      <c r="W275" s="35" t="s">
        <v>3944</v>
      </c>
      <c r="X275" s="200" t="str">
        <f>HYPERLINK("https://api.typeform.com/responses/files/05718efe011914dba3d14fdf00f7b3091b06ce6a1763bc3a0804b967d4fdb5a5/CV_Game_User_Acquisition_Intern_Trần_Thị_Cát_Tường.pdf")</f>
        <v>https://api.typeform.com/responses/files/05718efe011914dba3d14fdf00f7b3091b06ce6a1763bc3a0804b967d4fdb5a5/CV_Game_User_Acquisition_Intern_Trần_Thị_Cát_Tường.pdf</v>
      </c>
      <c r="Y275" s="201">
        <v>46141.46324074074</v>
      </c>
      <c r="Z275" s="35" t="s">
        <v>3945</v>
      </c>
      <c r="AA275" s="137">
        <v>2.0</v>
      </c>
      <c r="AB275" s="35"/>
      <c r="AC275" s="28" t="s">
        <v>6377</v>
      </c>
      <c r="AD275" s="27"/>
      <c r="AE275" s="28" t="s">
        <v>6379</v>
      </c>
      <c r="AF275" s="137" t="str">
        <f t="shared" si="7"/>
        <v>Nhiên</v>
      </c>
      <c r="AG275" s="35"/>
      <c r="AH275" s="35"/>
      <c r="AI275" s="35"/>
      <c r="AJ275" s="35"/>
      <c r="AK275" s="35"/>
      <c r="AL275" s="35"/>
      <c r="AM275" s="35"/>
      <c r="AN275" s="35"/>
      <c r="AO275" s="35"/>
      <c r="AP275" s="35"/>
      <c r="AQ275" s="35"/>
      <c r="AR275" s="35"/>
      <c r="AS275" s="35"/>
      <c r="AT275" s="35"/>
      <c r="AU275" s="35"/>
      <c r="AV275" s="35"/>
      <c r="AW275" s="35"/>
      <c r="AX275" s="35"/>
      <c r="AY275" s="35"/>
      <c r="AZ275" s="35"/>
      <c r="BA275" s="35"/>
    </row>
    <row r="276" ht="17.25" hidden="1" customHeight="1">
      <c r="A276" s="149" t="s">
        <v>3946</v>
      </c>
      <c r="B276" s="150">
        <v>36302.0</v>
      </c>
      <c r="C276" s="149" t="s">
        <v>3947</v>
      </c>
      <c r="D276" s="151" t="s">
        <v>3948</v>
      </c>
      <c r="E276" s="149" t="s">
        <v>99</v>
      </c>
      <c r="F276" s="149"/>
      <c r="G276" s="149" t="s">
        <v>3949</v>
      </c>
      <c r="H276" s="149" t="s">
        <v>3950</v>
      </c>
      <c r="I276" s="149" t="s">
        <v>715</v>
      </c>
      <c r="J276" s="149"/>
      <c r="K276" s="149" t="s">
        <v>67</v>
      </c>
      <c r="L276" s="149" t="s">
        <v>399</v>
      </c>
      <c r="M276" s="152">
        <v>46348.0</v>
      </c>
      <c r="N276" s="151" t="s">
        <v>3951</v>
      </c>
      <c r="O276" s="153" t="str">
        <f>HYPERLINK("https://api.typeform.com/responses/files/af5a19272fc50f4b46c9bb57385d50cefcc8de943569bfff11cecd5a1670c2ba/Transcript___Game_Design_Intern___Nguyen_Tieu_Anh.pdf")</f>
        <v>https://api.typeform.com/responses/files/af5a19272fc50f4b46c9bb57385d50cefcc8de943569bfff11cecd5a1670c2ba/Transcript___Game_Design_Intern___Nguyen_Tieu_Anh.pdf</v>
      </c>
      <c r="P276" s="149" t="b">
        <v>0</v>
      </c>
      <c r="Q276" s="149" t="s">
        <v>300</v>
      </c>
      <c r="R276" s="149" t="s">
        <v>3952</v>
      </c>
      <c r="S276" s="149" t="s">
        <v>72</v>
      </c>
      <c r="T276" s="149" t="s">
        <v>72</v>
      </c>
      <c r="U276" s="149" t="s">
        <v>90</v>
      </c>
      <c r="V276" s="149"/>
      <c r="W276" s="149"/>
      <c r="X276" s="153" t="str">
        <f>HYPERLINK("https://api.typeform.com/responses/files/8b5d02d7195d649423d78b1474888ac024d9855d05686b457f8f594c1c302eb4/CV___Game_Design_Intern___Nguyen_Tieu_Anh.pdf")</f>
        <v>https://api.typeform.com/responses/files/8b5d02d7195d649423d78b1474888ac024d9855d05686b457f8f594c1c302eb4/CV___Game_Design_Intern___Nguyen_Tieu_Anh.pdf</v>
      </c>
      <c r="Y276" s="155">
        <v>46141.494780092595</v>
      </c>
      <c r="Z276" s="149" t="s">
        <v>3953</v>
      </c>
      <c r="AA276" s="156">
        <v>2.0</v>
      </c>
      <c r="AB276" s="157" t="s">
        <v>6381</v>
      </c>
      <c r="AC276" s="92" t="s">
        <v>6376</v>
      </c>
      <c r="AD276" s="158"/>
      <c r="AE276" s="92"/>
      <c r="AF276" s="137" t="str">
        <f t="shared" si="7"/>
        <v/>
      </c>
      <c r="AG276" s="149"/>
      <c r="AH276" s="149"/>
      <c r="AI276" s="149"/>
      <c r="AJ276" s="149"/>
      <c r="AK276" s="149"/>
      <c r="AL276" s="149"/>
      <c r="AM276" s="149"/>
      <c r="AN276" s="149"/>
      <c r="AO276" s="149"/>
      <c r="AP276" s="149"/>
      <c r="AQ276" s="149"/>
      <c r="AR276" s="149"/>
      <c r="AS276" s="149"/>
      <c r="AT276" s="149"/>
      <c r="AU276" s="149"/>
      <c r="AV276" s="149"/>
      <c r="AW276" s="149"/>
      <c r="AX276" s="149"/>
      <c r="AY276" s="149"/>
      <c r="AZ276" s="149"/>
      <c r="BA276" s="149"/>
    </row>
    <row r="277" ht="17.25" hidden="1" customHeight="1">
      <c r="A277" s="197" t="s">
        <v>2137</v>
      </c>
      <c r="B277" s="198">
        <v>38712.0</v>
      </c>
      <c r="C277" s="197" t="s">
        <v>2138</v>
      </c>
      <c r="D277" s="199" t="s">
        <v>2139</v>
      </c>
      <c r="E277" s="197" t="s">
        <v>62</v>
      </c>
      <c r="F277" s="197" t="s">
        <v>82</v>
      </c>
      <c r="G277" s="35" t="s">
        <v>2140</v>
      </c>
      <c r="H277" s="35" t="s">
        <v>2141</v>
      </c>
      <c r="I277" s="35" t="s">
        <v>715</v>
      </c>
      <c r="J277" s="35"/>
      <c r="K277" s="35" t="s">
        <v>219</v>
      </c>
      <c r="L277" s="35" t="s">
        <v>399</v>
      </c>
      <c r="M277" s="134">
        <v>46522.0</v>
      </c>
      <c r="N277" s="133" t="s">
        <v>2142</v>
      </c>
      <c r="O277" s="135" t="str">
        <f>HYPERLINK("https://api.typeform.com/responses/files/b55aed26bd183ced22d0d05a5d27821cf2bfd511606dae76284e73f19623586e/Transcript___AI_Engineer_intern__Data_Analysis_intern___Đoàn_Mạnh_Tất.pdf")</f>
        <v>https://api.typeform.com/responses/files/b55aed26bd183ced22d0d05a5d27821cf2bfd511606dae76284e73f19623586e/Transcript___AI_Engineer_intern__Data_Analysis_intern___Đoàn_Mạnh_Tất.pdf</v>
      </c>
      <c r="P277" s="35" t="b">
        <v>1</v>
      </c>
      <c r="Q277" s="43" t="s">
        <v>2143</v>
      </c>
      <c r="R277" s="35" t="s">
        <v>2144</v>
      </c>
      <c r="S277" s="35" t="s">
        <v>72</v>
      </c>
      <c r="T277" s="35" t="s">
        <v>72</v>
      </c>
      <c r="U277" s="138" t="s">
        <v>269</v>
      </c>
      <c r="V277" s="35"/>
      <c r="W277" s="35" t="s">
        <v>2145</v>
      </c>
      <c r="X277" s="200" t="str">
        <f>HYPERLINK("https://api.typeform.com/responses/files/bcae51823f6c85fc63c8874ce2fe480b8ff83d20709eead2c98a71700760464b/CV___AI_Engineer_intern__Data_Analysis_intern___Đoàn_Mạnh_Tất.pdf")</f>
        <v>https://api.typeform.com/responses/files/bcae51823f6c85fc63c8874ce2fe480b8ff83d20709eead2c98a71700760464b/CV___AI_Engineer_intern__Data_Analysis_intern___Đoàn_Mạnh_Tất.pdf</v>
      </c>
      <c r="Y277" s="201">
        <v>46137.137708333335</v>
      </c>
      <c r="Z277" s="35" t="s">
        <v>2146</v>
      </c>
      <c r="AA277" s="137">
        <v>2.0</v>
      </c>
      <c r="AB277" s="139" t="s">
        <v>6381</v>
      </c>
      <c r="AC277" s="28" t="s">
        <v>6377</v>
      </c>
      <c r="AD277" s="27"/>
      <c r="AE277" s="28" t="s">
        <v>6379</v>
      </c>
      <c r="AF277" s="137" t="str">
        <f t="shared" si="7"/>
        <v>Quỳnh</v>
      </c>
      <c r="AG277" s="35"/>
      <c r="AH277" s="35"/>
      <c r="AI277" s="35"/>
      <c r="AJ277" s="35"/>
      <c r="AK277" s="35"/>
      <c r="AL277" s="35"/>
      <c r="AM277" s="35"/>
      <c r="AN277" s="35"/>
      <c r="AO277" s="35"/>
      <c r="AP277" s="35"/>
      <c r="AQ277" s="35"/>
      <c r="AR277" s="35"/>
      <c r="AS277" s="35"/>
      <c r="AT277" s="35"/>
      <c r="AU277" s="35"/>
      <c r="AV277" s="35"/>
      <c r="AW277" s="35"/>
      <c r="AX277" s="35"/>
      <c r="AY277" s="35"/>
      <c r="AZ277" s="35"/>
      <c r="BA277" s="35"/>
    </row>
    <row r="278" ht="17.25" hidden="1" customHeight="1">
      <c r="A278" s="192" t="s">
        <v>3964</v>
      </c>
      <c r="B278" s="193">
        <v>38000.0</v>
      </c>
      <c r="C278" s="192" t="s">
        <v>3965</v>
      </c>
      <c r="D278" s="194" t="s">
        <v>3966</v>
      </c>
      <c r="E278" s="192" t="s">
        <v>61</v>
      </c>
      <c r="F278" s="192" t="s">
        <v>99</v>
      </c>
      <c r="G278" s="35" t="s">
        <v>3967</v>
      </c>
      <c r="H278" s="35" t="s">
        <v>3968</v>
      </c>
      <c r="I278" s="35" t="s">
        <v>1610</v>
      </c>
      <c r="J278" s="35"/>
      <c r="K278" s="35" t="s">
        <v>67</v>
      </c>
      <c r="L278" s="35" t="s">
        <v>132</v>
      </c>
      <c r="M278" s="134">
        <v>46315.0</v>
      </c>
      <c r="N278" s="133" t="s">
        <v>3969</v>
      </c>
      <c r="O278" s="135" t="str">
        <f>HYPERLINK("https://api.typeform.com/responses/files/a12bdb58a2b75a0f66103d2bcfb43248be6b88f340d5d5d1fafa0b01a260ad5c/Transcript___Unity_Development_Intern___Trương_Dương_Thùy_Trang.pdf")</f>
        <v>https://api.typeform.com/responses/files/a12bdb58a2b75a0f66103d2bcfb43248be6b88f340d5d5d1fafa0b01a260ad5c/Transcript___Unity_Development_Intern___Trương_Dương_Thùy_Trang.pdf</v>
      </c>
      <c r="P278" s="35" t="b">
        <v>0</v>
      </c>
      <c r="Q278" s="35" t="s">
        <v>1437</v>
      </c>
      <c r="R278" s="35" t="s">
        <v>3970</v>
      </c>
      <c r="S278" s="35" t="s">
        <v>72</v>
      </c>
      <c r="T278" s="35" t="s">
        <v>72</v>
      </c>
      <c r="U278" s="35" t="s">
        <v>73</v>
      </c>
      <c r="V278" s="35"/>
      <c r="W278" s="35" t="s">
        <v>3971</v>
      </c>
      <c r="X278" s="195" t="str">
        <f>HYPERLINK("https://api.typeform.com/responses/files/48312917141e7603bbafee7596e52af88a59ab17e4a9c68e294db3b593239b83/CV___Unity_Development_Intern___Trương_Dương_Thùy_Trang.pdf")</f>
        <v>https://api.typeform.com/responses/files/48312917141e7603bbafee7596e52af88a59ab17e4a9c68e294db3b593239b83/CV___Unity_Development_Intern___Trương_Dương_Thùy_Trang.pdf</v>
      </c>
      <c r="Y278" s="196">
        <v>46141.57776620371</v>
      </c>
      <c r="Z278" s="35" t="s">
        <v>3972</v>
      </c>
      <c r="AA278" s="137">
        <v>2.0</v>
      </c>
      <c r="AB278" s="137" t="s">
        <v>93</v>
      </c>
      <c r="AC278" s="28" t="s">
        <v>6376</v>
      </c>
      <c r="AD278" s="27"/>
      <c r="AE278" s="28"/>
      <c r="AF278" s="137" t="str">
        <f t="shared" si="7"/>
        <v/>
      </c>
      <c r="AG278" s="35"/>
      <c r="AH278" s="35"/>
      <c r="AI278" s="35"/>
      <c r="AJ278" s="35"/>
      <c r="AK278" s="35"/>
      <c r="AL278" s="35"/>
      <c r="AM278" s="35"/>
      <c r="AN278" s="35"/>
      <c r="AO278" s="35"/>
      <c r="AP278" s="35"/>
      <c r="AQ278" s="35"/>
      <c r="AR278" s="35"/>
      <c r="AS278" s="35"/>
      <c r="AT278" s="35"/>
      <c r="AU278" s="35"/>
      <c r="AV278" s="35"/>
      <c r="AW278" s="35"/>
      <c r="AX278" s="35"/>
      <c r="AY278" s="35"/>
      <c r="AZ278" s="35"/>
      <c r="BA278" s="35"/>
    </row>
    <row r="279" ht="17.25" hidden="1" customHeight="1">
      <c r="A279" s="197" t="s">
        <v>3982</v>
      </c>
      <c r="B279" s="198">
        <v>38196.0</v>
      </c>
      <c r="C279" s="197" t="s">
        <v>3983</v>
      </c>
      <c r="D279" s="199" t="s">
        <v>3984</v>
      </c>
      <c r="E279" s="197" t="s">
        <v>774</v>
      </c>
      <c r="F279" s="197" t="s">
        <v>99</v>
      </c>
      <c r="G279" s="35" t="s">
        <v>3985</v>
      </c>
      <c r="H279" s="35" t="s">
        <v>3986</v>
      </c>
      <c r="I279" s="35" t="s">
        <v>1311</v>
      </c>
      <c r="J279" s="35"/>
      <c r="K279" s="35" t="s">
        <v>103</v>
      </c>
      <c r="L279" s="35" t="s">
        <v>3987</v>
      </c>
      <c r="M279" s="134">
        <v>46130.0</v>
      </c>
      <c r="N279" s="133" t="s">
        <v>1013</v>
      </c>
      <c r="O279" s="135" t="str">
        <f>HYPERLINK("https://api.typeform.com/responses/files/482ebc8f91760a08ca38c3924b208c79756a615c2086389ea33277feb32f1f02/Transcript___Game_User_Acquisition_Intern___Quach_Thao_Vy.pdf")</f>
        <v>https://api.typeform.com/responses/files/482ebc8f91760a08ca38c3924b208c79756a615c2086389ea33277feb32f1f02/Transcript___Game_User_Acquisition_Intern___Quach_Thao_Vy.pdf</v>
      </c>
      <c r="P279" s="35" t="b">
        <v>1</v>
      </c>
      <c r="Q279" s="35" t="s">
        <v>3988</v>
      </c>
      <c r="R279" s="35" t="s">
        <v>3989</v>
      </c>
      <c r="S279" s="35" t="s">
        <v>72</v>
      </c>
      <c r="T279" s="35" t="s">
        <v>72</v>
      </c>
      <c r="U279" s="35" t="s">
        <v>90</v>
      </c>
      <c r="V279" s="35"/>
      <c r="W279" s="35" t="s">
        <v>3990</v>
      </c>
      <c r="X279" s="200" t="str">
        <f>HYPERLINK("https://api.typeform.com/responses/files/0b74d62dac2b2fe86da4e331e8e750669cf1612d7667a34d391d297d7636deee/CV___Game_User_Acquisition_Intern___Quach_Thao_Vy.pdf")</f>
        <v>https://api.typeform.com/responses/files/0b74d62dac2b2fe86da4e331e8e750669cf1612d7667a34d391d297d7636deee/CV___Game_User_Acquisition_Intern___Quach_Thao_Vy.pdf</v>
      </c>
      <c r="Y279" s="201">
        <v>46141.583715277775</v>
      </c>
      <c r="Z279" s="35" t="s">
        <v>3991</v>
      </c>
      <c r="AA279" s="137">
        <v>2.0</v>
      </c>
      <c r="AB279" s="35"/>
      <c r="AC279" s="28" t="s">
        <v>6377</v>
      </c>
      <c r="AD279" s="27"/>
      <c r="AE279" s="28" t="s">
        <v>6379</v>
      </c>
      <c r="AF279" s="137" t="str">
        <f t="shared" si="7"/>
        <v>Nhiên</v>
      </c>
      <c r="AG279" s="35"/>
      <c r="AH279" s="35"/>
      <c r="AI279" s="35"/>
      <c r="AJ279" s="35"/>
      <c r="AK279" s="35"/>
      <c r="AL279" s="35"/>
      <c r="AM279" s="35"/>
      <c r="AN279" s="35"/>
      <c r="AO279" s="35"/>
      <c r="AP279" s="35"/>
      <c r="AQ279" s="35"/>
      <c r="AR279" s="35"/>
      <c r="AS279" s="35"/>
      <c r="AT279" s="35"/>
      <c r="AU279" s="35"/>
      <c r="AV279" s="35"/>
      <c r="AW279" s="35"/>
      <c r="AX279" s="35"/>
      <c r="AY279" s="35"/>
      <c r="AZ279" s="35"/>
      <c r="BA279" s="35"/>
    </row>
    <row r="280" ht="17.25" hidden="1" customHeight="1">
      <c r="A280" s="192" t="s">
        <v>3992</v>
      </c>
      <c r="B280" s="193">
        <v>37700.0</v>
      </c>
      <c r="C280" s="192" t="s">
        <v>3993</v>
      </c>
      <c r="D280" s="194" t="s">
        <v>3994</v>
      </c>
      <c r="E280" s="192" t="s">
        <v>774</v>
      </c>
      <c r="F280" s="192" t="s">
        <v>82</v>
      </c>
      <c r="G280" s="35" t="s">
        <v>3995</v>
      </c>
      <c r="H280" s="35" t="s">
        <v>3996</v>
      </c>
      <c r="I280" s="35" t="s">
        <v>65</v>
      </c>
      <c r="J280" s="35" t="s">
        <v>961</v>
      </c>
      <c r="K280" s="35" t="s">
        <v>103</v>
      </c>
      <c r="L280" s="35" t="s">
        <v>1348</v>
      </c>
      <c r="M280" s="134">
        <v>45875.0</v>
      </c>
      <c r="N280" s="133" t="s">
        <v>3997</v>
      </c>
      <c r="O280" s="135" t="str">
        <f>HYPERLINK("https://api.typeform.com/responses/files/cf6d4977e826340fa8e6b04efe7171058268108cfd3a78f3699e76301a47da0f/Transcript___Game_User_Acquisition_Marketing_Intern___Nhi_Nguyen.pdf")</f>
        <v>https://api.typeform.com/responses/files/cf6d4977e826340fa8e6b04efe7171058268108cfd3a78f3699e76301a47da0f/Transcript___Game_User_Acquisition_Marketing_Intern___Nhi_Nguyen.pdf</v>
      </c>
      <c r="P280" s="35" t="b">
        <v>0</v>
      </c>
      <c r="Q280" s="35" t="s">
        <v>3998</v>
      </c>
      <c r="R280" s="35" t="s">
        <v>3999</v>
      </c>
      <c r="S280" s="35" t="s">
        <v>72</v>
      </c>
      <c r="T280" s="35" t="s">
        <v>72</v>
      </c>
      <c r="U280" s="35" t="s">
        <v>90</v>
      </c>
      <c r="V280" s="35"/>
      <c r="W280" s="35"/>
      <c r="X280" s="195" t="str">
        <f>HYPERLINK("https://api.typeform.com/responses/files/2f005f9d1ca2c67575c62ce9abd5bcb63ed64811073f814bd68b95017aa69f6b/CV___Game_User_Acquisition_Marketing_Intern___Nhi_Nguyen.pdf")</f>
        <v>https://api.typeform.com/responses/files/2f005f9d1ca2c67575c62ce9abd5bcb63ed64811073f814bd68b95017aa69f6b/CV___Game_User_Acquisition_Marketing_Intern___Nhi_Nguyen.pdf</v>
      </c>
      <c r="Y280" s="196">
        <v>46141.58451388889</v>
      </c>
      <c r="Z280" s="35" t="s">
        <v>4000</v>
      </c>
      <c r="AA280" s="137">
        <v>2.0</v>
      </c>
      <c r="AB280" s="35"/>
      <c r="AC280" s="28" t="s">
        <v>6377</v>
      </c>
      <c r="AD280" s="27"/>
      <c r="AE280" s="28" t="s">
        <v>6379</v>
      </c>
      <c r="AF280" s="137" t="str">
        <f t="shared" si="7"/>
        <v>Nhiên</v>
      </c>
      <c r="AG280" s="35"/>
      <c r="AH280" s="35"/>
      <c r="AI280" s="35"/>
      <c r="AJ280" s="35"/>
      <c r="AK280" s="35"/>
      <c r="AL280" s="35"/>
      <c r="AM280" s="35"/>
      <c r="AN280" s="35"/>
      <c r="AO280" s="35"/>
      <c r="AP280" s="35"/>
      <c r="AQ280" s="35"/>
      <c r="AR280" s="35"/>
      <c r="AS280" s="35"/>
      <c r="AT280" s="35"/>
      <c r="AU280" s="35"/>
      <c r="AV280" s="35"/>
      <c r="AW280" s="35"/>
      <c r="AX280" s="35"/>
      <c r="AY280" s="35"/>
      <c r="AZ280" s="35"/>
      <c r="BA280" s="35"/>
    </row>
    <row r="281" ht="17.25" hidden="1" customHeight="1">
      <c r="A281" s="197" t="s">
        <v>4001</v>
      </c>
      <c r="B281" s="198">
        <v>37782.0</v>
      </c>
      <c r="C281" s="197" t="s">
        <v>4002</v>
      </c>
      <c r="D281" s="199" t="s">
        <v>4003</v>
      </c>
      <c r="E281" s="197" t="s">
        <v>61</v>
      </c>
      <c r="F281" s="197" t="s">
        <v>82</v>
      </c>
      <c r="G281" s="35" t="s">
        <v>4004</v>
      </c>
      <c r="H281" s="35" t="s">
        <v>4005</v>
      </c>
      <c r="I281" s="35" t="s">
        <v>326</v>
      </c>
      <c r="J281" s="35"/>
      <c r="K281" s="35" t="s">
        <v>103</v>
      </c>
      <c r="L281" s="35" t="s">
        <v>1183</v>
      </c>
      <c r="M281" s="134">
        <v>45961.0</v>
      </c>
      <c r="N281" s="133" t="s">
        <v>171</v>
      </c>
      <c r="O281" s="135" t="str">
        <f>HYPERLINK("https://api.typeform.com/responses/files/6eddd9d205be05ff8fe34087f189066eb4dbf45d106eed2cfc79a85742a031b1/Bảng_Điểm_NgoChiCuong.pdf")</f>
        <v>https://api.typeform.com/responses/files/6eddd9d205be05ff8fe34087f189066eb4dbf45d106eed2cfc79a85742a031b1/Bảng_Điểm_NgoChiCuong.pdf</v>
      </c>
      <c r="P281" s="35" t="b">
        <v>0</v>
      </c>
      <c r="Q281" s="35" t="s">
        <v>4006</v>
      </c>
      <c r="R281" s="35" t="s">
        <v>4007</v>
      </c>
      <c r="S281" s="35" t="s">
        <v>72</v>
      </c>
      <c r="T281" s="35" t="s">
        <v>72</v>
      </c>
      <c r="U281" s="35" t="s">
        <v>90</v>
      </c>
      <c r="V281" s="35"/>
      <c r="W281" s="35" t="s">
        <v>4008</v>
      </c>
      <c r="X281" s="200" t="str">
        <f>HYPERLINK("https://api.typeform.com/responses/files/bb8b74df3da19cf761779b466b6339e8fe7f74ee7d23194b8159b6c8e504174e/CV_Ngo_Chi_Cuong_AI.pdf")</f>
        <v>https://api.typeform.com/responses/files/bb8b74df3da19cf761779b466b6339e8fe7f74ee7d23194b8159b6c8e504174e/CV_Ngo_Chi_Cuong_AI.pdf</v>
      </c>
      <c r="Y281" s="201">
        <v>46141.593136574076</v>
      </c>
      <c r="Z281" s="35" t="s">
        <v>4009</v>
      </c>
      <c r="AA281" s="137">
        <v>2.0</v>
      </c>
      <c r="AB281" s="137" t="s">
        <v>93</v>
      </c>
      <c r="AC281" s="28" t="s">
        <v>6376</v>
      </c>
      <c r="AD281" s="27"/>
      <c r="AE281" s="28"/>
      <c r="AF281" s="137" t="str">
        <f t="shared" si="7"/>
        <v/>
      </c>
      <c r="AG281" s="35"/>
      <c r="AH281" s="35"/>
      <c r="AI281" s="35"/>
      <c r="AJ281" s="35"/>
      <c r="AK281" s="35"/>
      <c r="AL281" s="35"/>
      <c r="AM281" s="35"/>
      <c r="AN281" s="35"/>
      <c r="AO281" s="35"/>
      <c r="AP281" s="35"/>
      <c r="AQ281" s="35"/>
      <c r="AR281" s="35"/>
      <c r="AS281" s="35"/>
      <c r="AT281" s="35"/>
      <c r="AU281" s="35"/>
      <c r="AV281" s="35"/>
      <c r="AW281" s="35"/>
      <c r="AX281" s="35"/>
      <c r="AY281" s="35"/>
      <c r="AZ281" s="35"/>
      <c r="BA281" s="35"/>
    </row>
    <row r="282" ht="17.25" hidden="1" customHeight="1">
      <c r="A282" s="192" t="s">
        <v>4010</v>
      </c>
      <c r="B282" s="193">
        <v>38457.0</v>
      </c>
      <c r="C282" s="192" t="s">
        <v>4011</v>
      </c>
      <c r="D282" s="194" t="s">
        <v>4012</v>
      </c>
      <c r="E282" s="192" t="s">
        <v>61</v>
      </c>
      <c r="F282" s="192" t="s">
        <v>62</v>
      </c>
      <c r="G282" s="35" t="s">
        <v>4013</v>
      </c>
      <c r="H282" s="35" t="s">
        <v>4014</v>
      </c>
      <c r="I282" s="35" t="s">
        <v>468</v>
      </c>
      <c r="J282" s="35"/>
      <c r="K282" s="35" t="s">
        <v>219</v>
      </c>
      <c r="L282" s="35" t="s">
        <v>551</v>
      </c>
      <c r="M282" s="134">
        <v>46600.0</v>
      </c>
      <c r="N282" s="133" t="s">
        <v>4015</v>
      </c>
      <c r="O282" s="135" t="str">
        <f>HYPERLINK("https://api.typeform.com/responses/files/73342adf3cb852a4f59f3ec9dddb3ad652396f6bd2d5e0ecc47726821356a11a/image.jpg")</f>
        <v>https://api.typeform.com/responses/files/73342adf3cb852a4f59f3ec9dddb3ad652396f6bd2d5e0ecc47726821356a11a/image.jpg</v>
      </c>
      <c r="P282" s="35" t="b">
        <v>1</v>
      </c>
      <c r="Q282" s="35" t="s">
        <v>4016</v>
      </c>
      <c r="R282" s="35" t="s">
        <v>4017</v>
      </c>
      <c r="S282" s="35" t="s">
        <v>72</v>
      </c>
      <c r="T282" s="35" t="s">
        <v>72</v>
      </c>
      <c r="U282" s="35" t="s">
        <v>236</v>
      </c>
      <c r="V282" s="35"/>
      <c r="W282" s="35" t="s">
        <v>4018</v>
      </c>
      <c r="X282" s="195" t="str">
        <f>HYPERLINK("https://api.typeform.com/responses/files/67fbee3239225c01681a7876012af0ab9fb8d4a2206abc820c517147b152baf5/Le_Nhat_Hao_Resume.pdf")</f>
        <v>https://api.typeform.com/responses/files/67fbee3239225c01681a7876012af0ab9fb8d4a2206abc820c517147b152baf5/Le_Nhat_Hao_Resume.pdf</v>
      </c>
      <c r="Y282" s="196">
        <v>46141.61785879629</v>
      </c>
      <c r="Z282" s="35" t="s">
        <v>4019</v>
      </c>
      <c r="AA282" s="137">
        <v>2.0</v>
      </c>
      <c r="AB282" s="137" t="s">
        <v>93</v>
      </c>
      <c r="AC282" s="28" t="s">
        <v>6376</v>
      </c>
      <c r="AD282" s="27"/>
      <c r="AE282" s="28"/>
      <c r="AF282" s="137" t="str">
        <f t="shared" si="7"/>
        <v/>
      </c>
      <c r="AG282" s="35"/>
      <c r="AH282" s="35"/>
      <c r="AI282" s="35"/>
      <c r="AJ282" s="35"/>
      <c r="AK282" s="35"/>
      <c r="AL282" s="35"/>
      <c r="AM282" s="35"/>
      <c r="AN282" s="35"/>
      <c r="AO282" s="35"/>
      <c r="AP282" s="35"/>
      <c r="AQ282" s="35"/>
      <c r="AR282" s="35"/>
      <c r="AS282" s="35"/>
      <c r="AT282" s="35"/>
      <c r="AU282" s="35"/>
      <c r="AV282" s="35"/>
      <c r="AW282" s="35"/>
      <c r="AX282" s="35"/>
      <c r="AY282" s="35"/>
      <c r="AZ282" s="35"/>
      <c r="BA282" s="35"/>
    </row>
    <row r="283" ht="17.25" hidden="1" customHeight="1">
      <c r="A283" s="197" t="s">
        <v>2684</v>
      </c>
      <c r="B283" s="198">
        <v>38137.0</v>
      </c>
      <c r="C283" s="197" t="s">
        <v>2685</v>
      </c>
      <c r="D283" s="199" t="s">
        <v>2686</v>
      </c>
      <c r="E283" s="197" t="s">
        <v>82</v>
      </c>
      <c r="F283" s="197" t="s">
        <v>62</v>
      </c>
      <c r="G283" s="35" t="s">
        <v>2687</v>
      </c>
      <c r="H283" s="35" t="s">
        <v>2688</v>
      </c>
      <c r="I283" s="35" t="s">
        <v>65</v>
      </c>
      <c r="J283" s="35" t="s">
        <v>2689</v>
      </c>
      <c r="K283" s="35" t="s">
        <v>67</v>
      </c>
      <c r="L283" s="35" t="s">
        <v>624</v>
      </c>
      <c r="M283" s="134">
        <v>46235.0</v>
      </c>
      <c r="N283" s="133" t="s">
        <v>2690</v>
      </c>
      <c r="O283" s="135" t="str">
        <f>HYPERLINK("https://api.typeform.com/responses/files/c96bf5183114dfb9d91f43ccc7288b0d7d977787ee9e09f894d62e631da3ec92/Transcript___Data_Analysis_Intern___Châu_Gia_Bảo.png")</f>
        <v>https://api.typeform.com/responses/files/c96bf5183114dfb9d91f43ccc7288b0d7d977787ee9e09f894d62e631da3ec92/Transcript___Data_Analysis_Intern___Châu_Gia_Bảo.png</v>
      </c>
      <c r="P283" s="35" t="b">
        <v>1</v>
      </c>
      <c r="Q283" s="43" t="s">
        <v>2691</v>
      </c>
      <c r="R283" s="35" t="s">
        <v>2692</v>
      </c>
      <c r="S283" s="35" t="s">
        <v>72</v>
      </c>
      <c r="T283" s="35" t="s">
        <v>72</v>
      </c>
      <c r="U283" s="35" t="s">
        <v>236</v>
      </c>
      <c r="V283" s="35"/>
      <c r="W283" s="35" t="s">
        <v>2693</v>
      </c>
      <c r="X283" s="200" t="str">
        <f>HYPERLINK("https://api.typeform.com/responses/files/3e002717a6629b6a8b46c28ce24189486792ef38b95b25c89c3d1bd24cc9db51/CV___DataAnalyst___Châu_Gia_Bảo.pdf")</f>
        <v>https://api.typeform.com/responses/files/3e002717a6629b6a8b46c28ce24189486792ef38b95b25c89c3d1bd24cc9db51/CV___DataAnalyst___Châu_Gia_Bảo.pdf</v>
      </c>
      <c r="Y283" s="201">
        <v>46139.28324074074</v>
      </c>
      <c r="Z283" s="35" t="s">
        <v>2694</v>
      </c>
      <c r="AA283" s="137">
        <v>2.0</v>
      </c>
      <c r="AB283" s="137" t="s">
        <v>93</v>
      </c>
      <c r="AC283" s="28" t="s">
        <v>6376</v>
      </c>
      <c r="AD283" s="27"/>
      <c r="AE283" s="28"/>
      <c r="AF283" s="137" t="str">
        <f t="shared" si="7"/>
        <v/>
      </c>
      <c r="AG283" s="35"/>
      <c r="AH283" s="35"/>
      <c r="AI283" s="35"/>
      <c r="AJ283" s="35"/>
      <c r="AK283" s="35"/>
      <c r="AL283" s="35"/>
      <c r="AM283" s="35"/>
      <c r="AN283" s="35"/>
      <c r="AO283" s="35"/>
      <c r="AP283" s="35"/>
      <c r="AQ283" s="35"/>
      <c r="AR283" s="35"/>
      <c r="AS283" s="35"/>
      <c r="AT283" s="35"/>
      <c r="AU283" s="35"/>
      <c r="AV283" s="35"/>
      <c r="AW283" s="35"/>
      <c r="AX283" s="35"/>
      <c r="AY283" s="35"/>
      <c r="AZ283" s="35"/>
      <c r="BA283" s="35"/>
    </row>
    <row r="284" ht="17.25" hidden="1" customHeight="1">
      <c r="A284" s="192" t="s">
        <v>1481</v>
      </c>
      <c r="B284" s="193">
        <v>38539.0</v>
      </c>
      <c r="C284" s="192" t="s">
        <v>1482</v>
      </c>
      <c r="D284" s="194" t="s">
        <v>1483</v>
      </c>
      <c r="E284" s="192" t="s">
        <v>82</v>
      </c>
      <c r="F284" s="192" t="s">
        <v>774</v>
      </c>
      <c r="G284" s="35" t="s">
        <v>1484</v>
      </c>
      <c r="H284" s="35" t="s">
        <v>1485</v>
      </c>
      <c r="I284" s="35" t="s">
        <v>715</v>
      </c>
      <c r="J284" s="35"/>
      <c r="K284" s="35" t="s">
        <v>219</v>
      </c>
      <c r="L284" s="35" t="s">
        <v>399</v>
      </c>
      <c r="M284" s="134">
        <v>46539.0</v>
      </c>
      <c r="N284" s="133" t="s">
        <v>159</v>
      </c>
      <c r="O284" s="135" t="str">
        <f>HYPERLINK("https://api.typeform.com/responses/files/99f100775f319ef6ab0b2d0e6b27f382855722fee4b6eef640971dda8aeced97/Transcript___Data_Analysis_Intern___Trần_Vĩnh_Trường.xlsx")</f>
        <v>https://api.typeform.com/responses/files/99f100775f319ef6ab0b2d0e6b27f382855722fee4b6eef640971dda8aeced97/Transcript___Data_Analysis_Intern___Trần_Vĩnh_Trường.xlsx</v>
      </c>
      <c r="P284" s="35" t="b">
        <v>1</v>
      </c>
      <c r="Q284" s="43" t="s">
        <v>1486</v>
      </c>
      <c r="R284" s="35" t="s">
        <v>1487</v>
      </c>
      <c r="S284" s="35" t="s">
        <v>72</v>
      </c>
      <c r="T284" s="35" t="s">
        <v>72</v>
      </c>
      <c r="U284" s="35" t="s">
        <v>1488</v>
      </c>
      <c r="V284" s="35"/>
      <c r="W284" s="35" t="s">
        <v>1489</v>
      </c>
      <c r="X284" s="195" t="str">
        <f>HYPERLINK("https://api.typeform.com/responses/files/5fbe794f20915ce09017c139353c5a6da07bb0a2df929121c9aa677a97bf96b2/CV___Data_Analysis__Intern___Trần_Vĩnh_Trường.pdf")</f>
        <v>https://api.typeform.com/responses/files/5fbe794f20915ce09017c139353c5a6da07bb0a2df929121c9aa677a97bf96b2/CV___Data_Analysis__Intern___Trần_Vĩnh_Trường.pdf</v>
      </c>
      <c r="Y284" s="196">
        <v>46135.6781712963</v>
      </c>
      <c r="Z284" s="35" t="s">
        <v>1490</v>
      </c>
      <c r="AA284" s="137">
        <v>2.0</v>
      </c>
      <c r="AB284" s="137" t="s">
        <v>93</v>
      </c>
      <c r="AC284" s="28" t="s">
        <v>6376</v>
      </c>
      <c r="AD284" s="27"/>
      <c r="AE284" s="28"/>
      <c r="AF284" s="137" t="str">
        <f t="shared" si="7"/>
        <v/>
      </c>
      <c r="AG284" s="35"/>
      <c r="AH284" s="35"/>
      <c r="AI284" s="35"/>
      <c r="AJ284" s="35"/>
      <c r="AK284" s="35"/>
      <c r="AL284" s="35"/>
      <c r="AM284" s="35"/>
      <c r="AN284" s="35"/>
      <c r="AO284" s="35"/>
      <c r="AP284" s="35"/>
      <c r="AQ284" s="35"/>
      <c r="AR284" s="35"/>
      <c r="AS284" s="35"/>
      <c r="AT284" s="35"/>
      <c r="AU284" s="35"/>
      <c r="AV284" s="35"/>
      <c r="AW284" s="35"/>
      <c r="AX284" s="35"/>
      <c r="AY284" s="35"/>
      <c r="AZ284" s="35"/>
      <c r="BA284" s="35"/>
    </row>
    <row r="285" ht="17.25" hidden="1" customHeight="1">
      <c r="A285" s="197" t="s">
        <v>4038</v>
      </c>
      <c r="B285" s="198">
        <v>38535.0</v>
      </c>
      <c r="C285" s="197" t="s">
        <v>4039</v>
      </c>
      <c r="D285" s="199" t="s">
        <v>4040</v>
      </c>
      <c r="E285" s="197" t="s">
        <v>127</v>
      </c>
      <c r="F285" s="197" t="s">
        <v>62</v>
      </c>
      <c r="G285" s="35" t="s">
        <v>4041</v>
      </c>
      <c r="H285" s="35" t="s">
        <v>4042</v>
      </c>
      <c r="I285" s="35" t="s">
        <v>715</v>
      </c>
      <c r="J285" s="35"/>
      <c r="K285" s="35" t="s">
        <v>219</v>
      </c>
      <c r="L285" s="35" t="s">
        <v>930</v>
      </c>
      <c r="M285" s="134">
        <v>46570.0</v>
      </c>
      <c r="N285" s="133" t="s">
        <v>4043</v>
      </c>
      <c r="O285" s="135" t="str">
        <f>HYPERLINK("https://api.typeform.com/responses/files/9b70bffdabe7a8df6551d84f1cf8d7979a889f23b4097e5937803ccb482c361f/Mon_hoc_CTDT_2352991.xlsx")</f>
        <v>https://api.typeform.com/responses/files/9b70bffdabe7a8df6551d84f1cf8d7979a889f23b4097e5937803ccb482c361f/Mon_hoc_CTDT_2352991.xlsx</v>
      </c>
      <c r="P285" s="35" t="b">
        <v>1</v>
      </c>
      <c r="Q285" s="35" t="s">
        <v>4044</v>
      </c>
      <c r="R285" s="35" t="s">
        <v>4045</v>
      </c>
      <c r="S285" s="35" t="s">
        <v>72</v>
      </c>
      <c r="T285" s="35" t="s">
        <v>72</v>
      </c>
      <c r="U285" s="35" t="s">
        <v>73</v>
      </c>
      <c r="V285" s="35"/>
      <c r="W285" s="35"/>
      <c r="X285" s="200" t="str">
        <f>HYPERLINK("https://api.typeform.com/responses/files/43f45078031a482fdd2b418a1f2d04625e9097e9cf53a37dfeb489708051d83c/CV_quality_assurance__Lâm_Minh_Tùng_Quân.pdf")</f>
        <v>https://api.typeform.com/responses/files/43f45078031a482fdd2b418a1f2d04625e9097e9cf53a37dfeb489708051d83c/CV_quality_assurance__Lâm_Minh_Tùng_Quân.pdf</v>
      </c>
      <c r="Y285" s="201">
        <v>46141.693877314814</v>
      </c>
      <c r="Z285" s="35" t="s">
        <v>4046</v>
      </c>
      <c r="AA285" s="137">
        <v>2.0</v>
      </c>
      <c r="AB285" s="137" t="s">
        <v>93</v>
      </c>
      <c r="AC285" s="28" t="s">
        <v>6377</v>
      </c>
      <c r="AD285" s="28" t="s">
        <v>6550</v>
      </c>
      <c r="AE285" s="28" t="s">
        <v>6379</v>
      </c>
      <c r="AF285" s="137" t="str">
        <f t="shared" si="7"/>
        <v>Quỳnh</v>
      </c>
      <c r="AG285" s="35"/>
      <c r="AH285" s="35"/>
      <c r="AI285" s="35"/>
      <c r="AJ285" s="35"/>
      <c r="AK285" s="35"/>
      <c r="AL285" s="35"/>
      <c r="AM285" s="35"/>
      <c r="AN285" s="35"/>
      <c r="AO285" s="35"/>
      <c r="AP285" s="35"/>
      <c r="AQ285" s="35"/>
      <c r="AR285" s="35"/>
      <c r="AS285" s="35"/>
      <c r="AT285" s="35"/>
      <c r="AU285" s="35"/>
      <c r="AV285" s="35"/>
      <c r="AW285" s="35"/>
      <c r="AX285" s="35"/>
      <c r="AY285" s="35"/>
      <c r="AZ285" s="35"/>
      <c r="BA285" s="35"/>
    </row>
    <row r="286" ht="17.25" hidden="1" customHeight="1">
      <c r="A286" s="192" t="s">
        <v>4261</v>
      </c>
      <c r="B286" s="193">
        <v>37798.0</v>
      </c>
      <c r="C286" s="192" t="s">
        <v>4262</v>
      </c>
      <c r="D286" s="194" t="s">
        <v>4263</v>
      </c>
      <c r="E286" s="192" t="s">
        <v>82</v>
      </c>
      <c r="F286" s="192" t="s">
        <v>62</v>
      </c>
      <c r="G286" s="35" t="s">
        <v>4264</v>
      </c>
      <c r="H286" s="35" t="s">
        <v>4265</v>
      </c>
      <c r="I286" s="35" t="s">
        <v>644</v>
      </c>
      <c r="J286" s="35"/>
      <c r="K286" s="35" t="s">
        <v>67</v>
      </c>
      <c r="L286" s="35" t="s">
        <v>4266</v>
      </c>
      <c r="M286" s="134">
        <v>46235.0</v>
      </c>
      <c r="N286" s="133" t="s">
        <v>159</v>
      </c>
      <c r="O286" s="135" t="str">
        <f>HYPERLINK("https://api.typeform.com/responses/files/900c3beae71fe4b01d6805c20750ff31ed56e65bc8ef8b3b6b9c850cb56d254b/Transcript___Data_Analyst_Intern___Luong_Nguyen_Anh_Quan.xls")</f>
        <v>https://api.typeform.com/responses/files/900c3beae71fe4b01d6805c20750ff31ed56e65bc8ef8b3b6b9c850cb56d254b/Transcript___Data_Analyst_Intern___Luong_Nguyen_Anh_Quan.xls</v>
      </c>
      <c r="P286" s="35" t="b">
        <v>1</v>
      </c>
      <c r="Q286" s="35" t="s">
        <v>4267</v>
      </c>
      <c r="R286" s="35" t="s">
        <v>4268</v>
      </c>
      <c r="S286" s="35" t="s">
        <v>72</v>
      </c>
      <c r="T286" s="35" t="s">
        <v>72</v>
      </c>
      <c r="U286" s="35" t="s">
        <v>90</v>
      </c>
      <c r="V286" s="35"/>
      <c r="W286" s="35" t="s">
        <v>4269</v>
      </c>
      <c r="X286" s="195" t="str">
        <f>HYPERLINK("https://api.typeform.com/responses/files/dfa116cd96aad4b18f7bbfa48a68e002a441e4bc4d83aefa585c100bfea2665b/Luong_Nguyen_Anh_Quan___Intern.pdf")</f>
        <v>https://api.typeform.com/responses/files/dfa116cd96aad4b18f7bbfa48a68e002a441e4bc4d83aefa585c100bfea2665b/Luong_Nguyen_Anh_Quan___Intern.pdf</v>
      </c>
      <c r="Y286" s="196">
        <v>46143.224074074074</v>
      </c>
      <c r="Z286" s="35" t="s">
        <v>4270</v>
      </c>
      <c r="AA286" s="137">
        <v>2.0</v>
      </c>
      <c r="AB286" s="137" t="s">
        <v>93</v>
      </c>
      <c r="AC286" s="28" t="s">
        <v>6376</v>
      </c>
      <c r="AD286" s="27"/>
      <c r="AE286" s="28"/>
      <c r="AF286" s="137" t="str">
        <f t="shared" si="7"/>
        <v/>
      </c>
      <c r="AG286" s="35"/>
      <c r="AH286" s="35"/>
      <c r="AI286" s="35"/>
      <c r="AJ286" s="35"/>
      <c r="AK286" s="35"/>
      <c r="AL286" s="35"/>
      <c r="AM286" s="35"/>
      <c r="AN286" s="35"/>
      <c r="AO286" s="35"/>
      <c r="AP286" s="35"/>
      <c r="AQ286" s="35"/>
      <c r="AR286" s="35"/>
      <c r="AS286" s="35"/>
      <c r="AT286" s="35"/>
      <c r="AU286" s="35"/>
      <c r="AV286" s="35"/>
      <c r="AW286" s="35"/>
      <c r="AX286" s="35"/>
      <c r="AY286" s="35"/>
      <c r="AZ286" s="35"/>
      <c r="BA286" s="35"/>
    </row>
    <row r="287" ht="17.25" hidden="1" customHeight="1">
      <c r="A287" s="197" t="s">
        <v>1701</v>
      </c>
      <c r="B287" s="198">
        <v>37763.0</v>
      </c>
      <c r="C287" s="197" t="s">
        <v>1702</v>
      </c>
      <c r="D287" s="199" t="s">
        <v>1703</v>
      </c>
      <c r="E287" s="197" t="s">
        <v>82</v>
      </c>
      <c r="F287" s="197" t="s">
        <v>62</v>
      </c>
      <c r="G287" s="35" t="s">
        <v>1704</v>
      </c>
      <c r="H287" s="35" t="s">
        <v>1705</v>
      </c>
      <c r="I287" s="35" t="s">
        <v>644</v>
      </c>
      <c r="J287" s="35"/>
      <c r="K287" s="35" t="s">
        <v>67</v>
      </c>
      <c r="L287" s="35" t="s">
        <v>384</v>
      </c>
      <c r="M287" s="134">
        <v>46143.0</v>
      </c>
      <c r="N287" s="133" t="s">
        <v>362</v>
      </c>
      <c r="O287" s="135" t="str">
        <f>HYPERLINK("https://api.typeform.com/responses/files/81359af917e1ea1032934a8c5f4d578b802f1c73f674a0c280bcbfaf675b098e/Data_Analyst_Intern__Dinh_Thi_Thanh_Hang__Transcript.doc")</f>
        <v>https://api.typeform.com/responses/files/81359af917e1ea1032934a8c5f4d578b802f1c73f674a0c280bcbfaf675b098e/Data_Analyst_Intern__Dinh_Thi_Thanh_Hang__Transcript.doc</v>
      </c>
      <c r="P287" s="35" t="b">
        <v>1</v>
      </c>
      <c r="Q287" s="43" t="s">
        <v>1706</v>
      </c>
      <c r="R287" s="35" t="s">
        <v>1707</v>
      </c>
      <c r="S287" s="35" t="s">
        <v>72</v>
      </c>
      <c r="T287" s="35" t="s">
        <v>72</v>
      </c>
      <c r="U287" s="35" t="s">
        <v>90</v>
      </c>
      <c r="V287" s="35"/>
      <c r="W287" s="35" t="s">
        <v>1708</v>
      </c>
      <c r="X287" s="200" t="str">
        <f>HYPERLINK("https://api.typeform.com/responses/files/6f0448d32fcb6a1b82a42c3675f36ae3a83b2e66a81f9bbdc0ce0669168f501e/Dinh_Thi_Thanh_Hang__Data_Analyst_Intern.pdf")</f>
        <v>https://api.typeform.com/responses/files/6f0448d32fcb6a1b82a42c3675f36ae3a83b2e66a81f9bbdc0ce0669168f501e/Dinh_Thi_Thanh_Hang__Data_Analyst_Intern.pdf</v>
      </c>
      <c r="Y287" s="201">
        <v>46136.17047453704</v>
      </c>
      <c r="Z287" s="35" t="s">
        <v>1709</v>
      </c>
      <c r="AA287" s="137">
        <v>2.0</v>
      </c>
      <c r="AB287" s="137" t="s">
        <v>93</v>
      </c>
      <c r="AC287" s="28" t="s">
        <v>6376</v>
      </c>
      <c r="AD287" s="27"/>
      <c r="AE287" s="28"/>
      <c r="AF287" s="137" t="str">
        <f t="shared" si="7"/>
        <v/>
      </c>
      <c r="AG287" s="35"/>
      <c r="AH287" s="35"/>
      <c r="AI287" s="35"/>
      <c r="AJ287" s="35"/>
      <c r="AK287" s="35"/>
      <c r="AL287" s="35"/>
      <c r="AM287" s="35"/>
      <c r="AN287" s="35"/>
      <c r="AO287" s="35"/>
      <c r="AP287" s="35"/>
      <c r="AQ287" s="35"/>
      <c r="AR287" s="35"/>
      <c r="AS287" s="35"/>
      <c r="AT287" s="35"/>
      <c r="AU287" s="35"/>
      <c r="AV287" s="35"/>
      <c r="AW287" s="35"/>
      <c r="AX287" s="35"/>
      <c r="AY287" s="35"/>
      <c r="AZ287" s="35"/>
      <c r="BA287" s="35"/>
    </row>
    <row r="288" ht="17.25" hidden="1" customHeight="1">
      <c r="A288" s="140" t="s">
        <v>2127</v>
      </c>
      <c r="B288" s="141">
        <v>38673.0</v>
      </c>
      <c r="C288" s="140" t="s">
        <v>2128</v>
      </c>
      <c r="D288" s="142" t="s">
        <v>2129</v>
      </c>
      <c r="E288" s="140" t="s">
        <v>62</v>
      </c>
      <c r="F288" s="140" t="s">
        <v>82</v>
      </c>
      <c r="G288" s="140" t="s">
        <v>2130</v>
      </c>
      <c r="H288" s="140" t="s">
        <v>2131</v>
      </c>
      <c r="I288" s="140" t="s">
        <v>644</v>
      </c>
      <c r="J288" s="140"/>
      <c r="K288" s="140" t="s">
        <v>219</v>
      </c>
      <c r="L288" s="140" t="s">
        <v>384</v>
      </c>
      <c r="M288" s="143">
        <v>46539.0</v>
      </c>
      <c r="N288" s="142" t="s">
        <v>2132</v>
      </c>
      <c r="O288" s="144" t="str">
        <f>HYPERLINK("https://api.typeform.com/responses/files/e0ee87273b4ea523713e5bd22cf17af64d11b5ee11ce087b83c12ae95277e27c/transcript_AI_Engineer_Intern___Ngô_Thị_Ánh_Dương.pdf")</f>
        <v>https://api.typeform.com/responses/files/e0ee87273b4ea523713e5bd22cf17af64d11b5ee11ce087b83c12ae95277e27c/transcript_AI_Engineer_Intern___Ngô_Thị_Ánh_Dương.pdf</v>
      </c>
      <c r="P288" s="140" t="b">
        <v>0</v>
      </c>
      <c r="Q288" s="161" t="s">
        <v>2133</v>
      </c>
      <c r="R288" s="140" t="s">
        <v>2134</v>
      </c>
      <c r="S288" s="140" t="s">
        <v>72</v>
      </c>
      <c r="T288" s="140" t="s">
        <v>72</v>
      </c>
      <c r="U288" s="140" t="s">
        <v>90</v>
      </c>
      <c r="V288" s="140"/>
      <c r="W288" s="140" t="s">
        <v>2135</v>
      </c>
      <c r="X288" s="144" t="str">
        <f>HYPERLINK("https://api.typeform.com/responses/files/54f657c0d1e7f0f8157bc8b6496f68e0428eba0bfea7ece38bc58a79ecfa44df/AI_Engineer_intern_Ngô_Thị_Ánh_Dương.pdf")</f>
        <v>https://api.typeform.com/responses/files/54f657c0d1e7f0f8157bc8b6496f68e0428eba0bfea7ece38bc58a79ecfa44df/AI_Engineer_intern_Ngô_Thị_Ánh_Dương.pdf</v>
      </c>
      <c r="Y288" s="145">
        <v>46137.1258912037</v>
      </c>
      <c r="Z288" s="140" t="s">
        <v>2136</v>
      </c>
      <c r="AA288" s="146">
        <v>2.0</v>
      </c>
      <c r="AB288" s="147" t="s">
        <v>6381</v>
      </c>
      <c r="AC288" s="70" t="s">
        <v>6376</v>
      </c>
      <c r="AD288" s="148"/>
      <c r="AE288" s="70"/>
      <c r="AF288" s="146" t="str">
        <f t="shared" si="7"/>
        <v/>
      </c>
      <c r="AG288" s="35"/>
      <c r="AH288" s="35"/>
      <c r="AI288" s="35"/>
      <c r="AJ288" s="35"/>
      <c r="AK288" s="35"/>
      <c r="AL288" s="35"/>
      <c r="AM288" s="35"/>
      <c r="AN288" s="35"/>
      <c r="AO288" s="35"/>
      <c r="AP288" s="35"/>
      <c r="AQ288" s="35"/>
      <c r="AR288" s="35"/>
      <c r="AS288" s="35"/>
      <c r="AT288" s="35"/>
      <c r="AU288" s="35"/>
      <c r="AV288" s="35"/>
      <c r="AW288" s="35"/>
      <c r="AX288" s="35"/>
      <c r="AY288" s="35"/>
      <c r="AZ288" s="35"/>
      <c r="BA288" s="35"/>
    </row>
    <row r="289" ht="17.25" hidden="1" customHeight="1">
      <c r="A289" s="140" t="s">
        <v>1578</v>
      </c>
      <c r="B289" s="141">
        <v>38964.0</v>
      </c>
      <c r="C289" s="140" t="s">
        <v>1579</v>
      </c>
      <c r="D289" s="142" t="s">
        <v>1580</v>
      </c>
      <c r="E289" s="140" t="s">
        <v>62</v>
      </c>
      <c r="F289" s="140" t="s">
        <v>82</v>
      </c>
      <c r="G289" s="140" t="s">
        <v>1581</v>
      </c>
      <c r="H289" s="140" t="s">
        <v>1582</v>
      </c>
      <c r="I289" s="140" t="s">
        <v>85</v>
      </c>
      <c r="J289" s="140"/>
      <c r="K289" s="140" t="s">
        <v>169</v>
      </c>
      <c r="L289" s="140" t="s">
        <v>612</v>
      </c>
      <c r="M289" s="143">
        <v>46558.0</v>
      </c>
      <c r="N289" s="142" t="s">
        <v>1583</v>
      </c>
      <c r="O289" s="144" t="str">
        <f>HYPERLINK("https://api.typeform.com/responses/files/866efa7eddb039dcbff3844ad3a5094029c2d3de0c694251724661fdde27c8e0/Transcript___AI_Engineer___Đoàn_Nguyễn_Minh_Thư.pdf")</f>
        <v>https://api.typeform.com/responses/files/866efa7eddb039dcbff3844ad3a5094029c2d3de0c694251724661fdde27c8e0/Transcript___AI_Engineer___Đoàn_Nguyễn_Minh_Thư.pdf</v>
      </c>
      <c r="P289" s="140" t="b">
        <v>1</v>
      </c>
      <c r="Q289" s="161" t="s">
        <v>1584</v>
      </c>
      <c r="R289" s="140" t="s">
        <v>1585</v>
      </c>
      <c r="S289" s="140" t="s">
        <v>72</v>
      </c>
      <c r="T289" s="140" t="s">
        <v>72</v>
      </c>
      <c r="U289" s="140" t="s">
        <v>269</v>
      </c>
      <c r="V289" s="140"/>
      <c r="W289" s="140" t="s">
        <v>1586</v>
      </c>
      <c r="X289" s="144" t="str">
        <f>HYPERLINK("https://api.typeform.com/responses/files/e091337e56583642ecd443a76be55e0f3aed8b0bb47ecf3d06a06d4bd0edad26/CV___AI_Engineering___Đoàn_Nguyễn_Minh_Thư.pdf")</f>
        <v>https://api.typeform.com/responses/files/e091337e56583642ecd443a76be55e0f3aed8b0bb47ecf3d06a06d4bd0edad26/CV___AI_Engineering___Đoàn_Nguyễn_Minh_Thư.pdf</v>
      </c>
      <c r="Y289" s="145">
        <v>46135.791712962964</v>
      </c>
      <c r="Z289" s="140" t="s">
        <v>1587</v>
      </c>
      <c r="AA289" s="146">
        <v>2.0</v>
      </c>
      <c r="AB289" s="147" t="s">
        <v>6381</v>
      </c>
      <c r="AC289" s="70" t="s">
        <v>6376</v>
      </c>
      <c r="AD289" s="148"/>
      <c r="AE289" s="70"/>
      <c r="AF289" s="146" t="str">
        <f t="shared" si="7"/>
        <v/>
      </c>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row>
    <row r="290" ht="17.25" hidden="1" customHeight="1">
      <c r="A290" s="192" t="s">
        <v>2638</v>
      </c>
      <c r="B290" s="193">
        <v>37149.0</v>
      </c>
      <c r="C290" s="192" t="s">
        <v>2639</v>
      </c>
      <c r="D290" s="194" t="s">
        <v>2640</v>
      </c>
      <c r="E290" s="192" t="s">
        <v>82</v>
      </c>
      <c r="F290" s="192" t="s">
        <v>99</v>
      </c>
      <c r="G290" s="35" t="s">
        <v>2641</v>
      </c>
      <c r="H290" s="35" t="s">
        <v>2642</v>
      </c>
      <c r="I290" s="35" t="s">
        <v>715</v>
      </c>
      <c r="J290" s="35"/>
      <c r="K290" s="35" t="s">
        <v>103</v>
      </c>
      <c r="L290" s="35" t="s">
        <v>399</v>
      </c>
      <c r="M290" s="134">
        <v>45986.0</v>
      </c>
      <c r="N290" s="133" t="s">
        <v>2643</v>
      </c>
      <c r="O290" s="135" t="str">
        <f>HYPERLINK("https://api.typeform.com/responses/files/61c8175d00238d8f237b66da705427c7f45ffdeb6f6b0c69ae55a13cdf2b82fe/Transcript___Data_Analysis_Intern___Trần_Tiến_Lực.jpg")</f>
        <v>https://api.typeform.com/responses/files/61c8175d00238d8f237b66da705427c7f45ffdeb6f6b0c69ae55a13cdf2b82fe/Transcript___Data_Analysis_Intern___Trần_Tiến_Lực.jpg</v>
      </c>
      <c r="P290" s="35" t="b">
        <v>0</v>
      </c>
      <c r="Q290" s="43" t="s">
        <v>2644</v>
      </c>
      <c r="R290" s="35" t="s">
        <v>2645</v>
      </c>
      <c r="S290" s="35" t="s">
        <v>72</v>
      </c>
      <c r="T290" s="35" t="s">
        <v>72</v>
      </c>
      <c r="U290" s="35" t="s">
        <v>90</v>
      </c>
      <c r="V290" s="35"/>
      <c r="W290" s="35"/>
      <c r="X290" s="195" t="str">
        <f>HYPERLINK("https://api.typeform.com/responses/files/8785ab50551a31ea4415eab55c6edf1a3183a86565919034bd082dd42fe9f5fc/CV___Data_Analysis_Intern___Trần_Tiến_Lực.pdf")</f>
        <v>https://api.typeform.com/responses/files/8785ab50551a31ea4415eab55c6edf1a3183a86565919034bd082dd42fe9f5fc/CV___Data_Analysis_Intern___Trần_Tiến_Lực.pdf</v>
      </c>
      <c r="Y290" s="196">
        <v>46139.19453703704</v>
      </c>
      <c r="Z290" s="35" t="s">
        <v>2646</v>
      </c>
      <c r="AA290" s="137">
        <v>2.0</v>
      </c>
      <c r="AB290" s="137" t="s">
        <v>93</v>
      </c>
      <c r="AC290" s="28" t="s">
        <v>6376</v>
      </c>
      <c r="AD290" s="27"/>
      <c r="AE290" s="28"/>
      <c r="AF290" s="137" t="str">
        <f t="shared" si="7"/>
        <v/>
      </c>
      <c r="AG290" s="35"/>
      <c r="AH290" s="35"/>
      <c r="AI290" s="35"/>
      <c r="AJ290" s="35"/>
      <c r="AK290" s="35"/>
      <c r="AL290" s="35"/>
      <c r="AM290" s="35"/>
      <c r="AN290" s="35"/>
      <c r="AO290" s="35"/>
      <c r="AP290" s="35"/>
      <c r="AQ290" s="35"/>
      <c r="AR290" s="35"/>
      <c r="AS290" s="35"/>
      <c r="AT290" s="35"/>
      <c r="AU290" s="35"/>
      <c r="AV290" s="35"/>
      <c r="AW290" s="35"/>
      <c r="AX290" s="35"/>
      <c r="AY290" s="35"/>
      <c r="AZ290" s="35"/>
      <c r="BA290" s="35"/>
    </row>
    <row r="291" ht="17.25" hidden="1" customHeight="1">
      <c r="A291" s="197" t="s">
        <v>3189</v>
      </c>
      <c r="B291" s="198">
        <v>38387.0</v>
      </c>
      <c r="C291" s="197" t="s">
        <v>3190</v>
      </c>
      <c r="D291" s="199" t="s">
        <v>3191</v>
      </c>
      <c r="E291" s="197" t="s">
        <v>62</v>
      </c>
      <c r="F291" s="197" t="s">
        <v>82</v>
      </c>
      <c r="G291" s="35" t="s">
        <v>3192</v>
      </c>
      <c r="H291" s="35" t="s">
        <v>3193</v>
      </c>
      <c r="I291" s="35" t="s">
        <v>372</v>
      </c>
      <c r="J291" s="35"/>
      <c r="K291" s="35" t="s">
        <v>219</v>
      </c>
      <c r="L291" s="35" t="s">
        <v>624</v>
      </c>
      <c r="M291" s="134">
        <v>46654.0</v>
      </c>
      <c r="N291" s="133" t="s">
        <v>2027</v>
      </c>
      <c r="O291" s="135" t="str">
        <f>HYPERLINK("https://api.typeform.com/responses/files/041e715e81dcd4ad9e7f1c30a630e768411050771c742694451bf6827c102943/Transcript___AI_Engineering_Intern___Trần_Anh_Huy.pdf")</f>
        <v>https://api.typeform.com/responses/files/041e715e81dcd4ad9e7f1c30a630e768411050771c742694451bf6827c102943/Transcript___AI_Engineering_Intern___Trần_Anh_Huy.pdf</v>
      </c>
      <c r="P291" s="35" t="b">
        <v>0</v>
      </c>
      <c r="Q291" s="35" t="s">
        <v>401</v>
      </c>
      <c r="R291" s="35" t="s">
        <v>3194</v>
      </c>
      <c r="S291" s="35" t="s">
        <v>72</v>
      </c>
      <c r="T291" s="35" t="s">
        <v>72</v>
      </c>
      <c r="U291" s="138" t="s">
        <v>3195</v>
      </c>
      <c r="V291" s="35"/>
      <c r="W291" s="35" t="s">
        <v>3196</v>
      </c>
      <c r="X291" s="200" t="str">
        <f>HYPERLINK("https://api.typeform.com/responses/files/6fd11831925e8c077ba0b50b3362fbaf8a77bf834ebc2a75f7a128d5f3444a58/CV___AI_Engineering___Trần_Anh_Huy.pdf")</f>
        <v>https://api.typeform.com/responses/files/6fd11831925e8c077ba0b50b3362fbaf8a77bf834ebc2a75f7a128d5f3444a58/CV___AI_Engineering___Trần_Anh_Huy.pdf</v>
      </c>
      <c r="Y291" s="201">
        <v>46140.17731481481</v>
      </c>
      <c r="Z291" s="35" t="s">
        <v>3197</v>
      </c>
      <c r="AA291" s="137">
        <v>2.0</v>
      </c>
      <c r="AB291" s="139" t="s">
        <v>6381</v>
      </c>
      <c r="AC291" s="28" t="s">
        <v>6376</v>
      </c>
      <c r="AD291" s="27"/>
      <c r="AE291" s="28"/>
      <c r="AF291" s="137" t="str">
        <f t="shared" si="7"/>
        <v/>
      </c>
      <c r="AG291" s="35"/>
      <c r="AH291" s="35"/>
      <c r="AI291" s="35"/>
      <c r="AJ291" s="35"/>
      <c r="AK291" s="35"/>
      <c r="AL291" s="35"/>
      <c r="AM291" s="35"/>
      <c r="AN291" s="35"/>
      <c r="AO291" s="35"/>
      <c r="AP291" s="35"/>
      <c r="AQ291" s="35"/>
      <c r="AR291" s="35"/>
      <c r="AS291" s="35"/>
      <c r="AT291" s="35"/>
      <c r="AU291" s="35"/>
      <c r="AV291" s="35"/>
      <c r="AW291" s="35"/>
      <c r="AX291" s="35"/>
      <c r="AY291" s="35"/>
      <c r="AZ291" s="35"/>
      <c r="BA291" s="35"/>
    </row>
    <row r="292" ht="17.25" hidden="1" customHeight="1">
      <c r="A292" s="192" t="s">
        <v>1816</v>
      </c>
      <c r="B292" s="193">
        <v>38416.0</v>
      </c>
      <c r="C292" s="192" t="s">
        <v>1817</v>
      </c>
      <c r="D292" s="194" t="s">
        <v>1818</v>
      </c>
      <c r="E292" s="192" t="s">
        <v>62</v>
      </c>
      <c r="F292" s="192" t="s">
        <v>61</v>
      </c>
      <c r="G292" s="35" t="s">
        <v>1819</v>
      </c>
      <c r="H292" s="35" t="s">
        <v>1820</v>
      </c>
      <c r="I292" s="35" t="s">
        <v>326</v>
      </c>
      <c r="J292" s="35"/>
      <c r="K292" s="35" t="s">
        <v>219</v>
      </c>
      <c r="L292" s="35" t="s">
        <v>1821</v>
      </c>
      <c r="M292" s="134">
        <v>46660.0</v>
      </c>
      <c r="N292" s="133" t="s">
        <v>881</v>
      </c>
      <c r="O292" s="135" t="str">
        <f>HYPERLINK("https://api.typeform.com/responses/files/bf654cabd0a2a0b63ad2273ec3293b9d7a931ed0cfad48e8ce4b4a94bc0e456c/Transcript___AI_Engineer_Intern___Nguyễn_Đặng_Minh_Duy.pdf")</f>
        <v>https://api.typeform.com/responses/files/bf654cabd0a2a0b63ad2273ec3293b9d7a931ed0cfad48e8ce4b4a94bc0e456c/Transcript___AI_Engineer_Intern___Nguyễn_Đặng_Minh_Duy.pdf</v>
      </c>
      <c r="P292" s="35" t="b">
        <v>0</v>
      </c>
      <c r="Q292" s="43" t="s">
        <v>222</v>
      </c>
      <c r="R292" s="35" t="s">
        <v>1822</v>
      </c>
      <c r="S292" s="35" t="s">
        <v>72</v>
      </c>
      <c r="T292" s="35" t="s">
        <v>72</v>
      </c>
      <c r="U292" s="138" t="s">
        <v>269</v>
      </c>
      <c r="V292" s="35"/>
      <c r="W292" s="35" t="s">
        <v>1823</v>
      </c>
      <c r="X292" s="195" t="str">
        <f>HYPERLINK("https://api.typeform.com/responses/files/2f6bac863db106576f2115281a826d2d666817ba948a470f6e0cbe1b227ec6f7/CV___AI_Engineer___Nguyễn_Đặng_Minh_Duy.pdf")</f>
        <v>https://api.typeform.com/responses/files/2f6bac863db106576f2115281a826d2d666817ba948a470f6e0cbe1b227ec6f7/CV___AI_Engineer___Nguyễn_Đặng_Minh_Duy.pdf</v>
      </c>
      <c r="Y292" s="196">
        <v>46136.26489583333</v>
      </c>
      <c r="Z292" s="35" t="s">
        <v>1824</v>
      </c>
      <c r="AA292" s="137">
        <v>2.0</v>
      </c>
      <c r="AB292" s="139" t="s">
        <v>6381</v>
      </c>
      <c r="AC292" s="28" t="s">
        <v>6376</v>
      </c>
      <c r="AD292" s="27"/>
      <c r="AE292" s="28"/>
      <c r="AF292" s="137" t="str">
        <f t="shared" si="7"/>
        <v/>
      </c>
      <c r="AG292" s="35"/>
      <c r="AH292" s="35"/>
      <c r="AI292" s="35"/>
      <c r="AJ292" s="35"/>
      <c r="AK292" s="35"/>
      <c r="AL292" s="35"/>
      <c r="AM292" s="35"/>
      <c r="AN292" s="35"/>
      <c r="AO292" s="35"/>
      <c r="AP292" s="35"/>
      <c r="AQ292" s="35"/>
      <c r="AR292" s="35"/>
      <c r="AS292" s="35"/>
      <c r="AT292" s="35"/>
      <c r="AU292" s="35"/>
      <c r="AV292" s="35"/>
      <c r="AW292" s="35"/>
      <c r="AX292" s="35"/>
      <c r="AY292" s="35"/>
      <c r="AZ292" s="35"/>
      <c r="BA292" s="35"/>
    </row>
    <row r="293" ht="17.25" hidden="1" customHeight="1">
      <c r="A293" s="197" t="s">
        <v>3271</v>
      </c>
      <c r="B293" s="198">
        <v>37515.0</v>
      </c>
      <c r="C293" s="197" t="s">
        <v>3272</v>
      </c>
      <c r="D293" s="199" t="s">
        <v>3273</v>
      </c>
      <c r="E293" s="197" t="s">
        <v>82</v>
      </c>
      <c r="F293" s="197" t="s">
        <v>62</v>
      </c>
      <c r="G293" s="35" t="s">
        <v>3274</v>
      </c>
      <c r="H293" s="35" t="s">
        <v>3275</v>
      </c>
      <c r="I293" s="35" t="s">
        <v>277</v>
      </c>
      <c r="J293" s="35"/>
      <c r="K293" s="35" t="s">
        <v>103</v>
      </c>
      <c r="L293" s="35" t="s">
        <v>3276</v>
      </c>
      <c r="M293" s="134">
        <v>46203.0</v>
      </c>
      <c r="N293" s="35" t="s">
        <v>3277</v>
      </c>
      <c r="O293" s="135" t="str">
        <f>HYPERLINK("https://api.typeform.com/responses/files/e55b79b5f52853282305ba5c27c39dda478c7a42c6863c406fdc471cd77f6008/Transcript___Data_Analysis_Intern___Ngô_Nguyên_Thảo.pdf")</f>
        <v>https://api.typeform.com/responses/files/e55b79b5f52853282305ba5c27c39dda478c7a42c6863c406fdc471cd77f6008/Transcript___Data_Analysis_Intern___Ngô_Nguyên_Thảo.pdf</v>
      </c>
      <c r="P293" s="35" t="b">
        <v>1</v>
      </c>
      <c r="Q293" s="35" t="s">
        <v>3278</v>
      </c>
      <c r="R293" s="35" t="s">
        <v>3279</v>
      </c>
      <c r="S293" s="35" t="s">
        <v>72</v>
      </c>
      <c r="T293" s="35" t="s">
        <v>72</v>
      </c>
      <c r="U293" s="35" t="s">
        <v>90</v>
      </c>
      <c r="V293" s="35"/>
      <c r="W293" s="35" t="s">
        <v>3280</v>
      </c>
      <c r="X293" s="200" t="str">
        <f>HYPERLINK("https://api.typeform.com/responses/files/122be1a3caa7f4d65332df67af7a0ea786cac3ca995ec64b37e7e5cf10059efe/CV___Data_Analysis___Ngô_Nguyên_Thảo.pdf")</f>
        <v>https://api.typeform.com/responses/files/122be1a3caa7f4d65332df67af7a0ea786cac3ca995ec64b37e7e5cf10059efe/CV___Data_Analysis___Ngô_Nguyên_Thảo.pdf</v>
      </c>
      <c r="Y293" s="201">
        <v>46140.210381944446</v>
      </c>
      <c r="Z293" s="35" t="s">
        <v>3281</v>
      </c>
      <c r="AA293" s="137">
        <v>2.0</v>
      </c>
      <c r="AB293" s="137" t="s">
        <v>93</v>
      </c>
      <c r="AC293" s="28" t="s">
        <v>6376</v>
      </c>
      <c r="AD293" s="27"/>
      <c r="AE293" s="28"/>
      <c r="AF293" s="137" t="str">
        <f t="shared" si="7"/>
        <v/>
      </c>
      <c r="AG293" s="35"/>
      <c r="AH293" s="35"/>
      <c r="AI293" s="35"/>
      <c r="AJ293" s="35"/>
      <c r="AK293" s="35"/>
      <c r="AL293" s="35"/>
      <c r="AM293" s="35"/>
      <c r="AN293" s="35"/>
      <c r="AO293" s="35"/>
      <c r="AP293" s="35"/>
      <c r="AQ293" s="35"/>
      <c r="AR293" s="35"/>
      <c r="AS293" s="35"/>
      <c r="AT293" s="35"/>
      <c r="AU293" s="35"/>
      <c r="AV293" s="35"/>
      <c r="AW293" s="35"/>
      <c r="AX293" s="35"/>
      <c r="AY293" s="35"/>
      <c r="AZ293" s="35"/>
      <c r="BA293" s="35"/>
    </row>
    <row r="294" ht="17.25" hidden="1" customHeight="1">
      <c r="A294" s="149" t="s">
        <v>4119</v>
      </c>
      <c r="B294" s="150">
        <v>37914.0</v>
      </c>
      <c r="C294" s="149" t="s">
        <v>4120</v>
      </c>
      <c r="D294" s="151" t="s">
        <v>4121</v>
      </c>
      <c r="E294" s="149" t="s">
        <v>99</v>
      </c>
      <c r="F294" s="149" t="s">
        <v>62</v>
      </c>
      <c r="G294" s="149" t="s">
        <v>4122</v>
      </c>
      <c r="H294" s="149" t="s">
        <v>4123</v>
      </c>
      <c r="I294" s="149" t="s">
        <v>644</v>
      </c>
      <c r="J294" s="149"/>
      <c r="K294" s="149" t="s">
        <v>103</v>
      </c>
      <c r="L294" s="149" t="s">
        <v>399</v>
      </c>
      <c r="M294" s="152">
        <v>46052.0</v>
      </c>
      <c r="N294" s="151" t="s">
        <v>4124</v>
      </c>
      <c r="O294" s="153" t="str">
        <f>HYPERLINK("https://api.typeform.com/responses/files/191089411987cbaa6cb3eea5625f78293344c1094b8cd39af458fa157f93464c/Transcript___Game_Designer_Intern___Nguyễn_Nguyên_Bảo_Phú.xlsx")</f>
        <v>https://api.typeform.com/responses/files/191089411987cbaa6cb3eea5625f78293344c1094b8cd39af458fa157f93464c/Transcript___Game_Designer_Intern___Nguyễn_Nguyên_Bảo_Phú.xlsx</v>
      </c>
      <c r="P294" s="149" t="b">
        <v>1</v>
      </c>
      <c r="Q294" s="149" t="s">
        <v>4125</v>
      </c>
      <c r="R294" s="149" t="s">
        <v>4126</v>
      </c>
      <c r="S294" s="149" t="s">
        <v>72</v>
      </c>
      <c r="T294" s="149" t="s">
        <v>72</v>
      </c>
      <c r="U294" s="149" t="s">
        <v>90</v>
      </c>
      <c r="V294" s="149"/>
      <c r="W294" s="149" t="s">
        <v>4127</v>
      </c>
      <c r="X294" s="153" t="str">
        <f>HYPERLINK("https://api.typeform.com/responses/files/d45aafb70a9ccf02828744235ab73faf224d8cca5b4aa03a54b9e72351f83563/CV___Game_Design_Intern___Nguyễn_Nguyên_Bảo_Phú.pdf")</f>
        <v>https://api.typeform.com/responses/files/d45aafb70a9ccf02828744235ab73faf224d8cca5b4aa03a54b9e72351f83563/CV___Game_Design_Intern___Nguyễn_Nguyên_Bảo_Phú.pdf</v>
      </c>
      <c r="Y294" s="155">
        <v>46142.181875</v>
      </c>
      <c r="Z294" s="149" t="s">
        <v>4128</v>
      </c>
      <c r="AA294" s="156">
        <v>2.0</v>
      </c>
      <c r="AB294" s="157" t="s">
        <v>6381</v>
      </c>
      <c r="AC294" s="92" t="s">
        <v>6376</v>
      </c>
      <c r="AD294" s="158"/>
      <c r="AE294" s="92"/>
      <c r="AF294" s="137" t="str">
        <f t="shared" si="7"/>
        <v/>
      </c>
      <c r="AG294" s="149"/>
      <c r="AH294" s="149"/>
      <c r="AI294" s="149"/>
      <c r="AJ294" s="149"/>
      <c r="AK294" s="149"/>
      <c r="AL294" s="149"/>
      <c r="AM294" s="149"/>
      <c r="AN294" s="149"/>
      <c r="AO294" s="149"/>
      <c r="AP294" s="149"/>
      <c r="AQ294" s="149"/>
      <c r="AR294" s="149"/>
      <c r="AS294" s="149"/>
      <c r="AT294" s="149"/>
      <c r="AU294" s="149"/>
      <c r="AV294" s="149"/>
      <c r="AW294" s="149"/>
      <c r="AX294" s="149"/>
      <c r="AY294" s="149"/>
      <c r="AZ294" s="149"/>
      <c r="BA294" s="149"/>
    </row>
    <row r="295" ht="17.25" hidden="1" customHeight="1">
      <c r="A295" s="197" t="s">
        <v>4129</v>
      </c>
      <c r="B295" s="198">
        <v>38290.0</v>
      </c>
      <c r="C295" s="197" t="s">
        <v>4130</v>
      </c>
      <c r="D295" s="199" t="s">
        <v>4131</v>
      </c>
      <c r="E295" s="197" t="s">
        <v>774</v>
      </c>
      <c r="F295" s="197" t="s">
        <v>774</v>
      </c>
      <c r="G295" s="35" t="s">
        <v>4132</v>
      </c>
      <c r="H295" s="35" t="s">
        <v>4133</v>
      </c>
      <c r="I295" s="35" t="s">
        <v>777</v>
      </c>
      <c r="J295" s="35"/>
      <c r="K295" s="35" t="s">
        <v>67</v>
      </c>
      <c r="L295" s="35" t="s">
        <v>4134</v>
      </c>
      <c r="M295" s="134">
        <v>38290.0</v>
      </c>
      <c r="N295" s="133" t="s">
        <v>3670</v>
      </c>
      <c r="O295" s="135" t="str">
        <f>HYPERLINK("https://api.typeform.com/responses/files/80f265428f5ca9ad9072410d626a247fd2ee9c8828b072cf5660b95a1dcc55eb/Transcript___Marketing_Intern___Nguyễn_Thị_Hồng_Nhung.png")</f>
        <v>https://api.typeform.com/responses/files/80f265428f5ca9ad9072410d626a247fd2ee9c8828b072cf5660b95a1dcc55eb/Transcript___Marketing_Intern___Nguyễn_Thị_Hồng_Nhung.png</v>
      </c>
      <c r="P295" s="35" t="b">
        <v>0</v>
      </c>
      <c r="Q295" s="35" t="s">
        <v>280</v>
      </c>
      <c r="R295" s="35" t="s">
        <v>4135</v>
      </c>
      <c r="S295" s="35" t="s">
        <v>72</v>
      </c>
      <c r="T295" s="35" t="s">
        <v>72</v>
      </c>
      <c r="U295" s="35" t="s">
        <v>90</v>
      </c>
      <c r="V295" s="35"/>
      <c r="W295" s="35"/>
      <c r="X295" s="200" t="str">
        <f>HYPERLINK("https://api.typeform.com/responses/files/e4b8c2a5cfdb7b9fd66333821f8449cccf9743024e7242704849eb8aecd99de1/Nguyễn_Thị_Hồng_Nhung_Sun_Studio_Marketing_Intern.pdf")</f>
        <v>https://api.typeform.com/responses/files/e4b8c2a5cfdb7b9fd66333821f8449cccf9743024e7242704849eb8aecd99de1/Nguyễn_Thị_Hồng_Nhung_Sun_Studio_Marketing_Intern.pdf</v>
      </c>
      <c r="Y295" s="201">
        <v>46142.19184027778</v>
      </c>
      <c r="Z295" s="35" t="s">
        <v>4136</v>
      </c>
      <c r="AA295" s="137">
        <v>2.0</v>
      </c>
      <c r="AB295" s="35"/>
      <c r="AC295" s="28" t="s">
        <v>6377</v>
      </c>
      <c r="AD295" s="27"/>
      <c r="AE295" s="28" t="s">
        <v>6379</v>
      </c>
      <c r="AF295" s="137" t="str">
        <f t="shared" si="7"/>
        <v>Nhiên</v>
      </c>
      <c r="AG295" s="35"/>
      <c r="AH295" s="35"/>
      <c r="AI295" s="35"/>
      <c r="AJ295" s="35"/>
      <c r="AK295" s="35"/>
      <c r="AL295" s="35"/>
      <c r="AM295" s="35"/>
      <c r="AN295" s="35"/>
      <c r="AO295" s="35"/>
      <c r="AP295" s="35"/>
      <c r="AQ295" s="35"/>
      <c r="AR295" s="35"/>
      <c r="AS295" s="35"/>
      <c r="AT295" s="35"/>
      <c r="AU295" s="35"/>
      <c r="AV295" s="35"/>
      <c r="AW295" s="35"/>
      <c r="AX295" s="35"/>
      <c r="AY295" s="35"/>
      <c r="AZ295" s="35"/>
      <c r="BA295" s="35"/>
    </row>
    <row r="296" ht="17.25" hidden="1" customHeight="1">
      <c r="A296" s="192" t="s">
        <v>4137</v>
      </c>
      <c r="B296" s="193">
        <v>38885.0</v>
      </c>
      <c r="C296" s="192" t="s">
        <v>4138</v>
      </c>
      <c r="D296" s="194" t="s">
        <v>4139</v>
      </c>
      <c r="E296" s="192" t="s">
        <v>61</v>
      </c>
      <c r="F296" s="192"/>
      <c r="G296" s="35" t="s">
        <v>4140</v>
      </c>
      <c r="H296" s="35" t="s">
        <v>4141</v>
      </c>
      <c r="I296" s="35" t="s">
        <v>144</v>
      </c>
      <c r="J296" s="35"/>
      <c r="K296" s="35" t="s">
        <v>169</v>
      </c>
      <c r="L296" s="35" t="s">
        <v>3009</v>
      </c>
      <c r="M296" s="134">
        <v>46239.0</v>
      </c>
      <c r="N296" s="133" t="s">
        <v>2461</v>
      </c>
      <c r="O296" s="135" t="str">
        <f>HYPERLINK("https://api.typeform.com/responses/files/41828a4b1b6ab798cf5c70b50ed9cb4e202e2793a1d739a2bcdaa0ec299a208b/Bảng_điểm__FPT_Polytechnic.pdf")</f>
        <v>https://api.typeform.com/responses/files/41828a4b1b6ab798cf5c70b50ed9cb4e202e2793a1d739a2bcdaa0ec299a208b/Bảng_điểm__FPT_Polytechnic.pdf</v>
      </c>
      <c r="P296" s="35" t="b">
        <v>1</v>
      </c>
      <c r="Q296" s="35" t="s">
        <v>4142</v>
      </c>
      <c r="R296" s="35" t="s">
        <v>4143</v>
      </c>
      <c r="S296" s="35" t="s">
        <v>72</v>
      </c>
      <c r="T296" s="35" t="s">
        <v>72</v>
      </c>
      <c r="U296" s="35" t="s">
        <v>90</v>
      </c>
      <c r="V296" s="35"/>
      <c r="W296" s="35" t="s">
        <v>4144</v>
      </c>
      <c r="X296" s="195" t="str">
        <f>HYPERLINK("https://api.typeform.com/responses/files/73501665a3a2471641d60de976287d510b4d7d198704fe193d10aeeb0e025fe2/CV_NguyễnLâmThao.pdf")</f>
        <v>https://api.typeform.com/responses/files/73501665a3a2471641d60de976287d510b4d7d198704fe193d10aeeb0e025fe2/CV_NguyễnLâmThao.pdf</v>
      </c>
      <c r="Y296" s="196">
        <v>46142.27516203704</v>
      </c>
      <c r="Z296" s="35" t="s">
        <v>4145</v>
      </c>
      <c r="AA296" s="137">
        <v>2.0</v>
      </c>
      <c r="AB296" s="137" t="s">
        <v>93</v>
      </c>
      <c r="AC296" s="28" t="s">
        <v>6377</v>
      </c>
      <c r="AD296" s="27"/>
      <c r="AE296" s="28" t="s">
        <v>6379</v>
      </c>
      <c r="AF296" s="137" t="str">
        <f t="shared" si="7"/>
        <v>Quỳnh</v>
      </c>
      <c r="AG296" s="35"/>
      <c r="AH296" s="35"/>
      <c r="AI296" s="35"/>
      <c r="AJ296" s="35"/>
      <c r="AK296" s="35"/>
      <c r="AL296" s="35"/>
      <c r="AM296" s="35"/>
      <c r="AN296" s="35"/>
      <c r="AO296" s="35"/>
      <c r="AP296" s="35"/>
      <c r="AQ296" s="35"/>
      <c r="AR296" s="35"/>
      <c r="AS296" s="35"/>
      <c r="AT296" s="35"/>
      <c r="AU296" s="35"/>
      <c r="AV296" s="35"/>
      <c r="AW296" s="35"/>
      <c r="AX296" s="35"/>
      <c r="AY296" s="35"/>
      <c r="AZ296" s="35"/>
      <c r="BA296" s="35"/>
    </row>
    <row r="297" ht="17.25" customHeight="1">
      <c r="A297" s="197" t="s">
        <v>4146</v>
      </c>
      <c r="B297" s="198">
        <v>38673.0</v>
      </c>
      <c r="C297" s="197" t="s">
        <v>4147</v>
      </c>
      <c r="D297" s="199" t="s">
        <v>4148</v>
      </c>
      <c r="E297" s="197" t="s">
        <v>633</v>
      </c>
      <c r="F297" s="197"/>
      <c r="G297" s="35" t="s">
        <v>4149</v>
      </c>
      <c r="H297" s="35" t="s">
        <v>4150</v>
      </c>
      <c r="I297" s="35" t="s">
        <v>2581</v>
      </c>
      <c r="J297" s="35"/>
      <c r="K297" s="35" t="s">
        <v>219</v>
      </c>
      <c r="L297" s="35" t="s">
        <v>4151</v>
      </c>
      <c r="M297" s="134">
        <v>46508.0</v>
      </c>
      <c r="N297" s="133" t="s">
        <v>267</v>
      </c>
      <c r="O297" s="135" t="str">
        <f>HYPERLINK("https://api.typeform.com/responses/files/78cee04ea9a54a5db1342b702acd46f8c06cefdd99119a13c0e0fae5e218a14a/Transcript___Human_Resource_Intern___Vòng_Nguyên_Hy.pdf")</f>
        <v>https://api.typeform.com/responses/files/78cee04ea9a54a5db1342b702acd46f8c06cefdd99119a13c0e0fae5e218a14a/Transcript___Human_Resource_Intern___Vòng_Nguyên_Hy.pdf</v>
      </c>
      <c r="P297" s="35" t="b">
        <v>0</v>
      </c>
      <c r="Q297" s="35" t="s">
        <v>4152</v>
      </c>
      <c r="R297" s="35" t="s">
        <v>4152</v>
      </c>
      <c r="S297" s="35" t="s">
        <v>72</v>
      </c>
      <c r="T297" s="35" t="s">
        <v>72</v>
      </c>
      <c r="U297" s="35" t="s">
        <v>73</v>
      </c>
      <c r="V297" s="35"/>
      <c r="W297" s="35" t="s">
        <v>4153</v>
      </c>
      <c r="X297" s="200" t="str">
        <f>HYPERLINK("https://api.typeform.com/responses/files/2005593a39fde5383c49986b8d339c55806502c130633971f7d53505170dd212/CV___Human_Resource_Intern___Vòng_Nguyên_Hy.pdf")</f>
        <v>https://api.typeform.com/responses/files/2005593a39fde5383c49986b8d339c55806502c130633971f7d53505170dd212/CV___Human_Resource_Intern___Vòng_Nguyên_Hy.pdf</v>
      </c>
      <c r="Y297" s="201">
        <v>46142.2977662037</v>
      </c>
      <c r="Z297" s="35" t="s">
        <v>4154</v>
      </c>
      <c r="AA297" s="137">
        <v>2.0</v>
      </c>
      <c r="AB297" s="203" t="s">
        <v>93</v>
      </c>
      <c r="AC297" s="28" t="s">
        <v>6377</v>
      </c>
      <c r="AD297" s="27"/>
      <c r="AE297" s="28" t="s">
        <v>6376</v>
      </c>
      <c r="AF297" s="137" t="s">
        <v>93</v>
      </c>
      <c r="AG297" s="35"/>
      <c r="AH297" s="35"/>
      <c r="AI297" s="35"/>
      <c r="AJ297" s="35"/>
      <c r="AK297" s="35"/>
      <c r="AL297" s="35"/>
      <c r="AM297" s="35"/>
      <c r="AN297" s="35"/>
      <c r="AO297" s="35"/>
      <c r="AP297" s="35"/>
      <c r="AQ297" s="35"/>
      <c r="AR297" s="35"/>
      <c r="AS297" s="35"/>
      <c r="AT297" s="35"/>
      <c r="AU297" s="35"/>
      <c r="AV297" s="35"/>
      <c r="AW297" s="35"/>
      <c r="AX297" s="35"/>
      <c r="AY297" s="35"/>
      <c r="AZ297" s="35"/>
      <c r="BA297" s="35"/>
    </row>
    <row r="298" ht="17.25" hidden="1" customHeight="1">
      <c r="A298" s="192" t="s">
        <v>2076</v>
      </c>
      <c r="B298" s="193">
        <v>38511.0</v>
      </c>
      <c r="C298" s="192" t="s">
        <v>2077</v>
      </c>
      <c r="D298" s="194" t="s">
        <v>2078</v>
      </c>
      <c r="E298" s="192" t="s">
        <v>82</v>
      </c>
      <c r="F298" s="192" t="s">
        <v>82</v>
      </c>
      <c r="G298" s="35" t="s">
        <v>2079</v>
      </c>
      <c r="H298" s="35" t="s">
        <v>2080</v>
      </c>
      <c r="I298" s="35" t="s">
        <v>65</v>
      </c>
      <c r="J298" s="35" t="s">
        <v>2081</v>
      </c>
      <c r="K298" s="35" t="s">
        <v>219</v>
      </c>
      <c r="L298" s="35" t="s">
        <v>581</v>
      </c>
      <c r="M298" s="134">
        <v>46502.0</v>
      </c>
      <c r="N298" s="133" t="s">
        <v>2082</v>
      </c>
      <c r="O298" s="135" t="str">
        <f>HYPERLINK("https://api.typeform.com/responses/files/7230ec95ab51b8727b4cbc9ee511bb6b6cc095256a038f53dc3e7f4b3656f783/inbound7513570420408529610.jpg")</f>
        <v>https://api.typeform.com/responses/files/7230ec95ab51b8727b4cbc9ee511bb6b6cc095256a038f53dc3e7f4b3656f783/inbound7513570420408529610.jpg</v>
      </c>
      <c r="P298" s="35" t="b">
        <v>0</v>
      </c>
      <c r="Q298" s="43" t="s">
        <v>2083</v>
      </c>
      <c r="R298" s="35" t="s">
        <v>2084</v>
      </c>
      <c r="S298" s="35" t="s">
        <v>2085</v>
      </c>
      <c r="T298" s="35" t="s">
        <v>72</v>
      </c>
      <c r="U298" s="35" t="s">
        <v>73</v>
      </c>
      <c r="V298" s="35"/>
      <c r="W298" s="35" t="s">
        <v>2086</v>
      </c>
      <c r="X298" s="195" t="str">
        <f>HYPERLINK("https://api.typeform.com/responses/files/17aa4aa51f228628b94ec03d547e72ca01745a09c94e2ff5d0f5642eaeac8185/inbound5372708082611676721.pdf")</f>
        <v>https://api.typeform.com/responses/files/17aa4aa51f228628b94ec03d547e72ca01745a09c94e2ff5d0f5642eaeac8185/inbound5372708082611676721.pdf</v>
      </c>
      <c r="Y298" s="196">
        <v>46136.72957175926</v>
      </c>
      <c r="Z298" s="35" t="s">
        <v>2087</v>
      </c>
      <c r="AA298" s="137">
        <v>2.0</v>
      </c>
      <c r="AB298" s="137" t="s">
        <v>93</v>
      </c>
      <c r="AC298" s="28" t="s">
        <v>6376</v>
      </c>
      <c r="AD298" s="27"/>
      <c r="AE298" s="28"/>
      <c r="AF298" s="137" t="str">
        <f t="shared" ref="AF298:AF299" si="8">IFERROR(
  IFS(
    AND(OR(AE298="Test",AE298="Chờ test",AE298="Test Review",AE298="Passed",AE298="Failed"), OR(E298="Game User Acquisition Intern",E298="Game Design Intern")), "Nhiên",
    AND(OR(AE298="Test",AE298="Chờ test",AE298="Test Review",AE298="Passed",AE298="Failed"), E298&lt;&gt;"Human Resources Intern", NOT(OR(E298="Game User Acquisition Intern",E298="Game Design Intern"))), "Quỳnh",
    AND(OR(AE298="Test",AE298="Chờ test",AE298="Test Review",AE298="Passed",AE298="Failed"), E298="Human Resources Intern"), "Chờ assign"
  ),
"")</f>
        <v/>
      </c>
      <c r="AG298" s="35"/>
      <c r="AH298" s="35"/>
      <c r="AI298" s="35"/>
      <c r="AJ298" s="35"/>
      <c r="AK298" s="35"/>
      <c r="AL298" s="35"/>
      <c r="AM298" s="35"/>
      <c r="AN298" s="35"/>
      <c r="AO298" s="35"/>
      <c r="AP298" s="35"/>
      <c r="AQ298" s="35"/>
      <c r="AR298" s="35"/>
      <c r="AS298" s="35"/>
      <c r="AT298" s="35"/>
      <c r="AU298" s="35"/>
      <c r="AV298" s="35"/>
      <c r="AW298" s="35"/>
      <c r="AX298" s="35"/>
      <c r="AY298" s="35"/>
      <c r="AZ298" s="35"/>
      <c r="BA298" s="35"/>
    </row>
    <row r="299" ht="17.25" hidden="1" customHeight="1">
      <c r="A299" s="149" t="s">
        <v>4164</v>
      </c>
      <c r="B299" s="150">
        <v>36782.0</v>
      </c>
      <c r="C299" s="149" t="s">
        <v>4165</v>
      </c>
      <c r="D299" s="151" t="s">
        <v>4166</v>
      </c>
      <c r="E299" s="149" t="s">
        <v>99</v>
      </c>
      <c r="F299" s="149" t="s">
        <v>61</v>
      </c>
      <c r="G299" s="149" t="s">
        <v>4167</v>
      </c>
      <c r="H299" s="149" t="s">
        <v>4168</v>
      </c>
      <c r="I299" s="149" t="s">
        <v>144</v>
      </c>
      <c r="J299" s="149"/>
      <c r="K299" s="149" t="s">
        <v>67</v>
      </c>
      <c r="L299" s="149" t="s">
        <v>170</v>
      </c>
      <c r="M299" s="152">
        <v>46174.0</v>
      </c>
      <c r="N299" s="151" t="s">
        <v>1426</v>
      </c>
      <c r="O299" s="153" t="str">
        <f>HYPERLINK("https://api.typeform.com/responses/files/23db1d2663ae18aeaed860a3ba9367eb8dae206ce1acd8dc0e58a08223f5ffd3/Transcript___Game_Design_Intern___Triệu_Hoàng_Duy.pdf")</f>
        <v>https://api.typeform.com/responses/files/23db1d2663ae18aeaed860a3ba9367eb8dae206ce1acd8dc0e58a08223f5ffd3/Transcript___Game_Design_Intern___Triệu_Hoàng_Duy.pdf</v>
      </c>
      <c r="P299" s="149" t="b">
        <v>1</v>
      </c>
      <c r="Q299" s="149" t="s">
        <v>4169</v>
      </c>
      <c r="R299" s="149" t="s">
        <v>4170</v>
      </c>
      <c r="S299" s="149" t="s">
        <v>4171</v>
      </c>
      <c r="T299" s="149" t="s">
        <v>72</v>
      </c>
      <c r="U299" s="149" t="s">
        <v>73</v>
      </c>
      <c r="V299" s="149"/>
      <c r="W299" s="149" t="s">
        <v>4172</v>
      </c>
      <c r="X299" s="153" t="str">
        <f>HYPERLINK("https://api.typeform.com/responses/files/e6df46de2eeb91739dfe4981c17a5cd05742d2ab0c78bc6990d474e88a6b9287/CV___Game_Design_Intern___Triệu_Hoàng_Duy.pdf")</f>
        <v>https://api.typeform.com/responses/files/e6df46de2eeb91739dfe4981c17a5cd05742d2ab0c78bc6990d474e88a6b9287/CV___Game_Design_Intern___Triệu_Hoàng_Duy.pdf</v>
      </c>
      <c r="Y299" s="155">
        <v>46142.36886574074</v>
      </c>
      <c r="Z299" s="149" t="s">
        <v>4173</v>
      </c>
      <c r="AA299" s="156">
        <v>2.0</v>
      </c>
      <c r="AB299" s="157" t="s">
        <v>6381</v>
      </c>
      <c r="AC299" s="92" t="s">
        <v>6376</v>
      </c>
      <c r="AD299" s="158"/>
      <c r="AE299" s="92"/>
      <c r="AF299" s="137" t="str">
        <f t="shared" si="8"/>
        <v/>
      </c>
      <c r="AG299" s="149"/>
      <c r="AH299" s="149"/>
      <c r="AI299" s="149"/>
      <c r="AJ299" s="149"/>
      <c r="AK299" s="149"/>
      <c r="AL299" s="149"/>
      <c r="AM299" s="149"/>
      <c r="AN299" s="149"/>
      <c r="AO299" s="149"/>
      <c r="AP299" s="149"/>
      <c r="AQ299" s="149"/>
      <c r="AR299" s="149"/>
      <c r="AS299" s="149"/>
      <c r="AT299" s="149"/>
      <c r="AU299" s="149"/>
      <c r="AV299" s="149"/>
      <c r="AW299" s="149"/>
      <c r="AX299" s="149"/>
      <c r="AY299" s="149"/>
      <c r="AZ299" s="149"/>
      <c r="BA299" s="149"/>
    </row>
    <row r="300" ht="17.25" customHeight="1">
      <c r="A300" s="192" t="s">
        <v>4174</v>
      </c>
      <c r="B300" s="193">
        <v>36843.0</v>
      </c>
      <c r="C300" s="192" t="s">
        <v>4175</v>
      </c>
      <c r="D300" s="194" t="s">
        <v>4176</v>
      </c>
      <c r="E300" s="192" t="s">
        <v>633</v>
      </c>
      <c r="F300" s="192" t="s">
        <v>633</v>
      </c>
      <c r="G300" s="35" t="s">
        <v>4177</v>
      </c>
      <c r="H300" s="35" t="s">
        <v>4178</v>
      </c>
      <c r="I300" s="35" t="s">
        <v>338</v>
      </c>
      <c r="J300" s="35"/>
      <c r="K300" s="35" t="s">
        <v>67</v>
      </c>
      <c r="L300" s="35" t="s">
        <v>4179</v>
      </c>
      <c r="M300" s="134">
        <v>46266.0</v>
      </c>
      <c r="N300" s="133" t="s">
        <v>317</v>
      </c>
      <c r="O300" s="135" t="str">
        <f>HYPERLINK("https://api.typeform.com/responses/files/eb1f8b936b2fec4c67a38e56f690f3449aecfcf1ee7e5a38fb1455d0e2aed445/Transcript_HR_Intern_Vũ_Trần_Khánh_Như.pdf")</f>
        <v>https://api.typeform.com/responses/files/eb1f8b936b2fec4c67a38e56f690f3449aecfcf1ee7e5a38fb1455d0e2aed445/Transcript_HR_Intern_Vũ_Trần_Khánh_Như.pdf</v>
      </c>
      <c r="P300" s="35" t="b">
        <v>1</v>
      </c>
      <c r="Q300" s="35" t="s">
        <v>4180</v>
      </c>
      <c r="R300" s="35" t="s">
        <v>1437</v>
      </c>
      <c r="S300" s="35" t="s">
        <v>72</v>
      </c>
      <c r="T300" s="35" t="s">
        <v>72</v>
      </c>
      <c r="U300" s="35" t="s">
        <v>73</v>
      </c>
      <c r="V300" s="35"/>
      <c r="W300" s="35" t="s">
        <v>4181</v>
      </c>
      <c r="X300" s="195" t="str">
        <f>HYPERLINK("https://api.typeform.com/responses/files/bb91d3a9641cea6760498d8035c5f2f44e49fa4ef09c3e5cb18480cad49c1f05/CV_HR_INTERN_VŨ_TRẦN_KHÁNH_NHƯ_.pdf")</f>
        <v>https://api.typeform.com/responses/files/bb91d3a9641cea6760498d8035c5f2f44e49fa4ef09c3e5cb18480cad49c1f05/CV_HR_INTERN_VŨ_TRẦN_KHÁNH_NHƯ_.pdf</v>
      </c>
      <c r="Y300" s="196">
        <v>46142.451469907406</v>
      </c>
      <c r="Z300" s="35" t="s">
        <v>4182</v>
      </c>
      <c r="AA300" s="137">
        <v>2.0</v>
      </c>
      <c r="AB300" s="203" t="s">
        <v>93</v>
      </c>
      <c r="AC300" s="28" t="s">
        <v>6377</v>
      </c>
      <c r="AD300" s="27"/>
      <c r="AE300" s="28" t="s">
        <v>6403</v>
      </c>
      <c r="AF300" s="137" t="s">
        <v>76</v>
      </c>
      <c r="AG300" s="35"/>
      <c r="AH300" s="35"/>
      <c r="AI300" s="35"/>
      <c r="AJ300" s="35"/>
      <c r="AK300" s="35"/>
      <c r="AL300" s="35"/>
      <c r="AM300" s="35"/>
      <c r="AN300" s="35"/>
      <c r="AO300" s="35"/>
      <c r="AP300" s="35"/>
      <c r="AQ300" s="35"/>
      <c r="AR300" s="35"/>
      <c r="AS300" s="35"/>
      <c r="AT300" s="35"/>
      <c r="AU300" s="35"/>
      <c r="AV300" s="35"/>
      <c r="AW300" s="35"/>
      <c r="AX300" s="35"/>
      <c r="AY300" s="35"/>
      <c r="AZ300" s="35"/>
      <c r="BA300" s="35"/>
    </row>
    <row r="301" ht="17.25" hidden="1" customHeight="1">
      <c r="A301" s="197" t="s">
        <v>4183</v>
      </c>
      <c r="B301" s="198">
        <v>38132.0</v>
      </c>
      <c r="C301" s="197" t="s">
        <v>4184</v>
      </c>
      <c r="D301" s="199" t="s">
        <v>4185</v>
      </c>
      <c r="E301" s="197" t="s">
        <v>127</v>
      </c>
      <c r="F301" s="197"/>
      <c r="G301" s="35" t="s">
        <v>4186</v>
      </c>
      <c r="H301" s="35" t="s">
        <v>4187</v>
      </c>
      <c r="I301" s="35" t="s">
        <v>2281</v>
      </c>
      <c r="J301" s="35"/>
      <c r="K301" s="35" t="s">
        <v>67</v>
      </c>
      <c r="L301" s="35" t="s">
        <v>1773</v>
      </c>
      <c r="M301" s="134">
        <v>46213.0</v>
      </c>
      <c r="N301" s="133" t="s">
        <v>696</v>
      </c>
      <c r="O301" s="135" t="str">
        <f>HYPERLINK("https://api.typeform.com/responses/files/9d08f9187582d179bdd238f3be5d886f3a185f4dac27d0853c0e50e19b824044/Bảng_điểm___Game_Quality_Assurance_Intern___Ngô_Trương_Thiên.pdf")</f>
        <v>https://api.typeform.com/responses/files/9d08f9187582d179bdd238f3be5d886f3a185f4dac27d0853c0e50e19b824044/Bảng_điểm___Game_Quality_Assurance_Intern___Ngô_Trương_Thiên.pdf</v>
      </c>
      <c r="P301" s="35" t="b">
        <v>0</v>
      </c>
      <c r="Q301" s="35" t="s">
        <v>1437</v>
      </c>
      <c r="R301" s="35" t="s">
        <v>4188</v>
      </c>
      <c r="S301" s="35" t="s">
        <v>72</v>
      </c>
      <c r="T301" s="35" t="s">
        <v>72</v>
      </c>
      <c r="U301" s="35" t="s">
        <v>90</v>
      </c>
      <c r="V301" s="35"/>
      <c r="W301" s="35" t="s">
        <v>4189</v>
      </c>
      <c r="X301" s="200" t="str">
        <f>HYPERLINK("https://api.typeform.com/responses/files/2f14dc09b6169138f9e1c97adf30bca30f43594db3ecf7afeccdec22f032ad3a/CV___Game_Quality_Assurance_Intern___Ngô_Trương_Thiên.pdf")</f>
        <v>https://api.typeform.com/responses/files/2f14dc09b6169138f9e1c97adf30bca30f43594db3ecf7afeccdec22f032ad3a/CV___Game_Quality_Assurance_Intern___Ngô_Trương_Thiên.pdf</v>
      </c>
      <c r="Y301" s="201">
        <v>46142.45377314815</v>
      </c>
      <c r="Z301" s="35" t="s">
        <v>4190</v>
      </c>
      <c r="AA301" s="137">
        <v>2.0</v>
      </c>
      <c r="AB301" s="137" t="s">
        <v>93</v>
      </c>
      <c r="AC301" s="28" t="s">
        <v>6388</v>
      </c>
      <c r="AD301" s="28" t="s">
        <v>6551</v>
      </c>
      <c r="AE301" s="28"/>
      <c r="AF301" s="137" t="str">
        <f t="shared" ref="AF301:AF313" si="9">IFERROR(
  IFS(
    AND(OR(AE301="Test",AE301="Chờ test",AE301="Test Review",AE301="Passed",AE301="Failed"), OR(E301="Game User Acquisition Intern",E301="Game Design Intern")), "Nhiên",
    AND(OR(AE301="Test",AE301="Chờ test",AE301="Test Review",AE301="Passed",AE301="Failed"), E301&lt;&gt;"Human Resources Intern", NOT(OR(E301="Game User Acquisition Intern",E301="Game Design Intern"))), "Quỳnh",
    AND(OR(AE301="Test",AE301="Chờ test",AE301="Test Review",AE301="Passed",AE301="Failed"), E301="Human Resources Intern"), "Chờ assign"
  ),
"")</f>
        <v/>
      </c>
      <c r="AG301" s="35"/>
      <c r="AH301" s="35"/>
      <c r="AI301" s="35"/>
      <c r="AJ301" s="35"/>
      <c r="AK301" s="35"/>
      <c r="AL301" s="35"/>
      <c r="AM301" s="35"/>
      <c r="AN301" s="35"/>
      <c r="AO301" s="35"/>
      <c r="AP301" s="35"/>
      <c r="AQ301" s="35"/>
      <c r="AR301" s="35"/>
      <c r="AS301" s="35"/>
      <c r="AT301" s="35"/>
      <c r="AU301" s="35"/>
      <c r="AV301" s="35"/>
      <c r="AW301" s="35"/>
      <c r="AX301" s="35"/>
      <c r="AY301" s="35"/>
      <c r="AZ301" s="35"/>
      <c r="BA301" s="35"/>
    </row>
    <row r="302" ht="17.25" hidden="1" customHeight="1">
      <c r="A302" s="192" t="s">
        <v>4191</v>
      </c>
      <c r="B302" s="193">
        <v>38339.0</v>
      </c>
      <c r="C302" s="192" t="s">
        <v>4192</v>
      </c>
      <c r="D302" s="194" t="s">
        <v>4193</v>
      </c>
      <c r="E302" s="192" t="s">
        <v>127</v>
      </c>
      <c r="F302" s="192" t="s">
        <v>61</v>
      </c>
      <c r="G302" s="35" t="s">
        <v>4194</v>
      </c>
      <c r="H302" s="35" t="s">
        <v>4195</v>
      </c>
      <c r="I302" s="35" t="s">
        <v>715</v>
      </c>
      <c r="J302" s="35"/>
      <c r="K302" s="35" t="s">
        <v>67</v>
      </c>
      <c r="L302" s="35" t="s">
        <v>399</v>
      </c>
      <c r="M302" s="134">
        <v>46298.0</v>
      </c>
      <c r="N302" s="133" t="s">
        <v>1164</v>
      </c>
      <c r="O302" s="135" t="str">
        <f>HYPERLINK("https://api.typeform.com/responses/files/6085dd2179c2d33c8062bac72529b7505288769a99cf42c3cbf1ae06da2f9b24/Transcript___Game_Quality_Assurance_Intern___Lê_Anh_Khôi.pdf")</f>
        <v>https://api.typeform.com/responses/files/6085dd2179c2d33c8062bac72529b7505288769a99cf42c3cbf1ae06da2f9b24/Transcript___Game_Quality_Assurance_Intern___Lê_Anh_Khôi.pdf</v>
      </c>
      <c r="P302" s="35" t="b">
        <v>0</v>
      </c>
      <c r="Q302" s="35" t="s">
        <v>401</v>
      </c>
      <c r="R302" s="35" t="s">
        <v>401</v>
      </c>
      <c r="S302" s="35" t="s">
        <v>72</v>
      </c>
      <c r="T302" s="35" t="s">
        <v>72</v>
      </c>
      <c r="U302" s="35" t="s">
        <v>4196</v>
      </c>
      <c r="V302" s="35"/>
      <c r="W302" s="35"/>
      <c r="X302" s="195" t="str">
        <f>HYPERLINK("https://api.typeform.com/responses/files/9956ea841e02ac21188b70b0a1a6484a7b1f383fd9ffe6c5ed06ff4424d8a5d4/CV___Game_Quality_Assurance_Intern___Lê_Anh_Khôi.pdf")</f>
        <v>https://api.typeform.com/responses/files/9956ea841e02ac21188b70b0a1a6484a7b1f383fd9ffe6c5ed06ff4424d8a5d4/CV___Game_Quality_Assurance_Intern___Lê_Anh_Khôi.pdf</v>
      </c>
      <c r="Y302" s="196">
        <v>46142.46394675926</v>
      </c>
      <c r="Z302" s="35" t="s">
        <v>4197</v>
      </c>
      <c r="AA302" s="137">
        <v>2.0</v>
      </c>
      <c r="AB302" s="137" t="s">
        <v>93</v>
      </c>
      <c r="AC302" s="28" t="s">
        <v>6376</v>
      </c>
      <c r="AD302" s="28" t="s">
        <v>6552</v>
      </c>
      <c r="AE302" s="28"/>
      <c r="AF302" s="137" t="str">
        <f t="shared" si="9"/>
        <v/>
      </c>
      <c r="AG302" s="35"/>
      <c r="AH302" s="35"/>
      <c r="AI302" s="35"/>
      <c r="AJ302" s="35"/>
      <c r="AK302" s="35"/>
      <c r="AL302" s="35"/>
      <c r="AM302" s="35"/>
      <c r="AN302" s="35"/>
      <c r="AO302" s="35"/>
      <c r="AP302" s="35"/>
      <c r="AQ302" s="35"/>
      <c r="AR302" s="35"/>
      <c r="AS302" s="35"/>
      <c r="AT302" s="35"/>
      <c r="AU302" s="35"/>
      <c r="AV302" s="35"/>
      <c r="AW302" s="35"/>
      <c r="AX302" s="35"/>
      <c r="AY302" s="35"/>
      <c r="AZ302" s="35"/>
      <c r="BA302" s="35"/>
    </row>
    <row r="303" ht="17.25" hidden="1" customHeight="1">
      <c r="A303" s="197" t="s">
        <v>3783</v>
      </c>
      <c r="B303" s="198">
        <v>37272.0</v>
      </c>
      <c r="C303" s="197" t="s">
        <v>3784</v>
      </c>
      <c r="D303" s="199" t="s">
        <v>3785</v>
      </c>
      <c r="E303" s="197" t="s">
        <v>82</v>
      </c>
      <c r="F303" s="197" t="s">
        <v>62</v>
      </c>
      <c r="G303" s="35" t="s">
        <v>3786</v>
      </c>
      <c r="H303" s="35" t="s">
        <v>3787</v>
      </c>
      <c r="I303" s="35" t="s">
        <v>644</v>
      </c>
      <c r="J303" s="35"/>
      <c r="K303" s="35" t="s">
        <v>103</v>
      </c>
      <c r="L303" s="35" t="s">
        <v>399</v>
      </c>
      <c r="M303" s="134">
        <v>46357.0</v>
      </c>
      <c r="N303" s="133" t="s">
        <v>3788</v>
      </c>
      <c r="O303" s="135" t="str">
        <f>HYPERLINK("https://api.typeform.com/responses/files/5dfe9c684340036fe9cb07573118f09de9c32dd49f3d024b01e25f02c44e8dd6/Bảng_điểm_sinh_viên.pdf")</f>
        <v>https://api.typeform.com/responses/files/5dfe9c684340036fe9cb07573118f09de9c32dd49f3d024b01e25f02c44e8dd6/Bảng_điểm_sinh_viên.pdf</v>
      </c>
      <c r="P303" s="35" t="b">
        <v>1</v>
      </c>
      <c r="Q303" s="35" t="s">
        <v>3789</v>
      </c>
      <c r="R303" s="35" t="s">
        <v>3790</v>
      </c>
      <c r="S303" s="35" t="s">
        <v>72</v>
      </c>
      <c r="T303" s="35" t="s">
        <v>72</v>
      </c>
      <c r="U303" s="35" t="s">
        <v>73</v>
      </c>
      <c r="V303" s="35"/>
      <c r="W303" s="35"/>
      <c r="X303" s="200" t="str">
        <f>HYPERLINK("https://api.typeform.com/responses/files/22dc0b3949cd812c9f5f03f5eecf101c05d96dfb551f3629c10541a0aa71e804/resume_vinh_bao_phuc.pdf")</f>
        <v>https://api.typeform.com/responses/files/22dc0b3949cd812c9f5f03f5eecf101c05d96dfb551f3629c10541a0aa71e804/resume_vinh_bao_phuc.pdf</v>
      </c>
      <c r="Y303" s="201">
        <v>46141.209641203706</v>
      </c>
      <c r="Z303" s="35" t="s">
        <v>3791</v>
      </c>
      <c r="AA303" s="137">
        <v>2.0</v>
      </c>
      <c r="AB303" s="137" t="s">
        <v>93</v>
      </c>
      <c r="AC303" s="28" t="s">
        <v>6376</v>
      </c>
      <c r="AD303" s="27"/>
      <c r="AE303" s="28"/>
      <c r="AF303" s="137" t="str">
        <f t="shared" si="9"/>
        <v/>
      </c>
      <c r="AG303" s="35"/>
      <c r="AH303" s="35"/>
      <c r="AI303" s="35"/>
      <c r="AJ303" s="35"/>
      <c r="AK303" s="35"/>
      <c r="AL303" s="35"/>
      <c r="AM303" s="35"/>
      <c r="AN303" s="35"/>
      <c r="AO303" s="35"/>
      <c r="AP303" s="35"/>
      <c r="AQ303" s="35"/>
      <c r="AR303" s="35"/>
      <c r="AS303" s="35"/>
      <c r="AT303" s="35"/>
      <c r="AU303" s="35"/>
      <c r="AV303" s="35"/>
      <c r="AW303" s="35"/>
      <c r="AX303" s="35"/>
      <c r="AY303" s="35"/>
      <c r="AZ303" s="35"/>
      <c r="BA303" s="35"/>
    </row>
    <row r="304" ht="17.25" hidden="1" customHeight="1">
      <c r="A304" s="192" t="s">
        <v>4208</v>
      </c>
      <c r="B304" s="193">
        <v>38719.0</v>
      </c>
      <c r="C304" s="192" t="s">
        <v>4209</v>
      </c>
      <c r="D304" s="194" t="s">
        <v>4210</v>
      </c>
      <c r="E304" s="192" t="s">
        <v>774</v>
      </c>
      <c r="F304" s="192" t="s">
        <v>127</v>
      </c>
      <c r="G304" s="35" t="s">
        <v>4211</v>
      </c>
      <c r="H304" s="35" t="s">
        <v>4212</v>
      </c>
      <c r="I304" s="35" t="s">
        <v>1311</v>
      </c>
      <c r="J304" s="35"/>
      <c r="K304" s="35" t="s">
        <v>169</v>
      </c>
      <c r="L304" s="35" t="s">
        <v>1348</v>
      </c>
      <c r="M304" s="134">
        <v>46861.0</v>
      </c>
      <c r="N304" s="133" t="s">
        <v>2132</v>
      </c>
      <c r="O304" s="135" t="str">
        <f>HYPERLINK("https://api.typeform.com/responses/files/990fde180ac0274ab3b18f980742f91ddbdab86d48d2a74e7cc0f7b671197a8c/Phân_hiệu_FTU___Cổng_thông_tin_sinh_viên.pdf")</f>
        <v>https://api.typeform.com/responses/files/990fde180ac0274ab3b18f980742f91ddbdab86d48d2a74e7cc0f7b671197a8c/Phân_hiệu_FTU___Cổng_thông_tin_sinh_viên.pdf</v>
      </c>
      <c r="P304" s="35" t="b">
        <v>1</v>
      </c>
      <c r="Q304" s="35" t="s">
        <v>4213</v>
      </c>
      <c r="R304" s="35" t="s">
        <v>4214</v>
      </c>
      <c r="S304" s="35" t="s">
        <v>72</v>
      </c>
      <c r="T304" s="35" t="s">
        <v>72</v>
      </c>
      <c r="U304" s="35" t="s">
        <v>73</v>
      </c>
      <c r="V304" s="35"/>
      <c r="W304" s="35" t="s">
        <v>4215</v>
      </c>
      <c r="X304" s="195" t="str">
        <f>HYPERLINK("https://api.typeform.com/responses/files/2bdad125b1c4878d67bff6eb6143989cd44e23e796dd2c89489450051e52b92a/CV___Game_User_Acquisition_Intern___Nguyễn_Phạm_Uyên_Uyên.pdf")</f>
        <v>https://api.typeform.com/responses/files/2bdad125b1c4878d67bff6eb6143989cd44e23e796dd2c89489450051e52b92a/CV___Game_User_Acquisition_Intern___Nguyễn_Phạm_Uyên_Uyên.pdf</v>
      </c>
      <c r="Y304" s="196">
        <v>46142.57224537037</v>
      </c>
      <c r="Z304" s="35" t="s">
        <v>4216</v>
      </c>
      <c r="AA304" s="137">
        <v>2.0</v>
      </c>
      <c r="AB304" s="35"/>
      <c r="AC304" s="28" t="s">
        <v>6377</v>
      </c>
      <c r="AD304" s="27"/>
      <c r="AE304" s="28" t="s">
        <v>6379</v>
      </c>
      <c r="AF304" s="137" t="str">
        <f t="shared" si="9"/>
        <v>Nhiên</v>
      </c>
      <c r="AG304" s="35"/>
      <c r="AH304" s="35"/>
      <c r="AI304" s="35"/>
      <c r="AJ304" s="35"/>
      <c r="AK304" s="35"/>
      <c r="AL304" s="35"/>
      <c r="AM304" s="35"/>
      <c r="AN304" s="35"/>
      <c r="AO304" s="35"/>
      <c r="AP304" s="35"/>
      <c r="AQ304" s="35"/>
      <c r="AR304" s="35"/>
      <c r="AS304" s="35"/>
      <c r="AT304" s="35"/>
      <c r="AU304" s="35"/>
      <c r="AV304" s="35"/>
      <c r="AW304" s="35"/>
      <c r="AX304" s="35"/>
      <c r="AY304" s="35"/>
      <c r="AZ304" s="35"/>
      <c r="BA304" s="35"/>
    </row>
    <row r="305" ht="17.25" hidden="1" customHeight="1">
      <c r="A305" s="197" t="s">
        <v>2779</v>
      </c>
      <c r="B305" s="198">
        <v>38323.0</v>
      </c>
      <c r="C305" s="197" t="s">
        <v>2780</v>
      </c>
      <c r="D305" s="199" t="s">
        <v>2781</v>
      </c>
      <c r="E305" s="197" t="s">
        <v>82</v>
      </c>
      <c r="F305" s="197"/>
      <c r="G305" s="35" t="s">
        <v>2782</v>
      </c>
      <c r="H305" s="35" t="s">
        <v>2783</v>
      </c>
      <c r="I305" s="35" t="s">
        <v>65</v>
      </c>
      <c r="J305" s="35" t="s">
        <v>2784</v>
      </c>
      <c r="K305" s="35" t="s">
        <v>103</v>
      </c>
      <c r="L305" s="35" t="s">
        <v>2785</v>
      </c>
      <c r="M305" s="134">
        <v>46131.0</v>
      </c>
      <c r="N305" s="133" t="s">
        <v>2786</v>
      </c>
      <c r="O305" s="135" t="str">
        <f>HYPERLINK("https://api.typeform.com/responses/files/3787794545d411b5dacc46cd5dac51e3fdb04d1e23bc08da215ba5d17a1ca80a/Transcrip___Data_Analysis_Intern___Nguyễn_Khoa_Quang_Duy.png")</f>
        <v>https://api.typeform.com/responses/files/3787794545d411b5dacc46cd5dac51e3fdb04d1e23bc08da215ba5d17a1ca80a/Transcrip___Data_Analysis_Intern___Nguyễn_Khoa_Quang_Duy.png</v>
      </c>
      <c r="P305" s="35" t="b">
        <v>1</v>
      </c>
      <c r="Q305" s="43" t="s">
        <v>2787</v>
      </c>
      <c r="R305" s="35" t="s">
        <v>2788</v>
      </c>
      <c r="S305" s="35" t="s">
        <v>2789</v>
      </c>
      <c r="T305" s="35" t="s">
        <v>72</v>
      </c>
      <c r="U305" s="35" t="s">
        <v>2790</v>
      </c>
      <c r="V305" s="35"/>
      <c r="W305" s="35" t="s">
        <v>2791</v>
      </c>
      <c r="X305" s="200" t="str">
        <f>HYPERLINK("https://api.typeform.com/responses/files/01cf3652a7cf704cf0888ae4c427f3c60b6ef37f0a430be83c5b997feb4bb997/CV___Data_Analysis_Intern___NguyenKhoaQuangDuy.pdf")</f>
        <v>https://api.typeform.com/responses/files/01cf3652a7cf704cf0888ae4c427f3c60b6ef37f0a430be83c5b997feb4bb997/CV___Data_Analysis_Intern___NguyenKhoaQuangDuy.pdf</v>
      </c>
      <c r="Y305" s="201">
        <v>46139.39877314815</v>
      </c>
      <c r="Z305" s="35" t="s">
        <v>2792</v>
      </c>
      <c r="AA305" s="137">
        <v>2.0</v>
      </c>
      <c r="AB305" s="137" t="s">
        <v>93</v>
      </c>
      <c r="AC305" s="28" t="s">
        <v>6376</v>
      </c>
      <c r="AD305" s="27"/>
      <c r="AE305" s="28"/>
      <c r="AF305" s="137" t="str">
        <f t="shared" si="9"/>
        <v/>
      </c>
      <c r="AG305" s="35"/>
      <c r="AH305" s="35"/>
      <c r="AI305" s="35"/>
      <c r="AJ305" s="35"/>
      <c r="AK305" s="35"/>
      <c r="AL305" s="35"/>
      <c r="AM305" s="35"/>
      <c r="AN305" s="35"/>
      <c r="AO305" s="35"/>
      <c r="AP305" s="35"/>
      <c r="AQ305" s="35"/>
      <c r="AR305" s="35"/>
      <c r="AS305" s="35"/>
      <c r="AT305" s="35"/>
      <c r="AU305" s="35"/>
      <c r="AV305" s="35"/>
      <c r="AW305" s="35"/>
      <c r="AX305" s="35"/>
      <c r="AY305" s="35"/>
      <c r="AZ305" s="35"/>
      <c r="BA305" s="35"/>
    </row>
    <row r="306" ht="17.25" hidden="1" customHeight="1">
      <c r="A306" s="210" t="s">
        <v>3665</v>
      </c>
      <c r="B306" s="211">
        <v>38437.0</v>
      </c>
      <c r="C306" s="210" t="s">
        <v>3666</v>
      </c>
      <c r="D306" s="212" t="s">
        <v>3667</v>
      </c>
      <c r="E306" s="210" t="s">
        <v>62</v>
      </c>
      <c r="F306" s="210" t="s">
        <v>127</v>
      </c>
      <c r="G306" s="183" t="s">
        <v>3668</v>
      </c>
      <c r="H306" s="183" t="s">
        <v>3669</v>
      </c>
      <c r="I306" s="183" t="s">
        <v>715</v>
      </c>
      <c r="J306" s="183"/>
      <c r="K306" s="183" t="s">
        <v>219</v>
      </c>
      <c r="L306" s="183" t="s">
        <v>399</v>
      </c>
      <c r="M306" s="186">
        <v>46691.0</v>
      </c>
      <c r="N306" s="185" t="s">
        <v>3670</v>
      </c>
      <c r="O306" s="187" t="str">
        <f>HYPERLINK("https://api.typeform.com/responses/files/06e3156e7080ddb9a8d2b58e6549470b15616a6474c8a93ad34421ed274bd5c9/Transcript___AI_Engineer_Intern___Phan_Tấn_Lộc.pdf")</f>
        <v>https://api.typeform.com/responses/files/06e3156e7080ddb9a8d2b58e6549470b15616a6474c8a93ad34421ed274bd5c9/Transcript___AI_Engineer_Intern___Phan_Tấn_Lộc.pdf</v>
      </c>
      <c r="P306" s="183" t="b">
        <v>0</v>
      </c>
      <c r="Q306" s="183" t="s">
        <v>3671</v>
      </c>
      <c r="R306" s="183" t="s">
        <v>3672</v>
      </c>
      <c r="S306" s="183" t="s">
        <v>72</v>
      </c>
      <c r="T306" s="183" t="s">
        <v>72</v>
      </c>
      <c r="U306" s="188" t="s">
        <v>2389</v>
      </c>
      <c r="V306" s="183"/>
      <c r="W306" s="183" t="s">
        <v>3673</v>
      </c>
      <c r="X306" s="213" t="str">
        <f>HYPERLINK("https://api.typeform.com/responses/files/a5fc6b13f3802f22ad2536ae8a874aece613a68978c7aeb5f3ca98064e8cc1ea/CV_AI_Engineering_Intern_Phan_Tấn_Lộc.pdf")</f>
        <v>https://api.typeform.com/responses/files/a5fc6b13f3802f22ad2536ae8a874aece613a68978c7aeb5f3ca98064e8cc1ea/CV_AI_Engineering_Intern_Phan_Tấn_Lộc.pdf</v>
      </c>
      <c r="Y306" s="214">
        <v>46140.65167824074</v>
      </c>
      <c r="Z306" s="183" t="s">
        <v>3674</v>
      </c>
      <c r="AA306" s="190">
        <v>2.0</v>
      </c>
      <c r="AB306" s="139" t="s">
        <v>6381</v>
      </c>
      <c r="AC306" s="191" t="s">
        <v>6376</v>
      </c>
      <c r="AD306" s="191" t="s">
        <v>6553</v>
      </c>
      <c r="AE306" s="191"/>
      <c r="AF306" s="190" t="str">
        <f t="shared" si="9"/>
        <v/>
      </c>
      <c r="AG306" s="183"/>
      <c r="AH306" s="183"/>
      <c r="AI306" s="183"/>
      <c r="AJ306" s="183"/>
      <c r="AK306" s="183"/>
      <c r="AL306" s="183"/>
      <c r="AM306" s="183"/>
      <c r="AN306" s="183"/>
      <c r="AO306" s="183"/>
      <c r="AP306" s="183"/>
      <c r="AQ306" s="183"/>
      <c r="AR306" s="183"/>
      <c r="AS306" s="183"/>
      <c r="AT306" s="183"/>
      <c r="AU306" s="183"/>
      <c r="AV306" s="183"/>
      <c r="AW306" s="183"/>
      <c r="AX306" s="183"/>
      <c r="AY306" s="183"/>
      <c r="AZ306" s="183"/>
      <c r="BA306" s="183"/>
    </row>
    <row r="307" ht="17.25" hidden="1" customHeight="1">
      <c r="A307" s="197" t="s">
        <v>3432</v>
      </c>
      <c r="B307" s="198">
        <v>37680.0</v>
      </c>
      <c r="C307" s="197" t="s">
        <v>3433</v>
      </c>
      <c r="D307" s="199" t="s">
        <v>3434</v>
      </c>
      <c r="E307" s="197" t="s">
        <v>82</v>
      </c>
      <c r="F307" s="197" t="s">
        <v>633</v>
      </c>
      <c r="G307" s="35" t="s">
        <v>3435</v>
      </c>
      <c r="H307" s="35" t="s">
        <v>3436</v>
      </c>
      <c r="I307" s="35" t="s">
        <v>1311</v>
      </c>
      <c r="J307" s="35"/>
      <c r="K307" s="35" t="s">
        <v>103</v>
      </c>
      <c r="L307" s="35" t="s">
        <v>1348</v>
      </c>
      <c r="M307" s="134">
        <v>45923.0</v>
      </c>
      <c r="N307" s="133" t="s">
        <v>1003</v>
      </c>
      <c r="O307" s="135" t="str">
        <f>HYPERLINK("https://api.typeform.com/responses/files/cd63636f6c4271bfae779951cff445da7fc81b65927c469d6a2a26359867d736/Transcript_Data_Analyst_Intern_Huỳnh_Duy_Khanh.pdf")</f>
        <v>https://api.typeform.com/responses/files/cd63636f6c4271bfae779951cff445da7fc81b65927c469d6a2a26359867d736/Transcript_Data_Analyst_Intern_Huỳnh_Duy_Khanh.pdf</v>
      </c>
      <c r="P307" s="35" t="b">
        <v>1</v>
      </c>
      <c r="Q307" s="35" t="s">
        <v>3437</v>
      </c>
      <c r="R307" s="35" t="s">
        <v>3438</v>
      </c>
      <c r="S307" s="35" t="s">
        <v>72</v>
      </c>
      <c r="T307" s="35" t="s">
        <v>72</v>
      </c>
      <c r="U307" s="35" t="s">
        <v>73</v>
      </c>
      <c r="V307" s="35"/>
      <c r="W307" s="35" t="s">
        <v>3439</v>
      </c>
      <c r="X307" s="200" t="str">
        <f>HYPERLINK("https://api.typeform.com/responses/files/14ec55491914483bdf153eb4e8f3d623cd19d17300ea97e53fa4bcc64870db72/CV_Data_Analyst_Intern_Huỳnh_Duy_Khanh.pdf")</f>
        <v>https://api.typeform.com/responses/files/14ec55491914483bdf153eb4e8f3d623cd19d17300ea97e53fa4bcc64870db72/CV_Data_Analyst_Intern_Huỳnh_Duy_Khanh.pdf</v>
      </c>
      <c r="Y307" s="201">
        <v>46140.38282407408</v>
      </c>
      <c r="Z307" s="35" t="s">
        <v>3440</v>
      </c>
      <c r="AA307" s="137">
        <v>2.0</v>
      </c>
      <c r="AB307" s="137" t="s">
        <v>93</v>
      </c>
      <c r="AC307" s="28" t="s">
        <v>6376</v>
      </c>
      <c r="AD307" s="27"/>
      <c r="AE307" s="28"/>
      <c r="AF307" s="137" t="str">
        <f t="shared" si="9"/>
        <v/>
      </c>
      <c r="AG307" s="35"/>
      <c r="AH307" s="35"/>
      <c r="AI307" s="35"/>
      <c r="AJ307" s="35"/>
      <c r="AK307" s="35"/>
      <c r="AL307" s="35"/>
      <c r="AM307" s="35"/>
      <c r="AN307" s="35"/>
      <c r="AO307" s="35"/>
      <c r="AP307" s="35"/>
      <c r="AQ307" s="35"/>
      <c r="AR307" s="35"/>
      <c r="AS307" s="35"/>
      <c r="AT307" s="35"/>
      <c r="AU307" s="35"/>
      <c r="AV307" s="35"/>
      <c r="AW307" s="35"/>
      <c r="AX307" s="35"/>
      <c r="AY307" s="35"/>
      <c r="AZ307" s="35"/>
      <c r="BA307" s="35"/>
    </row>
    <row r="308" ht="17.25" hidden="1" customHeight="1">
      <c r="A308" s="192" t="s">
        <v>3726</v>
      </c>
      <c r="B308" s="193">
        <v>38652.0</v>
      </c>
      <c r="C308" s="192" t="s">
        <v>3727</v>
      </c>
      <c r="D308" s="194" t="s">
        <v>3728</v>
      </c>
      <c r="E308" s="192" t="s">
        <v>62</v>
      </c>
      <c r="F308" s="192" t="s">
        <v>82</v>
      </c>
      <c r="G308" s="35" t="s">
        <v>3729</v>
      </c>
      <c r="H308" s="35" t="s">
        <v>3730</v>
      </c>
      <c r="I308" s="35" t="s">
        <v>85</v>
      </c>
      <c r="J308" s="35"/>
      <c r="K308" s="35" t="s">
        <v>219</v>
      </c>
      <c r="L308" s="35" t="s">
        <v>570</v>
      </c>
      <c r="M308" s="134">
        <v>46405.0</v>
      </c>
      <c r="N308" s="133" t="s">
        <v>1034</v>
      </c>
      <c r="O308" s="135" t="str">
        <f>HYPERLINK("https://api.typeform.com/responses/files/bf4e693a715446252f8f51cd003b7dcd5dceb4fdd24cead89d487f927658e296/Transcript___AI_Engineer_Intern___Data_Analysis_Intern___Huỳnh_Thái_Bảo.pdf")</f>
        <v>https://api.typeform.com/responses/files/bf4e693a715446252f8f51cd003b7dcd5dceb4fdd24cead89d487f927658e296/Transcript___AI_Engineer_Intern___Data_Analysis_Intern___Huỳnh_Thái_Bảo.pdf</v>
      </c>
      <c r="P308" s="35" t="b">
        <v>0</v>
      </c>
      <c r="Q308" s="35" t="s">
        <v>3731</v>
      </c>
      <c r="R308" s="35" t="s">
        <v>3732</v>
      </c>
      <c r="S308" s="35" t="s">
        <v>72</v>
      </c>
      <c r="T308" s="35" t="s">
        <v>72</v>
      </c>
      <c r="U308" s="138" t="s">
        <v>269</v>
      </c>
      <c r="V308" s="35"/>
      <c r="W308" s="35"/>
      <c r="X308" s="195" t="str">
        <f>HYPERLINK("https://api.typeform.com/responses/files/e84580cb3c6d7287ef93aad625172796d069469b60847830a487658bb7e614ce/CV___AI_Engineer_Intern___Data_Analysis_Intern___Huỳnh_Thái_Bảo.pdf")</f>
        <v>https://api.typeform.com/responses/files/e84580cb3c6d7287ef93aad625172796d069469b60847830a487658bb7e614ce/CV___AI_Engineer_Intern___Data_Analysis_Intern___Huỳnh_Thái_Bảo.pdf</v>
      </c>
      <c r="Y308" s="196">
        <v>46141.13655092593</v>
      </c>
      <c r="Z308" s="35" t="s">
        <v>3733</v>
      </c>
      <c r="AA308" s="137">
        <v>2.0</v>
      </c>
      <c r="AB308" s="139" t="s">
        <v>6381</v>
      </c>
      <c r="AC308" s="28" t="s">
        <v>6376</v>
      </c>
      <c r="AD308" s="28" t="s">
        <v>6554</v>
      </c>
      <c r="AE308" s="28"/>
      <c r="AF308" s="137" t="str">
        <f t="shared" si="9"/>
        <v/>
      </c>
      <c r="AG308" s="35"/>
      <c r="AH308" s="35"/>
      <c r="AI308" s="35"/>
      <c r="AJ308" s="35"/>
      <c r="AK308" s="35"/>
      <c r="AL308" s="35"/>
      <c r="AM308" s="35"/>
      <c r="AN308" s="35"/>
      <c r="AO308" s="35"/>
      <c r="AP308" s="35"/>
      <c r="AQ308" s="35"/>
      <c r="AR308" s="35"/>
      <c r="AS308" s="35"/>
      <c r="AT308" s="35"/>
      <c r="AU308" s="35"/>
      <c r="AV308" s="35"/>
      <c r="AW308" s="35"/>
      <c r="AX308" s="35"/>
      <c r="AY308" s="35"/>
      <c r="AZ308" s="35"/>
      <c r="BA308" s="35"/>
    </row>
    <row r="309" ht="17.25" hidden="1" customHeight="1">
      <c r="A309" s="149" t="s">
        <v>3391</v>
      </c>
      <c r="B309" s="150">
        <v>38177.0</v>
      </c>
      <c r="C309" s="149" t="s">
        <v>3392</v>
      </c>
      <c r="D309" s="151" t="s">
        <v>3393</v>
      </c>
      <c r="E309" s="149" t="s">
        <v>99</v>
      </c>
      <c r="F309" s="149" t="s">
        <v>61</v>
      </c>
      <c r="G309" s="149" t="s">
        <v>3394</v>
      </c>
      <c r="H309" s="149" t="s">
        <v>3395</v>
      </c>
      <c r="I309" s="149" t="s">
        <v>1023</v>
      </c>
      <c r="J309" s="149"/>
      <c r="K309" s="149" t="s">
        <v>103</v>
      </c>
      <c r="L309" s="149" t="s">
        <v>551</v>
      </c>
      <c r="M309" s="152">
        <v>46136.0</v>
      </c>
      <c r="N309" s="151" t="s">
        <v>1382</v>
      </c>
      <c r="O309" s="153" t="str">
        <f>HYPERLINK("https://api.typeform.com/responses/files/f74e518f23f08a935c07b4fd8f0211d0dda0ccb81ee5084ccb6f3413bab65977/Transcript_Game_Design_Intern___Lê_Hà_Bảo_Khanh.pdf")</f>
        <v>https://api.typeform.com/responses/files/f74e518f23f08a935c07b4fd8f0211d0dda0ccb81ee5084ccb6f3413bab65977/Transcript_Game_Design_Intern___Lê_Hà_Bảo_Khanh.pdf</v>
      </c>
      <c r="P309" s="149" t="b">
        <v>0</v>
      </c>
      <c r="Q309" s="149" t="s">
        <v>686</v>
      </c>
      <c r="R309" s="149" t="s">
        <v>686</v>
      </c>
      <c r="S309" s="149" t="s">
        <v>72</v>
      </c>
      <c r="T309" s="149" t="s">
        <v>72</v>
      </c>
      <c r="U309" s="149" t="s">
        <v>73</v>
      </c>
      <c r="V309" s="149"/>
      <c r="W309" s="149" t="s">
        <v>3396</v>
      </c>
      <c r="X309" s="153" t="str">
        <f>HYPERLINK("https://api.typeform.com/responses/files/4e772294089ebf0bd860fb152567bfe87af601ee76c340a3db4a7aa5adc799ce/CV_LeHaBaoKhanh_Fresher.pdf")</f>
        <v>https://api.typeform.com/responses/files/4e772294089ebf0bd860fb152567bfe87af601ee76c340a3db4a7aa5adc799ce/CV_LeHaBaoKhanh_Fresher.pdf</v>
      </c>
      <c r="Y309" s="155">
        <v>46140.331875</v>
      </c>
      <c r="Z309" s="149" t="s">
        <v>3397</v>
      </c>
      <c r="AA309" s="156">
        <v>2.0</v>
      </c>
      <c r="AB309" s="157" t="s">
        <v>6381</v>
      </c>
      <c r="AC309" s="92" t="s">
        <v>6376</v>
      </c>
      <c r="AD309" s="158"/>
      <c r="AE309" s="92"/>
      <c r="AF309" s="137" t="str">
        <f t="shared" si="9"/>
        <v/>
      </c>
      <c r="AG309" s="149"/>
      <c r="AH309" s="149"/>
      <c r="AI309" s="149"/>
      <c r="AJ309" s="149"/>
      <c r="AK309" s="149"/>
      <c r="AL309" s="149"/>
      <c r="AM309" s="149"/>
      <c r="AN309" s="149"/>
      <c r="AO309" s="149"/>
      <c r="AP309" s="149"/>
      <c r="AQ309" s="149"/>
      <c r="AR309" s="149"/>
      <c r="AS309" s="149"/>
      <c r="AT309" s="149"/>
      <c r="AU309" s="149"/>
      <c r="AV309" s="149"/>
      <c r="AW309" s="149"/>
      <c r="AX309" s="149"/>
      <c r="AY309" s="149"/>
      <c r="AZ309" s="149"/>
      <c r="BA309" s="149"/>
    </row>
    <row r="310" ht="17.25" hidden="1" customHeight="1">
      <c r="A310" s="192" t="s">
        <v>3529</v>
      </c>
      <c r="B310" s="193">
        <v>38472.0</v>
      </c>
      <c r="C310" s="192" t="s">
        <v>3530</v>
      </c>
      <c r="D310" s="194" t="s">
        <v>3531</v>
      </c>
      <c r="E310" s="192" t="s">
        <v>82</v>
      </c>
      <c r="F310" s="192"/>
      <c r="G310" s="35" t="s">
        <v>3532</v>
      </c>
      <c r="H310" s="35" t="s">
        <v>3533</v>
      </c>
      <c r="I310" s="35" t="s">
        <v>715</v>
      </c>
      <c r="J310" s="35"/>
      <c r="K310" s="35" t="s">
        <v>219</v>
      </c>
      <c r="L310" s="35" t="s">
        <v>930</v>
      </c>
      <c r="M310" s="134">
        <v>46721.0</v>
      </c>
      <c r="N310" s="133" t="s">
        <v>3534</v>
      </c>
      <c r="O310" s="135" t="str">
        <f>HYPERLINK("https://api.typeform.com/responses/files/9300a7c6ad7420557ab24e7381d29fe130cd1d5381121b71f5c09071c2cdf065/inbound8485158347175733156.xlsx")</f>
        <v>https://api.typeform.com/responses/files/9300a7c6ad7420557ab24e7381d29fe130cd1d5381121b71f5c09071c2cdf065/inbound8485158347175733156.xlsx</v>
      </c>
      <c r="P310" s="35" t="b">
        <v>1</v>
      </c>
      <c r="Q310" s="35" t="s">
        <v>3535</v>
      </c>
      <c r="R310" s="35" t="s">
        <v>3536</v>
      </c>
      <c r="S310" s="35" t="s">
        <v>72</v>
      </c>
      <c r="T310" s="35" t="s">
        <v>72</v>
      </c>
      <c r="U310" s="35" t="s">
        <v>73</v>
      </c>
      <c r="V310" s="35"/>
      <c r="W310" s="35" t="s">
        <v>3537</v>
      </c>
      <c r="X310" s="195" t="str">
        <f>HYPERLINK("https://api.typeform.com/responses/files/f52659d280663792f038a767be8dac16e5ab7ec082a5b2e3997b5ea6b29ea3bc/inbound317632735936504612.pdf")</f>
        <v>https://api.typeform.com/responses/files/f52659d280663792f038a767be8dac16e5ab7ec082a5b2e3997b5ea6b29ea3bc/inbound317632735936504612.pdf</v>
      </c>
      <c r="Y310" s="196">
        <v>46140.5128587963</v>
      </c>
      <c r="Z310" s="35" t="s">
        <v>3538</v>
      </c>
      <c r="AA310" s="137">
        <v>2.0</v>
      </c>
      <c r="AB310" s="137" t="s">
        <v>93</v>
      </c>
      <c r="AC310" s="28" t="s">
        <v>6376</v>
      </c>
      <c r="AD310" s="27"/>
      <c r="AE310" s="28"/>
      <c r="AF310" s="137" t="str">
        <f t="shared" si="9"/>
        <v/>
      </c>
      <c r="AG310" s="35"/>
      <c r="AH310" s="35"/>
      <c r="AI310" s="35"/>
      <c r="AJ310" s="35"/>
      <c r="AK310" s="35"/>
      <c r="AL310" s="35"/>
      <c r="AM310" s="35"/>
      <c r="AN310" s="35"/>
      <c r="AO310" s="35"/>
      <c r="AP310" s="35"/>
      <c r="AQ310" s="35"/>
      <c r="AR310" s="35"/>
      <c r="AS310" s="35"/>
      <c r="AT310" s="35"/>
      <c r="AU310" s="35"/>
      <c r="AV310" s="35"/>
      <c r="AW310" s="35"/>
      <c r="AX310" s="35"/>
      <c r="AY310" s="35"/>
      <c r="AZ310" s="35"/>
      <c r="BA310" s="35"/>
    </row>
    <row r="311" ht="17.25" hidden="1" customHeight="1">
      <c r="A311" s="197" t="s">
        <v>2793</v>
      </c>
      <c r="B311" s="198">
        <v>38662.0</v>
      </c>
      <c r="C311" s="197" t="s">
        <v>2794</v>
      </c>
      <c r="D311" s="199" t="s">
        <v>2795</v>
      </c>
      <c r="E311" s="197" t="s">
        <v>62</v>
      </c>
      <c r="F311" s="197" t="s">
        <v>82</v>
      </c>
      <c r="G311" s="35" t="s">
        <v>2796</v>
      </c>
      <c r="H311" s="35" t="s">
        <v>2797</v>
      </c>
      <c r="I311" s="35" t="s">
        <v>85</v>
      </c>
      <c r="J311" s="35"/>
      <c r="K311" s="35" t="s">
        <v>219</v>
      </c>
      <c r="L311" s="35" t="s">
        <v>2798</v>
      </c>
      <c r="M311" s="134">
        <v>46346.0</v>
      </c>
      <c r="N311" s="133" t="s">
        <v>696</v>
      </c>
      <c r="O311" s="135" t="str">
        <f>HYPERLINK("https://api.typeform.com/responses/files/58d248069c9324142e2874a3325a5789fd036f0728a6b93c8e106d9389ca74c4/Transcript___AI_Engineer_Intern___Trần_Tiến_Đạt.pdf")</f>
        <v>https://api.typeform.com/responses/files/58d248069c9324142e2874a3325a5789fd036f0728a6b93c8e106d9389ca74c4/Transcript___AI_Engineer_Intern___Trần_Tiến_Đạt.pdf</v>
      </c>
      <c r="P311" s="35" t="b">
        <v>0</v>
      </c>
      <c r="Q311" s="43" t="s">
        <v>2799</v>
      </c>
      <c r="R311" s="35" t="s">
        <v>268</v>
      </c>
      <c r="S311" s="35" t="s">
        <v>72</v>
      </c>
      <c r="T311" s="35" t="s">
        <v>72</v>
      </c>
      <c r="U311" s="138" t="s">
        <v>2800</v>
      </c>
      <c r="V311" s="35"/>
      <c r="W311" s="35" t="s">
        <v>2801</v>
      </c>
      <c r="X311" s="200" t="str">
        <f>HYPERLINK("https://api.typeform.com/responses/files/d709563568aa0556d15da0dcb2ef7af1d79b8e500c0603da7332ed4a554fc469/CV___AI_Engineer_Intern___Trần_Tiến_Đạt.pdf")</f>
        <v>https://api.typeform.com/responses/files/d709563568aa0556d15da0dcb2ef7af1d79b8e500c0603da7332ed4a554fc469/CV___AI_Engineer_Intern___Trần_Tiến_Đạt.pdf</v>
      </c>
      <c r="Y311" s="201">
        <v>46139.401655092595</v>
      </c>
      <c r="Z311" s="35" t="s">
        <v>2802</v>
      </c>
      <c r="AA311" s="137">
        <v>2.0</v>
      </c>
      <c r="AB311" s="139" t="s">
        <v>6381</v>
      </c>
      <c r="AC311" s="28" t="s">
        <v>6376</v>
      </c>
      <c r="AD311" s="27"/>
      <c r="AE311" s="28"/>
      <c r="AF311" s="137" t="str">
        <f t="shared" si="9"/>
        <v/>
      </c>
      <c r="AG311" s="149"/>
      <c r="AH311" s="149"/>
      <c r="AI311" s="149"/>
      <c r="AJ311" s="149"/>
      <c r="AK311" s="149"/>
      <c r="AL311" s="149"/>
      <c r="AM311" s="149"/>
      <c r="AN311" s="149"/>
      <c r="AO311" s="149"/>
      <c r="AP311" s="149"/>
      <c r="AQ311" s="149"/>
      <c r="AR311" s="149"/>
      <c r="AS311" s="149"/>
      <c r="AT311" s="149"/>
      <c r="AU311" s="149"/>
      <c r="AV311" s="149"/>
      <c r="AW311" s="149"/>
      <c r="AX311" s="149"/>
      <c r="AY311" s="149"/>
      <c r="AZ311" s="149"/>
      <c r="BA311" s="149"/>
    </row>
    <row r="312" ht="17.25" hidden="1" customHeight="1">
      <c r="A312" s="192" t="s">
        <v>1451</v>
      </c>
      <c r="B312" s="193">
        <v>38668.0</v>
      </c>
      <c r="C312" s="192" t="s">
        <v>1452</v>
      </c>
      <c r="D312" s="194" t="s">
        <v>1453</v>
      </c>
      <c r="E312" s="192" t="s">
        <v>62</v>
      </c>
      <c r="F312" s="192" t="s">
        <v>82</v>
      </c>
      <c r="G312" s="35" t="s">
        <v>1454</v>
      </c>
      <c r="H312" s="35" t="s">
        <v>1455</v>
      </c>
      <c r="I312" s="35" t="s">
        <v>326</v>
      </c>
      <c r="J312" s="35"/>
      <c r="K312" s="35" t="s">
        <v>219</v>
      </c>
      <c r="L312" s="35" t="s">
        <v>384</v>
      </c>
      <c r="M312" s="134">
        <v>46631.0</v>
      </c>
      <c r="N312" s="133" t="s">
        <v>1456</v>
      </c>
      <c r="O312" s="135" t="str">
        <f>HYPERLINK("https://api.typeform.com/responses/files/23578bee8b07df5ae2c07b9bad9ee2a65b5f43b24df433d2b97f81e738739d38/Transcript___AI_Engineering_Intern___Vũ_Hoàng_Minh.pdf")</f>
        <v>https://api.typeform.com/responses/files/23578bee8b07df5ae2c07b9bad9ee2a65b5f43b24df433d2b97f81e738739d38/Transcript___AI_Engineering_Intern___Vũ_Hoàng_Minh.pdf</v>
      </c>
      <c r="P312" s="35" t="b">
        <v>0</v>
      </c>
      <c r="Q312" s="43" t="s">
        <v>1457</v>
      </c>
      <c r="R312" s="35" t="s">
        <v>1458</v>
      </c>
      <c r="S312" s="35" t="s">
        <v>72</v>
      </c>
      <c r="T312" s="35" t="s">
        <v>72</v>
      </c>
      <c r="U312" s="138" t="s">
        <v>269</v>
      </c>
      <c r="V312" s="35"/>
      <c r="W312" s="35" t="s">
        <v>1459</v>
      </c>
      <c r="X312" s="195" t="str">
        <f>HYPERLINK("https://api.typeform.com/responses/files/85f384f890703ea88d4770880907b86e635157ef3a083ef8988e56f6069d52f4/CV___AI_Engineering_Intern___Vũ_Hoàng_Minh.pdf")</f>
        <v>https://api.typeform.com/responses/files/85f384f890703ea88d4770880907b86e635157ef3a083ef8988e56f6069d52f4/CV___AI_Engineering_Intern___Vũ_Hoàng_Minh.pdf</v>
      </c>
      <c r="Y312" s="196">
        <v>46135.66806712963</v>
      </c>
      <c r="Z312" s="35" t="s">
        <v>1460</v>
      </c>
      <c r="AA312" s="137">
        <v>2.0</v>
      </c>
      <c r="AB312" s="139" t="s">
        <v>6381</v>
      </c>
      <c r="AC312" s="28" t="s">
        <v>6377</v>
      </c>
      <c r="AD312" s="27"/>
      <c r="AE312" s="28" t="s">
        <v>6379</v>
      </c>
      <c r="AF312" s="137" t="str">
        <f t="shared" si="9"/>
        <v>Quỳnh</v>
      </c>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row>
    <row r="313" ht="17.25" hidden="1" customHeight="1">
      <c r="A313" s="197" t="s">
        <v>2569</v>
      </c>
      <c r="B313" s="198">
        <v>38684.0</v>
      </c>
      <c r="C313" s="197" t="s">
        <v>2570</v>
      </c>
      <c r="D313" s="199" t="s">
        <v>2571</v>
      </c>
      <c r="E313" s="197" t="s">
        <v>62</v>
      </c>
      <c r="F313" s="197"/>
      <c r="G313" s="35" t="s">
        <v>2572</v>
      </c>
      <c r="H313" s="35" t="s">
        <v>2573</v>
      </c>
      <c r="I313" s="35" t="s">
        <v>85</v>
      </c>
      <c r="J313" s="35"/>
      <c r="K313" s="35" t="s">
        <v>219</v>
      </c>
      <c r="L313" s="35" t="s">
        <v>399</v>
      </c>
      <c r="M313" s="134">
        <v>46447.0</v>
      </c>
      <c r="N313" s="133" t="s">
        <v>2346</v>
      </c>
      <c r="O313" s="135" t="str">
        <f>HYPERLINK("https://api.typeform.com/responses/files/2ff00ebc129e64c095cac0f20267aa9c0c45555de34d8218f3c67771ae457104/MinhNguyenAnh_5.pdf")</f>
        <v>https://api.typeform.com/responses/files/2ff00ebc129e64c095cac0f20267aa9c0c45555de34d8218f3c67771ae457104/MinhNguyenAnh_5.pdf</v>
      </c>
      <c r="P313" s="35" t="b">
        <v>0</v>
      </c>
      <c r="Q313" s="43" t="s">
        <v>300</v>
      </c>
      <c r="R313" s="35" t="s">
        <v>2574</v>
      </c>
      <c r="S313" s="35" t="s">
        <v>72</v>
      </c>
      <c r="T313" s="35" t="s">
        <v>72</v>
      </c>
      <c r="U313" s="138" t="s">
        <v>269</v>
      </c>
      <c r="V313" s="35"/>
      <c r="W313" s="35" t="s">
        <v>300</v>
      </c>
      <c r="X313" s="200" t="str">
        <f>HYPERLINK("https://api.typeform.com/responses/files/7c54b072397e6b1f182a3f387ac0efd0223eace7d19762733342deb650e53738/MinhNguyenAnh_5.pdf")</f>
        <v>https://api.typeform.com/responses/files/7c54b072397e6b1f182a3f387ac0efd0223eace7d19762733342deb650e53738/MinhNguyenAnh_5.pdf</v>
      </c>
      <c r="Y313" s="201">
        <v>46138.76070601852</v>
      </c>
      <c r="Z313" s="35" t="s">
        <v>2575</v>
      </c>
      <c r="AA313" s="137">
        <v>2.0</v>
      </c>
      <c r="AB313" s="139" t="s">
        <v>6381</v>
      </c>
      <c r="AC313" s="28" t="s">
        <v>6377</v>
      </c>
      <c r="AD313" s="160" t="s">
        <v>6555</v>
      </c>
      <c r="AE313" s="28" t="s">
        <v>6379</v>
      </c>
      <c r="AF313" s="137" t="str">
        <f t="shared" si="9"/>
        <v>Quỳnh</v>
      </c>
      <c r="AG313" s="35"/>
      <c r="AH313" s="35"/>
      <c r="AI313" s="35"/>
      <c r="AJ313" s="35"/>
      <c r="AK313" s="35"/>
      <c r="AL313" s="35"/>
      <c r="AM313" s="35"/>
      <c r="AN313" s="35"/>
      <c r="AO313" s="35"/>
      <c r="AP313" s="35"/>
      <c r="AQ313" s="35"/>
      <c r="AR313" s="35"/>
      <c r="AS313" s="35"/>
      <c r="AT313" s="35"/>
      <c r="AU313" s="35"/>
      <c r="AV313" s="35"/>
      <c r="AW313" s="35"/>
      <c r="AX313" s="35"/>
      <c r="AY313" s="35"/>
      <c r="AZ313" s="35"/>
      <c r="BA313" s="35"/>
    </row>
    <row r="314">
      <c r="A314" s="192" t="s">
        <v>4298</v>
      </c>
      <c r="B314" s="193">
        <v>39074.0</v>
      </c>
      <c r="C314" s="192" t="s">
        <v>4299</v>
      </c>
      <c r="D314" s="194" t="s">
        <v>4300</v>
      </c>
      <c r="E314" s="192" t="s">
        <v>633</v>
      </c>
      <c r="F314" s="192" t="s">
        <v>774</v>
      </c>
      <c r="G314" s="35" t="s">
        <v>4301</v>
      </c>
      <c r="H314" s="35" t="s">
        <v>4302</v>
      </c>
      <c r="I314" s="35" t="s">
        <v>1311</v>
      </c>
      <c r="J314" s="35"/>
      <c r="K314" s="35" t="s">
        <v>219</v>
      </c>
      <c r="L314" s="35" t="s">
        <v>4303</v>
      </c>
      <c r="M314" s="134">
        <v>46844.0</v>
      </c>
      <c r="N314" s="35" t="s">
        <v>4304</v>
      </c>
      <c r="O314" s="135" t="str">
        <f>HYPERLINK("https://api.typeform.com/responses/files/c2abf3101259b3f1ffbd8800a119b7dd13c6e3b86f08eba229228a623b3ecf97/inbound8582114021282658067.pdf")</f>
        <v>https://api.typeform.com/responses/files/c2abf3101259b3f1ffbd8800a119b7dd13c6e3b86f08eba229228a623b3ecf97/inbound8582114021282658067.pdf</v>
      </c>
      <c r="P314" s="35" t="b">
        <v>1</v>
      </c>
      <c r="Q314" s="35" t="s">
        <v>4305</v>
      </c>
      <c r="R314" s="35" t="s">
        <v>4306</v>
      </c>
      <c r="S314" s="35" t="s">
        <v>72</v>
      </c>
      <c r="T314" s="35" t="s">
        <v>72</v>
      </c>
      <c r="U314" s="35" t="s">
        <v>73</v>
      </c>
      <c r="V314" s="35"/>
      <c r="W314" s="35" t="s">
        <v>4307</v>
      </c>
      <c r="X314" s="195" t="str">
        <f>HYPERLINK("https://api.typeform.com/responses/files/a9459d714aeb066d326ac8baa7ee454774af92cced47e9c6a82c004f23187e0c/inbound5812462044915528695.pdf")</f>
        <v>https://api.typeform.com/responses/files/a9459d714aeb066d326ac8baa7ee454774af92cced47e9c6a82c004f23187e0c/inbound5812462044915528695.pdf</v>
      </c>
      <c r="Y314" s="196">
        <v>46143.41740740741</v>
      </c>
      <c r="Z314" s="35" t="s">
        <v>4308</v>
      </c>
      <c r="AA314" s="137">
        <v>2.0</v>
      </c>
      <c r="AB314" s="203" t="s">
        <v>93</v>
      </c>
      <c r="AC314" s="28" t="s">
        <v>6377</v>
      </c>
      <c r="AD314" s="27"/>
      <c r="AE314" s="28" t="s">
        <v>6379</v>
      </c>
      <c r="AF314" s="137" t="s">
        <v>93</v>
      </c>
      <c r="AG314" s="35"/>
      <c r="AH314" s="35"/>
      <c r="AI314" s="35"/>
      <c r="AJ314" s="35"/>
      <c r="AK314" s="35"/>
      <c r="AL314" s="35"/>
      <c r="AM314" s="35"/>
      <c r="AN314" s="35"/>
      <c r="AO314" s="35"/>
      <c r="AP314" s="35"/>
      <c r="AQ314" s="35"/>
      <c r="AR314" s="35"/>
      <c r="AS314" s="35"/>
      <c r="AT314" s="35"/>
      <c r="AU314" s="35"/>
      <c r="AV314" s="35"/>
      <c r="AW314" s="35"/>
      <c r="AX314" s="35"/>
      <c r="AY314" s="35"/>
      <c r="AZ314" s="35"/>
      <c r="BA314" s="35"/>
    </row>
    <row r="315" hidden="1">
      <c r="A315" s="197" t="s">
        <v>4309</v>
      </c>
      <c r="B315" s="198">
        <v>37909.0</v>
      </c>
      <c r="C315" s="197" t="s">
        <v>4310</v>
      </c>
      <c r="D315" s="199" t="s">
        <v>4311</v>
      </c>
      <c r="E315" s="197" t="s">
        <v>127</v>
      </c>
      <c r="F315" s="197" t="s">
        <v>62</v>
      </c>
      <c r="G315" s="35" t="s">
        <v>4312</v>
      </c>
      <c r="H315" s="35" t="s">
        <v>4313</v>
      </c>
      <c r="I315" s="35" t="s">
        <v>1023</v>
      </c>
      <c r="J315" s="35"/>
      <c r="K315" s="35" t="s">
        <v>103</v>
      </c>
      <c r="L315" s="35" t="s">
        <v>4314</v>
      </c>
      <c r="M315" s="134">
        <v>45805.0</v>
      </c>
      <c r="N315" s="133" t="s">
        <v>483</v>
      </c>
      <c r="O315" s="135" t="str">
        <f>HYPERLINK("https://api.typeform.com/responses/files/602ddeab97c70b4b827bcc9b843d8b1b5bfc004b1e932d4753b0e4304a842d45/CV_NgoTheKietIS.pdf")</f>
        <v>https://api.typeform.com/responses/files/602ddeab97c70b4b827bcc9b843d8b1b5bfc004b1e932d4753b0e4304a842d45/CV_NgoTheKietIS.pdf</v>
      </c>
      <c r="P315" s="35" t="b">
        <v>0</v>
      </c>
      <c r="Q315" s="35" t="s">
        <v>222</v>
      </c>
      <c r="R315" s="35" t="s">
        <v>300</v>
      </c>
      <c r="S315" s="35" t="s">
        <v>72</v>
      </c>
      <c r="T315" s="35" t="s">
        <v>72</v>
      </c>
      <c r="U315" s="35" t="s">
        <v>90</v>
      </c>
      <c r="V315" s="35"/>
      <c r="W315" s="35"/>
      <c r="X315" s="200" t="str">
        <f>HYPERLINK("https://api.typeform.com/responses/files/efadcdbe381e552780539c0b362373e6060cd5c3798bf73f2104983c763c3cc4/CV_NgoTheKietIS.pdf")</f>
        <v>https://api.typeform.com/responses/files/efadcdbe381e552780539c0b362373e6060cd5c3798bf73f2104983c763c3cc4/CV_NgoTheKietIS.pdf</v>
      </c>
      <c r="Y315" s="201">
        <v>46143.420949074076</v>
      </c>
      <c r="Z315" s="35" t="s">
        <v>4315</v>
      </c>
      <c r="AA315" s="137">
        <v>2.0</v>
      </c>
      <c r="AB315" s="137" t="s">
        <v>93</v>
      </c>
      <c r="AC315" s="28" t="s">
        <v>6376</v>
      </c>
      <c r="AD315" s="27"/>
      <c r="AE315" s="28"/>
      <c r="AF315" s="137" t="str">
        <f>IFERROR(
  IFS(
    AND(OR(AE315="Test",AE315="Chờ test",AE315="Test Review",AE315="Passed",AE315="Failed"), OR(E315="Game User Acquisition Intern",E315="Game Design Intern")), "Nhiên",
    AND(OR(AE315="Test",AE315="Chờ test",AE315="Test Review",AE315="Passed",AE315="Failed"), E315&lt;&gt;"Human Resources Intern", NOT(OR(E315="Game User Acquisition Intern",E315="Game Design Intern"))), "Quỳnh",
    AND(OR(AE315="Test",AE315="Chờ test",AE315="Test Review",AE315="Passed",AE315="Failed"), E315="Human Resources Intern"), "Chờ assign"
  ),
"")</f>
        <v/>
      </c>
      <c r="AG315" s="35"/>
      <c r="AH315" s="35"/>
      <c r="AI315" s="35"/>
      <c r="AJ315" s="35"/>
      <c r="AK315" s="35"/>
      <c r="AL315" s="35"/>
      <c r="AM315" s="35"/>
      <c r="AN315" s="35"/>
      <c r="AO315" s="35"/>
      <c r="AP315" s="35"/>
      <c r="AQ315" s="35"/>
      <c r="AR315" s="35"/>
      <c r="AS315" s="35"/>
      <c r="AT315" s="35"/>
      <c r="AU315" s="35"/>
      <c r="AV315" s="35"/>
      <c r="AW315" s="35"/>
      <c r="AX315" s="35"/>
      <c r="AY315" s="35"/>
      <c r="AZ315" s="35"/>
      <c r="BA315" s="35"/>
    </row>
    <row r="316" hidden="1">
      <c r="AG316" s="35"/>
      <c r="AH316" s="35"/>
      <c r="AI316" s="35"/>
      <c r="AJ316" s="35"/>
      <c r="AK316" s="35"/>
      <c r="AL316" s="35"/>
      <c r="AM316" s="35"/>
      <c r="AN316" s="35"/>
      <c r="AO316" s="35"/>
      <c r="AP316" s="35"/>
      <c r="AQ316" s="35"/>
      <c r="AR316" s="35"/>
      <c r="AS316" s="35"/>
      <c r="AT316" s="35"/>
      <c r="AU316" s="35"/>
      <c r="AV316" s="35"/>
      <c r="AW316" s="35"/>
      <c r="AX316" s="35"/>
      <c r="AY316" s="35"/>
      <c r="AZ316" s="35"/>
      <c r="BA316" s="35"/>
    </row>
    <row r="317" hidden="1">
      <c r="A317" s="215" t="s">
        <v>4939</v>
      </c>
      <c r="B317" s="216">
        <v>38457.0</v>
      </c>
      <c r="C317" s="215" t="s">
        <v>4940</v>
      </c>
      <c r="D317" s="215" t="s">
        <v>4941</v>
      </c>
      <c r="E317" s="35" t="s">
        <v>99</v>
      </c>
      <c r="F317" s="215" t="s">
        <v>61</v>
      </c>
      <c r="G317" s="35" t="s">
        <v>4942</v>
      </c>
      <c r="H317" s="35" t="s">
        <v>4943</v>
      </c>
      <c r="I317" s="35" t="s">
        <v>715</v>
      </c>
      <c r="J317" s="35"/>
      <c r="K317" s="35" t="s">
        <v>219</v>
      </c>
      <c r="L317" s="35" t="s">
        <v>930</v>
      </c>
      <c r="M317" s="134">
        <v>46645.0</v>
      </c>
      <c r="N317" s="35" t="s">
        <v>4944</v>
      </c>
      <c r="O317" s="217" t="str">
        <f>HYPERLINK("https://api.typeform.com/responses/files/d89fccc9047bcba528a63cda4ff6adcdd6ea61a08985e758e08cdaeae109d405/Transcipt_Game_Design_Intern_Nguyễn_Hoàng_Nhật_Thiên.xlsx")</f>
        <v>https://api.typeform.com/responses/files/d89fccc9047bcba528a63cda4ff6adcdd6ea61a08985e758e08cdaeae109d405/Transcipt_Game_Design_Intern_Nguyễn_Hoàng_Nhật_Thiên.xlsx</v>
      </c>
      <c r="P317" s="35" t="b">
        <v>1</v>
      </c>
      <c r="Q317" s="35" t="s">
        <v>4945</v>
      </c>
      <c r="R317" s="35" t="s">
        <v>4946</v>
      </c>
      <c r="S317" s="35" t="s">
        <v>72</v>
      </c>
      <c r="T317" s="35" t="s">
        <v>72</v>
      </c>
      <c r="U317" s="35" t="s">
        <v>2389</v>
      </c>
      <c r="V317" s="35"/>
      <c r="W317" s="35" t="s">
        <v>4947</v>
      </c>
      <c r="X317" s="217" t="str">
        <f>HYPERLINK("https://api.typeform.com/responses/files/24e48d3ce9152217b17482f2ef89f6bff67bc73d7c5db4dff55591d050b6b03f/CV_Game_Design_Intern_Nguyễn_Hoàng_Nhật_Thiên.pdf")</f>
        <v>https://api.typeform.com/responses/files/24e48d3ce9152217b17482f2ef89f6bff67bc73d7c5db4dff55591d050b6b03f/CV_Game_Design_Intern_Nguyễn_Hoàng_Nhật_Thiên.pdf</v>
      </c>
      <c r="Y317" s="136">
        <v>46146.17019675926</v>
      </c>
      <c r="Z317" s="35" t="s">
        <v>4948</v>
      </c>
      <c r="AA317" s="218">
        <v>2.1</v>
      </c>
      <c r="AB317" s="139" t="s">
        <v>6381</v>
      </c>
      <c r="AC317" s="28" t="s">
        <v>6377</v>
      </c>
      <c r="AD317" s="35"/>
      <c r="AE317" s="28" t="s">
        <v>6379</v>
      </c>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row>
    <row r="318" hidden="1">
      <c r="A318" s="140" t="s">
        <v>4616</v>
      </c>
      <c r="B318" s="141">
        <v>37948.0</v>
      </c>
      <c r="C318" s="140" t="s">
        <v>4617</v>
      </c>
      <c r="D318" s="140" t="s">
        <v>4618</v>
      </c>
      <c r="E318" s="140" t="s">
        <v>99</v>
      </c>
      <c r="F318" s="140" t="s">
        <v>127</v>
      </c>
      <c r="G318" s="140" t="s">
        <v>4619</v>
      </c>
      <c r="H318" s="140" t="s">
        <v>4620</v>
      </c>
      <c r="I318" s="140" t="s">
        <v>4621</v>
      </c>
      <c r="J318" s="140"/>
      <c r="K318" s="140" t="s">
        <v>103</v>
      </c>
      <c r="L318" s="140" t="s">
        <v>4622</v>
      </c>
      <c r="M318" s="143">
        <v>45585.0</v>
      </c>
      <c r="N318" s="140" t="s">
        <v>4623</v>
      </c>
      <c r="O318" s="219" t="str">
        <f>HYPERLINK("https://api.typeform.com/responses/files/8749365fc3ac5cb4ce5ae7c83f7481437e730b095c25bee24f1216bd3478cab5/Transcript___Game_Design_Intern___Nguyễn_Đặng_Thanh_Duy.pdf")</f>
        <v>https://api.typeform.com/responses/files/8749365fc3ac5cb4ce5ae7c83f7481437e730b095c25bee24f1216bd3478cab5/Transcript___Game_Design_Intern___Nguyễn_Đặng_Thanh_Duy.pdf</v>
      </c>
      <c r="P318" s="140" t="b">
        <v>0</v>
      </c>
      <c r="Q318" s="140" t="s">
        <v>4624</v>
      </c>
      <c r="R318" s="140" t="s">
        <v>4625</v>
      </c>
      <c r="S318" s="140" t="s">
        <v>72</v>
      </c>
      <c r="T318" s="140" t="s">
        <v>72</v>
      </c>
      <c r="U318" s="140" t="s">
        <v>4626</v>
      </c>
      <c r="V318" s="140"/>
      <c r="W318" s="140" t="s">
        <v>4627</v>
      </c>
      <c r="X318" s="219" t="str">
        <f>HYPERLINK("https://api.typeform.com/responses/files/b738473ed7476ca2aacc5f219ff436cf8c3bffb0c34189956e45ff8219667e6a/CV___Game_design_Intern___Nguyễn_Đặng_Thanh_Duy.pdf")</f>
        <v>https://api.typeform.com/responses/files/b738473ed7476ca2aacc5f219ff436cf8c3bffb0c34189956e45ff8219667e6a/CV___Game_design_Intern___Nguyễn_Đặng_Thanh_Duy.pdf</v>
      </c>
      <c r="Y318" s="145">
        <v>46144.997407407405</v>
      </c>
      <c r="Z318" s="140" t="s">
        <v>4628</v>
      </c>
      <c r="AA318" s="146">
        <v>2.1</v>
      </c>
      <c r="AB318" s="220"/>
      <c r="AC318" s="70" t="s">
        <v>6376</v>
      </c>
      <c r="AD318" s="148"/>
      <c r="AE318" s="70"/>
      <c r="AF318" s="146" t="str">
        <f>IFERROR(
  IFS(
    AND(OR(AE318="Test",AE318="Chờ test",AE318="Test Review",AE318="Passed",AE318="Failed"), OR(E318="Game User Acquisition Intern",E318="Game Design Intern")), "Nhiên",
    AND(OR(AE318="Test",AE318="Chờ test",AE318="Test Review",AE318="Passed",AE318="Failed"), E318&lt;&gt;"Human Resources Intern", NOT(OR(E318="Game User Acquisition Intern",E318="Game Design Intern"))), "Quỳnh",
    AND(OR(AE318="Test",AE318="Chờ test",AE318="Test Review",AE318="Passed",AE318="Failed"), E318="Human Resources Intern"), "Chờ assign"
  ),
"")</f>
        <v/>
      </c>
      <c r="AG318" s="140"/>
      <c r="AH318" s="140"/>
      <c r="AI318" s="140"/>
      <c r="AJ318" s="140"/>
      <c r="AK318" s="140"/>
      <c r="AL318" s="140"/>
      <c r="AM318" s="140"/>
      <c r="AN318" s="140"/>
      <c r="AO318" s="140"/>
      <c r="AP318" s="140"/>
      <c r="AQ318" s="140"/>
      <c r="AR318" s="140"/>
      <c r="AS318" s="140"/>
      <c r="AT318" s="140"/>
      <c r="AU318" s="140"/>
      <c r="AV318" s="140"/>
      <c r="AW318" s="140"/>
      <c r="AX318" s="140"/>
      <c r="AY318" s="140"/>
      <c r="AZ318" s="140"/>
      <c r="BA318" s="140"/>
    </row>
    <row r="319" hidden="1">
      <c r="A319" s="140" t="s">
        <v>4119</v>
      </c>
      <c r="B319" s="141">
        <v>37914.0</v>
      </c>
      <c r="C319" s="140" t="s">
        <v>4781</v>
      </c>
      <c r="D319" s="140" t="s">
        <v>4121</v>
      </c>
      <c r="E319" s="140" t="s">
        <v>99</v>
      </c>
      <c r="F319" s="140" t="s">
        <v>62</v>
      </c>
      <c r="G319" s="140" t="s">
        <v>4782</v>
      </c>
      <c r="H319" s="140" t="s">
        <v>4783</v>
      </c>
      <c r="I319" s="140" t="s">
        <v>644</v>
      </c>
      <c r="J319" s="140"/>
      <c r="K319" s="140" t="s">
        <v>103</v>
      </c>
      <c r="L319" s="140" t="s">
        <v>399</v>
      </c>
      <c r="M319" s="143">
        <v>46052.0</v>
      </c>
      <c r="N319" s="140" t="s">
        <v>4124</v>
      </c>
      <c r="O319" s="219" t="str">
        <f>HYPERLINK("https://api.typeform.com/responses/files/d6015f4accafa89a6193c12908b27f13b65ebe031c898fb2da3bc7b8eb8d1eeb/Transcript___Game_Designer_Intern___Nguyễn_Nguyên_Bảo_Phú.xls")</f>
        <v>https://api.typeform.com/responses/files/d6015f4accafa89a6193c12908b27f13b65ebe031c898fb2da3bc7b8eb8d1eeb/Transcript___Game_Designer_Intern___Nguyễn_Nguyên_Bảo_Phú.xls</v>
      </c>
      <c r="P319" s="140" t="b">
        <v>1</v>
      </c>
      <c r="Q319" s="140" t="s">
        <v>4784</v>
      </c>
      <c r="R319" s="140" t="s">
        <v>4785</v>
      </c>
      <c r="S319" s="140" t="s">
        <v>72</v>
      </c>
      <c r="T319" s="140" t="s">
        <v>72</v>
      </c>
      <c r="U319" s="140" t="s">
        <v>90</v>
      </c>
      <c r="V319" s="140"/>
      <c r="W319" s="140"/>
      <c r="X319" s="219" t="str">
        <f>HYPERLINK("https://api.typeform.com/responses/files/7499680c17becbbe2411c8f708d257fff8d0b3f7708cfa4650e1594aea832c09/CV___Game_Design_Intern___Nguyễn_Nguyên_Bảo_Phú.pdf")</f>
        <v>https://api.typeform.com/responses/files/7499680c17becbbe2411c8f708d257fff8d0b3f7708cfa4650e1594aea832c09/CV___Game_Design_Intern___Nguyễn_Nguyên_Bảo_Phú.pdf</v>
      </c>
      <c r="Y319" s="145">
        <v>46145.635717592595</v>
      </c>
      <c r="Z319" s="140" t="s">
        <v>4786</v>
      </c>
      <c r="AA319" s="140">
        <v>2.1</v>
      </c>
      <c r="AB319" s="140"/>
      <c r="AC319" s="70" t="s">
        <v>6376</v>
      </c>
      <c r="AD319" s="140"/>
      <c r="AE319" s="140"/>
      <c r="AF319" s="140"/>
      <c r="AG319" s="140"/>
      <c r="AH319" s="140"/>
      <c r="AI319" s="140"/>
      <c r="AJ319" s="140"/>
      <c r="AK319" s="140"/>
      <c r="AL319" s="140"/>
      <c r="AM319" s="140"/>
      <c r="AN319" s="140"/>
      <c r="AO319" s="140"/>
      <c r="AP319" s="140"/>
      <c r="AQ319" s="140"/>
      <c r="AR319" s="140"/>
      <c r="AS319" s="140"/>
      <c r="AT319" s="140"/>
      <c r="AU319" s="140"/>
      <c r="AV319" s="140"/>
      <c r="AW319" s="140"/>
      <c r="AX319" s="140"/>
      <c r="AY319" s="140"/>
      <c r="AZ319" s="140"/>
      <c r="BA319" s="140"/>
    </row>
    <row r="320" ht="23.25" hidden="1" customHeight="1">
      <c r="A320" s="215" t="s">
        <v>5545</v>
      </c>
      <c r="B320" s="216">
        <v>38084.0</v>
      </c>
      <c r="C320" s="215" t="s">
        <v>5546</v>
      </c>
      <c r="D320" s="215" t="s">
        <v>5547</v>
      </c>
      <c r="E320" s="35" t="s">
        <v>99</v>
      </c>
      <c r="F320" s="215" t="s">
        <v>61</v>
      </c>
      <c r="G320" s="35" t="s">
        <v>5548</v>
      </c>
      <c r="H320" s="35" t="s">
        <v>5549</v>
      </c>
      <c r="I320" s="35" t="s">
        <v>2180</v>
      </c>
      <c r="J320" s="35"/>
      <c r="K320" s="35" t="s">
        <v>103</v>
      </c>
      <c r="L320" s="35" t="s">
        <v>5550</v>
      </c>
      <c r="M320" s="134">
        <v>46164.0</v>
      </c>
      <c r="N320" s="35" t="s">
        <v>133</v>
      </c>
      <c r="O320" s="221" t="str">
        <f>HYPERLINK("https://api.typeform.com/responses/files/2aee2a00dfb61de3e01eb2268f9206943742e14d16f491abb9601cc81cb6e0d5/Game_Designer_Intern___Lê_Hoàng_Tâm.zip")</f>
        <v>https://api.typeform.com/responses/files/2aee2a00dfb61de3e01eb2268f9206943742e14d16f491abb9601cc81cb6e0d5/Game_Designer_Intern___Lê_Hoàng_Tâm.zip</v>
      </c>
      <c r="P320" s="35" t="b">
        <v>1</v>
      </c>
      <c r="Q320" s="35" t="s">
        <v>5551</v>
      </c>
      <c r="R320" s="35" t="s">
        <v>5552</v>
      </c>
      <c r="S320" s="35" t="s">
        <v>72</v>
      </c>
      <c r="T320" s="35" t="s">
        <v>72</v>
      </c>
      <c r="U320" s="35" t="s">
        <v>73</v>
      </c>
      <c r="V320" s="35"/>
      <c r="W320" s="35" t="s">
        <v>5553</v>
      </c>
      <c r="X320" s="221" t="str">
        <f>HYPERLINK("https://api.typeform.com/responses/files/3cd572aefcd03dab2cd81ac2233398a8521cb7a5be301e89a8e23eac24189f85/Game_Designer_Inter___Lê_Hoàng_Tâm.pdf")</f>
        <v>https://api.typeform.com/responses/files/3cd572aefcd03dab2cd81ac2233398a8521cb7a5be301e89a8e23eac24189f85/Game_Designer_Inter___Lê_Hoàng_Tâm.pdf</v>
      </c>
      <c r="Y320" s="136">
        <v>46148.166400462964</v>
      </c>
      <c r="Z320" s="35" t="s">
        <v>5554</v>
      </c>
      <c r="AA320" s="218">
        <v>2.1</v>
      </c>
      <c r="AB320" s="139" t="s">
        <v>6381</v>
      </c>
      <c r="AC320" s="28" t="s">
        <v>6377</v>
      </c>
      <c r="AD320" s="35"/>
      <c r="AE320" s="28" t="s">
        <v>6379</v>
      </c>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row>
    <row r="321" ht="23.25" hidden="1" customHeight="1">
      <c r="A321" s="215" t="s">
        <v>5907</v>
      </c>
      <c r="B321" s="216">
        <v>37344.0</v>
      </c>
      <c r="C321" s="215" t="s">
        <v>5908</v>
      </c>
      <c r="D321" s="215" t="s">
        <v>5909</v>
      </c>
      <c r="E321" s="35" t="s">
        <v>99</v>
      </c>
      <c r="F321" s="215" t="s">
        <v>61</v>
      </c>
      <c r="G321" s="35" t="s">
        <v>5910</v>
      </c>
      <c r="H321" s="35" t="s">
        <v>5911</v>
      </c>
      <c r="I321" s="35" t="s">
        <v>144</v>
      </c>
      <c r="J321" s="35"/>
      <c r="K321" s="35" t="s">
        <v>103</v>
      </c>
      <c r="L321" s="35" t="s">
        <v>5912</v>
      </c>
      <c r="M321" s="134">
        <v>46058.0</v>
      </c>
      <c r="N321" s="35" t="s">
        <v>118</v>
      </c>
      <c r="O321" s="217" t="str">
        <f>HYPERLINK("https://api.typeform.com/responses/files/ae06ccfb4aa687518384b3f5f43e09752451472311956f15fc52ab5c3825b87b/Transcript___Game_Designer_Intern___Diệp_Thái_Phong.pdf")</f>
        <v>https://api.typeform.com/responses/files/ae06ccfb4aa687518384b3f5f43e09752451472311956f15fc52ab5c3825b87b/Transcript___Game_Designer_Intern___Diệp_Thái_Phong.pdf</v>
      </c>
      <c r="P321" s="35" t="b">
        <v>1</v>
      </c>
      <c r="Q321" s="35" t="s">
        <v>5913</v>
      </c>
      <c r="R321" s="35" t="s">
        <v>5914</v>
      </c>
      <c r="S321" s="35" t="s">
        <v>72</v>
      </c>
      <c r="T321" s="35" t="s">
        <v>72</v>
      </c>
      <c r="U321" s="35" t="s">
        <v>73</v>
      </c>
      <c r="V321" s="35"/>
      <c r="W321" s="35" t="s">
        <v>5915</v>
      </c>
      <c r="X321" s="217" t="str">
        <f>HYPERLINK("https://api.typeform.com/responses/files/d699385b5caad20aac7ad7d857f426d5b98885218d4a133cd13edf4b49d65be3/CV___GameDesignerIntern___DiepThaiPhong.pdf")</f>
        <v>https://api.typeform.com/responses/files/d699385b5caad20aac7ad7d857f426d5b98885218d4a133cd13edf4b49d65be3/CV___GameDesignerIntern___DiepThaiPhong.pdf</v>
      </c>
      <c r="Y321" s="136">
        <v>46149.63344907408</v>
      </c>
      <c r="Z321" s="35" t="s">
        <v>5916</v>
      </c>
      <c r="AA321" s="218">
        <v>2.1</v>
      </c>
      <c r="AB321" s="139" t="s">
        <v>6381</v>
      </c>
      <c r="AC321" s="28" t="s">
        <v>6377</v>
      </c>
      <c r="AD321" s="35"/>
      <c r="AE321" s="28" t="s">
        <v>6379</v>
      </c>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row>
    <row r="322" ht="23.25" hidden="1" customHeight="1">
      <c r="A322" s="215" t="s">
        <v>4861</v>
      </c>
      <c r="B322" s="216">
        <v>38470.0</v>
      </c>
      <c r="C322" s="215" t="s">
        <v>4862</v>
      </c>
      <c r="D322" s="215" t="s">
        <v>4863</v>
      </c>
      <c r="E322" s="35" t="s">
        <v>99</v>
      </c>
      <c r="F322" s="215" t="s">
        <v>774</v>
      </c>
      <c r="G322" s="35" t="s">
        <v>4864</v>
      </c>
      <c r="H322" s="35" t="s">
        <v>4865</v>
      </c>
      <c r="I322" s="35" t="s">
        <v>1311</v>
      </c>
      <c r="J322" s="35"/>
      <c r="K322" s="35" t="s">
        <v>219</v>
      </c>
      <c r="L322" s="35" t="s">
        <v>4866</v>
      </c>
      <c r="M322" s="134">
        <v>46499.0</v>
      </c>
      <c r="N322" s="35" t="s">
        <v>105</v>
      </c>
      <c r="O322" s="221" t="str">
        <f>HYPERLINK("https://api.typeform.com/responses/files/11a327de5ea452480cff0b5a90495170fe45c80a3b95e7097f112477fd36beb3/Transcript___Game_Design_Intern___Phạm_Quang_Duy.pdf")</f>
        <v>https://api.typeform.com/responses/files/11a327de5ea452480cff0b5a90495170fe45c80a3b95e7097f112477fd36beb3/Transcript___Game_Design_Intern___Phạm_Quang_Duy.pdf</v>
      </c>
      <c r="P322" s="35" t="b">
        <v>1</v>
      </c>
      <c r="Q322" s="35" t="s">
        <v>4867</v>
      </c>
      <c r="R322" s="35" t="s">
        <v>4868</v>
      </c>
      <c r="S322" s="35" t="s">
        <v>72</v>
      </c>
      <c r="T322" s="35" t="s">
        <v>72</v>
      </c>
      <c r="U322" s="35" t="s">
        <v>236</v>
      </c>
      <c r="V322" s="35"/>
      <c r="W322" s="35" t="s">
        <v>4869</v>
      </c>
      <c r="X322" s="221" t="str">
        <f>HYPERLINK("https://api.typeform.com/responses/files/78821d9b2ef58617d37be28df9e771d5fccef1d5157b6c3ef3d5e0b93b9b9332/_CV2025__Phạm_Quang_Duy.pdf")</f>
        <v>https://api.typeform.com/responses/files/78821d9b2ef58617d37be28df9e771d5fccef1d5157b6c3ef3d5e0b93b9b9332/_CV2025__Phạm_Quang_Duy.pdf</v>
      </c>
      <c r="Y322" s="136">
        <v>46145.7430787037</v>
      </c>
      <c r="Z322" s="35" t="s">
        <v>4870</v>
      </c>
      <c r="AA322" s="218">
        <v>2.1</v>
      </c>
      <c r="AB322" s="139" t="s">
        <v>6381</v>
      </c>
      <c r="AC322" s="28" t="s">
        <v>6377</v>
      </c>
      <c r="AD322" s="35"/>
      <c r="AE322" s="28" t="s">
        <v>6379</v>
      </c>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row>
    <row r="323" ht="23.25" hidden="1" customHeight="1">
      <c r="A323" s="222" t="s">
        <v>5193</v>
      </c>
      <c r="B323" s="223">
        <v>37406.0</v>
      </c>
      <c r="C323" s="222" t="s">
        <v>5194</v>
      </c>
      <c r="D323" s="222" t="s">
        <v>5195</v>
      </c>
      <c r="E323" s="183" t="s">
        <v>99</v>
      </c>
      <c r="F323" s="222" t="s">
        <v>774</v>
      </c>
      <c r="G323" s="183" t="s">
        <v>5196</v>
      </c>
      <c r="H323" s="183" t="s">
        <v>5197</v>
      </c>
      <c r="I323" s="183" t="s">
        <v>777</v>
      </c>
      <c r="J323" s="183"/>
      <c r="K323" s="183" t="s">
        <v>219</v>
      </c>
      <c r="L323" s="183" t="s">
        <v>1163</v>
      </c>
      <c r="M323" s="186">
        <v>46295.0</v>
      </c>
      <c r="N323" s="183" t="s">
        <v>5198</v>
      </c>
      <c r="O323" s="224" t="str">
        <f>HYPERLINK("https://api.typeform.com/responses/files/e87161d5ccc99f9735a3863df4286ea92ba2e4ab1fffcd3ffe6c9c7d75690643/Transcript___Game_Designer____Lê_Phạm_Quỳnh_Duyên.pdf")</f>
        <v>https://api.typeform.com/responses/files/e87161d5ccc99f9735a3863df4286ea92ba2e4ab1fffcd3ffe6c9c7d75690643/Transcript___Game_Designer____Lê_Phạm_Quỳnh_Duyên.pdf</v>
      </c>
      <c r="P323" s="183" t="b">
        <v>1</v>
      </c>
      <c r="Q323" s="183" t="s">
        <v>5199</v>
      </c>
      <c r="R323" s="183" t="s">
        <v>5200</v>
      </c>
      <c r="S323" s="183" t="s">
        <v>72</v>
      </c>
      <c r="T323" s="183" t="s">
        <v>72</v>
      </c>
      <c r="U323" s="183" t="s">
        <v>73</v>
      </c>
      <c r="V323" s="183"/>
      <c r="W323" s="183" t="s">
        <v>5201</v>
      </c>
      <c r="X323" s="225" t="str">
        <f>HYPERLINK("https://api.typeform.com/responses/files/15464f63463836aceb229fe5a1f816d4635022c08caaaa2f93ad8e85ae098147/CV___Game_Designer_Intern___Lê_Phạm_Quỳnh_Duyên.pdf")</f>
        <v>https://api.typeform.com/responses/files/15464f63463836aceb229fe5a1f816d4635022c08caaaa2f93ad8e85ae098147/CV___Game_Designer_Intern___Lê_Phạm_Quỳnh_Duyên.pdf</v>
      </c>
      <c r="Y323" s="189">
        <v>46147.14090277778</v>
      </c>
      <c r="Z323" s="183" t="s">
        <v>5202</v>
      </c>
      <c r="AA323" s="183">
        <v>2.1</v>
      </c>
      <c r="AB323" s="222"/>
      <c r="AC323" s="191" t="s">
        <v>6388</v>
      </c>
      <c r="AD323" s="183"/>
      <c r="AE323" s="183"/>
      <c r="AF323" s="183"/>
      <c r="AG323" s="183"/>
      <c r="AH323" s="183"/>
      <c r="AI323" s="183"/>
      <c r="AJ323" s="183"/>
      <c r="AK323" s="183"/>
      <c r="AL323" s="183"/>
      <c r="AM323" s="183"/>
      <c r="AN323" s="183"/>
      <c r="AO323" s="183"/>
      <c r="AP323" s="183"/>
      <c r="AQ323" s="183"/>
      <c r="AR323" s="183"/>
      <c r="AS323" s="183"/>
      <c r="AT323" s="183"/>
      <c r="AU323" s="183"/>
      <c r="AV323" s="183"/>
      <c r="AW323" s="183"/>
      <c r="AX323" s="183"/>
      <c r="AY323" s="183"/>
      <c r="AZ323" s="183"/>
      <c r="BA323" s="183"/>
    </row>
    <row r="324" ht="23.25" hidden="1" customHeight="1">
      <c r="A324" s="215" t="s">
        <v>4929</v>
      </c>
      <c r="B324" s="216">
        <v>38209.0</v>
      </c>
      <c r="C324" s="215" t="s">
        <v>4930</v>
      </c>
      <c r="D324" s="215" t="s">
        <v>4931</v>
      </c>
      <c r="E324" s="35" t="s">
        <v>99</v>
      </c>
      <c r="F324" s="215" t="s">
        <v>127</v>
      </c>
      <c r="G324" s="35" t="s">
        <v>4932</v>
      </c>
      <c r="H324" s="35" t="s">
        <v>4933</v>
      </c>
      <c r="I324" s="35" t="s">
        <v>85</v>
      </c>
      <c r="J324" s="35"/>
      <c r="K324" s="35" t="s">
        <v>67</v>
      </c>
      <c r="L324" s="35" t="s">
        <v>4934</v>
      </c>
      <c r="M324" s="134">
        <v>46280.0</v>
      </c>
      <c r="N324" s="35" t="s">
        <v>1648</v>
      </c>
      <c r="O324" s="221" t="str">
        <f>HYPERLINK("https://api.typeform.com/responses/files/fb4138b07389e06adfdfdc288770d3a8761886f42370b054bfe5319cb34a1ad1/Transcript___Game_Designer___Trần_Phước_Đại.pdf")</f>
        <v>https://api.typeform.com/responses/files/fb4138b07389e06adfdfdc288770d3a8761886f42370b054bfe5319cb34a1ad1/Transcript___Game_Designer___Trần_Phước_Đại.pdf</v>
      </c>
      <c r="P324" s="35" t="b">
        <v>1</v>
      </c>
      <c r="Q324" s="35" t="s">
        <v>4935</v>
      </c>
      <c r="R324" s="35" t="s">
        <v>4936</v>
      </c>
      <c r="S324" s="35" t="s">
        <v>72</v>
      </c>
      <c r="T324" s="35" t="s">
        <v>72</v>
      </c>
      <c r="U324" s="35" t="s">
        <v>4224</v>
      </c>
      <c r="V324" s="35"/>
      <c r="W324" s="35" t="s">
        <v>4937</v>
      </c>
      <c r="X324" s="221" t="str">
        <f>HYPERLINK("https://api.typeform.com/responses/files/375a6c1b1e0de0b89a4732c9f82388bdd38a044a70788cbb12777b25c85be0fa/CV___Game_Designer___Trần_Phước_Đại.pdf")</f>
        <v>https://api.typeform.com/responses/files/375a6c1b1e0de0b89a4732c9f82388bdd38a044a70788cbb12777b25c85be0fa/CV___Game_Designer___Trần_Phước_Đại.pdf</v>
      </c>
      <c r="Y324" s="136">
        <v>46146.15105324074</v>
      </c>
      <c r="Z324" s="35" t="s">
        <v>4938</v>
      </c>
      <c r="AA324" s="218">
        <v>2.1</v>
      </c>
      <c r="AB324" s="139" t="s">
        <v>6381</v>
      </c>
      <c r="AC324" s="28" t="s">
        <v>6377</v>
      </c>
      <c r="AD324" s="35"/>
      <c r="AE324" s="28" t="s">
        <v>6379</v>
      </c>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row>
    <row r="325" ht="23.25" hidden="1" customHeight="1">
      <c r="A325" s="149" t="s">
        <v>5272</v>
      </c>
      <c r="B325" s="150">
        <v>36028.0</v>
      </c>
      <c r="C325" s="149" t="s">
        <v>5273</v>
      </c>
      <c r="D325" s="149" t="s">
        <v>5274</v>
      </c>
      <c r="E325" s="149" t="s">
        <v>99</v>
      </c>
      <c r="F325" s="149" t="s">
        <v>774</v>
      </c>
      <c r="G325" s="149" t="s">
        <v>5275</v>
      </c>
      <c r="H325" s="149" t="s">
        <v>5276</v>
      </c>
      <c r="I325" s="149" t="s">
        <v>85</v>
      </c>
      <c r="J325" s="149"/>
      <c r="K325" s="149" t="s">
        <v>103</v>
      </c>
      <c r="L325" s="149" t="s">
        <v>132</v>
      </c>
      <c r="M325" s="152">
        <v>45917.0</v>
      </c>
      <c r="N325" s="149" t="s">
        <v>299</v>
      </c>
      <c r="O325" s="217" t="str">
        <f>HYPERLINK("https://api.typeform.com/responses/files/3d4d0b1fd2e6498a35b09a468d06a144304a132b95bf3a34c70de2965b392854/Transcript___Game_Design_Intern___Phạm_Tiến_Hùng.pdf")</f>
        <v>https://api.typeform.com/responses/files/3d4d0b1fd2e6498a35b09a468d06a144304a132b95bf3a34c70de2965b392854/Transcript___Game_Design_Intern___Phạm_Tiến_Hùng.pdf</v>
      </c>
      <c r="P325" s="149" t="b">
        <v>0</v>
      </c>
      <c r="Q325" s="149" t="s">
        <v>222</v>
      </c>
      <c r="R325" s="149" t="s">
        <v>222</v>
      </c>
      <c r="S325" s="149" t="s">
        <v>72</v>
      </c>
      <c r="T325" s="149" t="s">
        <v>72</v>
      </c>
      <c r="U325" s="149" t="s">
        <v>594</v>
      </c>
      <c r="V325" s="149"/>
      <c r="W325" s="149" t="s">
        <v>5277</v>
      </c>
      <c r="X325" s="217" t="str">
        <f>HYPERLINK("https://api.typeform.com/responses/files/48c3894cb10d73c029b140f987ea7563acfb1864f93891eaa31baa20e4f4921a/CV___Game_Design_Intern___Phạm_Tiến_Hùng.pdf")</f>
        <v>https://api.typeform.com/responses/files/48c3894cb10d73c029b140f987ea7563acfb1864f93891eaa31baa20e4f4921a/CV___Game_Design_Intern___Phạm_Tiến_Hùng.pdf</v>
      </c>
      <c r="Y325" s="155">
        <v>46147.273981481485</v>
      </c>
      <c r="Z325" s="149" t="s">
        <v>5278</v>
      </c>
      <c r="AA325" s="149">
        <v>2.1</v>
      </c>
      <c r="AB325" s="149"/>
      <c r="AC325" s="28" t="s">
        <v>6376</v>
      </c>
      <c r="AD325" s="149"/>
      <c r="AE325" s="149"/>
      <c r="AF325" s="149"/>
      <c r="AG325" s="149"/>
      <c r="AH325" s="149"/>
      <c r="AI325" s="149"/>
      <c r="AJ325" s="149"/>
      <c r="AK325" s="149"/>
      <c r="AL325" s="149"/>
      <c r="AM325" s="149"/>
      <c r="AN325" s="149"/>
      <c r="AO325" s="149"/>
      <c r="AP325" s="149"/>
      <c r="AQ325" s="149"/>
      <c r="AR325" s="149"/>
      <c r="AS325" s="149"/>
      <c r="AT325" s="149"/>
      <c r="AU325" s="149"/>
      <c r="AV325" s="149"/>
      <c r="AW325" s="149"/>
      <c r="AX325" s="149"/>
      <c r="AY325" s="149"/>
      <c r="AZ325" s="149"/>
      <c r="BA325" s="149"/>
    </row>
    <row r="326" ht="23.25" hidden="1" customHeight="1">
      <c r="A326" s="215" t="s">
        <v>5555</v>
      </c>
      <c r="B326" s="216">
        <v>38588.0</v>
      </c>
      <c r="C326" s="215" t="s">
        <v>5556</v>
      </c>
      <c r="D326" s="215" t="s">
        <v>5557</v>
      </c>
      <c r="E326" s="35" t="s">
        <v>99</v>
      </c>
      <c r="F326" s="215" t="s">
        <v>127</v>
      </c>
      <c r="G326" s="35" t="s">
        <v>5558</v>
      </c>
      <c r="H326" s="35" t="s">
        <v>5559</v>
      </c>
      <c r="I326" s="35" t="s">
        <v>326</v>
      </c>
      <c r="J326" s="35"/>
      <c r="K326" s="35" t="s">
        <v>219</v>
      </c>
      <c r="L326" s="35" t="s">
        <v>1183</v>
      </c>
      <c r="M326" s="134">
        <v>38588.0</v>
      </c>
      <c r="N326" s="35" t="s">
        <v>1184</v>
      </c>
      <c r="O326" s="221" t="str">
        <f>HYPERLINK("https://api.typeform.com/responses/files/562d0dfc491ad55815a9b1d606f9b696437fd558d9a3dafff4d857da442f684f/Transcript___Game_Design_Intern___Giao_Thái_Bảo.pdf")</f>
        <v>https://api.typeform.com/responses/files/562d0dfc491ad55815a9b1d606f9b696437fd558d9a3dafff4d857da442f684f/Transcript___Game_Design_Intern___Giao_Thái_Bảo.pdf</v>
      </c>
      <c r="P326" s="35" t="b">
        <v>1</v>
      </c>
      <c r="Q326" s="35" t="s">
        <v>5560</v>
      </c>
      <c r="R326" s="35" t="s">
        <v>5561</v>
      </c>
      <c r="S326" s="35" t="s">
        <v>72</v>
      </c>
      <c r="T326" s="35" t="s">
        <v>72</v>
      </c>
      <c r="U326" s="35" t="s">
        <v>2992</v>
      </c>
      <c r="V326" s="35"/>
      <c r="W326" s="35" t="s">
        <v>5562</v>
      </c>
      <c r="X326" s="221" t="str">
        <f>HYPERLINK("https://api.typeform.com/responses/files/f00baf808ca1f91180a4d92a21eb5f0b8c8e5202cc3275574bc4fa2bd35835ba/CV___Game_Design_Intern___Giao_Thái_Bảo.pdf")</f>
        <v>https://api.typeform.com/responses/files/f00baf808ca1f91180a4d92a21eb5f0b8c8e5202cc3275574bc4fa2bd35835ba/CV___Game_Design_Intern___Giao_Thái_Bảo.pdf</v>
      </c>
      <c r="Y326" s="136">
        <v>46148.183587962965</v>
      </c>
      <c r="Z326" s="35" t="s">
        <v>5563</v>
      </c>
      <c r="AA326" s="218">
        <v>2.1</v>
      </c>
      <c r="AB326" s="139" t="s">
        <v>6381</v>
      </c>
      <c r="AC326" s="28" t="s">
        <v>6377</v>
      </c>
      <c r="AD326" s="35"/>
      <c r="AE326" s="28" t="s">
        <v>6379</v>
      </c>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row>
    <row r="327" ht="23.25" hidden="1" customHeight="1">
      <c r="A327" s="140" t="s">
        <v>5457</v>
      </c>
      <c r="B327" s="141">
        <v>38386.0</v>
      </c>
      <c r="C327" s="140" t="s">
        <v>5458</v>
      </c>
      <c r="D327" s="140" t="s">
        <v>5459</v>
      </c>
      <c r="E327" s="140" t="s">
        <v>99</v>
      </c>
      <c r="F327" s="140" t="s">
        <v>127</v>
      </c>
      <c r="G327" s="140" t="s">
        <v>5460</v>
      </c>
      <c r="H327" s="140" t="s">
        <v>5461</v>
      </c>
      <c r="I327" s="140" t="s">
        <v>715</v>
      </c>
      <c r="J327" s="140"/>
      <c r="K327" s="140" t="s">
        <v>219</v>
      </c>
      <c r="L327" s="140" t="s">
        <v>399</v>
      </c>
      <c r="M327" s="143">
        <v>46661.0</v>
      </c>
      <c r="N327" s="140" t="s">
        <v>5462</v>
      </c>
      <c r="O327" s="219" t="str">
        <f>HYPERLINK("https://api.typeform.com/responses/files/f26a2afd411340445d43c9dd6f5644107cdc32345c33e63c659172c7aff65893/Transcript___Game_Design_Intern___Trần_Hùng_Sơn.pdf")</f>
        <v>https://api.typeform.com/responses/files/f26a2afd411340445d43c9dd6f5644107cdc32345c33e63c659172c7aff65893/Transcript___Game_Design_Intern___Trần_Hùng_Sơn.pdf</v>
      </c>
      <c r="P327" s="140" t="b">
        <v>1</v>
      </c>
      <c r="Q327" s="140" t="s">
        <v>5463</v>
      </c>
      <c r="R327" s="140" t="s">
        <v>5464</v>
      </c>
      <c r="S327" s="140" t="s">
        <v>72</v>
      </c>
      <c r="T327" s="140" t="s">
        <v>72</v>
      </c>
      <c r="U327" s="140" t="s">
        <v>5465</v>
      </c>
      <c r="V327" s="140"/>
      <c r="W327" s="140" t="s">
        <v>5466</v>
      </c>
      <c r="X327" s="219" t="str">
        <f>HYPERLINK("https://api.typeform.com/responses/files/7cc0d4985df7a249abe9f840e8141e98d8e9681e9d624a8780c98f20f7592aff/CV___Game_Design_Intern___Trần_Hùng_Sơn.pdf")</f>
        <v>https://api.typeform.com/responses/files/7cc0d4985df7a249abe9f840e8141e98d8e9681e9d624a8780c98f20f7592aff/CV___Game_Design_Intern___Trần_Hùng_Sơn.pdf</v>
      </c>
      <c r="Y327" s="145">
        <v>46147.66981481481</v>
      </c>
      <c r="Z327" s="140" t="s">
        <v>5467</v>
      </c>
      <c r="AA327" s="140">
        <v>2.1</v>
      </c>
      <c r="AB327" s="140"/>
      <c r="AC327" s="70" t="s">
        <v>6376</v>
      </c>
      <c r="AD327" s="226" t="s">
        <v>6556</v>
      </c>
      <c r="AE327" s="140"/>
      <c r="AF327" s="140"/>
      <c r="AG327" s="140"/>
      <c r="AH327" s="140"/>
      <c r="AI327" s="140"/>
      <c r="AJ327" s="140"/>
      <c r="AK327" s="140"/>
      <c r="AL327" s="140"/>
      <c r="AM327" s="140"/>
      <c r="AN327" s="140"/>
      <c r="AO327" s="140"/>
      <c r="AP327" s="140"/>
      <c r="AQ327" s="140"/>
      <c r="AR327" s="140"/>
      <c r="AS327" s="140"/>
      <c r="AT327" s="140"/>
      <c r="AU327" s="140"/>
      <c r="AV327" s="140"/>
      <c r="AW327" s="140"/>
      <c r="AX327" s="140"/>
      <c r="AY327" s="140"/>
      <c r="AZ327" s="140"/>
      <c r="BA327" s="140"/>
    </row>
    <row r="328" ht="23.25" hidden="1" customHeight="1">
      <c r="A328" s="140" t="s">
        <v>5487</v>
      </c>
      <c r="B328" s="141">
        <v>37470.0</v>
      </c>
      <c r="C328" s="140" t="s">
        <v>5488</v>
      </c>
      <c r="D328" s="140" t="s">
        <v>5489</v>
      </c>
      <c r="E328" s="140" t="s">
        <v>99</v>
      </c>
      <c r="F328" s="140"/>
      <c r="G328" s="140" t="s">
        <v>5490</v>
      </c>
      <c r="H328" s="140" t="s">
        <v>5491</v>
      </c>
      <c r="I328" s="140" t="s">
        <v>65</v>
      </c>
      <c r="J328" s="140" t="s">
        <v>5256</v>
      </c>
      <c r="K328" s="140" t="s">
        <v>103</v>
      </c>
      <c r="L328" s="140" t="s">
        <v>350</v>
      </c>
      <c r="M328" s="143">
        <v>45962.0</v>
      </c>
      <c r="N328" s="140" t="s">
        <v>5492</v>
      </c>
      <c r="O328" s="219" t="str">
        <f>HYPERLINK("https://api.typeform.com/responses/files/02f008602504f9e450a3cb7f7e1a0115233f5434d444174c07cfd43bf5b58f4d/Transcript___Game_Design_Intern___Hồ_Kim_Ngọc.pdf")</f>
        <v>https://api.typeform.com/responses/files/02f008602504f9e450a3cb7f7e1a0115233f5434d444174c07cfd43bf5b58f4d/Transcript___Game_Design_Intern___Hồ_Kim_Ngọc.pdf</v>
      </c>
      <c r="P328" s="140" t="b">
        <v>1</v>
      </c>
      <c r="Q328" s="140" t="s">
        <v>5493</v>
      </c>
      <c r="R328" s="140" t="s">
        <v>5494</v>
      </c>
      <c r="S328" s="140" t="s">
        <v>72</v>
      </c>
      <c r="T328" s="140" t="s">
        <v>72</v>
      </c>
      <c r="U328" s="140" t="s">
        <v>224</v>
      </c>
      <c r="V328" s="140"/>
      <c r="W328" s="140"/>
      <c r="X328" s="219" t="str">
        <f>HYPERLINK("https://api.typeform.com/responses/files/bb12ef3edcfc1729cdcfb03f7b2cc77960918cdfe47e14fe4e615c99cffc09b5/CV___Game_Design_Intern___Hồ_Kim_Ngọc.jpg")</f>
        <v>https://api.typeform.com/responses/files/bb12ef3edcfc1729cdcfb03f7b2cc77960918cdfe47e14fe4e615c99cffc09b5/CV___Game_Design_Intern___Hồ_Kim_Ngọc.jpg</v>
      </c>
      <c r="Y328" s="145">
        <v>46147.7509375</v>
      </c>
      <c r="Z328" s="140" t="s">
        <v>5495</v>
      </c>
      <c r="AA328" s="140">
        <v>2.1</v>
      </c>
      <c r="AB328" s="140"/>
      <c r="AC328" s="70" t="s">
        <v>6376</v>
      </c>
      <c r="AD328" s="140"/>
      <c r="AE328" s="140"/>
      <c r="AF328" s="140"/>
      <c r="AG328" s="140"/>
      <c r="AH328" s="140"/>
      <c r="AI328" s="140"/>
      <c r="AJ328" s="140"/>
      <c r="AK328" s="140"/>
      <c r="AL328" s="140"/>
      <c r="AM328" s="140"/>
      <c r="AN328" s="140"/>
      <c r="AO328" s="140"/>
      <c r="AP328" s="140"/>
      <c r="AQ328" s="140"/>
      <c r="AR328" s="140"/>
      <c r="AS328" s="140"/>
      <c r="AT328" s="140"/>
      <c r="AU328" s="140"/>
      <c r="AV328" s="140"/>
      <c r="AW328" s="140"/>
      <c r="AX328" s="140"/>
      <c r="AY328" s="140"/>
      <c r="AZ328" s="140"/>
      <c r="BA328" s="140"/>
    </row>
    <row r="329" ht="23.25" hidden="1" customHeight="1">
      <c r="A329" s="215" t="s">
        <v>1343</v>
      </c>
      <c r="B329" s="216">
        <v>38514.0</v>
      </c>
      <c r="C329" s="215" t="s">
        <v>5873</v>
      </c>
      <c r="D329" s="215" t="s">
        <v>5874</v>
      </c>
      <c r="E329" s="35" t="s">
        <v>99</v>
      </c>
      <c r="F329" s="215" t="s">
        <v>127</v>
      </c>
      <c r="G329" s="35" t="s">
        <v>5875</v>
      </c>
      <c r="H329" s="35" t="s">
        <v>5876</v>
      </c>
      <c r="I329" s="35" t="s">
        <v>2293</v>
      </c>
      <c r="J329" s="35"/>
      <c r="K329" s="35" t="s">
        <v>219</v>
      </c>
      <c r="L329" s="35" t="s">
        <v>5877</v>
      </c>
      <c r="M329" s="134">
        <v>46387.0</v>
      </c>
      <c r="N329" s="35" t="s">
        <v>3376</v>
      </c>
      <c r="O329" s="217" t="str">
        <f>HYPERLINK("https://api.typeform.com/responses/files/9b6ba7e3b367615cf0387b6ddb8a5c6e1b6ce272c24321f9b8a4764cc85b602a/Transcript___Game_Design_Intern___Nguyễn_Thị_Minh_Thư.pdf")</f>
        <v>https://api.typeform.com/responses/files/9b6ba7e3b367615cf0387b6ddb8a5c6e1b6ce272c24321f9b8a4764cc85b602a/Transcript___Game_Design_Intern___Nguyễn_Thị_Minh_Thư.pdf</v>
      </c>
      <c r="P329" s="35" t="b">
        <v>1</v>
      </c>
      <c r="Q329" s="35" t="s">
        <v>5878</v>
      </c>
      <c r="R329" s="35" t="s">
        <v>5879</v>
      </c>
      <c r="S329" s="35" t="s">
        <v>72</v>
      </c>
      <c r="T329" s="35" t="s">
        <v>72</v>
      </c>
      <c r="U329" s="35" t="s">
        <v>73</v>
      </c>
      <c r="V329" s="35"/>
      <c r="W329" s="35" t="s">
        <v>5880</v>
      </c>
      <c r="X329" s="217" t="str">
        <f>HYPERLINK("https://api.typeform.com/responses/files/a00f4acd912d43af5f15b1108e0d8b7c1a171cf27610d7aef4a44da1d17e22b1/CV___Game_Design_Intern___Nguyễn_Thị_Minh_Thư.pdf")</f>
        <v>https://api.typeform.com/responses/files/a00f4acd912d43af5f15b1108e0d8b7c1a171cf27610d7aef4a44da1d17e22b1/CV___Game_Design_Intern___Nguyễn_Thị_Minh_Thư.pdf</v>
      </c>
      <c r="Y329" s="136">
        <v>46149.48056712963</v>
      </c>
      <c r="Z329" s="35" t="s">
        <v>5881</v>
      </c>
      <c r="AA329" s="218">
        <v>2.1</v>
      </c>
      <c r="AB329" s="139" t="s">
        <v>6381</v>
      </c>
      <c r="AC329" s="28" t="s">
        <v>6377</v>
      </c>
      <c r="AD329" s="35"/>
      <c r="AE329" s="28" t="s">
        <v>6379</v>
      </c>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row>
    <row r="330" ht="23.25" hidden="1" customHeight="1">
      <c r="A330" s="215" t="s">
        <v>5917</v>
      </c>
      <c r="B330" s="216">
        <v>38491.0</v>
      </c>
      <c r="C330" s="215" t="s">
        <v>5918</v>
      </c>
      <c r="D330" s="215" t="s">
        <v>5919</v>
      </c>
      <c r="E330" s="35" t="s">
        <v>99</v>
      </c>
      <c r="F330" s="215" t="s">
        <v>127</v>
      </c>
      <c r="G330" s="35" t="s">
        <v>5920</v>
      </c>
      <c r="H330" s="35" t="s">
        <v>5921</v>
      </c>
      <c r="I330" s="35" t="s">
        <v>842</v>
      </c>
      <c r="J330" s="35"/>
      <c r="K330" s="35" t="s">
        <v>219</v>
      </c>
      <c r="L330" s="35" t="s">
        <v>1418</v>
      </c>
      <c r="M330" s="134">
        <v>46447.0</v>
      </c>
      <c r="N330" s="35" t="s">
        <v>2315</v>
      </c>
      <c r="O330" s="221" t="str">
        <f>HYPERLINK("https://api.typeform.com/responses/files/7bc8b80c74607e54fcfc1f029ac32b4ee84e3139942d7ef449a27d5cbee6ad6f/Transcript___Game_Design_Intern___Lâm_Tấn_Vũ.pdf")</f>
        <v>https://api.typeform.com/responses/files/7bc8b80c74607e54fcfc1f029ac32b4ee84e3139942d7ef449a27d5cbee6ad6f/Transcript___Game_Design_Intern___Lâm_Tấn_Vũ.pdf</v>
      </c>
      <c r="P330" s="35" t="b">
        <v>1</v>
      </c>
      <c r="Q330" s="35" t="s">
        <v>5922</v>
      </c>
      <c r="R330" s="35" t="s">
        <v>5923</v>
      </c>
      <c r="S330" s="35" t="s">
        <v>72</v>
      </c>
      <c r="T330" s="35" t="s">
        <v>72</v>
      </c>
      <c r="U330" s="35" t="s">
        <v>73</v>
      </c>
      <c r="V330" s="35"/>
      <c r="W330" s="35" t="s">
        <v>5924</v>
      </c>
      <c r="X330" s="221" t="str">
        <f>HYPERLINK("https://api.typeform.com/responses/files/bf2f1005183d2128b7ad9e0547918bcaba226ecffd751e7cf9d781e17f2f50fe/CV___Game_Design_Intern___Lâm_Tấn_Vũ_.pdf")</f>
        <v>https://api.typeform.com/responses/files/bf2f1005183d2128b7ad9e0547918bcaba226ecffd751e7cf9d781e17f2f50fe/CV___Game_Design_Intern___Lâm_Tấn_Vũ_.pdf</v>
      </c>
      <c r="Y330" s="136">
        <v>46149.64776620371</v>
      </c>
      <c r="Z330" s="35" t="s">
        <v>5925</v>
      </c>
      <c r="AA330" s="218">
        <v>2.1</v>
      </c>
      <c r="AB330" s="139" t="s">
        <v>6381</v>
      </c>
      <c r="AC330" s="28" t="s">
        <v>6377</v>
      </c>
      <c r="AD330" s="35"/>
      <c r="AE330" s="28" t="s">
        <v>6379</v>
      </c>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row>
    <row r="331" ht="23.25" hidden="1" customHeight="1">
      <c r="A331" s="140" t="s">
        <v>5935</v>
      </c>
      <c r="B331" s="141">
        <v>37454.0</v>
      </c>
      <c r="C331" s="140" t="s">
        <v>5936</v>
      </c>
      <c r="D331" s="140" t="s">
        <v>5937</v>
      </c>
      <c r="E331" s="140" t="s">
        <v>99</v>
      </c>
      <c r="F331" s="140" t="s">
        <v>127</v>
      </c>
      <c r="G331" s="140" t="s">
        <v>5938</v>
      </c>
      <c r="H331" s="140" t="s">
        <v>5939</v>
      </c>
      <c r="I331" s="140" t="s">
        <v>338</v>
      </c>
      <c r="J331" s="140"/>
      <c r="K331" s="140" t="s">
        <v>103</v>
      </c>
      <c r="L331" s="140" t="s">
        <v>5940</v>
      </c>
      <c r="M331" s="143">
        <v>45555.0</v>
      </c>
      <c r="N331" s="140" t="s">
        <v>362</v>
      </c>
      <c r="O331" s="219" t="str">
        <f>HYPERLINK("https://api.typeform.com/responses/files/37496f16a7e280622286f6b28444c4192941c746ecd86ab75c334af97baaa49e/Transcript_Game_Designer_Trương_Quốc_Cường.pdf")</f>
        <v>https://api.typeform.com/responses/files/37496f16a7e280622286f6b28444c4192941c746ecd86ab75c334af97baaa49e/Transcript_Game_Designer_Trương_Quốc_Cường.pdf</v>
      </c>
      <c r="P331" s="140" t="b">
        <v>1</v>
      </c>
      <c r="Q331" s="140" t="s">
        <v>5941</v>
      </c>
      <c r="R331" s="140" t="s">
        <v>5942</v>
      </c>
      <c r="S331" s="140" t="s">
        <v>72</v>
      </c>
      <c r="T331" s="140" t="s">
        <v>72</v>
      </c>
      <c r="U331" s="140" t="s">
        <v>90</v>
      </c>
      <c r="V331" s="140"/>
      <c r="W331" s="140"/>
      <c r="X331" s="219" t="str">
        <f>HYPERLINK("https://api.typeform.com/responses/files/80b5756537870dac321eacb10855218185aaa36346a3355618b0ac7fe5df30d9/CV_Game_Designer_Trương_Quốc_Cường_.pdf")</f>
        <v>https://api.typeform.com/responses/files/80b5756537870dac321eacb10855218185aaa36346a3355618b0ac7fe5df30d9/CV_Game_Designer_Trương_Quốc_Cường_.pdf</v>
      </c>
      <c r="Y331" s="145">
        <v>46149.66028935185</v>
      </c>
      <c r="Z331" s="140" t="s">
        <v>5943</v>
      </c>
      <c r="AA331" s="140">
        <v>2.1</v>
      </c>
      <c r="AB331" s="140"/>
      <c r="AC331" s="70" t="s">
        <v>6376</v>
      </c>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row>
    <row r="332" ht="23.25" hidden="1" customHeight="1">
      <c r="A332" s="140" t="s">
        <v>5592</v>
      </c>
      <c r="B332" s="141">
        <v>37279.0</v>
      </c>
      <c r="C332" s="140" t="s">
        <v>5593</v>
      </c>
      <c r="D332" s="140" t="s">
        <v>5594</v>
      </c>
      <c r="E332" s="140" t="s">
        <v>99</v>
      </c>
      <c r="F332" s="140" t="s">
        <v>99</v>
      </c>
      <c r="G332" s="140" t="s">
        <v>5595</v>
      </c>
      <c r="H332" s="140" t="s">
        <v>5596</v>
      </c>
      <c r="I332" s="140" t="s">
        <v>338</v>
      </c>
      <c r="J332" s="140"/>
      <c r="K332" s="140" t="s">
        <v>103</v>
      </c>
      <c r="L332" s="140" t="s">
        <v>2170</v>
      </c>
      <c r="M332" s="143">
        <v>45657.0</v>
      </c>
      <c r="N332" s="140" t="s">
        <v>1524</v>
      </c>
      <c r="O332" s="219" t="str">
        <f>HYPERLINK("https://api.typeform.com/responses/files/cd34a024f6bdab93756832ae038ea84275a452b4d7d1bc206cf1deb4978c2f13/Transcript___Game_Design_Intern___Lâm_Vũ_Bội_Nhi.pdf")</f>
        <v>https://api.typeform.com/responses/files/cd34a024f6bdab93756832ae038ea84275a452b4d7d1bc206cf1deb4978c2f13/Transcript___Game_Design_Intern___Lâm_Vũ_Bội_Nhi.pdf</v>
      </c>
      <c r="P332" s="140" t="b">
        <v>0</v>
      </c>
      <c r="Q332" s="140" t="s">
        <v>5597</v>
      </c>
      <c r="R332" s="140" t="s">
        <v>5598</v>
      </c>
      <c r="S332" s="140" t="s">
        <v>72</v>
      </c>
      <c r="T332" s="140" t="s">
        <v>72</v>
      </c>
      <c r="U332" s="140" t="s">
        <v>224</v>
      </c>
      <c r="V332" s="140"/>
      <c r="W332" s="140" t="s">
        <v>5599</v>
      </c>
      <c r="X332" s="219" t="str">
        <f>HYPERLINK("https://api.typeform.com/responses/files/baef268895033ae2db029378e60dd25900094a58e6d7b1b1ecfb4450e0834491/CV___Game_Design__Intern___Lâm_Vũ_Bội_Nhi.pdf")</f>
        <v>https://api.typeform.com/responses/files/baef268895033ae2db029378e60dd25900094a58e6d7b1b1ecfb4450e0834491/CV___Game_Design__Intern___Lâm_Vũ_Bội_Nhi.pdf</v>
      </c>
      <c r="Y332" s="145">
        <v>46148.34101851852</v>
      </c>
      <c r="Z332" s="140" t="s">
        <v>5600</v>
      </c>
      <c r="AA332" s="140">
        <v>2.1</v>
      </c>
      <c r="AB332" s="140"/>
      <c r="AC332" s="70" t="s">
        <v>6376</v>
      </c>
      <c r="AD332" s="140"/>
      <c r="AE332" s="140"/>
      <c r="AF332" s="140"/>
      <c r="AG332" s="140"/>
      <c r="AH332" s="140"/>
      <c r="AI332" s="140"/>
      <c r="AJ332" s="140"/>
      <c r="AK332" s="140"/>
      <c r="AL332" s="140"/>
      <c r="AM332" s="140"/>
      <c r="AN332" s="140"/>
      <c r="AO332" s="140"/>
      <c r="AP332" s="140"/>
      <c r="AQ332" s="140"/>
      <c r="AR332" s="140"/>
      <c r="AS332" s="140"/>
      <c r="AT332" s="140"/>
      <c r="AU332" s="140"/>
      <c r="AV332" s="140"/>
      <c r="AW332" s="140"/>
      <c r="AX332" s="140"/>
      <c r="AY332" s="140"/>
      <c r="AZ332" s="140"/>
      <c r="BA332" s="140"/>
    </row>
    <row r="333" ht="23.25" hidden="1" customHeight="1">
      <c r="A333" s="140" t="s">
        <v>5610</v>
      </c>
      <c r="B333" s="141">
        <v>37715.0</v>
      </c>
      <c r="C333" s="140" t="s">
        <v>5611</v>
      </c>
      <c r="D333" s="140" t="s">
        <v>5612</v>
      </c>
      <c r="E333" s="140" t="s">
        <v>99</v>
      </c>
      <c r="F333" s="140" t="s">
        <v>774</v>
      </c>
      <c r="G333" s="140" t="s">
        <v>5613</v>
      </c>
      <c r="H333" s="140" t="s">
        <v>5614</v>
      </c>
      <c r="I333" s="140" t="s">
        <v>244</v>
      </c>
      <c r="J333" s="140"/>
      <c r="K333" s="140" t="s">
        <v>103</v>
      </c>
      <c r="L333" s="140" t="s">
        <v>5615</v>
      </c>
      <c r="M333" s="143">
        <v>46171.0</v>
      </c>
      <c r="N333" s="140" t="s">
        <v>5616</v>
      </c>
      <c r="O333" s="219" t="str">
        <f>HYPERLINK("https://api.typeform.com/responses/files/aaab1ca80cc8629bef050780023d0d12354b6bfcb367e63a48baf9e1afeea04a/Transcript___Game_Design_Intern___Trương_Lê_Đán_Phúc_Nguyên_.pdf")</f>
        <v>https://api.typeform.com/responses/files/aaab1ca80cc8629bef050780023d0d12354b6bfcb367e63a48baf9e1afeea04a/Transcript___Game_Design_Intern___Trương_Lê_Đán_Phúc_Nguyên_.pdf</v>
      </c>
      <c r="P333" s="140" t="b">
        <v>0</v>
      </c>
      <c r="Q333" s="140" t="s">
        <v>5617</v>
      </c>
      <c r="R333" s="140" t="s">
        <v>5618</v>
      </c>
      <c r="S333" s="140" t="s">
        <v>72</v>
      </c>
      <c r="T333" s="140" t="s">
        <v>72</v>
      </c>
      <c r="U333" s="140" t="s">
        <v>224</v>
      </c>
      <c r="V333" s="140"/>
      <c r="W333" s="140" t="s">
        <v>5619</v>
      </c>
      <c r="X333" s="219" t="str">
        <f>HYPERLINK("https://api.typeform.com/responses/files/5c280975369c8f84dea110facd0dd7f7c0487aa7476b6a65a549d2b0336510ad/CV___Game_Design_Intern____Trương_Lê_Đán_Phúc_Nguyên.pdf")</f>
        <v>https://api.typeform.com/responses/files/5c280975369c8f84dea110facd0dd7f7c0487aa7476b6a65a549d2b0336510ad/CV___Game_Design_Intern____Trương_Lê_Đán_Phúc_Nguyên.pdf</v>
      </c>
      <c r="Y333" s="145">
        <v>46148.403969907406</v>
      </c>
      <c r="Z333" s="140" t="s">
        <v>5620</v>
      </c>
      <c r="AA333" s="140">
        <v>2.1</v>
      </c>
      <c r="AB333" s="140"/>
      <c r="AC333" s="70" t="s">
        <v>6376</v>
      </c>
      <c r="AD333" s="140"/>
      <c r="AE333" s="140"/>
      <c r="AF333" s="140"/>
      <c r="AG333" s="140"/>
      <c r="AH333" s="140"/>
      <c r="AI333" s="140"/>
      <c r="AJ333" s="140"/>
      <c r="AK333" s="140"/>
      <c r="AL333" s="140"/>
      <c r="AM333" s="140"/>
      <c r="AN333" s="140"/>
      <c r="AO333" s="140"/>
      <c r="AP333" s="140"/>
      <c r="AQ333" s="140"/>
      <c r="AR333" s="140"/>
      <c r="AS333" s="140"/>
      <c r="AT333" s="140"/>
      <c r="AU333" s="140"/>
      <c r="AV333" s="140"/>
      <c r="AW333" s="140"/>
      <c r="AX333" s="140"/>
      <c r="AY333" s="140"/>
      <c r="AZ333" s="140"/>
      <c r="BA333" s="140"/>
    </row>
    <row r="334" ht="23.25" hidden="1" customHeight="1">
      <c r="A334" s="215" t="s">
        <v>5954</v>
      </c>
      <c r="B334" s="216">
        <v>37989.0</v>
      </c>
      <c r="C334" s="215" t="s">
        <v>5955</v>
      </c>
      <c r="D334" s="215" t="s">
        <v>5956</v>
      </c>
      <c r="E334" s="35" t="s">
        <v>99</v>
      </c>
      <c r="F334" s="215" t="s">
        <v>127</v>
      </c>
      <c r="G334" s="35" t="s">
        <v>5957</v>
      </c>
      <c r="H334" s="35" t="s">
        <v>5958</v>
      </c>
      <c r="I334" s="35" t="s">
        <v>338</v>
      </c>
      <c r="J334" s="35"/>
      <c r="K334" s="35" t="s">
        <v>67</v>
      </c>
      <c r="L334" s="35" t="s">
        <v>5959</v>
      </c>
      <c r="M334" s="134">
        <v>46244.0</v>
      </c>
      <c r="N334" s="35" t="s">
        <v>3624</v>
      </c>
      <c r="O334" s="221" t="str">
        <f>HYPERLINK("https://api.typeform.com/responses/files/7e9e7ac98293a39bb14d5fc234366566f3d2ae951b9f17e304e178538e92de6d/Transcript___Game_Design_Intern___Lâm_Mai_Hương_Giang.pdf")</f>
        <v>https://api.typeform.com/responses/files/7e9e7ac98293a39bb14d5fc234366566f3d2ae951b9f17e304e178538e92de6d/Transcript___Game_Design_Intern___Lâm_Mai_Hương_Giang.pdf</v>
      </c>
      <c r="P334" s="35" t="b">
        <v>1</v>
      </c>
      <c r="Q334" s="35" t="s">
        <v>5960</v>
      </c>
      <c r="R334" s="35" t="s">
        <v>5961</v>
      </c>
      <c r="S334" s="35" t="s">
        <v>72</v>
      </c>
      <c r="T334" s="35" t="s">
        <v>72</v>
      </c>
      <c r="U334" s="35" t="s">
        <v>236</v>
      </c>
      <c r="V334" s="35"/>
      <c r="W334" s="35" t="s">
        <v>5962</v>
      </c>
      <c r="X334" s="221" t="str">
        <f>HYPERLINK("https://api.typeform.com/responses/files/19b94fc688886f0acc6ebe358e67e11020db473886d1297151f5b72399a5f621/CV___Game_Design_Intern___Lâm_Mai_Hương_Giang.pdf")</f>
        <v>https://api.typeform.com/responses/files/19b94fc688886f0acc6ebe358e67e11020db473886d1297151f5b72399a5f621/CV___Game_Design_Intern___Lâm_Mai_Hương_Giang.pdf</v>
      </c>
      <c r="Y334" s="136">
        <v>46149.66583333333</v>
      </c>
      <c r="Z334" s="35" t="s">
        <v>5963</v>
      </c>
      <c r="AA334" s="218">
        <v>2.1</v>
      </c>
      <c r="AB334" s="139" t="s">
        <v>6381</v>
      </c>
      <c r="AC334" s="28" t="s">
        <v>6377</v>
      </c>
      <c r="AD334" s="35"/>
      <c r="AE334" s="28" t="s">
        <v>6379</v>
      </c>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row>
    <row r="335" ht="23.25" hidden="1" customHeight="1">
      <c r="A335" s="215" t="s">
        <v>5161</v>
      </c>
      <c r="B335" s="216">
        <v>38019.0</v>
      </c>
      <c r="C335" s="215" t="s">
        <v>5162</v>
      </c>
      <c r="D335" s="215" t="s">
        <v>5163</v>
      </c>
      <c r="E335" s="35" t="s">
        <v>99</v>
      </c>
      <c r="F335" s="215" t="s">
        <v>127</v>
      </c>
      <c r="G335" s="35" t="s">
        <v>5164</v>
      </c>
      <c r="H335" s="35" t="s">
        <v>5165</v>
      </c>
      <c r="I335" s="35" t="s">
        <v>1069</v>
      </c>
      <c r="J335" s="35"/>
      <c r="K335" s="35" t="s">
        <v>67</v>
      </c>
      <c r="L335" s="35" t="s">
        <v>5166</v>
      </c>
      <c r="M335" s="134">
        <v>46507.0</v>
      </c>
      <c r="N335" s="35" t="s">
        <v>5167</v>
      </c>
      <c r="O335" s="217" t="str">
        <f>HYPERLINK("https://api.typeform.com/responses/files/ba41dd314ab2d93d8f99ec84b48770b7187e724860c93eb631e7b923aa6b7c70/Transcript___Game_Design_Intern___Đoàn_Minh_Trí.png")</f>
        <v>https://api.typeform.com/responses/files/ba41dd314ab2d93d8f99ec84b48770b7187e724860c93eb631e7b923aa6b7c70/Transcript___Game_Design_Intern___Đoàn_Minh_Trí.png</v>
      </c>
      <c r="P335" s="35" t="b">
        <v>0</v>
      </c>
      <c r="Q335" s="35" t="s">
        <v>5168</v>
      </c>
      <c r="R335" s="35" t="s">
        <v>5169</v>
      </c>
      <c r="S335" s="35" t="s">
        <v>72</v>
      </c>
      <c r="T335" s="35" t="s">
        <v>72</v>
      </c>
      <c r="U335" s="35" t="s">
        <v>5170</v>
      </c>
      <c r="V335" s="35"/>
      <c r="W335" s="35"/>
      <c r="X335" s="217" t="str">
        <f>HYPERLINK("https://api.typeform.com/responses/files/bb227bca634178f882cc1da776eb9ee879b4788f6b2bc7be01a7384da81bf1f8/CV___Game_Design_Intern___Đoàn_Minh_Trí.pdf")</f>
        <v>https://api.typeform.com/responses/files/bb227bca634178f882cc1da776eb9ee879b4788f6b2bc7be01a7384da81bf1f8/CV___Game_Design_Intern___Đoàn_Minh_Trí.pdf</v>
      </c>
      <c r="Y335" s="136">
        <v>46146.73604166666</v>
      </c>
      <c r="Z335" s="35" t="s">
        <v>5171</v>
      </c>
      <c r="AA335" s="218">
        <v>2.1</v>
      </c>
      <c r="AB335" s="139" t="s">
        <v>6381</v>
      </c>
      <c r="AC335" s="28" t="s">
        <v>6377</v>
      </c>
      <c r="AD335" s="35"/>
      <c r="AE335" s="28" t="s">
        <v>6379</v>
      </c>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row>
    <row r="336" ht="23.25" hidden="1" customHeight="1">
      <c r="A336" s="215" t="s">
        <v>5496</v>
      </c>
      <c r="B336" s="216">
        <v>37724.0</v>
      </c>
      <c r="C336" s="215" t="s">
        <v>5497</v>
      </c>
      <c r="D336" s="215" t="s">
        <v>5498</v>
      </c>
      <c r="E336" s="35" t="s">
        <v>99</v>
      </c>
      <c r="F336" s="215" t="s">
        <v>99</v>
      </c>
      <c r="G336" s="35" t="s">
        <v>5499</v>
      </c>
      <c r="H336" s="35" t="s">
        <v>5500</v>
      </c>
      <c r="I336" s="35" t="s">
        <v>1069</v>
      </c>
      <c r="J336" s="35" t="s">
        <v>5501</v>
      </c>
      <c r="K336" s="35" t="s">
        <v>5502</v>
      </c>
      <c r="L336" s="35" t="s">
        <v>5503</v>
      </c>
      <c r="M336" s="134">
        <v>46205.0</v>
      </c>
      <c r="N336" s="35" t="s">
        <v>5504</v>
      </c>
      <c r="O336" s="221" t="str">
        <f>HYPERLINK("https://api.typeform.com/responses/files/499994f39c77d128fe422d3485209f7f1523b31e5c42ce22d699bcd101693eb5/Transcript___Game_Design_Intern___Nguyễn_Thị_Mỹ_Nữ.pdf")</f>
        <v>https://api.typeform.com/responses/files/499994f39c77d128fe422d3485209f7f1523b31e5c42ce22d699bcd101693eb5/Transcript___Game_Design_Intern___Nguyễn_Thị_Mỹ_Nữ.pdf</v>
      </c>
      <c r="P336" s="35" t="b">
        <v>1</v>
      </c>
      <c r="Q336" s="35" t="s">
        <v>5505</v>
      </c>
      <c r="R336" s="35" t="s">
        <v>5506</v>
      </c>
      <c r="S336" s="35" t="s">
        <v>72</v>
      </c>
      <c r="T336" s="35" t="s">
        <v>72</v>
      </c>
      <c r="U336" s="35" t="s">
        <v>224</v>
      </c>
      <c r="V336" s="35"/>
      <c r="W336" s="35" t="s">
        <v>5507</v>
      </c>
      <c r="X336" s="221" t="str">
        <f>HYPERLINK("https://api.typeform.com/responses/files/e3a575f8bc82df320fec21cf55e30476ae0a72da7ca530d74ba7c50d71624698/CV___Game_Design_Intern___Nguyễn_Thị_Mỹ_Nữ_.pdf")</f>
        <v>https://api.typeform.com/responses/files/e3a575f8bc82df320fec21cf55e30476ae0a72da7ca530d74ba7c50d71624698/CV___Game_Design_Intern___Nguyễn_Thị_Mỹ_Nữ_.pdf</v>
      </c>
      <c r="Y336" s="136">
        <v>46147.75927083333</v>
      </c>
      <c r="Z336" s="35" t="s">
        <v>5508</v>
      </c>
      <c r="AA336" s="218">
        <v>2.1</v>
      </c>
      <c r="AB336" s="139" t="s">
        <v>6381</v>
      </c>
      <c r="AC336" s="28" t="s">
        <v>6377</v>
      </c>
      <c r="AD336" s="35"/>
      <c r="AE336" s="28" t="s">
        <v>6379</v>
      </c>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row>
    <row r="337" ht="23.25" hidden="1" customHeight="1">
      <c r="A337" s="215" t="s">
        <v>5658</v>
      </c>
      <c r="B337" s="216">
        <v>37952.0</v>
      </c>
      <c r="C337" s="215" t="s">
        <v>5659</v>
      </c>
      <c r="D337" s="215" t="s">
        <v>5660</v>
      </c>
      <c r="E337" s="35" t="s">
        <v>99</v>
      </c>
      <c r="F337" s="215" t="s">
        <v>99</v>
      </c>
      <c r="G337" s="35" t="s">
        <v>5661</v>
      </c>
      <c r="H337" s="35" t="s">
        <v>5662</v>
      </c>
      <c r="I337" s="35" t="s">
        <v>842</v>
      </c>
      <c r="J337" s="35"/>
      <c r="K337" s="35" t="s">
        <v>5663</v>
      </c>
      <c r="L337" s="35" t="s">
        <v>1425</v>
      </c>
      <c r="M337" s="134">
        <v>45805.0</v>
      </c>
      <c r="N337" s="35" t="s">
        <v>317</v>
      </c>
      <c r="O337" s="217" t="str">
        <f>HYPERLINK("https://api.typeform.com/responses/files/f19fa210ca0851c827e2ba1e8790eb800f1f779fe072e3c0c61d398f3354b765/Transcript___Game_Disigner_Intern___Phan_Vũ_Trường_An.xlsx")</f>
        <v>https://api.typeform.com/responses/files/f19fa210ca0851c827e2ba1e8790eb800f1f779fe072e3c0c61d398f3354b765/Transcript___Game_Disigner_Intern___Phan_Vũ_Trường_An.xlsx</v>
      </c>
      <c r="P337" s="35" t="b">
        <v>1</v>
      </c>
      <c r="Q337" s="35" t="s">
        <v>5664</v>
      </c>
      <c r="R337" s="35" t="s">
        <v>5665</v>
      </c>
      <c r="S337" s="35" t="s">
        <v>72</v>
      </c>
      <c r="T337" s="35" t="s">
        <v>72</v>
      </c>
      <c r="U337" s="35" t="s">
        <v>90</v>
      </c>
      <c r="V337" s="35"/>
      <c r="W337" s="35" t="s">
        <v>5666</v>
      </c>
      <c r="X337" s="217" t="str">
        <f>HYPERLINK("https://api.typeform.com/responses/files/093ba1938d29f69e19ec3ef3d3a912e5762dc0b7afb1c3849aae38780441008c/Phan_Vu_Truong_An_Intern_Game_Designer.pdf")</f>
        <v>https://api.typeform.com/responses/files/093ba1938d29f69e19ec3ef3d3a912e5762dc0b7afb1c3849aae38780441008c/Phan_Vu_Truong_An_Intern_Game_Designer.pdf</v>
      </c>
      <c r="Y337" s="136">
        <v>46148.52444444445</v>
      </c>
      <c r="Z337" s="35" t="s">
        <v>5667</v>
      </c>
      <c r="AA337" s="218">
        <v>2.1</v>
      </c>
      <c r="AB337" s="139" t="s">
        <v>6381</v>
      </c>
      <c r="AC337" s="28" t="s">
        <v>6377</v>
      </c>
      <c r="AD337" s="35"/>
      <c r="AE337" s="28" t="s">
        <v>6379</v>
      </c>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row>
    <row r="338" ht="23.25" hidden="1" customHeight="1">
      <c r="A338" s="35" t="s">
        <v>4452</v>
      </c>
      <c r="B338" s="132">
        <v>38404.0</v>
      </c>
      <c r="C338" s="35" t="s">
        <v>4453</v>
      </c>
      <c r="D338" s="35" t="s">
        <v>4454</v>
      </c>
      <c r="E338" s="35" t="s">
        <v>99</v>
      </c>
      <c r="F338" s="35" t="s">
        <v>62</v>
      </c>
      <c r="G338" s="35" t="s">
        <v>4455</v>
      </c>
      <c r="H338" s="35" t="s">
        <v>4456</v>
      </c>
      <c r="I338" s="35" t="s">
        <v>715</v>
      </c>
      <c r="J338" s="35"/>
      <c r="K338" s="35" t="s">
        <v>219</v>
      </c>
      <c r="L338" s="35" t="s">
        <v>612</v>
      </c>
      <c r="M338" s="134">
        <v>46691.0</v>
      </c>
      <c r="N338" s="35" t="s">
        <v>2503</v>
      </c>
      <c r="O338" s="221" t="str">
        <f>HYPERLINK("https://api.typeform.com/responses/files/b5631a549f8e85eaf5cbe3c1eb66f682aec914a06a8db71580d2769cb14e07af/Transcript___Game_Design_Intern___Nguyễn_Hà_Viết_Thống.pdf")</f>
        <v>https://api.typeform.com/responses/files/b5631a549f8e85eaf5cbe3c1eb66f682aec914a06a8db71580d2769cb14e07af/Transcript___Game_Design_Intern___Nguyễn_Hà_Viết_Thống.pdf</v>
      </c>
      <c r="P338" s="35" t="b">
        <v>1</v>
      </c>
      <c r="Q338" s="35" t="s">
        <v>4457</v>
      </c>
      <c r="R338" s="35" t="s">
        <v>4458</v>
      </c>
      <c r="S338" s="35" t="s">
        <v>72</v>
      </c>
      <c r="T338" s="35" t="s">
        <v>72</v>
      </c>
      <c r="U338" s="35" t="s">
        <v>4459</v>
      </c>
      <c r="V338" s="35"/>
      <c r="W338" s="35" t="s">
        <v>4460</v>
      </c>
      <c r="X338" s="221" t="str">
        <f>HYPERLINK("https://api.typeform.com/responses/files/7f3245b6ee2798b4d8b28ff6907cdad6f814163e6870e2261ceab067aec0d747/CV___Game_Design_Intern___Nguyễn_Hà_Viết_Thống.pdf")</f>
        <v>https://api.typeform.com/responses/files/7f3245b6ee2798b4d8b28ff6907cdad6f814163e6870e2261ceab067aec0d747/CV___Game_Design_Intern___Nguyễn_Hà_Viết_Thống.pdf</v>
      </c>
      <c r="Y338" s="136">
        <v>46144.36949074074</v>
      </c>
      <c r="Z338" s="35" t="s">
        <v>4461</v>
      </c>
      <c r="AA338" s="137">
        <v>2.1</v>
      </c>
      <c r="AB338" s="139" t="s">
        <v>6381</v>
      </c>
      <c r="AC338" s="28" t="s">
        <v>6377</v>
      </c>
      <c r="AD338" s="27"/>
      <c r="AE338" s="28" t="s">
        <v>6379</v>
      </c>
      <c r="AF338" s="137" t="str">
        <f>IFERROR(
  IFS(
    AND(OR(AE338="Test",AE338="Chờ test",AE338="Test Review",AE338="Passed",AE338="Failed"), OR(E338="Game User Acquisition Intern",E338="Game Design Intern")), "Nhiên",
    AND(OR(AE338="Test",AE338="Chờ test",AE338="Test Review",AE338="Passed",AE338="Failed"), E338&lt;&gt;"Human Resources Intern", NOT(OR(E338="Game User Acquisition Intern",E338="Game Design Intern"))), "Quỳnh",
    AND(OR(AE338="Test",AE338="Chờ test",AE338="Test Review",AE338="Passed",AE338="Failed"), E338="Human Resources Intern"), "Chờ assign"
  ),
"")</f>
        <v>Nhiên</v>
      </c>
      <c r="AG338" s="35"/>
      <c r="AH338" s="35"/>
      <c r="AI338" s="35"/>
      <c r="AJ338" s="35"/>
      <c r="AK338" s="35"/>
      <c r="AL338" s="35"/>
      <c r="AM338" s="35"/>
      <c r="AN338" s="35"/>
      <c r="AO338" s="35"/>
      <c r="AP338" s="35"/>
      <c r="AQ338" s="35"/>
      <c r="AR338" s="35"/>
      <c r="AS338" s="35"/>
      <c r="AT338" s="35"/>
      <c r="AU338" s="35"/>
      <c r="AV338" s="35"/>
      <c r="AW338" s="35"/>
      <c r="AX338" s="35"/>
      <c r="AY338" s="35"/>
      <c r="AZ338" s="35"/>
      <c r="BA338" s="35"/>
    </row>
    <row r="339" ht="23.25" hidden="1" customHeight="1">
      <c r="A339" s="215" t="s">
        <v>5342</v>
      </c>
      <c r="B339" s="216">
        <v>37655.0</v>
      </c>
      <c r="C339" s="215" t="s">
        <v>5343</v>
      </c>
      <c r="D339" s="215" t="s">
        <v>5344</v>
      </c>
      <c r="E339" s="35" t="s">
        <v>99</v>
      </c>
      <c r="F339" s="215" t="s">
        <v>62</v>
      </c>
      <c r="G339" s="35" t="s">
        <v>5345</v>
      </c>
      <c r="H339" s="35" t="s">
        <v>5346</v>
      </c>
      <c r="I339" s="35" t="s">
        <v>65</v>
      </c>
      <c r="J339" s="35" t="s">
        <v>5347</v>
      </c>
      <c r="K339" s="35" t="s">
        <v>103</v>
      </c>
      <c r="L339" s="35" t="s">
        <v>5348</v>
      </c>
      <c r="M339" s="134">
        <v>37655.0</v>
      </c>
      <c r="N339" s="35" t="s">
        <v>5349</v>
      </c>
      <c r="O339" s="217" t="str">
        <f>HYPERLINK("https://api.typeform.com/responses/files/b921ac5a51406d0e712139e1e7af6b0d8c2e53cbd41dd23b9bae686649955919/Transcript___GAME_DESIGN_INTERN___Lê_Nguyễn_Tấn_Thịnh.pdf")</f>
        <v>https://api.typeform.com/responses/files/b921ac5a51406d0e712139e1e7af6b0d8c2e53cbd41dd23b9bae686649955919/Transcript___GAME_DESIGN_INTERN___Lê_Nguyễn_Tấn_Thịnh.pdf</v>
      </c>
      <c r="P339" s="35" t="b">
        <v>1</v>
      </c>
      <c r="Q339" s="35" t="s">
        <v>5350</v>
      </c>
      <c r="R339" s="35" t="s">
        <v>5351</v>
      </c>
      <c r="S339" s="35" t="s">
        <v>72</v>
      </c>
      <c r="T339" s="35" t="s">
        <v>72</v>
      </c>
      <c r="U339" s="35" t="s">
        <v>188</v>
      </c>
      <c r="V339" s="35"/>
      <c r="W339" s="35" t="s">
        <v>5352</v>
      </c>
      <c r="X339" s="217" t="str">
        <f>HYPERLINK("https://api.typeform.com/responses/files/df7da03ec88e16138e011dc615d35cd1e6aae40025398aab98215183ac310657/CV___GAME_DESIGN_INTERN___Lê_Nguyễn_Tấn_Thịnh.pdf")</f>
        <v>https://api.typeform.com/responses/files/df7da03ec88e16138e011dc615d35cd1e6aae40025398aab98215183ac310657/CV___GAME_DESIGN_INTERN___Lê_Nguyễn_Tấn_Thịnh.pdf</v>
      </c>
      <c r="Y339" s="136">
        <v>46147.45143518518</v>
      </c>
      <c r="Z339" s="35" t="s">
        <v>5353</v>
      </c>
      <c r="AA339" s="218">
        <v>2.1</v>
      </c>
      <c r="AB339" s="139" t="s">
        <v>6381</v>
      </c>
      <c r="AC339" s="28" t="s">
        <v>6377</v>
      </c>
      <c r="AD339" s="35"/>
      <c r="AE339" s="28" t="s">
        <v>6379</v>
      </c>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row>
    <row r="340" ht="23.25" hidden="1" customHeight="1">
      <c r="A340" s="215" t="s">
        <v>5773</v>
      </c>
      <c r="B340" s="216">
        <v>38668.0</v>
      </c>
      <c r="C340" s="215" t="s">
        <v>5774</v>
      </c>
      <c r="D340" s="215" t="s">
        <v>5775</v>
      </c>
      <c r="E340" s="35" t="s">
        <v>99</v>
      </c>
      <c r="F340" s="215" t="s">
        <v>62</v>
      </c>
      <c r="G340" s="35" t="s">
        <v>5776</v>
      </c>
      <c r="H340" s="35" t="s">
        <v>5777</v>
      </c>
      <c r="I340" s="35" t="s">
        <v>5778</v>
      </c>
      <c r="J340" s="35"/>
      <c r="K340" s="35" t="s">
        <v>103</v>
      </c>
      <c r="L340" s="35" t="s">
        <v>132</v>
      </c>
      <c r="M340" s="134">
        <v>46054.0</v>
      </c>
      <c r="N340" s="35" t="s">
        <v>780</v>
      </c>
      <c r="O340" s="221" t="str">
        <f>HYPERLINK("https://api.typeform.com/responses/files/18d2bb1a934c77bd6880771de2e2b520057ac128accb56e37af10ed1b5327686/Transcript_Intern_Game_Design_TRAN_GIA_HUY.jpg")</f>
        <v>https://api.typeform.com/responses/files/18d2bb1a934c77bd6880771de2e2b520057ac128accb56e37af10ed1b5327686/Transcript_Intern_Game_Design_TRAN_GIA_HUY.jpg</v>
      </c>
      <c r="P340" s="35" t="b">
        <v>0</v>
      </c>
      <c r="Q340" s="35" t="s">
        <v>5779</v>
      </c>
      <c r="R340" s="35" t="s">
        <v>5780</v>
      </c>
      <c r="S340" s="35" t="s">
        <v>72</v>
      </c>
      <c r="T340" s="35" t="s">
        <v>72</v>
      </c>
      <c r="U340" s="35" t="s">
        <v>150</v>
      </c>
      <c r="V340" s="35"/>
      <c r="W340" s="35" t="s">
        <v>5781</v>
      </c>
      <c r="X340" s="221" t="str">
        <f>HYPERLINK("https://api.typeform.com/responses/files/38d0b041f45346de164358178a8dd163d9a5f2880e93cf99b7134baa4ee9bc60/CV_Intern_Game_Design_Tran_Gia_Huy.pdf")</f>
        <v>https://api.typeform.com/responses/files/38d0b041f45346de164358178a8dd163d9a5f2880e93cf99b7134baa4ee9bc60/CV_Intern_Game_Design_Tran_Gia_Huy.pdf</v>
      </c>
      <c r="Y340" s="136">
        <v>46149.17150462963</v>
      </c>
      <c r="Z340" s="35" t="s">
        <v>5782</v>
      </c>
      <c r="AA340" s="218">
        <v>2.1</v>
      </c>
      <c r="AB340" s="139" t="s">
        <v>6381</v>
      </c>
      <c r="AC340" s="28" t="s">
        <v>6377</v>
      </c>
      <c r="AD340" s="35"/>
      <c r="AE340" s="28" t="s">
        <v>6379</v>
      </c>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row>
    <row r="341" ht="23.25" hidden="1" customHeight="1">
      <c r="A341" s="36" t="s">
        <v>6013</v>
      </c>
      <c r="B341" s="37">
        <v>38551.0</v>
      </c>
      <c r="C341" s="36" t="s">
        <v>6014</v>
      </c>
      <c r="D341" s="38" t="s">
        <v>6015</v>
      </c>
      <c r="E341" s="36" t="s">
        <v>99</v>
      </c>
      <c r="F341" s="36" t="s">
        <v>62</v>
      </c>
      <c r="G341" s="36" t="s">
        <v>6016</v>
      </c>
      <c r="H341" s="36" t="s">
        <v>6017</v>
      </c>
      <c r="I341" s="36" t="s">
        <v>715</v>
      </c>
      <c r="K341" s="36" t="s">
        <v>219</v>
      </c>
      <c r="L341" s="36" t="s">
        <v>399</v>
      </c>
      <c r="M341" s="37">
        <v>46661.0</v>
      </c>
      <c r="N341" s="38" t="s">
        <v>299</v>
      </c>
      <c r="O341" s="217" t="str">
        <f>HYPERLINK("https://api.typeform.com/responses/files/e6900a4c50719fe948fcc02ead287948ba4bd6942322d5565fc2031a213813d0/Transcript___Game_Design_Intern___Nguyễn_Bùi_Quang.pdf")</f>
        <v>https://api.typeform.com/responses/files/e6900a4c50719fe948fcc02ead287948ba4bd6942322d5565fc2031a213813d0/Transcript___Game_Design_Intern___Nguyễn_Bùi_Quang.pdf</v>
      </c>
      <c r="P341" s="36" t="b">
        <v>0</v>
      </c>
      <c r="Q341" s="36" t="s">
        <v>222</v>
      </c>
      <c r="R341" s="36" t="s">
        <v>222</v>
      </c>
      <c r="S341" s="36" t="s">
        <v>72</v>
      </c>
      <c r="T341" s="36" t="s">
        <v>72</v>
      </c>
      <c r="U341" s="36" t="s">
        <v>6018</v>
      </c>
      <c r="X341" s="217" t="str">
        <f>HYPERLINK("https://api.typeform.com/responses/files/edea34de3b1a9d6e7c1847a51f7e3deaf3162c824d438bda02e63549af15456a/CV___Game_Design_Intern___Nguyễn_Bùi_Quang.pdf")</f>
        <v>https://api.typeform.com/responses/files/edea34de3b1a9d6e7c1847a51f7e3deaf3162c824d438bda02e63549af15456a/CV___Game_Design_Intern___Nguyễn_Bùi_Quang.pdf</v>
      </c>
      <c r="Y341" s="40">
        <v>46149.7678125</v>
      </c>
      <c r="Z341" s="36" t="s">
        <v>6019</v>
      </c>
      <c r="AA341" s="137">
        <v>2.1</v>
      </c>
      <c r="AB341" s="139" t="s">
        <v>6381</v>
      </c>
      <c r="AC341" s="28" t="s">
        <v>6377</v>
      </c>
      <c r="AD341" s="27"/>
      <c r="AE341" s="28" t="s">
        <v>6379</v>
      </c>
      <c r="AF341" s="27"/>
      <c r="AG341" s="35"/>
      <c r="AH341" s="35"/>
      <c r="AI341" s="35"/>
      <c r="AJ341" s="35"/>
      <c r="AK341" s="35"/>
      <c r="AL341" s="35"/>
      <c r="AM341" s="35"/>
      <c r="AN341" s="35"/>
      <c r="AO341" s="35"/>
      <c r="AP341" s="35"/>
      <c r="AQ341" s="35"/>
      <c r="AR341" s="35"/>
      <c r="AS341" s="35"/>
      <c r="AT341" s="35"/>
      <c r="AU341" s="35"/>
      <c r="AV341" s="35"/>
      <c r="AW341" s="35"/>
      <c r="AX341" s="35"/>
      <c r="AY341" s="35"/>
      <c r="AZ341" s="35"/>
      <c r="BA341" s="35"/>
    </row>
    <row r="342" ht="23.25" hidden="1" customHeight="1">
      <c r="A342" s="140" t="s">
        <v>5993</v>
      </c>
      <c r="B342" s="143">
        <v>36361.0</v>
      </c>
      <c r="C342" s="140" t="s">
        <v>5994</v>
      </c>
      <c r="D342" s="140" t="s">
        <v>5995</v>
      </c>
      <c r="E342" s="140" t="s">
        <v>99</v>
      </c>
      <c r="F342" s="140" t="s">
        <v>99</v>
      </c>
      <c r="G342" s="140" t="s">
        <v>5996</v>
      </c>
      <c r="H342" s="140" t="s">
        <v>5997</v>
      </c>
      <c r="I342" s="140" t="s">
        <v>338</v>
      </c>
      <c r="J342" s="140"/>
      <c r="K342" s="140" t="s">
        <v>5998</v>
      </c>
      <c r="L342" s="140" t="s">
        <v>5615</v>
      </c>
      <c r="M342" s="143">
        <v>44925.0</v>
      </c>
      <c r="N342" s="140" t="s">
        <v>483</v>
      </c>
      <c r="O342" s="39" t="str">
        <f>HYPERLINK("https://api.typeform.com/responses/files/bc39f9fbe92f05f93d06f57069ac8cc8fa17e19338797c1f7f111782d628d3ae/IMG_6894.png")</f>
        <v>https://api.typeform.com/responses/files/bc39f9fbe92f05f93d06f57069ac8cc8fa17e19338797c1f7f111782d628d3ae/IMG_6894.png</v>
      </c>
      <c r="P342" s="140" t="b">
        <v>0</v>
      </c>
      <c r="Q342" s="140" t="s">
        <v>1437</v>
      </c>
      <c r="R342" s="140" t="s">
        <v>5999</v>
      </c>
      <c r="S342" s="140" t="s">
        <v>72</v>
      </c>
      <c r="T342" s="140" t="s">
        <v>72</v>
      </c>
      <c r="U342" s="140" t="s">
        <v>90</v>
      </c>
      <c r="V342" s="140"/>
      <c r="W342" s="140" t="s">
        <v>6000</v>
      </c>
      <c r="X342" s="39" t="str">
        <f>HYPERLINK("https://api.typeform.com/responses/files/2991017b2221d73d00c02a055ffa037d35ea85af48020129d78ff9e2fa2919dd/CV___Game_Design_Intern___Nhơn_Minh_Kiệt.pdf")</f>
        <v>https://api.typeform.com/responses/files/2991017b2221d73d00c02a055ffa037d35ea85af48020129d78ff9e2fa2919dd/CV___Game_Design_Intern___Nhơn_Minh_Kiệt.pdf</v>
      </c>
      <c r="Y342" s="145">
        <v>46149.71991898148</v>
      </c>
      <c r="Z342" s="140" t="s">
        <v>6001</v>
      </c>
      <c r="AA342" s="140">
        <v>2.1</v>
      </c>
      <c r="AB342" s="140"/>
      <c r="AC342" s="28" t="s">
        <v>6376</v>
      </c>
      <c r="AD342" s="140"/>
      <c r="AE342" s="140"/>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row>
    <row r="343" ht="23.25" hidden="1" customHeight="1">
      <c r="A343" s="35"/>
      <c r="B343" s="132"/>
      <c r="C343" s="35"/>
      <c r="D343" s="35"/>
      <c r="E343" s="35"/>
      <c r="F343" s="35"/>
      <c r="G343" s="35"/>
      <c r="H343" s="35"/>
      <c r="I343" s="35"/>
      <c r="J343" s="35"/>
      <c r="K343" s="35"/>
      <c r="L343" s="35"/>
      <c r="M343" s="134"/>
      <c r="N343" s="35"/>
      <c r="O343" s="35"/>
      <c r="P343" s="35"/>
      <c r="Q343" s="35"/>
      <c r="R343" s="35"/>
      <c r="S343" s="35"/>
      <c r="T343" s="35"/>
      <c r="U343" s="35"/>
      <c r="V343" s="35"/>
      <c r="W343" s="35"/>
      <c r="X343" s="35"/>
      <c r="Y343" s="136"/>
      <c r="Z343" s="35"/>
      <c r="AA343" s="137"/>
      <c r="AB343" s="137"/>
      <c r="AC343" s="28"/>
      <c r="AD343" s="27"/>
      <c r="AE343" s="28"/>
      <c r="AF343" s="137"/>
      <c r="AG343" s="35"/>
      <c r="AH343" s="35"/>
      <c r="AI343" s="35"/>
      <c r="AJ343" s="35"/>
      <c r="AK343" s="35"/>
      <c r="AL343" s="35"/>
      <c r="AM343" s="35"/>
      <c r="AN343" s="35"/>
      <c r="AO343" s="35"/>
      <c r="AP343" s="35"/>
      <c r="AQ343" s="35"/>
      <c r="AR343" s="35"/>
      <c r="AS343" s="35"/>
      <c r="AT343" s="35"/>
      <c r="AU343" s="35"/>
      <c r="AV343" s="35"/>
      <c r="AW343" s="35"/>
      <c r="AX343" s="35"/>
      <c r="AY343" s="35"/>
      <c r="AZ343" s="35"/>
      <c r="BA343" s="35"/>
    </row>
    <row r="344" ht="23.25" hidden="1" customHeight="1">
      <c r="A344" s="215" t="s">
        <v>5812</v>
      </c>
      <c r="B344" s="216">
        <v>38177.0</v>
      </c>
      <c r="C344" s="215" t="s">
        <v>5813</v>
      </c>
      <c r="D344" s="215" t="s">
        <v>5814</v>
      </c>
      <c r="E344" s="35" t="s">
        <v>99</v>
      </c>
      <c r="F344" s="215"/>
      <c r="G344" s="35" t="s">
        <v>5815</v>
      </c>
      <c r="H344" s="35" t="s">
        <v>5816</v>
      </c>
      <c r="I344" s="35" t="s">
        <v>85</v>
      </c>
      <c r="J344" s="35"/>
      <c r="K344" s="35" t="s">
        <v>67</v>
      </c>
      <c r="L344" s="35" t="s">
        <v>446</v>
      </c>
      <c r="M344" s="134">
        <v>46179.0</v>
      </c>
      <c r="N344" s="35" t="s">
        <v>2356</v>
      </c>
      <c r="O344" s="39" t="str">
        <f>HYPERLINK("https://api.typeform.com/responses/files/60bfe2fc569b97ced3cd0ea1fe82ca2793bba730d0572a0ded7389ff0ebaf555/Transcript___Game_Design_Intern___Lê_Hồ_Nhật_Tân.pdf")</f>
        <v>https://api.typeform.com/responses/files/60bfe2fc569b97ced3cd0ea1fe82ca2793bba730d0572a0ded7389ff0ebaf555/Transcript___Game_Design_Intern___Lê_Hồ_Nhật_Tân.pdf</v>
      </c>
      <c r="P344" s="35" t="b">
        <v>1</v>
      </c>
      <c r="Q344" s="35" t="s">
        <v>5817</v>
      </c>
      <c r="R344" s="35" t="s">
        <v>5818</v>
      </c>
      <c r="S344" s="35" t="s">
        <v>72</v>
      </c>
      <c r="T344" s="35" t="s">
        <v>72</v>
      </c>
      <c r="U344" s="35" t="s">
        <v>90</v>
      </c>
      <c r="V344" s="35"/>
      <c r="W344" s="35" t="s">
        <v>5819</v>
      </c>
      <c r="X344" s="39" t="str">
        <f>HYPERLINK("https://api.typeform.com/responses/files/4e78788c47b0bf479f09774d667dd118082385da1186333c35062ddc12e5478b/CV___Game_Design_Intern___Lê_Hồ_Nhật_Tân.pdf")</f>
        <v>https://api.typeform.com/responses/files/4e78788c47b0bf479f09774d667dd118082385da1186333c35062ddc12e5478b/CV___Game_Design_Intern___Lê_Hồ_Nhật_Tân.pdf</v>
      </c>
      <c r="Y344" s="136">
        <v>46149.30086805556</v>
      </c>
      <c r="Z344" s="35" t="s">
        <v>5820</v>
      </c>
      <c r="AA344" s="218">
        <v>2.1</v>
      </c>
      <c r="AB344" s="139" t="s">
        <v>6381</v>
      </c>
      <c r="AC344" s="28" t="s">
        <v>6377</v>
      </c>
      <c r="AD344" s="35"/>
      <c r="AE344" s="28" t="s">
        <v>6379</v>
      </c>
      <c r="AF344" s="35"/>
      <c r="AG344" s="27"/>
      <c r="AH344" s="27"/>
      <c r="AI344" s="27"/>
      <c r="AJ344" s="27"/>
      <c r="AK344" s="27"/>
      <c r="AL344" s="27"/>
      <c r="AM344" s="27"/>
      <c r="AN344" s="27"/>
      <c r="AO344" s="27"/>
      <c r="AP344" s="27"/>
      <c r="AQ344" s="27"/>
      <c r="AR344" s="27"/>
      <c r="AS344" s="27"/>
      <c r="AT344" s="27"/>
      <c r="AU344" s="27"/>
      <c r="AV344" s="27"/>
      <c r="AW344" s="27"/>
      <c r="AX344" s="27"/>
    </row>
    <row r="345">
      <c r="A345" s="215"/>
      <c r="B345" s="215"/>
      <c r="C345" s="215"/>
      <c r="D345" s="215"/>
      <c r="E345" s="215"/>
      <c r="F345" s="215"/>
      <c r="G345" s="35"/>
      <c r="H345" s="35"/>
      <c r="I345" s="35"/>
      <c r="J345" s="35"/>
      <c r="K345" s="35"/>
      <c r="L345" s="35"/>
      <c r="M345" s="35"/>
      <c r="N345" s="35"/>
      <c r="O345" s="35"/>
      <c r="P345" s="35"/>
      <c r="Q345" s="35"/>
      <c r="R345" s="35"/>
      <c r="S345" s="35"/>
      <c r="T345" s="35"/>
      <c r="U345" s="35"/>
      <c r="V345" s="35"/>
      <c r="W345" s="35"/>
      <c r="X345" s="43"/>
      <c r="Y345" s="35"/>
      <c r="Z345" s="35"/>
      <c r="AA345" s="35"/>
      <c r="AB345" s="21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row>
    <row r="346">
      <c r="A346" s="215"/>
      <c r="B346" s="215"/>
      <c r="C346" s="215"/>
      <c r="D346" s="215"/>
      <c r="E346" s="215"/>
      <c r="F346" s="215"/>
      <c r="G346" s="35"/>
      <c r="H346" s="35"/>
      <c r="I346" s="35"/>
      <c r="J346" s="35"/>
      <c r="K346" s="35"/>
      <c r="L346" s="35"/>
      <c r="M346" s="35"/>
      <c r="N346" s="35"/>
      <c r="O346" s="35"/>
      <c r="P346" s="35"/>
      <c r="Q346" s="35"/>
      <c r="R346" s="35"/>
      <c r="S346" s="35"/>
      <c r="T346" s="35"/>
      <c r="U346" s="35"/>
      <c r="V346" s="35"/>
      <c r="W346" s="35"/>
      <c r="X346" s="43"/>
      <c r="Y346" s="35"/>
      <c r="Z346" s="35"/>
      <c r="AA346" s="35"/>
      <c r="AB346" s="21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row>
    <row r="347">
      <c r="A347" s="215"/>
      <c r="B347" s="215"/>
      <c r="C347" s="215"/>
      <c r="D347" s="215"/>
      <c r="E347" s="215"/>
      <c r="F347" s="215"/>
      <c r="H347" s="35"/>
      <c r="I347" s="35"/>
      <c r="J347" s="35"/>
      <c r="K347" s="35"/>
      <c r="L347" s="35"/>
      <c r="M347" s="35"/>
      <c r="N347" s="35"/>
      <c r="O347" s="35"/>
      <c r="P347" s="35"/>
      <c r="Q347" s="35"/>
      <c r="R347" s="35"/>
      <c r="S347" s="35"/>
      <c r="T347" s="35"/>
      <c r="U347" s="35"/>
      <c r="V347" s="35"/>
      <c r="W347" s="35"/>
      <c r="X347" s="43"/>
      <c r="Y347" s="35"/>
      <c r="Z347" s="35"/>
      <c r="AA347" s="35"/>
      <c r="AB347" s="21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row>
    <row r="348">
      <c r="A348" s="35"/>
      <c r="B348" s="35"/>
      <c r="C348" s="35"/>
      <c r="D348" s="35"/>
      <c r="E348" s="35"/>
      <c r="F348" s="35"/>
      <c r="G348" s="35"/>
      <c r="H348" s="35"/>
      <c r="I348" s="35"/>
      <c r="J348" s="35"/>
      <c r="K348" s="35"/>
      <c r="L348" s="35"/>
      <c r="M348" s="35"/>
      <c r="N348" s="35"/>
      <c r="O348" s="35"/>
      <c r="P348" s="35"/>
      <c r="Q348" s="43"/>
      <c r="R348" s="35"/>
      <c r="S348" s="35"/>
      <c r="T348" s="35"/>
      <c r="U348" s="138"/>
      <c r="V348" s="35"/>
      <c r="W348" s="35"/>
      <c r="X348" s="43"/>
      <c r="Y348" s="35"/>
      <c r="Z348" s="35"/>
      <c r="AA348" s="35"/>
      <c r="AB348" s="218"/>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row>
    <row r="349">
      <c r="A349" s="35"/>
      <c r="B349" s="35"/>
      <c r="C349" s="35"/>
      <c r="D349" s="35"/>
      <c r="E349" s="35"/>
      <c r="F349" s="35"/>
      <c r="G349" s="35"/>
      <c r="H349" s="35"/>
      <c r="I349" s="35"/>
      <c r="J349" s="35"/>
      <c r="K349" s="35"/>
      <c r="L349" s="35"/>
      <c r="M349" s="35"/>
      <c r="N349" s="35"/>
      <c r="O349" s="35"/>
      <c r="P349" s="35"/>
      <c r="Q349" s="43"/>
      <c r="R349" s="35"/>
      <c r="S349" s="35"/>
      <c r="T349" s="35"/>
      <c r="U349" s="138"/>
      <c r="V349" s="35"/>
      <c r="W349" s="35"/>
      <c r="X349" s="43"/>
      <c r="Y349" s="35"/>
      <c r="Z349" s="35"/>
      <c r="AA349" s="35"/>
      <c r="AB349" s="218"/>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row>
    <row r="350">
      <c r="A350" s="35"/>
      <c r="B350" s="35"/>
      <c r="C350" s="35"/>
      <c r="D350" s="35"/>
      <c r="E350" s="35"/>
      <c r="F350" s="35"/>
      <c r="G350" s="35"/>
      <c r="H350" s="35"/>
      <c r="I350" s="35"/>
      <c r="J350" s="35"/>
      <c r="K350" s="35"/>
      <c r="L350" s="35"/>
      <c r="M350" s="35"/>
      <c r="N350" s="35"/>
      <c r="O350" s="35"/>
      <c r="P350" s="35"/>
      <c r="Q350" s="43"/>
      <c r="R350" s="35"/>
      <c r="S350" s="35"/>
      <c r="T350" s="35"/>
      <c r="U350" s="138"/>
      <c r="V350" s="35"/>
      <c r="W350" s="35"/>
      <c r="X350" s="43"/>
      <c r="Y350" s="35"/>
      <c r="Z350" s="35"/>
      <c r="AA350" s="35"/>
      <c r="AB350" s="218"/>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row>
    <row r="351">
      <c r="A351" s="35"/>
      <c r="B351" s="35"/>
      <c r="C351" s="35"/>
      <c r="D351" s="35"/>
      <c r="E351" s="35"/>
      <c r="F351" s="35"/>
      <c r="G351" s="35"/>
      <c r="H351" s="35"/>
      <c r="I351" s="35"/>
      <c r="J351" s="35"/>
      <c r="K351" s="35"/>
      <c r="L351" s="35"/>
      <c r="M351" s="35"/>
      <c r="N351" s="35"/>
      <c r="O351" s="35"/>
      <c r="P351" s="35"/>
      <c r="Q351" s="43"/>
      <c r="R351" s="35"/>
      <c r="S351" s="35"/>
      <c r="T351" s="35"/>
      <c r="U351" s="138"/>
      <c r="V351" s="35"/>
      <c r="W351" s="35"/>
      <c r="X351" s="43"/>
      <c r="Y351" s="35"/>
      <c r="Z351" s="35"/>
      <c r="AA351" s="35"/>
      <c r="AB351" s="218"/>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row>
    <row r="352">
      <c r="A352" s="35"/>
      <c r="B352" s="35"/>
      <c r="C352" s="35"/>
      <c r="D352" s="35"/>
      <c r="E352" s="35"/>
      <c r="F352" s="35"/>
      <c r="G352" s="35"/>
      <c r="H352" s="35"/>
      <c r="I352" s="35"/>
      <c r="J352" s="35"/>
      <c r="K352" s="35"/>
      <c r="L352" s="35"/>
      <c r="M352" s="35"/>
      <c r="N352" s="35"/>
      <c r="O352" s="35"/>
      <c r="P352" s="35"/>
      <c r="Q352" s="43"/>
      <c r="R352" s="35"/>
      <c r="S352" s="35"/>
      <c r="T352" s="35"/>
      <c r="U352" s="138"/>
      <c r="V352" s="35"/>
      <c r="W352" s="35"/>
      <c r="X352" s="43"/>
      <c r="Y352" s="35"/>
      <c r="Z352" s="35"/>
      <c r="AA352" s="35"/>
      <c r="AB352" s="218"/>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row>
    <row r="353">
      <c r="A353" s="35"/>
      <c r="B353" s="35"/>
      <c r="C353" s="35"/>
      <c r="D353" s="35"/>
      <c r="E353" s="35"/>
      <c r="F353" s="35"/>
      <c r="G353" s="35"/>
      <c r="H353" s="35"/>
      <c r="I353" s="35"/>
      <c r="J353" s="35"/>
      <c r="K353" s="35"/>
      <c r="L353" s="35"/>
      <c r="M353" s="35"/>
      <c r="N353" s="35"/>
      <c r="O353" s="35"/>
      <c r="P353" s="35"/>
      <c r="Q353" s="43"/>
      <c r="R353" s="35"/>
      <c r="S353" s="35"/>
      <c r="T353" s="35"/>
      <c r="U353" s="138"/>
      <c r="V353" s="35"/>
      <c r="W353" s="35"/>
      <c r="X353" s="43"/>
      <c r="Y353" s="35"/>
      <c r="Z353" s="35"/>
      <c r="AA353" s="35"/>
      <c r="AB353" s="218"/>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row>
    <row r="354">
      <c r="A354" s="35"/>
      <c r="B354" s="35"/>
      <c r="C354" s="35"/>
      <c r="D354" s="35"/>
      <c r="E354" s="35"/>
      <c r="F354" s="35"/>
      <c r="G354" s="35"/>
      <c r="H354" s="35"/>
      <c r="I354" s="35"/>
      <c r="J354" s="35"/>
      <c r="K354" s="35"/>
      <c r="L354" s="35"/>
      <c r="M354" s="35"/>
      <c r="N354" s="35"/>
      <c r="O354" s="35"/>
      <c r="P354" s="35"/>
      <c r="Q354" s="43"/>
      <c r="R354" s="35"/>
      <c r="S354" s="35"/>
      <c r="T354" s="35"/>
      <c r="U354" s="138"/>
      <c r="V354" s="35"/>
      <c r="W354" s="35"/>
      <c r="X354" s="43"/>
      <c r="Y354" s="35"/>
      <c r="Z354" s="35"/>
      <c r="AA354" s="35"/>
      <c r="AB354" s="218"/>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row>
    <row r="355">
      <c r="A355" s="35"/>
      <c r="B355" s="35"/>
      <c r="C355" s="35"/>
      <c r="D355" s="35"/>
      <c r="E355" s="35"/>
      <c r="F355" s="35"/>
      <c r="G355" s="35"/>
      <c r="H355" s="35"/>
      <c r="I355" s="35"/>
      <c r="J355" s="35"/>
      <c r="K355" s="35"/>
      <c r="L355" s="35"/>
      <c r="M355" s="35"/>
      <c r="N355" s="35"/>
      <c r="O355" s="35"/>
      <c r="P355" s="35"/>
      <c r="Q355" s="43"/>
      <c r="R355" s="35"/>
      <c r="S355" s="35"/>
      <c r="T355" s="35"/>
      <c r="U355" s="138"/>
      <c r="V355" s="35"/>
      <c r="W355" s="35"/>
      <c r="X355" s="43"/>
      <c r="Y355" s="35"/>
      <c r="Z355" s="35"/>
      <c r="AA355" s="35"/>
      <c r="AB355" s="218"/>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row>
    <row r="356">
      <c r="A356" s="35"/>
      <c r="B356" s="35"/>
      <c r="C356" s="35"/>
      <c r="D356" s="35"/>
      <c r="E356" s="35"/>
      <c r="F356" s="35"/>
      <c r="G356" s="35"/>
      <c r="H356" s="35"/>
      <c r="I356" s="35"/>
      <c r="J356" s="35"/>
      <c r="K356" s="35"/>
      <c r="L356" s="35"/>
      <c r="M356" s="35"/>
      <c r="N356" s="35"/>
      <c r="O356" s="35"/>
      <c r="P356" s="35"/>
      <c r="Q356" s="43"/>
      <c r="R356" s="35"/>
      <c r="S356" s="35"/>
      <c r="T356" s="35"/>
      <c r="U356" s="138"/>
      <c r="V356" s="35"/>
      <c r="W356" s="35"/>
      <c r="X356" s="43"/>
      <c r="Y356" s="35"/>
      <c r="Z356" s="35"/>
      <c r="AA356" s="35"/>
      <c r="AB356" s="218"/>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row>
    <row r="357">
      <c r="A357" s="35"/>
      <c r="B357" s="35"/>
      <c r="C357" s="35"/>
      <c r="D357" s="35"/>
      <c r="E357" s="35"/>
      <c r="F357" s="35"/>
      <c r="G357" s="35"/>
      <c r="H357" s="35"/>
      <c r="I357" s="35"/>
      <c r="J357" s="35"/>
      <c r="K357" s="35"/>
      <c r="L357" s="35"/>
      <c r="M357" s="35"/>
      <c r="N357" s="35"/>
      <c r="O357" s="35"/>
      <c r="P357" s="35"/>
      <c r="Q357" s="43"/>
      <c r="R357" s="35"/>
      <c r="S357" s="35"/>
      <c r="T357" s="35"/>
      <c r="U357" s="138"/>
      <c r="V357" s="35"/>
      <c r="W357" s="35"/>
      <c r="X357" s="43"/>
      <c r="Y357" s="35"/>
      <c r="Z357" s="35"/>
      <c r="AA357" s="35"/>
      <c r="AB357" s="218"/>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row>
    <row r="358">
      <c r="A358" s="35"/>
      <c r="B358" s="35"/>
      <c r="C358" s="35"/>
      <c r="D358" s="35"/>
      <c r="E358" s="35"/>
      <c r="F358" s="35"/>
      <c r="G358" s="35"/>
      <c r="H358" s="35"/>
      <c r="I358" s="35"/>
      <c r="J358" s="35"/>
      <c r="K358" s="35"/>
      <c r="L358" s="35"/>
      <c r="M358" s="35"/>
      <c r="N358" s="35"/>
      <c r="O358" s="35"/>
      <c r="P358" s="35"/>
      <c r="Q358" s="43"/>
      <c r="R358" s="35"/>
      <c r="S358" s="35"/>
      <c r="T358" s="35"/>
      <c r="U358" s="138"/>
      <c r="V358" s="35"/>
      <c r="W358" s="35"/>
      <c r="X358" s="43"/>
      <c r="Y358" s="35"/>
      <c r="Z358" s="35"/>
      <c r="AA358" s="35"/>
      <c r="AB358" s="218"/>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row>
    <row r="359">
      <c r="A359" s="35"/>
      <c r="B359" s="35"/>
      <c r="C359" s="35"/>
      <c r="D359" s="35"/>
      <c r="E359" s="35"/>
      <c r="F359" s="35"/>
      <c r="G359" s="35"/>
      <c r="H359" s="35"/>
      <c r="I359" s="35"/>
      <c r="J359" s="35"/>
      <c r="K359" s="35"/>
      <c r="L359" s="35"/>
      <c r="M359" s="35"/>
      <c r="N359" s="35"/>
      <c r="O359" s="35"/>
      <c r="P359" s="35"/>
      <c r="Q359" s="43"/>
      <c r="R359" s="35"/>
      <c r="S359" s="35"/>
      <c r="T359" s="35"/>
      <c r="U359" s="138"/>
      <c r="V359" s="35"/>
      <c r="W359" s="35"/>
      <c r="X359" s="43"/>
      <c r="Y359" s="35"/>
      <c r="Z359" s="35"/>
      <c r="AA359" s="35"/>
      <c r="AB359" s="218"/>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row>
    <row r="360">
      <c r="A360" s="35"/>
      <c r="B360" s="35"/>
      <c r="C360" s="35"/>
      <c r="D360" s="35"/>
      <c r="E360" s="35"/>
      <c r="F360" s="35"/>
      <c r="G360" s="35"/>
      <c r="H360" s="35"/>
      <c r="I360" s="35"/>
      <c r="J360" s="35"/>
      <c r="K360" s="35"/>
      <c r="L360" s="35"/>
      <c r="M360" s="35"/>
      <c r="N360" s="35"/>
      <c r="O360" s="35"/>
      <c r="P360" s="35"/>
      <c r="Q360" s="43"/>
      <c r="R360" s="35"/>
      <c r="S360" s="35"/>
      <c r="T360" s="35"/>
      <c r="U360" s="138"/>
      <c r="V360" s="35"/>
      <c r="W360" s="35"/>
      <c r="X360" s="43"/>
      <c r="Y360" s="35"/>
      <c r="Z360" s="35"/>
      <c r="AA360" s="35"/>
      <c r="AB360" s="218"/>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row>
    <row r="361">
      <c r="A361" s="35"/>
      <c r="B361" s="35"/>
      <c r="C361" s="35"/>
      <c r="D361" s="35"/>
      <c r="E361" s="35"/>
      <c r="F361" s="35"/>
      <c r="G361" s="35"/>
      <c r="H361" s="35"/>
      <c r="I361" s="35"/>
      <c r="J361" s="35"/>
      <c r="K361" s="35"/>
      <c r="L361" s="35"/>
      <c r="M361" s="35"/>
      <c r="N361" s="35"/>
      <c r="O361" s="35"/>
      <c r="P361" s="35"/>
      <c r="Q361" s="43"/>
      <c r="R361" s="35"/>
      <c r="S361" s="35"/>
      <c r="T361" s="35"/>
      <c r="U361" s="138"/>
      <c r="V361" s="35"/>
      <c r="W361" s="35"/>
      <c r="X361" s="43"/>
      <c r="Y361" s="35"/>
      <c r="Z361" s="35"/>
      <c r="AA361" s="35"/>
      <c r="AB361" s="218"/>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row>
    <row r="362">
      <c r="A362" s="35"/>
      <c r="B362" s="35"/>
      <c r="C362" s="35"/>
      <c r="D362" s="35"/>
      <c r="E362" s="35"/>
      <c r="F362" s="35"/>
      <c r="G362" s="35"/>
      <c r="H362" s="35"/>
      <c r="I362" s="35"/>
      <c r="J362" s="35"/>
      <c r="K362" s="35"/>
      <c r="L362" s="35"/>
      <c r="M362" s="35"/>
      <c r="N362" s="35"/>
      <c r="O362" s="35"/>
      <c r="P362" s="35"/>
      <c r="Q362" s="43"/>
      <c r="R362" s="35"/>
      <c r="S362" s="35"/>
      <c r="T362" s="35"/>
      <c r="U362" s="138"/>
      <c r="V362" s="35"/>
      <c r="W362" s="35"/>
      <c r="X362" s="35"/>
      <c r="Y362" s="35"/>
      <c r="Z362" s="35"/>
      <c r="AA362" s="35"/>
      <c r="AB362" s="218"/>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row>
    <row r="363">
      <c r="A363" s="35"/>
      <c r="B363" s="35"/>
      <c r="C363" s="35"/>
      <c r="D363" s="35"/>
      <c r="E363" s="35"/>
      <c r="F363" s="35"/>
      <c r="G363" s="35"/>
      <c r="H363" s="35"/>
      <c r="I363" s="35"/>
      <c r="J363" s="35"/>
      <c r="K363" s="35"/>
      <c r="L363" s="35"/>
      <c r="M363" s="35"/>
      <c r="N363" s="35"/>
      <c r="O363" s="35"/>
      <c r="P363" s="35"/>
      <c r="Q363" s="43"/>
      <c r="R363" s="35"/>
      <c r="S363" s="35"/>
      <c r="T363" s="35"/>
      <c r="U363" s="138"/>
      <c r="V363" s="35"/>
      <c r="W363" s="35"/>
      <c r="X363" s="35"/>
      <c r="Y363" s="35"/>
      <c r="Z363" s="35"/>
      <c r="AA363" s="35"/>
      <c r="AB363" s="218"/>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row>
    <row r="364">
      <c r="A364" s="35"/>
      <c r="B364" s="35"/>
      <c r="C364" s="35"/>
      <c r="D364" s="35"/>
      <c r="E364" s="35"/>
      <c r="F364" s="35"/>
      <c r="G364" s="35"/>
      <c r="H364" s="35"/>
      <c r="I364" s="35"/>
      <c r="J364" s="35"/>
      <c r="K364" s="35"/>
      <c r="L364" s="35"/>
      <c r="M364" s="35"/>
      <c r="N364" s="35"/>
      <c r="O364" s="35"/>
      <c r="P364" s="35"/>
      <c r="Q364" s="43"/>
      <c r="R364" s="35"/>
      <c r="S364" s="35"/>
      <c r="T364" s="35"/>
      <c r="U364" s="138"/>
      <c r="V364" s="35"/>
      <c r="W364" s="35"/>
      <c r="X364" s="35"/>
      <c r="Y364" s="35"/>
      <c r="Z364" s="35"/>
      <c r="AA364" s="35"/>
      <c r="AB364" s="218"/>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row>
    <row r="365">
      <c r="A365" s="35"/>
      <c r="B365" s="35"/>
      <c r="C365" s="35"/>
      <c r="D365" s="35"/>
      <c r="E365" s="35"/>
      <c r="F365" s="35"/>
      <c r="G365" s="35"/>
      <c r="H365" s="35"/>
      <c r="I365" s="35"/>
      <c r="J365" s="35"/>
      <c r="K365" s="35"/>
      <c r="L365" s="35"/>
      <c r="M365" s="35"/>
      <c r="N365" s="35"/>
      <c r="O365" s="35"/>
      <c r="P365" s="35"/>
      <c r="Q365" s="43"/>
      <c r="R365" s="35"/>
      <c r="S365" s="35"/>
      <c r="T365" s="35"/>
      <c r="U365" s="138"/>
      <c r="V365" s="35"/>
      <c r="W365" s="35"/>
      <c r="X365" s="35"/>
      <c r="Y365" s="35"/>
      <c r="Z365" s="35"/>
      <c r="AA365" s="35"/>
      <c r="AB365" s="218"/>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row>
    <row r="366">
      <c r="A366" s="35"/>
      <c r="B366" s="35"/>
      <c r="C366" s="35"/>
      <c r="D366" s="35"/>
      <c r="E366" s="35"/>
      <c r="F366" s="35"/>
      <c r="G366" s="35"/>
      <c r="H366" s="35"/>
      <c r="I366" s="35"/>
      <c r="J366" s="35"/>
      <c r="K366" s="35"/>
      <c r="L366" s="35"/>
      <c r="M366" s="35"/>
      <c r="N366" s="35"/>
      <c r="O366" s="35"/>
      <c r="P366" s="35"/>
      <c r="Q366" s="43"/>
      <c r="R366" s="35"/>
      <c r="S366" s="35"/>
      <c r="T366" s="35"/>
      <c r="U366" s="138"/>
      <c r="V366" s="35"/>
      <c r="W366" s="35"/>
      <c r="X366" s="35"/>
      <c r="Y366" s="35"/>
      <c r="Z366" s="35"/>
      <c r="AA366" s="35"/>
      <c r="AB366" s="218"/>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row>
    <row r="367">
      <c r="A367" s="35"/>
      <c r="B367" s="35"/>
      <c r="C367" s="35"/>
      <c r="D367" s="35"/>
      <c r="E367" s="35"/>
      <c r="F367" s="35"/>
      <c r="G367" s="35"/>
      <c r="H367" s="35"/>
      <c r="I367" s="35"/>
      <c r="J367" s="35"/>
      <c r="K367" s="35"/>
      <c r="L367" s="35"/>
      <c r="M367" s="35"/>
      <c r="N367" s="35"/>
      <c r="O367" s="35"/>
      <c r="P367" s="35"/>
      <c r="Q367" s="43"/>
      <c r="R367" s="35"/>
      <c r="S367" s="35"/>
      <c r="T367" s="35"/>
      <c r="U367" s="138"/>
      <c r="V367" s="35"/>
      <c r="W367" s="35"/>
      <c r="X367" s="35"/>
      <c r="Y367" s="35"/>
      <c r="Z367" s="35"/>
      <c r="AA367" s="35"/>
      <c r="AB367" s="218"/>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row>
    <row r="368">
      <c r="A368" s="35"/>
      <c r="B368" s="35"/>
      <c r="C368" s="35"/>
      <c r="D368" s="35"/>
      <c r="E368" s="35"/>
      <c r="F368" s="35"/>
      <c r="G368" s="35"/>
      <c r="H368" s="35"/>
      <c r="I368" s="35"/>
      <c r="J368" s="35"/>
      <c r="K368" s="35"/>
      <c r="L368" s="35"/>
      <c r="M368" s="35"/>
      <c r="N368" s="35"/>
      <c r="O368" s="35"/>
      <c r="P368" s="35"/>
      <c r="Q368" s="43"/>
      <c r="R368" s="35"/>
      <c r="S368" s="35"/>
      <c r="T368" s="35"/>
      <c r="U368" s="138"/>
      <c r="V368" s="35"/>
      <c r="W368" s="35"/>
      <c r="X368" s="35"/>
      <c r="Y368" s="35"/>
      <c r="Z368" s="35"/>
      <c r="AA368" s="35"/>
      <c r="AB368" s="218"/>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row>
    <row r="369">
      <c r="A369" s="35"/>
      <c r="B369" s="35"/>
      <c r="C369" s="35"/>
      <c r="D369" s="35"/>
      <c r="E369" s="35"/>
      <c r="F369" s="35"/>
      <c r="G369" s="35"/>
      <c r="H369" s="35"/>
      <c r="I369" s="35"/>
      <c r="J369" s="35"/>
      <c r="K369" s="35"/>
      <c r="L369" s="35"/>
      <c r="M369" s="35"/>
      <c r="N369" s="35"/>
      <c r="O369" s="35"/>
      <c r="P369" s="35"/>
      <c r="Q369" s="43"/>
      <c r="R369" s="35"/>
      <c r="S369" s="35"/>
      <c r="T369" s="35"/>
      <c r="U369" s="138"/>
      <c r="V369" s="35"/>
      <c r="W369" s="35"/>
      <c r="X369" s="35"/>
      <c r="Y369" s="35"/>
      <c r="Z369" s="35"/>
      <c r="AA369" s="35"/>
      <c r="AB369" s="218"/>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row>
    <row r="370">
      <c r="A370" s="35"/>
      <c r="B370" s="35"/>
      <c r="C370" s="35"/>
      <c r="D370" s="35"/>
      <c r="E370" s="35"/>
      <c r="F370" s="35"/>
      <c r="G370" s="35"/>
      <c r="H370" s="35"/>
      <c r="I370" s="35"/>
      <c r="J370" s="35"/>
      <c r="K370" s="35"/>
      <c r="L370" s="35"/>
      <c r="M370" s="35"/>
      <c r="N370" s="35"/>
      <c r="O370" s="35"/>
      <c r="P370" s="35"/>
      <c r="Q370" s="43"/>
      <c r="R370" s="35"/>
      <c r="S370" s="35"/>
      <c r="T370" s="35"/>
      <c r="U370" s="138"/>
      <c r="V370" s="35"/>
      <c r="W370" s="35"/>
      <c r="X370" s="35"/>
      <c r="Y370" s="35"/>
      <c r="Z370" s="35"/>
      <c r="AA370" s="35"/>
      <c r="AB370" s="218"/>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row>
    <row r="371">
      <c r="A371" s="35"/>
      <c r="B371" s="35"/>
      <c r="C371" s="35"/>
      <c r="D371" s="35"/>
      <c r="E371" s="35"/>
      <c r="F371" s="35"/>
      <c r="G371" s="35"/>
      <c r="H371" s="35"/>
      <c r="I371" s="35"/>
      <c r="J371" s="35"/>
      <c r="K371" s="35"/>
      <c r="L371" s="35"/>
      <c r="M371" s="35"/>
      <c r="N371" s="35"/>
      <c r="O371" s="35"/>
      <c r="P371" s="35"/>
      <c r="Q371" s="43"/>
      <c r="R371" s="35"/>
      <c r="S371" s="35"/>
      <c r="T371" s="35"/>
      <c r="U371" s="138"/>
      <c r="V371" s="35"/>
      <c r="W371" s="35"/>
      <c r="X371" s="35"/>
      <c r="Y371" s="35"/>
      <c r="Z371" s="35"/>
      <c r="AA371" s="35"/>
      <c r="AB371" s="218"/>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row>
    <row r="372">
      <c r="A372" s="35"/>
      <c r="B372" s="35"/>
      <c r="C372" s="35"/>
      <c r="D372" s="35"/>
      <c r="E372" s="35"/>
      <c r="F372" s="35"/>
      <c r="G372" s="35"/>
      <c r="H372" s="35"/>
      <c r="I372" s="35"/>
      <c r="J372" s="35"/>
      <c r="K372" s="35"/>
      <c r="L372" s="35"/>
      <c r="M372" s="35"/>
      <c r="N372" s="35"/>
      <c r="O372" s="35"/>
      <c r="P372" s="35"/>
      <c r="Q372" s="43"/>
      <c r="R372" s="35"/>
      <c r="S372" s="35"/>
      <c r="T372" s="35"/>
      <c r="U372" s="138"/>
      <c r="V372" s="35"/>
      <c r="W372" s="35"/>
      <c r="X372" s="35"/>
      <c r="Y372" s="35"/>
      <c r="Z372" s="35"/>
      <c r="AA372" s="35"/>
      <c r="AB372" s="218"/>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row>
    <row r="373">
      <c r="A373" s="35"/>
      <c r="B373" s="35"/>
      <c r="C373" s="35"/>
      <c r="D373" s="35"/>
      <c r="E373" s="35"/>
      <c r="F373" s="35"/>
      <c r="G373" s="35"/>
      <c r="H373" s="35"/>
      <c r="I373" s="35"/>
      <c r="J373" s="35"/>
      <c r="K373" s="35"/>
      <c r="L373" s="35"/>
      <c r="M373" s="35"/>
      <c r="N373" s="35"/>
      <c r="O373" s="35"/>
      <c r="P373" s="35"/>
      <c r="Q373" s="43"/>
      <c r="R373" s="35"/>
      <c r="S373" s="35"/>
      <c r="T373" s="35"/>
      <c r="U373" s="138"/>
      <c r="V373" s="35"/>
      <c r="W373" s="35"/>
      <c r="X373" s="35"/>
      <c r="Y373" s="35"/>
      <c r="Z373" s="35"/>
      <c r="AA373" s="35"/>
      <c r="AB373" s="218"/>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row>
    <row r="374">
      <c r="A374" s="35"/>
      <c r="B374" s="35"/>
      <c r="C374" s="35"/>
      <c r="D374" s="35"/>
      <c r="E374" s="35"/>
      <c r="F374" s="35"/>
      <c r="G374" s="35"/>
      <c r="H374" s="35"/>
      <c r="I374" s="35"/>
      <c r="J374" s="35"/>
      <c r="K374" s="35"/>
      <c r="L374" s="35"/>
      <c r="M374" s="35"/>
      <c r="N374" s="35"/>
      <c r="O374" s="35"/>
      <c r="P374" s="35"/>
      <c r="Q374" s="43"/>
      <c r="R374" s="35"/>
      <c r="S374" s="35"/>
      <c r="T374" s="35"/>
      <c r="U374" s="138"/>
      <c r="V374" s="35"/>
      <c r="W374" s="35"/>
      <c r="X374" s="35"/>
      <c r="Y374" s="35"/>
      <c r="Z374" s="35"/>
      <c r="AA374" s="35"/>
      <c r="AB374" s="218"/>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row>
    <row r="375">
      <c r="A375" s="35"/>
      <c r="B375" s="35"/>
      <c r="C375" s="35"/>
      <c r="D375" s="35"/>
      <c r="E375" s="35"/>
      <c r="F375" s="35"/>
      <c r="G375" s="35"/>
      <c r="H375" s="35"/>
      <c r="I375" s="35"/>
      <c r="J375" s="35"/>
      <c r="K375" s="35"/>
      <c r="L375" s="35"/>
      <c r="M375" s="35"/>
      <c r="N375" s="35"/>
      <c r="O375" s="35"/>
      <c r="P375" s="35"/>
      <c r="Q375" s="43"/>
      <c r="R375" s="35"/>
      <c r="S375" s="35"/>
      <c r="T375" s="35"/>
      <c r="U375" s="138"/>
      <c r="V375" s="35"/>
      <c r="W375" s="35"/>
      <c r="X375" s="35"/>
      <c r="Y375" s="35"/>
      <c r="Z375" s="35"/>
      <c r="AA375" s="35"/>
      <c r="AB375" s="218"/>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row>
    <row r="376">
      <c r="A376" s="35"/>
      <c r="B376" s="35"/>
      <c r="C376" s="35"/>
      <c r="D376" s="35"/>
      <c r="E376" s="35"/>
      <c r="F376" s="35"/>
      <c r="G376" s="35"/>
      <c r="H376" s="35"/>
      <c r="I376" s="35"/>
      <c r="J376" s="35"/>
      <c r="K376" s="35"/>
      <c r="L376" s="35"/>
      <c r="M376" s="35"/>
      <c r="N376" s="35"/>
      <c r="O376" s="35"/>
      <c r="P376" s="35"/>
      <c r="Q376" s="43"/>
      <c r="R376" s="35"/>
      <c r="S376" s="35"/>
      <c r="T376" s="35"/>
      <c r="U376" s="138"/>
      <c r="V376" s="35"/>
      <c r="W376" s="35"/>
      <c r="X376" s="35"/>
      <c r="Y376" s="35"/>
      <c r="Z376" s="35"/>
      <c r="AA376" s="35"/>
      <c r="AB376" s="218"/>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row>
    <row r="377">
      <c r="A377" s="35"/>
      <c r="B377" s="35"/>
      <c r="C377" s="35"/>
      <c r="D377" s="35"/>
      <c r="E377" s="35"/>
      <c r="F377" s="35"/>
      <c r="G377" s="35"/>
      <c r="H377" s="35"/>
      <c r="I377" s="35"/>
      <c r="J377" s="35"/>
      <c r="K377" s="35"/>
      <c r="L377" s="35"/>
      <c r="M377" s="35"/>
      <c r="N377" s="35"/>
      <c r="O377" s="35"/>
      <c r="P377" s="35"/>
      <c r="Q377" s="43"/>
      <c r="R377" s="35"/>
      <c r="S377" s="35"/>
      <c r="T377" s="35"/>
      <c r="U377" s="138"/>
      <c r="V377" s="35"/>
      <c r="W377" s="35"/>
      <c r="X377" s="35"/>
      <c r="Y377" s="35"/>
      <c r="Z377" s="35"/>
      <c r="AA377" s="35"/>
      <c r="AB377" s="218"/>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row>
    <row r="378">
      <c r="A378" s="35"/>
      <c r="B378" s="35"/>
      <c r="C378" s="35"/>
      <c r="D378" s="35"/>
      <c r="E378" s="35"/>
      <c r="F378" s="35"/>
      <c r="G378" s="35"/>
      <c r="H378" s="35"/>
      <c r="I378" s="35"/>
      <c r="J378" s="35"/>
      <c r="K378" s="35"/>
      <c r="L378" s="35"/>
      <c r="M378" s="35"/>
      <c r="N378" s="35"/>
      <c r="O378" s="35"/>
      <c r="P378" s="35"/>
      <c r="Q378" s="43"/>
      <c r="R378" s="35"/>
      <c r="S378" s="35"/>
      <c r="T378" s="35"/>
      <c r="U378" s="138"/>
      <c r="V378" s="35"/>
      <c r="W378" s="35"/>
      <c r="X378" s="35"/>
      <c r="Y378" s="35"/>
      <c r="Z378" s="35"/>
      <c r="AA378" s="35"/>
      <c r="AB378" s="218"/>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row>
    <row r="379">
      <c r="A379" s="35"/>
      <c r="B379" s="35"/>
      <c r="C379" s="35"/>
      <c r="D379" s="35"/>
      <c r="E379" s="35"/>
      <c r="F379" s="35"/>
      <c r="G379" s="35"/>
      <c r="H379" s="35"/>
      <c r="I379" s="35"/>
      <c r="J379" s="35"/>
      <c r="K379" s="35"/>
      <c r="L379" s="35"/>
      <c r="M379" s="35"/>
      <c r="N379" s="35"/>
      <c r="O379" s="35"/>
      <c r="P379" s="35"/>
      <c r="Q379" s="43"/>
      <c r="R379" s="35"/>
      <c r="S379" s="35"/>
      <c r="T379" s="35"/>
      <c r="U379" s="138"/>
      <c r="V379" s="35"/>
      <c r="W379" s="35"/>
      <c r="X379" s="35"/>
      <c r="Y379" s="35"/>
      <c r="Z379" s="35"/>
      <c r="AA379" s="35"/>
      <c r="AB379" s="218"/>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row>
    <row r="380">
      <c r="A380" s="35"/>
      <c r="B380" s="35"/>
      <c r="C380" s="35"/>
      <c r="D380" s="35"/>
      <c r="E380" s="35"/>
      <c r="F380" s="35"/>
      <c r="G380" s="35"/>
      <c r="H380" s="35"/>
      <c r="I380" s="35"/>
      <c r="J380" s="35"/>
      <c r="K380" s="35"/>
      <c r="L380" s="35"/>
      <c r="M380" s="35"/>
      <c r="N380" s="35"/>
      <c r="O380" s="35"/>
      <c r="P380" s="35"/>
      <c r="Q380" s="43"/>
      <c r="R380" s="35"/>
      <c r="S380" s="35"/>
      <c r="T380" s="35"/>
      <c r="U380" s="138"/>
      <c r="V380" s="35"/>
      <c r="W380" s="35"/>
      <c r="X380" s="35"/>
      <c r="Y380" s="35"/>
      <c r="Z380" s="35"/>
      <c r="AA380" s="35"/>
      <c r="AB380" s="218"/>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row>
    <row r="381">
      <c r="A381" s="35"/>
      <c r="B381" s="35"/>
      <c r="C381" s="35"/>
      <c r="D381" s="35"/>
      <c r="E381" s="35"/>
      <c r="F381" s="35"/>
      <c r="G381" s="35"/>
      <c r="H381" s="35"/>
      <c r="I381" s="35"/>
      <c r="J381" s="35"/>
      <c r="K381" s="35"/>
      <c r="L381" s="35"/>
      <c r="M381" s="35"/>
      <c r="N381" s="35"/>
      <c r="O381" s="35"/>
      <c r="P381" s="35"/>
      <c r="Q381" s="43"/>
      <c r="R381" s="35"/>
      <c r="S381" s="35"/>
      <c r="T381" s="35"/>
      <c r="U381" s="138"/>
      <c r="V381" s="35"/>
      <c r="W381" s="35"/>
      <c r="X381" s="35"/>
      <c r="Y381" s="35"/>
      <c r="Z381" s="35"/>
      <c r="AA381" s="35"/>
      <c r="AB381" s="218"/>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row>
    <row r="382">
      <c r="A382" s="35"/>
      <c r="B382" s="35"/>
      <c r="C382" s="35"/>
      <c r="D382" s="35"/>
      <c r="E382" s="35"/>
      <c r="F382" s="35"/>
      <c r="G382" s="35"/>
      <c r="H382" s="35"/>
      <c r="I382" s="35"/>
      <c r="J382" s="35"/>
      <c r="K382" s="35"/>
      <c r="L382" s="35"/>
      <c r="M382" s="35"/>
      <c r="N382" s="35"/>
      <c r="O382" s="35"/>
      <c r="P382" s="35"/>
      <c r="Q382" s="43"/>
      <c r="R382" s="35"/>
      <c r="S382" s="35"/>
      <c r="T382" s="35"/>
      <c r="U382" s="138"/>
      <c r="V382" s="35"/>
      <c r="W382" s="35"/>
      <c r="X382" s="35"/>
      <c r="Y382" s="35"/>
      <c r="Z382" s="35"/>
      <c r="AA382" s="35"/>
      <c r="AB382" s="218"/>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row>
    <row r="383">
      <c r="A383" s="35"/>
      <c r="B383" s="35"/>
      <c r="C383" s="35"/>
      <c r="D383" s="35"/>
      <c r="E383" s="35"/>
      <c r="F383" s="35"/>
      <c r="G383" s="35"/>
      <c r="H383" s="35"/>
      <c r="I383" s="35"/>
      <c r="J383" s="35"/>
      <c r="K383" s="35"/>
      <c r="L383" s="35"/>
      <c r="M383" s="35"/>
      <c r="N383" s="35"/>
      <c r="O383" s="35"/>
      <c r="P383" s="35"/>
      <c r="Q383" s="43"/>
      <c r="R383" s="35"/>
      <c r="S383" s="35"/>
      <c r="T383" s="35"/>
      <c r="U383" s="138"/>
      <c r="V383" s="35"/>
      <c r="W383" s="35"/>
      <c r="X383" s="35"/>
      <c r="Y383" s="35"/>
      <c r="Z383" s="35"/>
      <c r="AA383" s="35"/>
      <c r="AB383" s="218"/>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row>
    <row r="384">
      <c r="A384" s="35"/>
      <c r="B384" s="35"/>
      <c r="C384" s="35"/>
      <c r="D384" s="35"/>
      <c r="E384" s="35"/>
      <c r="F384" s="35"/>
      <c r="G384" s="35"/>
      <c r="H384" s="35"/>
      <c r="I384" s="35"/>
      <c r="J384" s="35"/>
      <c r="K384" s="35"/>
      <c r="L384" s="35"/>
      <c r="M384" s="35"/>
      <c r="N384" s="35"/>
      <c r="O384" s="35"/>
      <c r="P384" s="35"/>
      <c r="Q384" s="43"/>
      <c r="R384" s="35"/>
      <c r="S384" s="35"/>
      <c r="T384" s="35"/>
      <c r="U384" s="138"/>
      <c r="V384" s="35"/>
      <c r="W384" s="35"/>
      <c r="X384" s="35"/>
      <c r="Y384" s="35"/>
      <c r="Z384" s="35"/>
      <c r="AA384" s="35"/>
      <c r="AB384" s="218"/>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row>
    <row r="385">
      <c r="A385" s="35"/>
      <c r="B385" s="35"/>
      <c r="C385" s="35"/>
      <c r="D385" s="35"/>
      <c r="E385" s="35"/>
      <c r="F385" s="35"/>
      <c r="G385" s="35"/>
      <c r="H385" s="35"/>
      <c r="I385" s="35"/>
      <c r="J385" s="35"/>
      <c r="K385" s="35"/>
      <c r="L385" s="35"/>
      <c r="M385" s="35"/>
      <c r="N385" s="35"/>
      <c r="O385" s="35"/>
      <c r="P385" s="35"/>
      <c r="Q385" s="43"/>
      <c r="R385" s="35"/>
      <c r="S385" s="35"/>
      <c r="T385" s="35"/>
      <c r="U385" s="138"/>
      <c r="V385" s="35"/>
      <c r="W385" s="35"/>
      <c r="X385" s="35"/>
      <c r="Y385" s="35"/>
      <c r="Z385" s="35"/>
      <c r="AA385" s="35"/>
      <c r="AB385" s="218"/>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row>
    <row r="386">
      <c r="A386" s="35"/>
      <c r="B386" s="35"/>
      <c r="C386" s="35"/>
      <c r="D386" s="35"/>
      <c r="E386" s="35"/>
      <c r="F386" s="35"/>
      <c r="G386" s="35"/>
      <c r="H386" s="35"/>
      <c r="I386" s="35"/>
      <c r="J386" s="35"/>
      <c r="K386" s="35"/>
      <c r="L386" s="35"/>
      <c r="M386" s="35"/>
      <c r="N386" s="35"/>
      <c r="O386" s="35"/>
      <c r="P386" s="35"/>
      <c r="Q386" s="43"/>
      <c r="R386" s="35"/>
      <c r="S386" s="35"/>
      <c r="T386" s="35"/>
      <c r="U386" s="138"/>
      <c r="V386" s="35"/>
      <c r="W386" s="35"/>
      <c r="X386" s="35"/>
      <c r="Y386" s="35"/>
      <c r="Z386" s="35"/>
      <c r="AA386" s="35"/>
      <c r="AB386" s="218"/>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row>
    <row r="387">
      <c r="A387" s="35"/>
      <c r="B387" s="35"/>
      <c r="C387" s="35"/>
      <c r="D387" s="35"/>
      <c r="E387" s="35"/>
      <c r="F387" s="35"/>
      <c r="G387" s="35"/>
      <c r="H387" s="35"/>
      <c r="I387" s="35"/>
      <c r="J387" s="35"/>
      <c r="K387" s="35"/>
      <c r="L387" s="35"/>
      <c r="M387" s="35"/>
      <c r="N387" s="35"/>
      <c r="O387" s="35"/>
      <c r="P387" s="35"/>
      <c r="Q387" s="43"/>
      <c r="R387" s="35"/>
      <c r="S387" s="35"/>
      <c r="T387" s="35"/>
      <c r="U387" s="138"/>
      <c r="V387" s="35"/>
      <c r="W387" s="35"/>
      <c r="X387" s="35"/>
      <c r="Y387" s="35"/>
      <c r="Z387" s="35"/>
      <c r="AA387" s="35"/>
      <c r="AB387" s="218"/>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row>
    <row r="388">
      <c r="A388" s="35"/>
      <c r="B388" s="35"/>
      <c r="C388" s="35"/>
      <c r="D388" s="35"/>
      <c r="E388" s="35"/>
      <c r="F388" s="35"/>
      <c r="G388" s="35"/>
      <c r="H388" s="35"/>
      <c r="I388" s="35"/>
      <c r="J388" s="35"/>
      <c r="K388" s="35"/>
      <c r="L388" s="35"/>
      <c r="M388" s="35"/>
      <c r="N388" s="35"/>
      <c r="O388" s="35"/>
      <c r="P388" s="35"/>
      <c r="Q388" s="43"/>
      <c r="R388" s="35"/>
      <c r="S388" s="35"/>
      <c r="T388" s="35"/>
      <c r="U388" s="138"/>
      <c r="V388" s="35"/>
      <c r="W388" s="35"/>
      <c r="X388" s="35"/>
      <c r="Y388" s="35"/>
      <c r="Z388" s="35"/>
      <c r="AA388" s="35"/>
      <c r="AB388" s="218"/>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row>
    <row r="389">
      <c r="A389" s="35"/>
      <c r="B389" s="35"/>
      <c r="C389" s="35"/>
      <c r="D389" s="35"/>
      <c r="E389" s="35"/>
      <c r="F389" s="35"/>
      <c r="G389" s="35"/>
      <c r="H389" s="35"/>
      <c r="I389" s="35"/>
      <c r="J389" s="35"/>
      <c r="K389" s="35"/>
      <c r="L389" s="35"/>
      <c r="M389" s="35"/>
      <c r="N389" s="35"/>
      <c r="O389" s="35"/>
      <c r="P389" s="35"/>
      <c r="Q389" s="43"/>
      <c r="R389" s="35"/>
      <c r="S389" s="35"/>
      <c r="T389" s="35"/>
      <c r="U389" s="138"/>
      <c r="V389" s="35"/>
      <c r="W389" s="35"/>
      <c r="X389" s="35"/>
      <c r="Y389" s="35"/>
      <c r="Z389" s="35"/>
      <c r="AA389" s="35"/>
      <c r="AB389" s="218"/>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row>
    <row r="390">
      <c r="A390" s="35"/>
      <c r="B390" s="35"/>
      <c r="C390" s="35"/>
      <c r="D390" s="35"/>
      <c r="E390" s="35"/>
      <c r="F390" s="35"/>
      <c r="G390" s="35"/>
      <c r="H390" s="35"/>
      <c r="I390" s="35"/>
      <c r="J390" s="35"/>
      <c r="K390" s="35"/>
      <c r="L390" s="35"/>
      <c r="M390" s="35"/>
      <c r="N390" s="35"/>
      <c r="O390" s="35"/>
      <c r="P390" s="35"/>
      <c r="Q390" s="43"/>
      <c r="R390" s="35"/>
      <c r="S390" s="35"/>
      <c r="T390" s="35"/>
      <c r="U390" s="138"/>
      <c r="V390" s="35"/>
      <c r="W390" s="35"/>
      <c r="X390" s="35"/>
      <c r="Y390" s="35"/>
      <c r="Z390" s="35"/>
      <c r="AA390" s="35"/>
      <c r="AB390" s="218"/>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row>
    <row r="391">
      <c r="A391" s="35"/>
      <c r="B391" s="35"/>
      <c r="C391" s="35"/>
      <c r="D391" s="35"/>
      <c r="E391" s="35"/>
      <c r="F391" s="35"/>
      <c r="G391" s="35"/>
      <c r="H391" s="35"/>
      <c r="I391" s="35"/>
      <c r="J391" s="35"/>
      <c r="K391" s="35"/>
      <c r="L391" s="35"/>
      <c r="M391" s="35"/>
      <c r="N391" s="35"/>
      <c r="O391" s="35"/>
      <c r="P391" s="35"/>
      <c r="Q391" s="43"/>
      <c r="R391" s="35"/>
      <c r="S391" s="35"/>
      <c r="T391" s="35"/>
      <c r="U391" s="138"/>
      <c r="V391" s="35"/>
      <c r="W391" s="35"/>
      <c r="X391" s="35"/>
      <c r="Y391" s="35"/>
      <c r="Z391" s="35"/>
      <c r="AA391" s="35"/>
      <c r="AB391" s="218"/>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row>
    <row r="392">
      <c r="A392" s="35"/>
      <c r="B392" s="35"/>
      <c r="C392" s="35"/>
      <c r="D392" s="35"/>
      <c r="E392" s="35"/>
      <c r="F392" s="35"/>
      <c r="G392" s="35"/>
      <c r="H392" s="35"/>
      <c r="I392" s="35"/>
      <c r="J392" s="35"/>
      <c r="K392" s="35"/>
      <c r="L392" s="35"/>
      <c r="M392" s="35"/>
      <c r="N392" s="35"/>
      <c r="O392" s="35"/>
      <c r="P392" s="35"/>
      <c r="Q392" s="43"/>
      <c r="R392" s="35"/>
      <c r="S392" s="35"/>
      <c r="T392" s="35"/>
      <c r="U392" s="138"/>
      <c r="V392" s="35"/>
      <c r="W392" s="35"/>
      <c r="X392" s="35"/>
      <c r="Y392" s="35"/>
      <c r="Z392" s="35"/>
      <c r="AA392" s="35"/>
      <c r="AB392" s="218"/>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row>
    <row r="393">
      <c r="A393" s="35"/>
      <c r="B393" s="35"/>
      <c r="C393" s="35"/>
      <c r="D393" s="35"/>
      <c r="E393" s="35"/>
      <c r="F393" s="35"/>
      <c r="G393" s="35"/>
      <c r="H393" s="35"/>
      <c r="I393" s="35"/>
      <c r="J393" s="35"/>
      <c r="K393" s="35"/>
      <c r="L393" s="35"/>
      <c r="M393" s="35"/>
      <c r="N393" s="35"/>
      <c r="O393" s="35"/>
      <c r="P393" s="35"/>
      <c r="Q393" s="43"/>
      <c r="R393" s="35"/>
      <c r="S393" s="35"/>
      <c r="T393" s="35"/>
      <c r="U393" s="138"/>
      <c r="V393" s="35"/>
      <c r="W393" s="35"/>
      <c r="X393" s="35"/>
      <c r="Y393" s="35"/>
      <c r="Z393" s="35"/>
      <c r="AA393" s="35"/>
      <c r="AB393" s="218"/>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row>
    <row r="394">
      <c r="A394" s="35"/>
      <c r="B394" s="35"/>
      <c r="C394" s="35"/>
      <c r="D394" s="35"/>
      <c r="E394" s="35"/>
      <c r="F394" s="35"/>
      <c r="G394" s="35"/>
      <c r="H394" s="35"/>
      <c r="I394" s="35"/>
      <c r="J394" s="35"/>
      <c r="K394" s="35"/>
      <c r="L394" s="35"/>
      <c r="M394" s="35"/>
      <c r="N394" s="35"/>
      <c r="O394" s="35"/>
      <c r="P394" s="35"/>
      <c r="Q394" s="43"/>
      <c r="R394" s="35"/>
      <c r="S394" s="35"/>
      <c r="T394" s="35"/>
      <c r="U394" s="138"/>
      <c r="V394" s="35"/>
      <c r="W394" s="35"/>
      <c r="X394" s="35"/>
      <c r="Y394" s="35"/>
      <c r="Z394" s="35"/>
      <c r="AA394" s="35"/>
      <c r="AB394" s="218"/>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row>
    <row r="395">
      <c r="A395" s="35"/>
      <c r="B395" s="35"/>
      <c r="C395" s="35"/>
      <c r="D395" s="35"/>
      <c r="E395" s="35"/>
      <c r="F395" s="35"/>
      <c r="G395" s="35"/>
      <c r="H395" s="35"/>
      <c r="I395" s="35"/>
      <c r="J395" s="35"/>
      <c r="K395" s="35"/>
      <c r="L395" s="35"/>
      <c r="M395" s="35"/>
      <c r="N395" s="35"/>
      <c r="O395" s="35"/>
      <c r="P395" s="35"/>
      <c r="Q395" s="43"/>
      <c r="R395" s="35"/>
      <c r="S395" s="35"/>
      <c r="T395" s="35"/>
      <c r="U395" s="138"/>
      <c r="V395" s="35"/>
      <c r="W395" s="35"/>
      <c r="X395" s="35"/>
      <c r="Y395" s="35"/>
      <c r="Z395" s="35"/>
      <c r="AA395" s="35"/>
      <c r="AB395" s="218"/>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row>
    <row r="396">
      <c r="A396" s="35"/>
      <c r="B396" s="35"/>
      <c r="C396" s="35"/>
      <c r="D396" s="35"/>
      <c r="E396" s="35"/>
      <c r="F396" s="35"/>
      <c r="G396" s="35"/>
      <c r="H396" s="35"/>
      <c r="I396" s="35"/>
      <c r="J396" s="35"/>
      <c r="K396" s="35"/>
      <c r="L396" s="35"/>
      <c r="M396" s="35"/>
      <c r="N396" s="35"/>
      <c r="O396" s="35"/>
      <c r="P396" s="35"/>
      <c r="Q396" s="43"/>
      <c r="R396" s="35"/>
      <c r="S396" s="35"/>
      <c r="T396" s="35"/>
      <c r="U396" s="138"/>
      <c r="V396" s="35"/>
      <c r="W396" s="35"/>
      <c r="X396" s="35"/>
      <c r="Y396" s="35"/>
      <c r="Z396" s="35"/>
      <c r="AA396" s="35"/>
      <c r="AB396" s="218"/>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row>
    <row r="397">
      <c r="A397" s="35"/>
      <c r="B397" s="35"/>
      <c r="C397" s="35"/>
      <c r="D397" s="35"/>
      <c r="E397" s="35"/>
      <c r="F397" s="35"/>
      <c r="G397" s="35"/>
      <c r="H397" s="35"/>
      <c r="I397" s="35"/>
      <c r="J397" s="35"/>
      <c r="K397" s="35"/>
      <c r="L397" s="35"/>
      <c r="M397" s="35"/>
      <c r="N397" s="35"/>
      <c r="O397" s="35"/>
      <c r="P397" s="35"/>
      <c r="Q397" s="43"/>
      <c r="R397" s="35"/>
      <c r="S397" s="35"/>
      <c r="T397" s="35"/>
      <c r="U397" s="138"/>
      <c r="V397" s="35"/>
      <c r="W397" s="35"/>
      <c r="X397" s="35"/>
      <c r="Y397" s="35"/>
      <c r="Z397" s="35"/>
      <c r="AA397" s="35"/>
      <c r="AB397" s="218"/>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row>
    <row r="398">
      <c r="A398" s="35"/>
      <c r="B398" s="35"/>
      <c r="C398" s="35"/>
      <c r="D398" s="35"/>
      <c r="E398" s="35"/>
      <c r="F398" s="35"/>
      <c r="G398" s="35"/>
      <c r="H398" s="35"/>
      <c r="I398" s="35"/>
      <c r="J398" s="35"/>
      <c r="K398" s="35"/>
      <c r="L398" s="35"/>
      <c r="M398" s="35"/>
      <c r="N398" s="35"/>
      <c r="O398" s="35"/>
      <c r="P398" s="35"/>
      <c r="Q398" s="43"/>
      <c r="R398" s="35"/>
      <c r="S398" s="35"/>
      <c r="T398" s="35"/>
      <c r="U398" s="138"/>
      <c r="V398" s="35"/>
      <c r="W398" s="35"/>
      <c r="X398" s="35"/>
      <c r="Y398" s="35"/>
      <c r="Z398" s="35"/>
      <c r="AA398" s="35"/>
      <c r="AB398" s="218"/>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row>
    <row r="399">
      <c r="A399" s="35"/>
      <c r="B399" s="35"/>
      <c r="C399" s="35"/>
      <c r="D399" s="35"/>
      <c r="E399" s="35"/>
      <c r="F399" s="35"/>
      <c r="G399" s="35"/>
      <c r="H399" s="35"/>
      <c r="I399" s="35"/>
      <c r="J399" s="35"/>
      <c r="K399" s="35"/>
      <c r="L399" s="35"/>
      <c r="M399" s="35"/>
      <c r="N399" s="35"/>
      <c r="O399" s="35"/>
      <c r="P399" s="35"/>
      <c r="Q399" s="43"/>
      <c r="R399" s="35"/>
      <c r="S399" s="35"/>
      <c r="T399" s="35"/>
      <c r="U399" s="138"/>
      <c r="V399" s="35"/>
      <c r="W399" s="35"/>
      <c r="X399" s="35"/>
      <c r="Y399" s="35"/>
      <c r="Z399" s="35"/>
      <c r="AA399" s="35"/>
      <c r="AB399" s="218"/>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row>
    <row r="400">
      <c r="A400" s="35"/>
      <c r="B400" s="35"/>
      <c r="C400" s="35"/>
      <c r="D400" s="35"/>
      <c r="E400" s="35"/>
      <c r="F400" s="35"/>
      <c r="G400" s="35"/>
      <c r="H400" s="35"/>
      <c r="I400" s="35"/>
      <c r="J400" s="35"/>
      <c r="K400" s="35"/>
      <c r="L400" s="35"/>
      <c r="M400" s="35"/>
      <c r="N400" s="35"/>
      <c r="O400" s="35"/>
      <c r="P400" s="35"/>
      <c r="Q400" s="43"/>
      <c r="R400" s="35"/>
      <c r="S400" s="35"/>
      <c r="T400" s="35"/>
      <c r="U400" s="138"/>
      <c r="V400" s="35"/>
      <c r="W400" s="35"/>
      <c r="X400" s="35"/>
      <c r="Y400" s="35"/>
      <c r="Z400" s="35"/>
      <c r="AA400" s="35"/>
      <c r="AB400" s="218"/>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row>
    <row r="401">
      <c r="A401" s="35"/>
      <c r="B401" s="35"/>
      <c r="C401" s="35"/>
      <c r="D401" s="35"/>
      <c r="E401" s="35"/>
      <c r="F401" s="35"/>
      <c r="G401" s="35"/>
      <c r="H401" s="35"/>
      <c r="I401" s="35"/>
      <c r="J401" s="35"/>
      <c r="K401" s="35"/>
      <c r="L401" s="35"/>
      <c r="M401" s="35"/>
      <c r="N401" s="35"/>
      <c r="O401" s="35"/>
      <c r="P401" s="35"/>
      <c r="Q401" s="43"/>
      <c r="R401" s="35"/>
      <c r="S401" s="35"/>
      <c r="T401" s="35"/>
      <c r="U401" s="138"/>
      <c r="V401" s="35"/>
      <c r="W401" s="35"/>
      <c r="X401" s="35"/>
      <c r="Y401" s="35"/>
      <c r="Z401" s="35"/>
      <c r="AA401" s="35"/>
      <c r="AB401" s="218"/>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row>
    <row r="402">
      <c r="A402" s="35"/>
      <c r="B402" s="35"/>
      <c r="C402" s="35"/>
      <c r="D402" s="35"/>
      <c r="E402" s="35"/>
      <c r="F402" s="35"/>
      <c r="G402" s="35"/>
      <c r="H402" s="35"/>
      <c r="I402" s="35"/>
      <c r="J402" s="35"/>
      <c r="K402" s="35"/>
      <c r="L402" s="35"/>
      <c r="M402" s="35"/>
      <c r="N402" s="35"/>
      <c r="O402" s="35"/>
      <c r="P402" s="35"/>
      <c r="Q402" s="43"/>
      <c r="R402" s="35"/>
      <c r="S402" s="35"/>
      <c r="T402" s="35"/>
      <c r="U402" s="138"/>
      <c r="V402" s="35"/>
      <c r="W402" s="35"/>
      <c r="X402" s="35"/>
      <c r="Y402" s="35"/>
      <c r="Z402" s="35"/>
      <c r="AA402" s="35"/>
      <c r="AB402" s="218"/>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row>
    <row r="403">
      <c r="A403" s="35"/>
      <c r="B403" s="35"/>
      <c r="C403" s="35"/>
      <c r="D403" s="35"/>
      <c r="E403" s="35"/>
      <c r="F403" s="35"/>
      <c r="G403" s="35"/>
      <c r="H403" s="35"/>
      <c r="I403" s="35"/>
      <c r="J403" s="35"/>
      <c r="K403" s="35"/>
      <c r="L403" s="35"/>
      <c r="M403" s="35"/>
      <c r="N403" s="35"/>
      <c r="O403" s="35"/>
      <c r="P403" s="35"/>
      <c r="Q403" s="43"/>
      <c r="R403" s="35"/>
      <c r="S403" s="35"/>
      <c r="T403" s="35"/>
      <c r="U403" s="138"/>
      <c r="V403" s="35"/>
      <c r="W403" s="35"/>
      <c r="X403" s="35"/>
      <c r="Y403" s="35"/>
      <c r="Z403" s="35"/>
      <c r="AA403" s="35"/>
      <c r="AB403" s="218"/>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row>
    <row r="404">
      <c r="A404" s="35"/>
      <c r="B404" s="35"/>
      <c r="C404" s="35"/>
      <c r="D404" s="35"/>
      <c r="E404" s="35"/>
      <c r="F404" s="35"/>
      <c r="G404" s="35"/>
      <c r="H404" s="35"/>
      <c r="I404" s="35"/>
      <c r="J404" s="35"/>
      <c r="K404" s="35"/>
      <c r="L404" s="35"/>
      <c r="M404" s="35"/>
      <c r="N404" s="35"/>
      <c r="O404" s="35"/>
      <c r="P404" s="35"/>
      <c r="Q404" s="43"/>
      <c r="R404" s="35"/>
      <c r="S404" s="35"/>
      <c r="T404" s="35"/>
      <c r="U404" s="138"/>
      <c r="V404" s="35"/>
      <c r="W404" s="35"/>
      <c r="X404" s="35"/>
      <c r="Y404" s="35"/>
      <c r="Z404" s="35"/>
      <c r="AA404" s="35"/>
      <c r="AB404" s="218"/>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row>
    <row r="405">
      <c r="A405" s="35"/>
      <c r="B405" s="35"/>
      <c r="C405" s="35"/>
      <c r="D405" s="35"/>
      <c r="E405" s="35"/>
      <c r="F405" s="35"/>
      <c r="G405" s="35"/>
      <c r="H405" s="35"/>
      <c r="I405" s="35"/>
      <c r="J405" s="35"/>
      <c r="K405" s="35"/>
      <c r="L405" s="35"/>
      <c r="M405" s="35"/>
      <c r="N405" s="35"/>
      <c r="O405" s="35"/>
      <c r="P405" s="35"/>
      <c r="Q405" s="43"/>
      <c r="R405" s="35"/>
      <c r="S405" s="35"/>
      <c r="T405" s="35"/>
      <c r="U405" s="138"/>
      <c r="V405" s="35"/>
      <c r="W405" s="35"/>
      <c r="X405" s="35"/>
      <c r="Y405" s="35"/>
      <c r="Z405" s="35"/>
      <c r="AA405" s="35"/>
      <c r="AB405" s="218"/>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row>
    <row r="406">
      <c r="A406" s="35"/>
      <c r="B406" s="35"/>
      <c r="C406" s="35"/>
      <c r="D406" s="35"/>
      <c r="E406" s="35"/>
      <c r="F406" s="35"/>
      <c r="G406" s="35"/>
      <c r="H406" s="35"/>
      <c r="I406" s="35"/>
      <c r="J406" s="35"/>
      <c r="K406" s="35"/>
      <c r="L406" s="35"/>
      <c r="M406" s="35"/>
      <c r="N406" s="35"/>
      <c r="O406" s="35"/>
      <c r="P406" s="35"/>
      <c r="Q406" s="43"/>
      <c r="R406" s="35"/>
      <c r="S406" s="35"/>
      <c r="T406" s="35"/>
      <c r="U406" s="138"/>
      <c r="V406" s="35"/>
      <c r="W406" s="35"/>
      <c r="X406" s="35"/>
      <c r="Y406" s="35"/>
      <c r="Z406" s="35"/>
      <c r="AA406" s="35"/>
      <c r="AB406" s="218"/>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row>
    <row r="407">
      <c r="A407" s="35"/>
      <c r="B407" s="35"/>
      <c r="C407" s="35"/>
      <c r="D407" s="35"/>
      <c r="E407" s="35"/>
      <c r="F407" s="35"/>
      <c r="G407" s="35"/>
      <c r="H407" s="35"/>
      <c r="I407" s="35"/>
      <c r="J407" s="35"/>
      <c r="K407" s="35"/>
      <c r="L407" s="35"/>
      <c r="M407" s="35"/>
      <c r="N407" s="35"/>
      <c r="O407" s="35"/>
      <c r="P407" s="35"/>
      <c r="Q407" s="43"/>
      <c r="R407" s="35"/>
      <c r="S407" s="35"/>
      <c r="T407" s="35"/>
      <c r="U407" s="138"/>
      <c r="V407" s="35"/>
      <c r="W407" s="35"/>
      <c r="X407" s="35"/>
      <c r="Y407" s="35"/>
      <c r="Z407" s="35"/>
      <c r="AA407" s="35"/>
      <c r="AB407" s="218"/>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row>
    <row r="408">
      <c r="A408" s="35"/>
      <c r="B408" s="35"/>
      <c r="C408" s="35"/>
      <c r="D408" s="35"/>
      <c r="E408" s="35"/>
      <c r="F408" s="35"/>
      <c r="G408" s="35"/>
      <c r="H408" s="35"/>
      <c r="I408" s="35"/>
      <c r="J408" s="35"/>
      <c r="K408" s="35"/>
      <c r="L408" s="35"/>
      <c r="M408" s="35"/>
      <c r="N408" s="35"/>
      <c r="O408" s="35"/>
      <c r="P408" s="35"/>
      <c r="Q408" s="43"/>
      <c r="R408" s="35"/>
      <c r="S408" s="35"/>
      <c r="T408" s="35"/>
      <c r="U408" s="138"/>
      <c r="V408" s="35"/>
      <c r="W408" s="35"/>
      <c r="X408" s="35"/>
      <c r="Y408" s="35"/>
      <c r="Z408" s="35"/>
      <c r="AA408" s="35"/>
      <c r="AB408" s="218"/>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row>
    <row r="409">
      <c r="A409" s="35"/>
      <c r="B409" s="35"/>
      <c r="C409" s="35"/>
      <c r="D409" s="35"/>
      <c r="E409" s="35"/>
      <c r="F409" s="35"/>
      <c r="G409" s="35"/>
      <c r="H409" s="35"/>
      <c r="I409" s="35"/>
      <c r="J409" s="35"/>
      <c r="K409" s="35"/>
      <c r="L409" s="35"/>
      <c r="M409" s="35"/>
      <c r="N409" s="35"/>
      <c r="O409" s="35"/>
      <c r="P409" s="35"/>
      <c r="Q409" s="43"/>
      <c r="R409" s="35"/>
      <c r="S409" s="35"/>
      <c r="T409" s="35"/>
      <c r="U409" s="138"/>
      <c r="V409" s="35"/>
      <c r="W409" s="35"/>
      <c r="X409" s="35"/>
      <c r="Y409" s="35"/>
      <c r="Z409" s="35"/>
      <c r="AA409" s="35"/>
      <c r="AB409" s="218"/>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row>
    <row r="410">
      <c r="A410" s="35"/>
      <c r="B410" s="35"/>
      <c r="C410" s="35"/>
      <c r="D410" s="35"/>
      <c r="E410" s="35"/>
      <c r="F410" s="35"/>
      <c r="G410" s="35"/>
      <c r="H410" s="35"/>
      <c r="I410" s="35"/>
      <c r="J410" s="35"/>
      <c r="K410" s="35"/>
      <c r="L410" s="35"/>
      <c r="M410" s="35"/>
      <c r="N410" s="35"/>
      <c r="O410" s="35"/>
      <c r="P410" s="35"/>
      <c r="Q410" s="43"/>
      <c r="R410" s="35"/>
      <c r="S410" s="35"/>
      <c r="T410" s="35"/>
      <c r="U410" s="138"/>
      <c r="V410" s="35"/>
      <c r="W410" s="35"/>
      <c r="X410" s="35"/>
      <c r="Y410" s="35"/>
      <c r="Z410" s="35"/>
      <c r="AA410" s="35"/>
      <c r="AB410" s="218"/>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row>
    <row r="411">
      <c r="A411" s="35"/>
      <c r="B411" s="35"/>
      <c r="C411" s="35"/>
      <c r="D411" s="35"/>
      <c r="E411" s="35"/>
      <c r="F411" s="35"/>
      <c r="G411" s="35"/>
      <c r="H411" s="35"/>
      <c r="I411" s="35"/>
      <c r="J411" s="35"/>
      <c r="K411" s="35"/>
      <c r="L411" s="35"/>
      <c r="M411" s="35"/>
      <c r="N411" s="35"/>
      <c r="O411" s="35"/>
      <c r="P411" s="35"/>
      <c r="Q411" s="43"/>
      <c r="R411" s="35"/>
      <c r="S411" s="35"/>
      <c r="T411" s="35"/>
      <c r="U411" s="138"/>
      <c r="V411" s="35"/>
      <c r="W411" s="35"/>
      <c r="X411" s="35"/>
      <c r="Y411" s="35"/>
      <c r="Z411" s="35"/>
      <c r="AA411" s="35"/>
      <c r="AB411" s="218"/>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row>
    <row r="412">
      <c r="A412" s="35"/>
      <c r="B412" s="35"/>
      <c r="C412" s="35"/>
      <c r="D412" s="35"/>
      <c r="E412" s="35"/>
      <c r="F412" s="35"/>
      <c r="G412" s="35"/>
      <c r="H412" s="35"/>
      <c r="I412" s="35"/>
      <c r="J412" s="35"/>
      <c r="K412" s="35"/>
      <c r="L412" s="35"/>
      <c r="M412" s="35"/>
      <c r="N412" s="35"/>
      <c r="O412" s="35"/>
      <c r="P412" s="35"/>
      <c r="Q412" s="43"/>
      <c r="R412" s="35"/>
      <c r="S412" s="35"/>
      <c r="T412" s="35"/>
      <c r="U412" s="138"/>
      <c r="V412" s="35"/>
      <c r="W412" s="35"/>
      <c r="X412" s="35"/>
      <c r="Y412" s="35"/>
      <c r="Z412" s="35"/>
      <c r="AA412" s="35"/>
      <c r="AB412" s="218"/>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row>
    <row r="413">
      <c r="A413" s="35"/>
      <c r="B413" s="35"/>
      <c r="C413" s="35"/>
      <c r="D413" s="35"/>
      <c r="E413" s="35"/>
      <c r="F413" s="35"/>
      <c r="G413" s="35"/>
      <c r="H413" s="35"/>
      <c r="I413" s="35"/>
      <c r="J413" s="35"/>
      <c r="K413" s="35"/>
      <c r="L413" s="35"/>
      <c r="M413" s="35"/>
      <c r="N413" s="35"/>
      <c r="O413" s="35"/>
      <c r="P413" s="35"/>
      <c r="Q413" s="43"/>
      <c r="R413" s="35"/>
      <c r="S413" s="35"/>
      <c r="T413" s="35"/>
      <c r="U413" s="138"/>
      <c r="V413" s="35"/>
      <c r="W413" s="35"/>
      <c r="X413" s="35"/>
      <c r="Y413" s="35"/>
      <c r="Z413" s="35"/>
      <c r="AA413" s="35"/>
      <c r="AB413" s="218"/>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row>
    <row r="414">
      <c r="A414" s="35"/>
      <c r="B414" s="35"/>
      <c r="C414" s="35"/>
      <c r="D414" s="35"/>
      <c r="E414" s="35"/>
      <c r="F414" s="35"/>
      <c r="G414" s="35"/>
      <c r="H414" s="35"/>
      <c r="I414" s="35"/>
      <c r="J414" s="35"/>
      <c r="K414" s="35"/>
      <c r="L414" s="35"/>
      <c r="M414" s="35"/>
      <c r="N414" s="35"/>
      <c r="O414" s="35"/>
      <c r="P414" s="35"/>
      <c r="Q414" s="43"/>
      <c r="R414" s="35"/>
      <c r="S414" s="35"/>
      <c r="T414" s="35"/>
      <c r="U414" s="138"/>
      <c r="V414" s="35"/>
      <c r="W414" s="35"/>
      <c r="X414" s="35"/>
      <c r="Y414" s="35"/>
      <c r="Z414" s="35"/>
      <c r="AA414" s="35"/>
      <c r="AB414" s="218"/>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row>
    <row r="415">
      <c r="A415" s="35"/>
      <c r="B415" s="35"/>
      <c r="C415" s="35"/>
      <c r="D415" s="35"/>
      <c r="E415" s="35"/>
      <c r="F415" s="35"/>
      <c r="G415" s="35"/>
      <c r="H415" s="35"/>
      <c r="I415" s="35"/>
      <c r="J415" s="35"/>
      <c r="K415" s="35"/>
      <c r="L415" s="35"/>
      <c r="M415" s="35"/>
      <c r="N415" s="35"/>
      <c r="O415" s="35"/>
      <c r="P415" s="35"/>
      <c r="Q415" s="43"/>
      <c r="R415" s="35"/>
      <c r="S415" s="35"/>
      <c r="T415" s="35"/>
      <c r="U415" s="138"/>
      <c r="V415" s="35"/>
      <c r="W415" s="35"/>
      <c r="X415" s="35"/>
      <c r="Y415" s="35"/>
      <c r="Z415" s="35"/>
      <c r="AA415" s="35"/>
      <c r="AB415" s="218"/>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row>
    <row r="416">
      <c r="A416" s="35"/>
      <c r="B416" s="35"/>
      <c r="C416" s="35"/>
      <c r="D416" s="35"/>
      <c r="E416" s="35"/>
      <c r="F416" s="35"/>
      <c r="G416" s="35"/>
      <c r="H416" s="35"/>
      <c r="I416" s="35"/>
      <c r="J416" s="35"/>
      <c r="K416" s="35"/>
      <c r="L416" s="35"/>
      <c r="M416" s="35"/>
      <c r="N416" s="35"/>
      <c r="O416" s="35"/>
      <c r="P416" s="35"/>
      <c r="Q416" s="43"/>
      <c r="R416" s="35"/>
      <c r="S416" s="35"/>
      <c r="T416" s="35"/>
      <c r="U416" s="138"/>
      <c r="V416" s="35"/>
      <c r="W416" s="35"/>
      <c r="X416" s="35"/>
      <c r="Y416" s="35"/>
      <c r="Z416" s="35"/>
      <c r="AA416" s="35"/>
      <c r="AB416" s="218"/>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row>
    <row r="417">
      <c r="A417" s="35"/>
      <c r="B417" s="35"/>
      <c r="C417" s="35"/>
      <c r="D417" s="35"/>
      <c r="E417" s="35"/>
      <c r="F417" s="35"/>
      <c r="G417" s="35"/>
      <c r="H417" s="35"/>
      <c r="I417" s="35"/>
      <c r="J417" s="35"/>
      <c r="K417" s="35"/>
      <c r="L417" s="35"/>
      <c r="M417" s="35"/>
      <c r="N417" s="35"/>
      <c r="O417" s="35"/>
      <c r="P417" s="35"/>
      <c r="Q417" s="43"/>
      <c r="R417" s="35"/>
      <c r="S417" s="35"/>
      <c r="T417" s="35"/>
      <c r="U417" s="138"/>
      <c r="V417" s="35"/>
      <c r="W417" s="35"/>
      <c r="X417" s="35"/>
      <c r="Y417" s="35"/>
      <c r="Z417" s="35"/>
      <c r="AA417" s="35"/>
      <c r="AB417" s="218"/>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row>
    <row r="418">
      <c r="A418" s="35"/>
      <c r="B418" s="35"/>
      <c r="C418" s="35"/>
      <c r="D418" s="35"/>
      <c r="E418" s="35"/>
      <c r="F418" s="35"/>
      <c r="G418" s="35"/>
      <c r="H418" s="35"/>
      <c r="I418" s="35"/>
      <c r="J418" s="35"/>
      <c r="K418" s="35"/>
      <c r="L418" s="35"/>
      <c r="M418" s="35"/>
      <c r="N418" s="35"/>
      <c r="O418" s="35"/>
      <c r="P418" s="35"/>
      <c r="Q418" s="43"/>
      <c r="R418" s="35"/>
      <c r="S418" s="35"/>
      <c r="T418" s="35"/>
      <c r="U418" s="138"/>
      <c r="V418" s="35"/>
      <c r="W418" s="35"/>
      <c r="X418" s="35"/>
      <c r="Y418" s="35"/>
      <c r="Z418" s="35"/>
      <c r="AA418" s="35"/>
      <c r="AB418" s="218"/>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row>
    <row r="419">
      <c r="A419" s="35"/>
      <c r="B419" s="35"/>
      <c r="C419" s="35"/>
      <c r="D419" s="35"/>
      <c r="E419" s="35"/>
      <c r="F419" s="35"/>
      <c r="G419" s="35"/>
      <c r="H419" s="35"/>
      <c r="I419" s="35"/>
      <c r="J419" s="35"/>
      <c r="K419" s="35"/>
      <c r="L419" s="35"/>
      <c r="M419" s="35"/>
      <c r="N419" s="35"/>
      <c r="O419" s="35"/>
      <c r="P419" s="35"/>
      <c r="Q419" s="43"/>
      <c r="R419" s="35"/>
      <c r="S419" s="35"/>
      <c r="T419" s="35"/>
      <c r="U419" s="138"/>
      <c r="V419" s="35"/>
      <c r="W419" s="35"/>
      <c r="X419" s="35"/>
      <c r="Y419" s="35"/>
      <c r="Z419" s="35"/>
      <c r="AA419" s="35"/>
      <c r="AB419" s="218"/>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row>
    <row r="420">
      <c r="A420" s="35"/>
      <c r="B420" s="35"/>
      <c r="C420" s="35"/>
      <c r="D420" s="35"/>
      <c r="E420" s="35"/>
      <c r="F420" s="35"/>
      <c r="G420" s="35"/>
      <c r="H420" s="35"/>
      <c r="I420" s="35"/>
      <c r="J420" s="35"/>
      <c r="K420" s="35"/>
      <c r="L420" s="35"/>
      <c r="M420" s="35"/>
      <c r="N420" s="35"/>
      <c r="O420" s="35"/>
      <c r="P420" s="35"/>
      <c r="Q420" s="43"/>
      <c r="R420" s="35"/>
      <c r="S420" s="35"/>
      <c r="T420" s="35"/>
      <c r="U420" s="138"/>
      <c r="V420" s="35"/>
      <c r="W420" s="35"/>
      <c r="X420" s="35"/>
      <c r="Y420" s="35"/>
      <c r="Z420" s="35"/>
      <c r="AA420" s="35"/>
      <c r="AB420" s="218"/>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row>
    <row r="421">
      <c r="A421" s="35"/>
      <c r="B421" s="35"/>
      <c r="C421" s="35"/>
      <c r="D421" s="35"/>
      <c r="E421" s="35"/>
      <c r="F421" s="35"/>
      <c r="G421" s="35"/>
      <c r="H421" s="35"/>
      <c r="I421" s="35"/>
      <c r="J421" s="35"/>
      <c r="K421" s="35"/>
      <c r="L421" s="35"/>
      <c r="M421" s="35"/>
      <c r="N421" s="35"/>
      <c r="O421" s="35"/>
      <c r="P421" s="35"/>
      <c r="Q421" s="43"/>
      <c r="R421" s="35"/>
      <c r="S421" s="35"/>
      <c r="T421" s="35"/>
      <c r="U421" s="138"/>
      <c r="V421" s="35"/>
      <c r="W421" s="35"/>
      <c r="X421" s="35"/>
      <c r="Y421" s="35"/>
      <c r="Z421" s="35"/>
      <c r="AA421" s="35"/>
      <c r="AB421" s="218"/>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row>
    <row r="422">
      <c r="A422" s="35"/>
      <c r="B422" s="35"/>
      <c r="C422" s="35"/>
      <c r="D422" s="35"/>
      <c r="E422" s="35"/>
      <c r="F422" s="35"/>
      <c r="G422" s="35"/>
      <c r="H422" s="35"/>
      <c r="I422" s="35"/>
      <c r="J422" s="35"/>
      <c r="K422" s="35"/>
      <c r="L422" s="35"/>
      <c r="M422" s="35"/>
      <c r="N422" s="35"/>
      <c r="O422" s="35"/>
      <c r="P422" s="35"/>
      <c r="Q422" s="43"/>
      <c r="R422" s="35"/>
      <c r="S422" s="35"/>
      <c r="T422" s="35"/>
      <c r="U422" s="138"/>
      <c r="V422" s="35"/>
      <c r="W422" s="35"/>
      <c r="X422" s="35"/>
      <c r="Y422" s="35"/>
      <c r="Z422" s="35"/>
      <c r="AA422" s="35"/>
      <c r="AB422" s="218"/>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row>
    <row r="423">
      <c r="A423" s="35"/>
      <c r="B423" s="35"/>
      <c r="C423" s="35"/>
      <c r="D423" s="35"/>
      <c r="E423" s="35"/>
      <c r="F423" s="35"/>
      <c r="G423" s="35"/>
      <c r="H423" s="35"/>
      <c r="I423" s="35"/>
      <c r="J423" s="35"/>
      <c r="K423" s="35"/>
      <c r="L423" s="35"/>
      <c r="M423" s="35"/>
      <c r="N423" s="35"/>
      <c r="O423" s="35"/>
      <c r="P423" s="35"/>
      <c r="Q423" s="43"/>
      <c r="R423" s="35"/>
      <c r="S423" s="35"/>
      <c r="T423" s="35"/>
      <c r="U423" s="138"/>
      <c r="V423" s="35"/>
      <c r="W423" s="35"/>
      <c r="X423" s="35"/>
      <c r="Y423" s="35"/>
      <c r="Z423" s="35"/>
      <c r="AA423" s="35"/>
      <c r="AB423" s="218"/>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row>
    <row r="424">
      <c r="A424" s="35"/>
      <c r="B424" s="35"/>
      <c r="C424" s="35"/>
      <c r="D424" s="35"/>
      <c r="E424" s="35"/>
      <c r="F424" s="35"/>
      <c r="G424" s="35"/>
      <c r="H424" s="35"/>
      <c r="I424" s="35"/>
      <c r="J424" s="35"/>
      <c r="K424" s="35"/>
      <c r="L424" s="35"/>
      <c r="M424" s="35"/>
      <c r="N424" s="35"/>
      <c r="O424" s="35"/>
      <c r="P424" s="35"/>
      <c r="Q424" s="43"/>
      <c r="R424" s="35"/>
      <c r="S424" s="35"/>
      <c r="T424" s="35"/>
      <c r="U424" s="138"/>
      <c r="V424" s="35"/>
      <c r="W424" s="35"/>
      <c r="X424" s="35"/>
      <c r="Y424" s="35"/>
      <c r="Z424" s="35"/>
      <c r="AA424" s="35"/>
      <c r="AB424" s="218"/>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row>
    <row r="425">
      <c r="A425" s="35"/>
      <c r="B425" s="35"/>
      <c r="C425" s="35"/>
      <c r="D425" s="35"/>
      <c r="E425" s="35"/>
      <c r="F425" s="35"/>
      <c r="G425" s="35"/>
      <c r="H425" s="35"/>
      <c r="I425" s="35"/>
      <c r="J425" s="35"/>
      <c r="K425" s="35"/>
      <c r="L425" s="35"/>
      <c r="M425" s="35"/>
      <c r="N425" s="35"/>
      <c r="O425" s="35"/>
      <c r="P425" s="35"/>
      <c r="Q425" s="43"/>
      <c r="R425" s="35"/>
      <c r="S425" s="35"/>
      <c r="T425" s="35"/>
      <c r="U425" s="138"/>
      <c r="V425" s="35"/>
      <c r="W425" s="35"/>
      <c r="X425" s="35"/>
      <c r="Y425" s="35"/>
      <c r="Z425" s="35"/>
      <c r="AA425" s="35"/>
      <c r="AB425" s="218"/>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row>
    <row r="426">
      <c r="A426" s="35"/>
      <c r="B426" s="35"/>
      <c r="C426" s="35"/>
      <c r="D426" s="35"/>
      <c r="E426" s="35"/>
      <c r="F426" s="35"/>
      <c r="G426" s="35"/>
      <c r="H426" s="35"/>
      <c r="I426" s="35"/>
      <c r="J426" s="35"/>
      <c r="K426" s="35"/>
      <c r="L426" s="35"/>
      <c r="M426" s="35"/>
      <c r="N426" s="35"/>
      <c r="O426" s="35"/>
      <c r="P426" s="35"/>
      <c r="Q426" s="43"/>
      <c r="R426" s="35"/>
      <c r="S426" s="35"/>
      <c r="T426" s="35"/>
      <c r="U426" s="138"/>
      <c r="V426" s="35"/>
      <c r="W426" s="35"/>
      <c r="X426" s="35"/>
      <c r="Y426" s="35"/>
      <c r="Z426" s="35"/>
      <c r="AA426" s="35"/>
      <c r="AB426" s="218"/>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row>
    <row r="427">
      <c r="A427" s="35"/>
      <c r="B427" s="35"/>
      <c r="C427" s="35"/>
      <c r="D427" s="35"/>
      <c r="E427" s="35"/>
      <c r="F427" s="35"/>
      <c r="G427" s="35"/>
      <c r="H427" s="35"/>
      <c r="I427" s="35"/>
      <c r="J427" s="35"/>
      <c r="K427" s="35"/>
      <c r="L427" s="35"/>
      <c r="M427" s="35"/>
      <c r="N427" s="35"/>
      <c r="O427" s="35"/>
      <c r="P427" s="35"/>
      <c r="Q427" s="43"/>
      <c r="R427" s="35"/>
      <c r="S427" s="35"/>
      <c r="T427" s="35"/>
      <c r="U427" s="138"/>
      <c r="V427" s="35"/>
      <c r="W427" s="35"/>
      <c r="X427" s="35"/>
      <c r="Y427" s="35"/>
      <c r="Z427" s="35"/>
      <c r="AA427" s="35"/>
      <c r="AB427" s="218"/>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row>
    <row r="428">
      <c r="A428" s="35"/>
      <c r="B428" s="35"/>
      <c r="C428" s="35"/>
      <c r="D428" s="35"/>
      <c r="E428" s="35"/>
      <c r="F428" s="35"/>
      <c r="G428" s="35"/>
      <c r="H428" s="35"/>
      <c r="I428" s="35"/>
      <c r="J428" s="35"/>
      <c r="K428" s="35"/>
      <c r="L428" s="35"/>
      <c r="M428" s="35"/>
      <c r="N428" s="35"/>
      <c r="O428" s="35"/>
      <c r="P428" s="35"/>
      <c r="Q428" s="43"/>
      <c r="R428" s="35"/>
      <c r="S428" s="35"/>
      <c r="T428" s="35"/>
      <c r="U428" s="138"/>
      <c r="V428" s="35"/>
      <c r="W428" s="35"/>
      <c r="X428" s="35"/>
      <c r="Y428" s="35"/>
      <c r="Z428" s="35"/>
      <c r="AA428" s="35"/>
      <c r="AB428" s="218"/>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row>
    <row r="429">
      <c r="A429" s="35"/>
      <c r="B429" s="35"/>
      <c r="C429" s="35"/>
      <c r="D429" s="35"/>
      <c r="E429" s="35"/>
      <c r="F429" s="35"/>
      <c r="G429" s="35"/>
      <c r="H429" s="35"/>
      <c r="I429" s="35"/>
      <c r="J429" s="35"/>
      <c r="K429" s="35"/>
      <c r="L429" s="35"/>
      <c r="M429" s="35"/>
      <c r="N429" s="35"/>
      <c r="O429" s="35"/>
      <c r="P429" s="35"/>
      <c r="Q429" s="43"/>
      <c r="R429" s="35"/>
      <c r="S429" s="35"/>
      <c r="T429" s="35"/>
      <c r="U429" s="138"/>
      <c r="V429" s="35"/>
      <c r="W429" s="35"/>
      <c r="X429" s="35"/>
      <c r="Y429" s="35"/>
      <c r="Z429" s="35"/>
      <c r="AA429" s="35"/>
      <c r="AB429" s="218"/>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row>
    <row r="430">
      <c r="A430" s="35"/>
      <c r="B430" s="35"/>
      <c r="C430" s="35"/>
      <c r="D430" s="35"/>
      <c r="E430" s="35"/>
      <c r="F430" s="35"/>
      <c r="G430" s="35"/>
      <c r="H430" s="35"/>
      <c r="I430" s="35"/>
      <c r="J430" s="35"/>
      <c r="K430" s="35"/>
      <c r="L430" s="35"/>
      <c r="M430" s="35"/>
      <c r="N430" s="35"/>
      <c r="O430" s="35"/>
      <c r="P430" s="35"/>
      <c r="Q430" s="43"/>
      <c r="R430" s="35"/>
      <c r="S430" s="35"/>
      <c r="T430" s="35"/>
      <c r="U430" s="138"/>
      <c r="V430" s="35"/>
      <c r="W430" s="35"/>
      <c r="X430" s="35"/>
      <c r="Y430" s="35"/>
      <c r="Z430" s="35"/>
      <c r="AA430" s="35"/>
      <c r="AB430" s="218"/>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row>
    <row r="431">
      <c r="A431" s="35"/>
      <c r="B431" s="35"/>
      <c r="C431" s="35"/>
      <c r="D431" s="35"/>
      <c r="E431" s="35"/>
      <c r="F431" s="35"/>
      <c r="G431" s="35"/>
      <c r="H431" s="35"/>
      <c r="I431" s="35"/>
      <c r="J431" s="35"/>
      <c r="K431" s="35"/>
      <c r="L431" s="35"/>
      <c r="M431" s="35"/>
      <c r="N431" s="35"/>
      <c r="O431" s="35"/>
      <c r="P431" s="35"/>
      <c r="Q431" s="43"/>
      <c r="R431" s="35"/>
      <c r="S431" s="35"/>
      <c r="T431" s="35"/>
      <c r="U431" s="138"/>
      <c r="V431" s="35"/>
      <c r="W431" s="35"/>
      <c r="X431" s="35"/>
      <c r="Y431" s="35"/>
      <c r="Z431" s="35"/>
      <c r="AA431" s="35"/>
      <c r="AB431" s="218"/>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row>
    <row r="432">
      <c r="A432" s="35"/>
      <c r="B432" s="35"/>
      <c r="C432" s="35"/>
      <c r="D432" s="35"/>
      <c r="E432" s="35"/>
      <c r="F432" s="35"/>
      <c r="G432" s="35"/>
      <c r="H432" s="35"/>
      <c r="I432" s="35"/>
      <c r="J432" s="35"/>
      <c r="K432" s="35"/>
      <c r="L432" s="35"/>
      <c r="M432" s="35"/>
      <c r="N432" s="35"/>
      <c r="O432" s="35"/>
      <c r="P432" s="35"/>
      <c r="Q432" s="43"/>
      <c r="R432" s="35"/>
      <c r="S432" s="35"/>
      <c r="T432" s="35"/>
      <c r="U432" s="138"/>
      <c r="V432" s="35"/>
      <c r="W432" s="35"/>
      <c r="X432" s="35"/>
      <c r="Y432" s="35"/>
      <c r="Z432" s="35"/>
      <c r="AA432" s="35"/>
      <c r="AB432" s="218"/>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row>
    <row r="433">
      <c r="A433" s="35"/>
      <c r="B433" s="35"/>
      <c r="C433" s="35"/>
      <c r="D433" s="35"/>
      <c r="E433" s="35"/>
      <c r="F433" s="35"/>
      <c r="G433" s="35"/>
      <c r="H433" s="35"/>
      <c r="I433" s="35"/>
      <c r="J433" s="35"/>
      <c r="K433" s="35"/>
      <c r="L433" s="35"/>
      <c r="M433" s="35"/>
      <c r="N433" s="35"/>
      <c r="O433" s="35"/>
      <c r="P433" s="35"/>
      <c r="Q433" s="43"/>
      <c r="R433" s="35"/>
      <c r="S433" s="35"/>
      <c r="T433" s="35"/>
      <c r="U433" s="138"/>
      <c r="V433" s="35"/>
      <c r="W433" s="35"/>
      <c r="X433" s="35"/>
      <c r="Y433" s="35"/>
      <c r="Z433" s="35"/>
      <c r="AA433" s="35"/>
      <c r="AB433" s="218"/>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row>
    <row r="434">
      <c r="A434" s="35"/>
      <c r="B434" s="35"/>
      <c r="C434" s="35"/>
      <c r="D434" s="35"/>
      <c r="E434" s="35"/>
      <c r="F434" s="35"/>
      <c r="G434" s="35"/>
      <c r="H434" s="35"/>
      <c r="I434" s="35"/>
      <c r="J434" s="35"/>
      <c r="K434" s="35"/>
      <c r="L434" s="35"/>
      <c r="M434" s="35"/>
      <c r="N434" s="35"/>
      <c r="O434" s="35"/>
      <c r="P434" s="35"/>
      <c r="Q434" s="43"/>
      <c r="R434" s="35"/>
      <c r="S434" s="35"/>
      <c r="T434" s="35"/>
      <c r="U434" s="138"/>
      <c r="V434" s="35"/>
      <c r="W434" s="35"/>
      <c r="X434" s="35"/>
      <c r="Y434" s="35"/>
      <c r="Z434" s="35"/>
      <c r="AA434" s="35"/>
      <c r="AB434" s="218"/>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row>
    <row r="435">
      <c r="A435" s="35"/>
      <c r="B435" s="35"/>
      <c r="C435" s="35"/>
      <c r="D435" s="35"/>
      <c r="E435" s="35"/>
      <c r="F435" s="35"/>
      <c r="G435" s="35"/>
      <c r="H435" s="35"/>
      <c r="I435" s="35"/>
      <c r="J435" s="35"/>
      <c r="K435" s="35"/>
      <c r="L435" s="35"/>
      <c r="M435" s="35"/>
      <c r="N435" s="35"/>
      <c r="O435" s="35"/>
      <c r="P435" s="35"/>
      <c r="Q435" s="43"/>
      <c r="R435" s="35"/>
      <c r="S435" s="35"/>
      <c r="T435" s="35"/>
      <c r="U435" s="138"/>
      <c r="V435" s="35"/>
      <c r="W435" s="35"/>
      <c r="X435" s="35"/>
      <c r="Y435" s="35"/>
      <c r="Z435" s="35"/>
      <c r="AA435" s="35"/>
      <c r="AB435" s="218"/>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row>
    <row r="436">
      <c r="A436" s="35"/>
      <c r="B436" s="35"/>
      <c r="C436" s="35"/>
      <c r="D436" s="35"/>
      <c r="E436" s="35"/>
      <c r="F436" s="35"/>
      <c r="G436" s="35"/>
      <c r="H436" s="35"/>
      <c r="I436" s="35"/>
      <c r="J436" s="35"/>
      <c r="K436" s="35"/>
      <c r="L436" s="35"/>
      <c r="M436" s="35"/>
      <c r="N436" s="35"/>
      <c r="O436" s="35"/>
      <c r="P436" s="35"/>
      <c r="Q436" s="43"/>
      <c r="R436" s="35"/>
      <c r="S436" s="35"/>
      <c r="T436" s="35"/>
      <c r="U436" s="138"/>
      <c r="V436" s="35"/>
      <c r="W436" s="35"/>
      <c r="X436" s="35"/>
      <c r="Y436" s="35"/>
      <c r="Z436" s="35"/>
      <c r="AA436" s="35"/>
      <c r="AB436" s="218"/>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row>
    <row r="437">
      <c r="A437" s="35"/>
      <c r="B437" s="35"/>
      <c r="C437" s="35"/>
      <c r="D437" s="35"/>
      <c r="E437" s="35"/>
      <c r="F437" s="35"/>
      <c r="G437" s="35"/>
      <c r="H437" s="35"/>
      <c r="I437" s="35"/>
      <c r="J437" s="35"/>
      <c r="K437" s="35"/>
      <c r="L437" s="35"/>
      <c r="M437" s="35"/>
      <c r="N437" s="35"/>
      <c r="O437" s="35"/>
      <c r="P437" s="35"/>
      <c r="Q437" s="43"/>
      <c r="R437" s="35"/>
      <c r="S437" s="35"/>
      <c r="T437" s="35"/>
      <c r="U437" s="138"/>
      <c r="V437" s="35"/>
      <c r="W437" s="35"/>
      <c r="X437" s="35"/>
      <c r="Y437" s="35"/>
      <c r="Z437" s="35"/>
      <c r="AA437" s="35"/>
      <c r="AB437" s="218"/>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row>
    <row r="438">
      <c r="A438" s="35"/>
      <c r="B438" s="35"/>
      <c r="C438" s="35"/>
      <c r="D438" s="35"/>
      <c r="E438" s="35"/>
      <c r="F438" s="35"/>
      <c r="G438" s="35"/>
      <c r="H438" s="35"/>
      <c r="I438" s="35"/>
      <c r="J438" s="35"/>
      <c r="K438" s="35"/>
      <c r="L438" s="35"/>
      <c r="M438" s="35"/>
      <c r="N438" s="35"/>
      <c r="O438" s="35"/>
      <c r="P438" s="35"/>
      <c r="Q438" s="43"/>
      <c r="R438" s="35"/>
      <c r="S438" s="35"/>
      <c r="T438" s="35"/>
      <c r="U438" s="138"/>
      <c r="V438" s="35"/>
      <c r="W438" s="35"/>
      <c r="X438" s="35"/>
      <c r="Y438" s="35"/>
      <c r="Z438" s="35"/>
      <c r="AA438" s="35"/>
      <c r="AB438" s="218"/>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row>
    <row r="439">
      <c r="A439" s="35"/>
      <c r="B439" s="35"/>
      <c r="C439" s="35"/>
      <c r="D439" s="35"/>
      <c r="E439" s="35"/>
      <c r="F439" s="35"/>
      <c r="G439" s="35"/>
      <c r="H439" s="35"/>
      <c r="I439" s="35"/>
      <c r="J439" s="35"/>
      <c r="K439" s="35"/>
      <c r="L439" s="35"/>
      <c r="M439" s="35"/>
      <c r="N439" s="35"/>
      <c r="O439" s="35"/>
      <c r="P439" s="35"/>
      <c r="Q439" s="43"/>
      <c r="R439" s="35"/>
      <c r="S439" s="35"/>
      <c r="T439" s="35"/>
      <c r="U439" s="138"/>
      <c r="V439" s="35"/>
      <c r="W439" s="35"/>
      <c r="X439" s="35"/>
      <c r="Y439" s="35"/>
      <c r="Z439" s="35"/>
      <c r="AA439" s="35"/>
      <c r="AB439" s="218"/>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row>
    <row r="440">
      <c r="A440" s="35"/>
      <c r="B440" s="35"/>
      <c r="C440" s="35"/>
      <c r="D440" s="35"/>
      <c r="E440" s="35"/>
      <c r="F440" s="35"/>
      <c r="G440" s="35"/>
      <c r="H440" s="35"/>
      <c r="I440" s="35"/>
      <c r="J440" s="35"/>
      <c r="K440" s="35"/>
      <c r="L440" s="35"/>
      <c r="M440" s="35"/>
      <c r="N440" s="35"/>
      <c r="O440" s="35"/>
      <c r="P440" s="35"/>
      <c r="Q440" s="43"/>
      <c r="R440" s="35"/>
      <c r="S440" s="35"/>
      <c r="T440" s="35"/>
      <c r="U440" s="138"/>
      <c r="V440" s="35"/>
      <c r="W440" s="35"/>
      <c r="X440" s="35"/>
      <c r="Y440" s="35"/>
      <c r="Z440" s="35"/>
      <c r="AA440" s="35"/>
      <c r="AB440" s="218"/>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row>
    <row r="441">
      <c r="A441" s="35"/>
      <c r="B441" s="35"/>
      <c r="C441" s="35"/>
      <c r="D441" s="35"/>
      <c r="E441" s="35"/>
      <c r="F441" s="35"/>
      <c r="G441" s="35"/>
      <c r="H441" s="35"/>
      <c r="I441" s="35"/>
      <c r="J441" s="35"/>
      <c r="K441" s="35"/>
      <c r="L441" s="35"/>
      <c r="M441" s="35"/>
      <c r="N441" s="35"/>
      <c r="O441" s="35"/>
      <c r="P441" s="35"/>
      <c r="Q441" s="43"/>
      <c r="R441" s="35"/>
      <c r="S441" s="35"/>
      <c r="T441" s="35"/>
      <c r="U441" s="138"/>
      <c r="V441" s="35"/>
      <c r="W441" s="35"/>
      <c r="X441" s="35"/>
      <c r="Y441" s="35"/>
      <c r="Z441" s="35"/>
      <c r="AA441" s="35"/>
      <c r="AB441" s="218"/>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row>
    <row r="442">
      <c r="A442" s="35"/>
      <c r="B442" s="35"/>
      <c r="C442" s="35"/>
      <c r="D442" s="35"/>
      <c r="E442" s="35"/>
      <c r="F442" s="35"/>
      <c r="G442" s="35"/>
      <c r="H442" s="35"/>
      <c r="I442" s="35"/>
      <c r="J442" s="35"/>
      <c r="K442" s="35"/>
      <c r="L442" s="35"/>
      <c r="M442" s="35"/>
      <c r="N442" s="35"/>
      <c r="O442" s="35"/>
      <c r="P442" s="35"/>
      <c r="Q442" s="43"/>
      <c r="R442" s="35"/>
      <c r="S442" s="35"/>
      <c r="T442" s="35"/>
      <c r="U442" s="138"/>
      <c r="V442" s="35"/>
      <c r="W442" s="35"/>
      <c r="X442" s="35"/>
      <c r="Y442" s="35"/>
      <c r="Z442" s="35"/>
      <c r="AA442" s="35"/>
      <c r="AB442" s="218"/>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row>
    <row r="443">
      <c r="A443" s="35"/>
      <c r="B443" s="35"/>
      <c r="C443" s="35"/>
      <c r="D443" s="35"/>
      <c r="E443" s="35"/>
      <c r="F443" s="35"/>
      <c r="G443" s="35"/>
      <c r="H443" s="35"/>
      <c r="I443" s="35"/>
      <c r="J443" s="35"/>
      <c r="K443" s="35"/>
      <c r="L443" s="35"/>
      <c r="M443" s="35"/>
      <c r="N443" s="35"/>
      <c r="O443" s="35"/>
      <c r="P443" s="35"/>
      <c r="Q443" s="43"/>
      <c r="R443" s="35"/>
      <c r="S443" s="35"/>
      <c r="T443" s="35"/>
      <c r="U443" s="138"/>
      <c r="V443" s="35"/>
      <c r="W443" s="35"/>
      <c r="X443" s="35"/>
      <c r="Y443" s="35"/>
      <c r="Z443" s="35"/>
      <c r="AA443" s="35"/>
      <c r="AB443" s="218"/>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row>
    <row r="444">
      <c r="A444" s="35"/>
      <c r="B444" s="35"/>
      <c r="C444" s="35"/>
      <c r="D444" s="35"/>
      <c r="E444" s="35"/>
      <c r="F444" s="35"/>
      <c r="G444" s="35"/>
      <c r="H444" s="35"/>
      <c r="I444" s="35"/>
      <c r="J444" s="35"/>
      <c r="K444" s="35"/>
      <c r="L444" s="35"/>
      <c r="M444" s="35"/>
      <c r="N444" s="35"/>
      <c r="O444" s="35"/>
      <c r="P444" s="35"/>
      <c r="Q444" s="43"/>
      <c r="R444" s="35"/>
      <c r="S444" s="35"/>
      <c r="T444" s="35"/>
      <c r="U444" s="138"/>
      <c r="V444" s="35"/>
      <c r="W444" s="35"/>
      <c r="X444" s="35"/>
      <c r="Y444" s="35"/>
      <c r="Z444" s="35"/>
      <c r="AA444" s="35"/>
      <c r="AB444" s="218"/>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row>
    <row r="445">
      <c r="A445" s="35"/>
      <c r="B445" s="35"/>
      <c r="C445" s="35"/>
      <c r="D445" s="35"/>
      <c r="E445" s="35"/>
      <c r="F445" s="35"/>
      <c r="G445" s="35"/>
      <c r="H445" s="35"/>
      <c r="I445" s="35"/>
      <c r="J445" s="35"/>
      <c r="K445" s="35"/>
      <c r="L445" s="35"/>
      <c r="M445" s="35"/>
      <c r="N445" s="35"/>
      <c r="O445" s="35"/>
      <c r="P445" s="35"/>
      <c r="Q445" s="43"/>
      <c r="R445" s="35"/>
      <c r="S445" s="35"/>
      <c r="T445" s="35"/>
      <c r="U445" s="138"/>
      <c r="V445" s="35"/>
      <c r="W445" s="35"/>
      <c r="X445" s="35"/>
      <c r="Y445" s="35"/>
      <c r="Z445" s="35"/>
      <c r="AA445" s="35"/>
      <c r="AB445" s="218"/>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row>
    <row r="446">
      <c r="A446" s="35"/>
      <c r="B446" s="35"/>
      <c r="C446" s="35"/>
      <c r="D446" s="35"/>
      <c r="E446" s="35"/>
      <c r="F446" s="35"/>
      <c r="G446" s="35"/>
      <c r="H446" s="35"/>
      <c r="I446" s="35"/>
      <c r="J446" s="35"/>
      <c r="K446" s="35"/>
      <c r="L446" s="35"/>
      <c r="M446" s="35"/>
      <c r="N446" s="35"/>
      <c r="O446" s="35"/>
      <c r="P446" s="35"/>
      <c r="Q446" s="43"/>
      <c r="R446" s="35"/>
      <c r="S446" s="35"/>
      <c r="T446" s="35"/>
      <c r="U446" s="138"/>
      <c r="V446" s="35"/>
      <c r="W446" s="35"/>
      <c r="X446" s="35"/>
      <c r="Y446" s="35"/>
      <c r="Z446" s="35"/>
      <c r="AA446" s="35"/>
      <c r="AB446" s="218"/>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row>
    <row r="447">
      <c r="A447" s="35"/>
      <c r="B447" s="35"/>
      <c r="C447" s="35"/>
      <c r="D447" s="35"/>
      <c r="E447" s="35"/>
      <c r="F447" s="35"/>
      <c r="G447" s="35"/>
      <c r="H447" s="35"/>
      <c r="I447" s="35"/>
      <c r="J447" s="35"/>
      <c r="K447" s="35"/>
      <c r="L447" s="35"/>
      <c r="M447" s="35"/>
      <c r="N447" s="35"/>
      <c r="O447" s="35"/>
      <c r="P447" s="35"/>
      <c r="Q447" s="43"/>
      <c r="R447" s="35"/>
      <c r="S447" s="35"/>
      <c r="T447" s="35"/>
      <c r="U447" s="138"/>
      <c r="V447" s="35"/>
      <c r="W447" s="35"/>
      <c r="X447" s="35"/>
      <c r="Y447" s="35"/>
      <c r="Z447" s="35"/>
      <c r="AA447" s="35"/>
      <c r="AB447" s="218"/>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row>
    <row r="448">
      <c r="A448" s="35"/>
      <c r="B448" s="35"/>
      <c r="C448" s="35"/>
      <c r="D448" s="35"/>
      <c r="E448" s="35"/>
      <c r="F448" s="35"/>
      <c r="G448" s="35"/>
      <c r="H448" s="35"/>
      <c r="I448" s="35"/>
      <c r="J448" s="35"/>
      <c r="K448" s="35"/>
      <c r="L448" s="35"/>
      <c r="M448" s="35"/>
      <c r="N448" s="35"/>
      <c r="O448" s="35"/>
      <c r="P448" s="35"/>
      <c r="Q448" s="43"/>
      <c r="R448" s="35"/>
      <c r="S448" s="35"/>
      <c r="T448" s="35"/>
      <c r="U448" s="138"/>
      <c r="V448" s="35"/>
      <c r="W448" s="35"/>
      <c r="X448" s="35"/>
      <c r="Y448" s="35"/>
      <c r="Z448" s="35"/>
      <c r="AA448" s="35"/>
      <c r="AB448" s="218"/>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row>
    <row r="449">
      <c r="A449" s="35"/>
      <c r="B449" s="35"/>
      <c r="C449" s="35"/>
      <c r="D449" s="35"/>
      <c r="E449" s="35"/>
      <c r="F449" s="35"/>
      <c r="G449" s="35"/>
      <c r="H449" s="35"/>
      <c r="I449" s="35"/>
      <c r="J449" s="35"/>
      <c r="K449" s="35"/>
      <c r="L449" s="35"/>
      <c r="M449" s="35"/>
      <c r="N449" s="35"/>
      <c r="O449" s="35"/>
      <c r="P449" s="35"/>
      <c r="Q449" s="43"/>
      <c r="R449" s="35"/>
      <c r="S449" s="35"/>
      <c r="T449" s="35"/>
      <c r="U449" s="138"/>
      <c r="V449" s="35"/>
      <c r="W449" s="35"/>
      <c r="X449" s="35"/>
      <c r="Y449" s="35"/>
      <c r="Z449" s="35"/>
      <c r="AA449" s="35"/>
      <c r="AB449" s="218"/>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row>
    <row r="450">
      <c r="A450" s="35"/>
      <c r="B450" s="35"/>
      <c r="C450" s="35"/>
      <c r="D450" s="35"/>
      <c r="E450" s="35"/>
      <c r="F450" s="35"/>
      <c r="G450" s="35"/>
      <c r="H450" s="35"/>
      <c r="I450" s="35"/>
      <c r="J450" s="35"/>
      <c r="K450" s="35"/>
      <c r="L450" s="35"/>
      <c r="M450" s="35"/>
      <c r="N450" s="35"/>
      <c r="O450" s="35"/>
      <c r="P450" s="35"/>
      <c r="Q450" s="43"/>
      <c r="R450" s="35"/>
      <c r="S450" s="35"/>
      <c r="T450" s="35"/>
      <c r="U450" s="138"/>
      <c r="V450" s="35"/>
      <c r="W450" s="35"/>
      <c r="X450" s="35"/>
      <c r="Y450" s="35"/>
      <c r="Z450" s="35"/>
      <c r="AA450" s="35"/>
      <c r="AB450" s="218"/>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row>
    <row r="451">
      <c r="A451" s="35"/>
      <c r="B451" s="35"/>
      <c r="C451" s="35"/>
      <c r="D451" s="35"/>
      <c r="E451" s="35"/>
      <c r="F451" s="35"/>
      <c r="G451" s="35"/>
      <c r="H451" s="35"/>
      <c r="I451" s="35"/>
      <c r="J451" s="35"/>
      <c r="K451" s="35"/>
      <c r="L451" s="35"/>
      <c r="M451" s="35"/>
      <c r="N451" s="35"/>
      <c r="O451" s="35"/>
      <c r="P451" s="35"/>
      <c r="Q451" s="43"/>
      <c r="R451" s="35"/>
      <c r="S451" s="35"/>
      <c r="T451" s="35"/>
      <c r="U451" s="138"/>
      <c r="V451" s="35"/>
      <c r="W451" s="35"/>
      <c r="X451" s="35"/>
      <c r="Y451" s="35"/>
      <c r="Z451" s="35"/>
      <c r="AA451" s="35"/>
      <c r="AB451" s="218"/>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row>
    <row r="452">
      <c r="A452" s="35"/>
      <c r="B452" s="35"/>
      <c r="C452" s="35"/>
      <c r="D452" s="35"/>
      <c r="E452" s="35"/>
      <c r="F452" s="35"/>
      <c r="G452" s="35"/>
      <c r="H452" s="35"/>
      <c r="I452" s="35"/>
      <c r="J452" s="35"/>
      <c r="K452" s="35"/>
      <c r="L452" s="35"/>
      <c r="M452" s="35"/>
      <c r="N452" s="35"/>
      <c r="O452" s="35"/>
      <c r="P452" s="35"/>
      <c r="Q452" s="43"/>
      <c r="R452" s="35"/>
      <c r="S452" s="35"/>
      <c r="T452" s="35"/>
      <c r="U452" s="138"/>
      <c r="V452" s="35"/>
      <c r="W452" s="35"/>
      <c r="X452" s="35"/>
      <c r="Y452" s="35"/>
      <c r="Z452" s="35"/>
      <c r="AA452" s="35"/>
      <c r="AB452" s="218"/>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row>
    <row r="453">
      <c r="A453" s="35"/>
      <c r="B453" s="35"/>
      <c r="C453" s="35"/>
      <c r="D453" s="35"/>
      <c r="E453" s="35"/>
      <c r="F453" s="35"/>
      <c r="G453" s="35"/>
      <c r="H453" s="35"/>
      <c r="I453" s="35"/>
      <c r="J453" s="35"/>
      <c r="K453" s="35"/>
      <c r="L453" s="35"/>
      <c r="M453" s="35"/>
      <c r="N453" s="35"/>
      <c r="O453" s="35"/>
      <c r="P453" s="35"/>
      <c r="Q453" s="43"/>
      <c r="R453" s="35"/>
      <c r="S453" s="35"/>
      <c r="T453" s="35"/>
      <c r="U453" s="138"/>
      <c r="V453" s="35"/>
      <c r="W453" s="35"/>
      <c r="X453" s="35"/>
      <c r="Y453" s="35"/>
      <c r="Z453" s="35"/>
      <c r="AA453" s="35"/>
      <c r="AB453" s="218"/>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row>
    <row r="454">
      <c r="A454" s="35"/>
      <c r="B454" s="35"/>
      <c r="C454" s="35"/>
      <c r="D454" s="35"/>
      <c r="E454" s="35"/>
      <c r="F454" s="35"/>
      <c r="G454" s="35"/>
      <c r="H454" s="35"/>
      <c r="I454" s="35"/>
      <c r="J454" s="35"/>
      <c r="K454" s="35"/>
      <c r="L454" s="35"/>
      <c r="M454" s="35"/>
      <c r="N454" s="35"/>
      <c r="O454" s="35"/>
      <c r="P454" s="35"/>
      <c r="Q454" s="43"/>
      <c r="R454" s="35"/>
      <c r="S454" s="35"/>
      <c r="T454" s="35"/>
      <c r="U454" s="138"/>
      <c r="V454" s="35"/>
      <c r="W454" s="35"/>
      <c r="X454" s="35"/>
      <c r="Y454" s="35"/>
      <c r="Z454" s="35"/>
      <c r="AA454" s="35"/>
      <c r="AB454" s="218"/>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row>
    <row r="455">
      <c r="A455" s="35"/>
      <c r="B455" s="35"/>
      <c r="C455" s="35"/>
      <c r="D455" s="35"/>
      <c r="E455" s="35"/>
      <c r="F455" s="35"/>
      <c r="G455" s="35"/>
      <c r="H455" s="35"/>
      <c r="I455" s="35"/>
      <c r="J455" s="35"/>
      <c r="K455" s="35"/>
      <c r="L455" s="35"/>
      <c r="M455" s="35"/>
      <c r="N455" s="35"/>
      <c r="O455" s="35"/>
      <c r="P455" s="35"/>
      <c r="Q455" s="43"/>
      <c r="R455" s="35"/>
      <c r="S455" s="35"/>
      <c r="T455" s="35"/>
      <c r="U455" s="138"/>
      <c r="V455" s="35"/>
      <c r="W455" s="35"/>
      <c r="X455" s="35"/>
      <c r="Y455" s="35"/>
      <c r="Z455" s="35"/>
      <c r="AA455" s="35"/>
      <c r="AB455" s="218"/>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row>
    <row r="456">
      <c r="A456" s="35"/>
      <c r="B456" s="35"/>
      <c r="C456" s="35"/>
      <c r="D456" s="35"/>
      <c r="E456" s="35"/>
      <c r="F456" s="35"/>
      <c r="G456" s="35"/>
      <c r="H456" s="35"/>
      <c r="I456" s="35"/>
      <c r="J456" s="35"/>
      <c r="K456" s="35"/>
      <c r="L456" s="35"/>
      <c r="M456" s="35"/>
      <c r="N456" s="35"/>
      <c r="O456" s="35"/>
      <c r="P456" s="35"/>
      <c r="Q456" s="43"/>
      <c r="R456" s="35"/>
      <c r="S456" s="35"/>
      <c r="T456" s="35"/>
      <c r="U456" s="138"/>
      <c r="V456" s="35"/>
      <c r="W456" s="35"/>
      <c r="X456" s="35"/>
      <c r="Y456" s="35"/>
      <c r="Z456" s="35"/>
      <c r="AA456" s="35"/>
      <c r="AB456" s="218"/>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row>
    <row r="457">
      <c r="A457" s="35"/>
      <c r="B457" s="35"/>
      <c r="C457" s="35"/>
      <c r="D457" s="35"/>
      <c r="E457" s="35"/>
      <c r="F457" s="35"/>
      <c r="G457" s="35"/>
      <c r="H457" s="35"/>
      <c r="I457" s="35"/>
      <c r="J457" s="35"/>
      <c r="K457" s="35"/>
      <c r="L457" s="35"/>
      <c r="M457" s="35"/>
      <c r="N457" s="35"/>
      <c r="O457" s="35"/>
      <c r="P457" s="35"/>
      <c r="Q457" s="43"/>
      <c r="R457" s="35"/>
      <c r="S457" s="35"/>
      <c r="T457" s="35"/>
      <c r="U457" s="138"/>
      <c r="V457" s="35"/>
      <c r="W457" s="35"/>
      <c r="X457" s="35"/>
      <c r="Y457" s="35"/>
      <c r="Z457" s="35"/>
      <c r="AA457" s="35"/>
      <c r="AB457" s="218"/>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row>
    <row r="458">
      <c r="A458" s="35"/>
      <c r="B458" s="35"/>
      <c r="C458" s="35"/>
      <c r="D458" s="35"/>
      <c r="E458" s="35"/>
      <c r="F458" s="35"/>
      <c r="G458" s="35"/>
      <c r="H458" s="35"/>
      <c r="I458" s="35"/>
      <c r="J458" s="35"/>
      <c r="K458" s="35"/>
      <c r="L458" s="35"/>
      <c r="M458" s="35"/>
      <c r="N458" s="35"/>
      <c r="O458" s="35"/>
      <c r="P458" s="35"/>
      <c r="Q458" s="43"/>
      <c r="R458" s="35"/>
      <c r="S458" s="35"/>
      <c r="T458" s="35"/>
      <c r="U458" s="138"/>
      <c r="V458" s="35"/>
      <c r="W458" s="35"/>
      <c r="X458" s="35"/>
      <c r="Y458" s="35"/>
      <c r="Z458" s="35"/>
      <c r="AA458" s="35"/>
      <c r="AB458" s="218"/>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row>
    <row r="459">
      <c r="A459" s="35"/>
      <c r="B459" s="35"/>
      <c r="C459" s="35"/>
      <c r="D459" s="35"/>
      <c r="E459" s="35"/>
      <c r="F459" s="35"/>
      <c r="G459" s="35"/>
      <c r="H459" s="35"/>
      <c r="I459" s="35"/>
      <c r="J459" s="35"/>
      <c r="K459" s="35"/>
      <c r="L459" s="35"/>
      <c r="M459" s="35"/>
      <c r="N459" s="35"/>
      <c r="O459" s="35"/>
      <c r="P459" s="35"/>
      <c r="Q459" s="43"/>
      <c r="R459" s="35"/>
      <c r="S459" s="35"/>
      <c r="T459" s="35"/>
      <c r="U459" s="138"/>
      <c r="V459" s="35"/>
      <c r="W459" s="35"/>
      <c r="X459" s="35"/>
      <c r="Y459" s="35"/>
      <c r="Z459" s="35"/>
      <c r="AA459" s="35"/>
      <c r="AB459" s="218"/>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row>
    <row r="460">
      <c r="A460" s="35"/>
      <c r="B460" s="35"/>
      <c r="C460" s="35"/>
      <c r="D460" s="35"/>
      <c r="E460" s="35"/>
      <c r="F460" s="35"/>
      <c r="G460" s="35"/>
      <c r="H460" s="35"/>
      <c r="I460" s="35"/>
      <c r="J460" s="35"/>
      <c r="K460" s="35"/>
      <c r="L460" s="35"/>
      <c r="M460" s="35"/>
      <c r="N460" s="35"/>
      <c r="O460" s="35"/>
      <c r="P460" s="35"/>
      <c r="Q460" s="43"/>
      <c r="R460" s="35"/>
      <c r="S460" s="35"/>
      <c r="T460" s="35"/>
      <c r="U460" s="138"/>
      <c r="V460" s="35"/>
      <c r="W460" s="35"/>
      <c r="X460" s="35"/>
      <c r="Y460" s="35"/>
      <c r="Z460" s="35"/>
      <c r="AA460" s="35"/>
      <c r="AB460" s="218"/>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row>
    <row r="461">
      <c r="A461" s="35"/>
      <c r="B461" s="35"/>
      <c r="C461" s="35"/>
      <c r="D461" s="35"/>
      <c r="E461" s="35"/>
      <c r="F461" s="35"/>
      <c r="G461" s="35"/>
      <c r="H461" s="35"/>
      <c r="I461" s="35"/>
      <c r="J461" s="35"/>
      <c r="K461" s="35"/>
      <c r="L461" s="35"/>
      <c r="M461" s="35"/>
      <c r="N461" s="35"/>
      <c r="O461" s="35"/>
      <c r="P461" s="35"/>
      <c r="Q461" s="43"/>
      <c r="R461" s="35"/>
      <c r="S461" s="35"/>
      <c r="T461" s="35"/>
      <c r="U461" s="138"/>
      <c r="V461" s="35"/>
      <c r="W461" s="35"/>
      <c r="X461" s="35"/>
      <c r="Y461" s="35"/>
      <c r="Z461" s="35"/>
      <c r="AA461" s="35"/>
      <c r="AB461" s="218"/>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row>
    <row r="462">
      <c r="A462" s="35"/>
      <c r="B462" s="35"/>
      <c r="C462" s="35"/>
      <c r="D462" s="35"/>
      <c r="E462" s="35"/>
      <c r="F462" s="35"/>
      <c r="G462" s="35"/>
      <c r="H462" s="35"/>
      <c r="I462" s="35"/>
      <c r="J462" s="35"/>
      <c r="K462" s="35"/>
      <c r="L462" s="35"/>
      <c r="M462" s="35"/>
      <c r="N462" s="35"/>
      <c r="O462" s="35"/>
      <c r="P462" s="35"/>
      <c r="Q462" s="43"/>
      <c r="R462" s="35"/>
      <c r="S462" s="35"/>
      <c r="T462" s="35"/>
      <c r="U462" s="138"/>
      <c r="V462" s="35"/>
      <c r="W462" s="35"/>
      <c r="X462" s="35"/>
      <c r="Y462" s="35"/>
      <c r="Z462" s="35"/>
      <c r="AA462" s="35"/>
      <c r="AB462" s="218"/>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row>
    <row r="463">
      <c r="A463" s="35"/>
      <c r="B463" s="35"/>
      <c r="C463" s="35"/>
      <c r="D463" s="35"/>
      <c r="E463" s="35"/>
      <c r="F463" s="35"/>
      <c r="G463" s="35"/>
      <c r="H463" s="35"/>
      <c r="I463" s="35"/>
      <c r="J463" s="35"/>
      <c r="K463" s="35"/>
      <c r="L463" s="35"/>
      <c r="M463" s="35"/>
      <c r="N463" s="35"/>
      <c r="O463" s="35"/>
      <c r="P463" s="35"/>
      <c r="Q463" s="43"/>
      <c r="R463" s="35"/>
      <c r="S463" s="35"/>
      <c r="T463" s="35"/>
      <c r="U463" s="138"/>
      <c r="V463" s="35"/>
      <c r="W463" s="35"/>
      <c r="X463" s="35"/>
      <c r="Y463" s="35"/>
      <c r="Z463" s="35"/>
      <c r="AA463" s="35"/>
      <c r="AB463" s="218"/>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row>
    <row r="464">
      <c r="A464" s="35"/>
      <c r="B464" s="35"/>
      <c r="C464" s="35"/>
      <c r="D464" s="35"/>
      <c r="E464" s="35"/>
      <c r="F464" s="35"/>
      <c r="G464" s="35"/>
      <c r="H464" s="35"/>
      <c r="I464" s="35"/>
      <c r="J464" s="35"/>
      <c r="K464" s="35"/>
      <c r="L464" s="35"/>
      <c r="M464" s="35"/>
      <c r="N464" s="35"/>
      <c r="O464" s="35"/>
      <c r="P464" s="35"/>
      <c r="Q464" s="43"/>
      <c r="R464" s="35"/>
      <c r="S464" s="35"/>
      <c r="T464" s="35"/>
      <c r="U464" s="138"/>
      <c r="V464" s="35"/>
      <c r="W464" s="35"/>
      <c r="X464" s="35"/>
      <c r="Y464" s="35"/>
      <c r="Z464" s="35"/>
      <c r="AA464" s="35"/>
      <c r="AB464" s="218"/>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row>
    <row r="465">
      <c r="A465" s="35"/>
      <c r="B465" s="35"/>
      <c r="C465" s="35"/>
      <c r="D465" s="35"/>
      <c r="E465" s="35"/>
      <c r="F465" s="35"/>
      <c r="G465" s="35"/>
      <c r="H465" s="35"/>
      <c r="I465" s="35"/>
      <c r="J465" s="35"/>
      <c r="K465" s="35"/>
      <c r="L465" s="35"/>
      <c r="M465" s="35"/>
      <c r="N465" s="35"/>
      <c r="O465" s="35"/>
      <c r="P465" s="35"/>
      <c r="Q465" s="43"/>
      <c r="R465" s="35"/>
      <c r="S465" s="35"/>
      <c r="T465" s="35"/>
      <c r="U465" s="138"/>
      <c r="V465" s="35"/>
      <c r="W465" s="35"/>
      <c r="X465" s="35"/>
      <c r="Y465" s="35"/>
      <c r="Z465" s="35"/>
      <c r="AA465" s="35"/>
      <c r="AB465" s="218"/>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row>
    <row r="466">
      <c r="A466" s="35"/>
      <c r="B466" s="35"/>
      <c r="C466" s="35"/>
      <c r="D466" s="35"/>
      <c r="E466" s="35"/>
      <c r="F466" s="35"/>
      <c r="G466" s="35"/>
      <c r="H466" s="35"/>
      <c r="I466" s="35"/>
      <c r="J466" s="35"/>
      <c r="K466" s="35"/>
      <c r="L466" s="35"/>
      <c r="M466" s="35"/>
      <c r="N466" s="35"/>
      <c r="O466" s="35"/>
      <c r="P466" s="35"/>
      <c r="Q466" s="43"/>
      <c r="R466" s="35"/>
      <c r="S466" s="35"/>
      <c r="T466" s="35"/>
      <c r="U466" s="138"/>
      <c r="V466" s="35"/>
      <c r="W466" s="35"/>
      <c r="X466" s="35"/>
      <c r="Y466" s="35"/>
      <c r="Z466" s="35"/>
      <c r="AA466" s="35"/>
      <c r="AB466" s="218"/>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row>
    <row r="467">
      <c r="A467" s="35"/>
      <c r="B467" s="35"/>
      <c r="C467" s="35"/>
      <c r="D467" s="35"/>
      <c r="E467" s="35"/>
      <c r="F467" s="35"/>
      <c r="G467" s="35"/>
      <c r="H467" s="35"/>
      <c r="I467" s="35"/>
      <c r="J467" s="35"/>
      <c r="K467" s="35"/>
      <c r="L467" s="35"/>
      <c r="M467" s="35"/>
      <c r="N467" s="35"/>
      <c r="O467" s="35"/>
      <c r="P467" s="35"/>
      <c r="Q467" s="43"/>
      <c r="R467" s="35"/>
      <c r="S467" s="35"/>
      <c r="T467" s="35"/>
      <c r="U467" s="138"/>
      <c r="V467" s="35"/>
      <c r="W467" s="35"/>
      <c r="X467" s="35"/>
      <c r="Y467" s="35"/>
      <c r="Z467" s="35"/>
      <c r="AA467" s="35"/>
      <c r="AB467" s="218"/>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row>
    <row r="468">
      <c r="A468" s="35"/>
      <c r="B468" s="35"/>
      <c r="C468" s="35"/>
      <c r="D468" s="35"/>
      <c r="E468" s="35"/>
      <c r="F468" s="35"/>
      <c r="G468" s="35"/>
      <c r="H468" s="35"/>
      <c r="I468" s="35"/>
      <c r="J468" s="35"/>
      <c r="K468" s="35"/>
      <c r="L468" s="35"/>
      <c r="M468" s="35"/>
      <c r="N468" s="35"/>
      <c r="O468" s="35"/>
      <c r="P468" s="35"/>
      <c r="Q468" s="43"/>
      <c r="R468" s="35"/>
      <c r="S468" s="35"/>
      <c r="T468" s="35"/>
      <c r="U468" s="138"/>
      <c r="V468" s="35"/>
      <c r="W468" s="35"/>
      <c r="X468" s="35"/>
      <c r="Y468" s="35"/>
      <c r="Z468" s="35"/>
      <c r="AA468" s="35"/>
      <c r="AB468" s="218"/>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row>
    <row r="469">
      <c r="A469" s="35"/>
      <c r="B469" s="35"/>
      <c r="C469" s="35"/>
      <c r="D469" s="35"/>
      <c r="E469" s="35"/>
      <c r="F469" s="35"/>
      <c r="G469" s="35"/>
      <c r="H469" s="35"/>
      <c r="I469" s="35"/>
      <c r="J469" s="35"/>
      <c r="K469" s="35"/>
      <c r="L469" s="35"/>
      <c r="M469" s="35"/>
      <c r="N469" s="35"/>
      <c r="O469" s="35"/>
      <c r="P469" s="35"/>
      <c r="Q469" s="43"/>
      <c r="R469" s="35"/>
      <c r="S469" s="35"/>
      <c r="T469" s="35"/>
      <c r="U469" s="138"/>
      <c r="V469" s="35"/>
      <c r="W469" s="35"/>
      <c r="X469" s="35"/>
      <c r="Y469" s="35"/>
      <c r="Z469" s="35"/>
      <c r="AA469" s="35"/>
      <c r="AB469" s="218"/>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row>
    <row r="470">
      <c r="A470" s="35"/>
      <c r="B470" s="35"/>
      <c r="C470" s="35"/>
      <c r="D470" s="35"/>
      <c r="E470" s="35"/>
      <c r="F470" s="35"/>
      <c r="G470" s="35"/>
      <c r="H470" s="35"/>
      <c r="I470" s="35"/>
      <c r="J470" s="35"/>
      <c r="K470" s="35"/>
      <c r="L470" s="35"/>
      <c r="M470" s="35"/>
      <c r="N470" s="35"/>
      <c r="O470" s="35"/>
      <c r="P470" s="35"/>
      <c r="Q470" s="43"/>
      <c r="R470" s="35"/>
      <c r="S470" s="35"/>
      <c r="T470" s="35"/>
      <c r="U470" s="138"/>
      <c r="V470" s="35"/>
      <c r="W470" s="35"/>
      <c r="X470" s="35"/>
      <c r="Y470" s="35"/>
      <c r="Z470" s="35"/>
      <c r="AA470" s="35"/>
      <c r="AB470" s="218"/>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row>
    <row r="471">
      <c r="A471" s="35"/>
      <c r="B471" s="35"/>
      <c r="C471" s="35"/>
      <c r="D471" s="35"/>
      <c r="E471" s="35"/>
      <c r="F471" s="35"/>
      <c r="G471" s="35"/>
      <c r="H471" s="35"/>
      <c r="I471" s="35"/>
      <c r="J471" s="35"/>
      <c r="K471" s="35"/>
      <c r="L471" s="35"/>
      <c r="M471" s="35"/>
      <c r="N471" s="35"/>
      <c r="O471" s="35"/>
      <c r="P471" s="35"/>
      <c r="Q471" s="43"/>
      <c r="R471" s="35"/>
      <c r="S471" s="35"/>
      <c r="T471" s="35"/>
      <c r="U471" s="138"/>
      <c r="V471" s="35"/>
      <c r="W471" s="35"/>
      <c r="X471" s="35"/>
      <c r="Y471" s="35"/>
      <c r="Z471" s="35"/>
      <c r="AA471" s="35"/>
      <c r="AB471" s="218"/>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row>
    <row r="472">
      <c r="A472" s="35"/>
      <c r="B472" s="35"/>
      <c r="C472" s="35"/>
      <c r="D472" s="35"/>
      <c r="E472" s="35"/>
      <c r="F472" s="35"/>
      <c r="G472" s="35"/>
      <c r="H472" s="35"/>
      <c r="I472" s="35"/>
      <c r="J472" s="35"/>
      <c r="K472" s="35"/>
      <c r="L472" s="35"/>
      <c r="M472" s="35"/>
      <c r="N472" s="35"/>
      <c r="O472" s="35"/>
      <c r="P472" s="35"/>
      <c r="Q472" s="43"/>
      <c r="R472" s="35"/>
      <c r="S472" s="35"/>
      <c r="T472" s="35"/>
      <c r="U472" s="138"/>
      <c r="V472" s="35"/>
      <c r="W472" s="35"/>
      <c r="X472" s="35"/>
      <c r="Y472" s="35"/>
      <c r="Z472" s="35"/>
      <c r="AA472" s="35"/>
      <c r="AB472" s="218"/>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row>
    <row r="473">
      <c r="A473" s="35"/>
      <c r="B473" s="35"/>
      <c r="C473" s="35"/>
      <c r="D473" s="35"/>
      <c r="E473" s="35"/>
      <c r="F473" s="35"/>
      <c r="G473" s="35"/>
      <c r="H473" s="35"/>
      <c r="I473" s="35"/>
      <c r="J473" s="35"/>
      <c r="K473" s="35"/>
      <c r="L473" s="35"/>
      <c r="M473" s="35"/>
      <c r="N473" s="35"/>
      <c r="O473" s="35"/>
      <c r="P473" s="35"/>
      <c r="Q473" s="43"/>
      <c r="R473" s="35"/>
      <c r="S473" s="35"/>
      <c r="T473" s="35"/>
      <c r="U473" s="138"/>
      <c r="V473" s="35"/>
      <c r="W473" s="35"/>
      <c r="X473" s="35"/>
      <c r="Y473" s="35"/>
      <c r="Z473" s="35"/>
      <c r="AA473" s="35"/>
      <c r="AB473" s="218"/>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row>
    <row r="474">
      <c r="A474" s="35"/>
      <c r="B474" s="35"/>
      <c r="C474" s="35"/>
      <c r="D474" s="35"/>
      <c r="E474" s="35"/>
      <c r="F474" s="35"/>
      <c r="G474" s="35"/>
      <c r="H474" s="35"/>
      <c r="I474" s="35"/>
      <c r="J474" s="35"/>
      <c r="K474" s="35"/>
      <c r="L474" s="35"/>
      <c r="M474" s="35"/>
      <c r="N474" s="35"/>
      <c r="O474" s="35"/>
      <c r="P474" s="35"/>
      <c r="Q474" s="43"/>
      <c r="R474" s="35"/>
      <c r="S474" s="35"/>
      <c r="T474" s="35"/>
      <c r="U474" s="138"/>
      <c r="V474" s="35"/>
      <c r="W474" s="35"/>
      <c r="X474" s="35"/>
      <c r="Y474" s="35"/>
      <c r="Z474" s="35"/>
      <c r="AA474" s="35"/>
      <c r="AB474" s="218"/>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row>
    <row r="475">
      <c r="A475" s="35"/>
      <c r="B475" s="35"/>
      <c r="C475" s="35"/>
      <c r="D475" s="35"/>
      <c r="E475" s="35"/>
      <c r="F475" s="35"/>
      <c r="G475" s="35"/>
      <c r="H475" s="35"/>
      <c r="I475" s="35"/>
      <c r="J475" s="35"/>
      <c r="K475" s="35"/>
      <c r="L475" s="35"/>
      <c r="M475" s="35"/>
      <c r="N475" s="35"/>
      <c r="O475" s="35"/>
      <c r="P475" s="35"/>
      <c r="Q475" s="43"/>
      <c r="R475" s="35"/>
      <c r="S475" s="35"/>
      <c r="T475" s="35"/>
      <c r="U475" s="138"/>
      <c r="V475" s="35"/>
      <c r="W475" s="35"/>
      <c r="X475" s="35"/>
      <c r="Y475" s="35"/>
      <c r="Z475" s="35"/>
      <c r="AA475" s="35"/>
      <c r="AB475" s="218"/>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row>
    <row r="476">
      <c r="A476" s="35"/>
      <c r="B476" s="35"/>
      <c r="C476" s="35"/>
      <c r="D476" s="35"/>
      <c r="E476" s="35"/>
      <c r="F476" s="35"/>
      <c r="G476" s="35"/>
      <c r="H476" s="35"/>
      <c r="I476" s="35"/>
      <c r="J476" s="35"/>
      <c r="K476" s="35"/>
      <c r="L476" s="35"/>
      <c r="M476" s="35"/>
      <c r="N476" s="35"/>
      <c r="O476" s="35"/>
      <c r="P476" s="35"/>
      <c r="Q476" s="43"/>
      <c r="R476" s="35"/>
      <c r="S476" s="35"/>
      <c r="T476" s="35"/>
      <c r="U476" s="138"/>
      <c r="V476" s="35"/>
      <c r="W476" s="35"/>
      <c r="X476" s="35"/>
      <c r="Y476" s="35"/>
      <c r="Z476" s="35"/>
      <c r="AA476" s="35"/>
      <c r="AB476" s="218"/>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row>
    <row r="477">
      <c r="A477" s="35"/>
      <c r="B477" s="35"/>
      <c r="C477" s="35"/>
      <c r="D477" s="35"/>
      <c r="E477" s="35"/>
      <c r="F477" s="35"/>
      <c r="G477" s="35"/>
      <c r="H477" s="35"/>
      <c r="I477" s="35"/>
      <c r="J477" s="35"/>
      <c r="K477" s="35"/>
      <c r="L477" s="35"/>
      <c r="M477" s="35"/>
      <c r="N477" s="35"/>
      <c r="O477" s="35"/>
      <c r="P477" s="35"/>
      <c r="Q477" s="43"/>
      <c r="R477" s="35"/>
      <c r="S477" s="35"/>
      <c r="T477" s="35"/>
      <c r="U477" s="138"/>
      <c r="V477" s="35"/>
      <c r="W477" s="35"/>
      <c r="X477" s="35"/>
      <c r="Y477" s="35"/>
      <c r="Z477" s="35"/>
      <c r="AA477" s="35"/>
      <c r="AB477" s="218"/>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row>
    <row r="478">
      <c r="A478" s="35"/>
      <c r="B478" s="35"/>
      <c r="C478" s="35"/>
      <c r="D478" s="35"/>
      <c r="E478" s="35"/>
      <c r="F478" s="35"/>
      <c r="G478" s="35"/>
      <c r="H478" s="35"/>
      <c r="I478" s="35"/>
      <c r="J478" s="35"/>
      <c r="K478" s="35"/>
      <c r="L478" s="35"/>
      <c r="M478" s="35"/>
      <c r="N478" s="35"/>
      <c r="O478" s="35"/>
      <c r="P478" s="35"/>
      <c r="Q478" s="43"/>
      <c r="R478" s="35"/>
      <c r="S478" s="35"/>
      <c r="T478" s="35"/>
      <c r="U478" s="138"/>
      <c r="V478" s="35"/>
      <c r="W478" s="35"/>
      <c r="X478" s="35"/>
      <c r="Y478" s="35"/>
      <c r="Z478" s="35"/>
      <c r="AA478" s="35"/>
      <c r="AB478" s="218"/>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row>
    <row r="479">
      <c r="A479" s="35"/>
      <c r="B479" s="35"/>
      <c r="C479" s="35"/>
      <c r="D479" s="35"/>
      <c r="E479" s="35"/>
      <c r="F479" s="35"/>
      <c r="G479" s="35"/>
      <c r="H479" s="35"/>
      <c r="I479" s="35"/>
      <c r="J479" s="35"/>
      <c r="K479" s="35"/>
      <c r="L479" s="35"/>
      <c r="M479" s="35"/>
      <c r="N479" s="35"/>
      <c r="O479" s="35"/>
      <c r="P479" s="35"/>
      <c r="Q479" s="43"/>
      <c r="R479" s="35"/>
      <c r="S479" s="35"/>
      <c r="T479" s="35"/>
      <c r="U479" s="138"/>
      <c r="V479" s="35"/>
      <c r="W479" s="35"/>
      <c r="X479" s="35"/>
      <c r="Y479" s="35"/>
      <c r="Z479" s="35"/>
      <c r="AA479" s="35"/>
      <c r="AB479" s="218"/>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row>
    <row r="480">
      <c r="A480" s="35"/>
      <c r="B480" s="35"/>
      <c r="C480" s="35"/>
      <c r="D480" s="35"/>
      <c r="E480" s="35"/>
      <c r="F480" s="35"/>
      <c r="G480" s="35"/>
      <c r="H480" s="35"/>
      <c r="I480" s="35"/>
      <c r="J480" s="35"/>
      <c r="K480" s="35"/>
      <c r="L480" s="35"/>
      <c r="M480" s="35"/>
      <c r="N480" s="35"/>
      <c r="O480" s="35"/>
      <c r="P480" s="35"/>
      <c r="Q480" s="43"/>
      <c r="R480" s="35"/>
      <c r="S480" s="35"/>
      <c r="T480" s="35"/>
      <c r="U480" s="138"/>
      <c r="V480" s="35"/>
      <c r="W480" s="35"/>
      <c r="X480" s="35"/>
      <c r="Y480" s="35"/>
      <c r="Z480" s="35"/>
      <c r="AA480" s="35"/>
      <c r="AB480" s="218"/>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row>
    <row r="481">
      <c r="A481" s="35"/>
      <c r="B481" s="35"/>
      <c r="C481" s="35"/>
      <c r="D481" s="35"/>
      <c r="E481" s="35"/>
      <c r="F481" s="35"/>
      <c r="G481" s="35"/>
      <c r="H481" s="35"/>
      <c r="I481" s="35"/>
      <c r="J481" s="35"/>
      <c r="K481" s="35"/>
      <c r="L481" s="35"/>
      <c r="M481" s="35"/>
      <c r="N481" s="35"/>
      <c r="O481" s="35"/>
      <c r="P481" s="35"/>
      <c r="Q481" s="43"/>
      <c r="R481" s="35"/>
      <c r="S481" s="35"/>
      <c r="T481" s="35"/>
      <c r="U481" s="138"/>
      <c r="V481" s="35"/>
      <c r="W481" s="35"/>
      <c r="X481" s="35"/>
      <c r="Y481" s="35"/>
      <c r="Z481" s="35"/>
      <c r="AA481" s="35"/>
      <c r="AB481" s="218"/>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row>
    <row r="482">
      <c r="A482" s="35"/>
      <c r="B482" s="35"/>
      <c r="C482" s="35"/>
      <c r="D482" s="35"/>
      <c r="E482" s="35"/>
      <c r="F482" s="35"/>
      <c r="G482" s="35"/>
      <c r="H482" s="35"/>
      <c r="I482" s="35"/>
      <c r="J482" s="35"/>
      <c r="K482" s="35"/>
      <c r="L482" s="35"/>
      <c r="M482" s="35"/>
      <c r="N482" s="35"/>
      <c r="O482" s="35"/>
      <c r="P482" s="35"/>
      <c r="Q482" s="43"/>
      <c r="R482" s="35"/>
      <c r="S482" s="35"/>
      <c r="T482" s="35"/>
      <c r="U482" s="138"/>
      <c r="V482" s="35"/>
      <c r="W482" s="35"/>
      <c r="X482" s="35"/>
      <c r="Y482" s="35"/>
      <c r="Z482" s="35"/>
      <c r="AA482" s="35"/>
      <c r="AB482" s="218"/>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row>
    <row r="483">
      <c r="A483" s="35"/>
      <c r="B483" s="35"/>
      <c r="C483" s="35"/>
      <c r="D483" s="35"/>
      <c r="E483" s="35"/>
      <c r="F483" s="35"/>
      <c r="G483" s="35"/>
      <c r="H483" s="35"/>
      <c r="I483" s="35"/>
      <c r="J483" s="35"/>
      <c r="K483" s="35"/>
      <c r="L483" s="35"/>
      <c r="M483" s="35"/>
      <c r="N483" s="35"/>
      <c r="O483" s="35"/>
      <c r="P483" s="35"/>
      <c r="Q483" s="43"/>
      <c r="R483" s="35"/>
      <c r="S483" s="35"/>
      <c r="T483" s="35"/>
      <c r="U483" s="138"/>
      <c r="V483" s="35"/>
      <c r="W483" s="35"/>
      <c r="X483" s="35"/>
      <c r="Y483" s="35"/>
      <c r="Z483" s="35"/>
      <c r="AA483" s="35"/>
      <c r="AB483" s="218"/>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row>
    <row r="484">
      <c r="A484" s="35"/>
      <c r="B484" s="35"/>
      <c r="C484" s="35"/>
      <c r="D484" s="35"/>
      <c r="E484" s="35"/>
      <c r="F484" s="35"/>
      <c r="G484" s="35"/>
      <c r="H484" s="35"/>
      <c r="I484" s="35"/>
      <c r="J484" s="35"/>
      <c r="K484" s="35"/>
      <c r="L484" s="35"/>
      <c r="M484" s="35"/>
      <c r="N484" s="35"/>
      <c r="O484" s="35"/>
      <c r="P484" s="35"/>
      <c r="Q484" s="43"/>
      <c r="R484" s="35"/>
      <c r="S484" s="35"/>
      <c r="T484" s="35"/>
      <c r="U484" s="138"/>
      <c r="V484" s="35"/>
      <c r="W484" s="35"/>
      <c r="X484" s="35"/>
      <c r="Y484" s="35"/>
      <c r="Z484" s="35"/>
      <c r="AA484" s="35"/>
      <c r="AB484" s="218"/>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row>
    <row r="485">
      <c r="A485" s="35"/>
      <c r="B485" s="35"/>
      <c r="C485" s="35"/>
      <c r="D485" s="35"/>
      <c r="E485" s="35"/>
      <c r="F485" s="35"/>
      <c r="G485" s="35"/>
      <c r="H485" s="35"/>
      <c r="I485" s="35"/>
      <c r="J485" s="35"/>
      <c r="K485" s="35"/>
      <c r="L485" s="35"/>
      <c r="M485" s="35"/>
      <c r="N485" s="35"/>
      <c r="O485" s="35"/>
      <c r="P485" s="35"/>
      <c r="Q485" s="43"/>
      <c r="R485" s="35"/>
      <c r="S485" s="35"/>
      <c r="T485" s="35"/>
      <c r="U485" s="138"/>
      <c r="V485" s="35"/>
      <c r="W485" s="35"/>
      <c r="X485" s="35"/>
      <c r="Y485" s="35"/>
      <c r="Z485" s="35"/>
      <c r="AA485" s="35"/>
      <c r="AB485" s="218"/>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row>
    <row r="486">
      <c r="A486" s="35"/>
      <c r="B486" s="35"/>
      <c r="C486" s="35"/>
      <c r="D486" s="35"/>
      <c r="E486" s="35"/>
      <c r="F486" s="35"/>
      <c r="G486" s="35"/>
      <c r="H486" s="35"/>
      <c r="I486" s="35"/>
      <c r="J486" s="35"/>
      <c r="K486" s="35"/>
      <c r="L486" s="35"/>
      <c r="M486" s="35"/>
      <c r="N486" s="35"/>
      <c r="O486" s="35"/>
      <c r="P486" s="35"/>
      <c r="Q486" s="43"/>
      <c r="R486" s="35"/>
      <c r="S486" s="35"/>
      <c r="T486" s="35"/>
      <c r="U486" s="138"/>
      <c r="V486" s="35"/>
      <c r="W486" s="35"/>
      <c r="X486" s="35"/>
      <c r="Y486" s="35"/>
      <c r="Z486" s="35"/>
      <c r="AA486" s="35"/>
      <c r="AB486" s="218"/>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row>
    <row r="487">
      <c r="A487" s="35"/>
      <c r="B487" s="35"/>
      <c r="C487" s="35"/>
      <c r="D487" s="35"/>
      <c r="E487" s="35"/>
      <c r="F487" s="35"/>
      <c r="G487" s="35"/>
      <c r="H487" s="35"/>
      <c r="I487" s="35"/>
      <c r="J487" s="35"/>
      <c r="K487" s="35"/>
      <c r="L487" s="35"/>
      <c r="M487" s="35"/>
      <c r="N487" s="35"/>
      <c r="O487" s="35"/>
      <c r="P487" s="35"/>
      <c r="Q487" s="43"/>
      <c r="R487" s="35"/>
      <c r="S487" s="35"/>
      <c r="T487" s="35"/>
      <c r="U487" s="138"/>
      <c r="V487" s="35"/>
      <c r="W487" s="35"/>
      <c r="X487" s="35"/>
      <c r="Y487" s="35"/>
      <c r="Z487" s="35"/>
      <c r="AA487" s="35"/>
      <c r="AB487" s="218"/>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row>
    <row r="488">
      <c r="A488" s="35"/>
      <c r="B488" s="35"/>
      <c r="C488" s="35"/>
      <c r="D488" s="35"/>
      <c r="E488" s="35"/>
      <c r="F488" s="35"/>
      <c r="G488" s="35"/>
      <c r="H488" s="35"/>
      <c r="I488" s="35"/>
      <c r="J488" s="35"/>
      <c r="K488" s="35"/>
      <c r="L488" s="35"/>
      <c r="M488" s="35"/>
      <c r="N488" s="35"/>
      <c r="O488" s="35"/>
      <c r="P488" s="35"/>
      <c r="Q488" s="43"/>
      <c r="R488" s="35"/>
      <c r="S488" s="35"/>
      <c r="T488" s="35"/>
      <c r="U488" s="138"/>
      <c r="V488" s="35"/>
      <c r="W488" s="35"/>
      <c r="X488" s="35"/>
      <c r="Y488" s="35"/>
      <c r="Z488" s="35"/>
      <c r="AA488" s="35"/>
      <c r="AB488" s="218"/>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row>
    <row r="489">
      <c r="A489" s="35"/>
      <c r="B489" s="35"/>
      <c r="C489" s="35"/>
      <c r="D489" s="35"/>
      <c r="E489" s="35"/>
      <c r="F489" s="35"/>
      <c r="G489" s="35"/>
      <c r="H489" s="35"/>
      <c r="I489" s="35"/>
      <c r="J489" s="35"/>
      <c r="K489" s="35"/>
      <c r="L489" s="35"/>
      <c r="M489" s="35"/>
      <c r="N489" s="35"/>
      <c r="O489" s="35"/>
      <c r="P489" s="35"/>
      <c r="Q489" s="43"/>
      <c r="R489" s="35"/>
      <c r="S489" s="35"/>
      <c r="T489" s="35"/>
      <c r="U489" s="138"/>
      <c r="V489" s="35"/>
      <c r="W489" s="35"/>
      <c r="X489" s="35"/>
      <c r="Y489" s="35"/>
      <c r="Z489" s="35"/>
      <c r="AA489" s="35"/>
      <c r="AB489" s="218"/>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row>
    <row r="490">
      <c r="A490" s="35"/>
      <c r="B490" s="35"/>
      <c r="C490" s="35"/>
      <c r="D490" s="35"/>
      <c r="E490" s="35"/>
      <c r="F490" s="35"/>
      <c r="G490" s="35"/>
      <c r="H490" s="35"/>
      <c r="I490" s="35"/>
      <c r="J490" s="35"/>
      <c r="K490" s="35"/>
      <c r="L490" s="35"/>
      <c r="M490" s="35"/>
      <c r="N490" s="35"/>
      <c r="O490" s="35"/>
      <c r="P490" s="35"/>
      <c r="Q490" s="43"/>
      <c r="R490" s="35"/>
      <c r="S490" s="35"/>
      <c r="T490" s="35"/>
      <c r="U490" s="138"/>
      <c r="V490" s="35"/>
      <c r="W490" s="35"/>
      <c r="X490" s="35"/>
      <c r="Y490" s="35"/>
      <c r="Z490" s="35"/>
      <c r="AA490" s="35"/>
      <c r="AB490" s="218"/>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row>
    <row r="491">
      <c r="A491" s="35"/>
      <c r="B491" s="35"/>
      <c r="C491" s="35"/>
      <c r="D491" s="35"/>
      <c r="E491" s="35"/>
      <c r="F491" s="35"/>
      <c r="G491" s="35"/>
      <c r="H491" s="35"/>
      <c r="I491" s="35"/>
      <c r="J491" s="35"/>
      <c r="K491" s="35"/>
      <c r="L491" s="35"/>
      <c r="M491" s="35"/>
      <c r="N491" s="35"/>
      <c r="O491" s="35"/>
      <c r="P491" s="35"/>
      <c r="Q491" s="43"/>
      <c r="R491" s="35"/>
      <c r="S491" s="35"/>
      <c r="T491" s="35"/>
      <c r="U491" s="138"/>
      <c r="V491" s="35"/>
      <c r="W491" s="35"/>
      <c r="X491" s="35"/>
      <c r="Y491" s="35"/>
      <c r="Z491" s="35"/>
      <c r="AA491" s="35"/>
      <c r="AB491" s="218"/>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row>
    <row r="492">
      <c r="A492" s="35"/>
      <c r="B492" s="35"/>
      <c r="C492" s="35"/>
      <c r="D492" s="35"/>
      <c r="E492" s="35"/>
      <c r="F492" s="35"/>
      <c r="G492" s="35"/>
      <c r="H492" s="35"/>
      <c r="I492" s="35"/>
      <c r="J492" s="35"/>
      <c r="K492" s="35"/>
      <c r="L492" s="35"/>
      <c r="M492" s="35"/>
      <c r="N492" s="35"/>
      <c r="O492" s="35"/>
      <c r="P492" s="35"/>
      <c r="Q492" s="43"/>
      <c r="R492" s="35"/>
      <c r="S492" s="35"/>
      <c r="T492" s="35"/>
      <c r="U492" s="138"/>
      <c r="V492" s="35"/>
      <c r="W492" s="35"/>
      <c r="X492" s="35"/>
      <c r="Y492" s="35"/>
      <c r="Z492" s="35"/>
      <c r="AA492" s="35"/>
      <c r="AB492" s="218"/>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row>
    <row r="493">
      <c r="A493" s="35"/>
      <c r="B493" s="35"/>
      <c r="C493" s="35"/>
      <c r="D493" s="35"/>
      <c r="E493" s="35"/>
      <c r="F493" s="35"/>
      <c r="G493" s="35"/>
      <c r="H493" s="35"/>
      <c r="I493" s="35"/>
      <c r="J493" s="35"/>
      <c r="K493" s="35"/>
      <c r="L493" s="35"/>
      <c r="M493" s="35"/>
      <c r="N493" s="35"/>
      <c r="O493" s="35"/>
      <c r="P493" s="35"/>
      <c r="Q493" s="43"/>
      <c r="R493" s="35"/>
      <c r="S493" s="35"/>
      <c r="T493" s="35"/>
      <c r="U493" s="138"/>
      <c r="V493" s="35"/>
      <c r="W493" s="35"/>
      <c r="X493" s="35"/>
      <c r="Y493" s="35"/>
      <c r="Z493" s="35"/>
      <c r="AA493" s="35"/>
      <c r="AB493" s="218"/>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row>
    <row r="494">
      <c r="A494" s="35"/>
      <c r="B494" s="35"/>
      <c r="C494" s="35"/>
      <c r="D494" s="35"/>
      <c r="E494" s="35"/>
      <c r="F494" s="35"/>
      <c r="G494" s="35"/>
      <c r="H494" s="35"/>
      <c r="I494" s="35"/>
      <c r="J494" s="35"/>
      <c r="K494" s="35"/>
      <c r="L494" s="35"/>
      <c r="M494" s="35"/>
      <c r="N494" s="35"/>
      <c r="O494" s="35"/>
      <c r="P494" s="35"/>
      <c r="Q494" s="43"/>
      <c r="R494" s="35"/>
      <c r="S494" s="35"/>
      <c r="T494" s="35"/>
      <c r="U494" s="138"/>
      <c r="V494" s="35"/>
      <c r="W494" s="35"/>
      <c r="X494" s="35"/>
      <c r="Y494" s="35"/>
      <c r="Z494" s="35"/>
      <c r="AA494" s="35"/>
      <c r="AB494" s="218"/>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row>
    <row r="495">
      <c r="A495" s="35"/>
      <c r="B495" s="35"/>
      <c r="C495" s="35"/>
      <c r="D495" s="35"/>
      <c r="E495" s="35"/>
      <c r="F495" s="35"/>
      <c r="G495" s="35"/>
      <c r="H495" s="35"/>
      <c r="I495" s="35"/>
      <c r="J495" s="35"/>
      <c r="K495" s="35"/>
      <c r="L495" s="35"/>
      <c r="M495" s="35"/>
      <c r="N495" s="35"/>
      <c r="O495" s="35"/>
      <c r="P495" s="35"/>
      <c r="Q495" s="43"/>
      <c r="R495" s="35"/>
      <c r="S495" s="35"/>
      <c r="T495" s="35"/>
      <c r="U495" s="138"/>
      <c r="V495" s="35"/>
      <c r="W495" s="35"/>
      <c r="X495" s="35"/>
      <c r="Y495" s="35"/>
      <c r="Z495" s="35"/>
      <c r="AA495" s="35"/>
      <c r="AB495" s="218"/>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row>
    <row r="496">
      <c r="A496" s="35"/>
      <c r="B496" s="35"/>
      <c r="C496" s="35"/>
      <c r="D496" s="35"/>
      <c r="E496" s="35"/>
      <c r="F496" s="35"/>
      <c r="G496" s="35"/>
      <c r="H496" s="35"/>
      <c r="I496" s="35"/>
      <c r="J496" s="35"/>
      <c r="K496" s="35"/>
      <c r="L496" s="35"/>
      <c r="M496" s="35"/>
      <c r="N496" s="35"/>
      <c r="O496" s="35"/>
      <c r="P496" s="35"/>
      <c r="Q496" s="43"/>
      <c r="R496" s="35"/>
      <c r="S496" s="35"/>
      <c r="T496" s="35"/>
      <c r="U496" s="138"/>
      <c r="V496" s="35"/>
      <c r="W496" s="35"/>
      <c r="X496" s="35"/>
      <c r="Y496" s="35"/>
      <c r="Z496" s="35"/>
      <c r="AA496" s="35"/>
      <c r="AB496" s="218"/>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row>
    <row r="497">
      <c r="A497" s="35"/>
      <c r="B497" s="35"/>
      <c r="C497" s="35"/>
      <c r="D497" s="35"/>
      <c r="E497" s="35"/>
      <c r="F497" s="35"/>
      <c r="G497" s="35"/>
      <c r="H497" s="35"/>
      <c r="I497" s="35"/>
      <c r="J497" s="35"/>
      <c r="K497" s="35"/>
      <c r="L497" s="35"/>
      <c r="M497" s="35"/>
      <c r="N497" s="35"/>
      <c r="O497" s="35"/>
      <c r="P497" s="35"/>
      <c r="Q497" s="43"/>
      <c r="R497" s="35"/>
      <c r="S497" s="35"/>
      <c r="T497" s="35"/>
      <c r="U497" s="138"/>
      <c r="V497" s="35"/>
      <c r="W497" s="35"/>
      <c r="X497" s="35"/>
      <c r="Y497" s="35"/>
      <c r="Z497" s="35"/>
      <c r="AA497" s="35"/>
      <c r="AB497" s="218"/>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row>
    <row r="498">
      <c r="A498" s="35"/>
      <c r="B498" s="35"/>
      <c r="C498" s="35"/>
      <c r="D498" s="35"/>
      <c r="E498" s="35"/>
      <c r="F498" s="35"/>
      <c r="G498" s="35"/>
      <c r="H498" s="35"/>
      <c r="I498" s="35"/>
      <c r="J498" s="35"/>
      <c r="K498" s="35"/>
      <c r="L498" s="35"/>
      <c r="M498" s="35"/>
      <c r="N498" s="35"/>
      <c r="O498" s="35"/>
      <c r="P498" s="35"/>
      <c r="Q498" s="43"/>
      <c r="R498" s="35"/>
      <c r="S498" s="35"/>
      <c r="T498" s="35"/>
      <c r="U498" s="138"/>
      <c r="V498" s="35"/>
      <c r="W498" s="35"/>
      <c r="X498" s="35"/>
      <c r="Y498" s="35"/>
      <c r="Z498" s="35"/>
      <c r="AA498" s="35"/>
      <c r="AB498" s="218"/>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row>
    <row r="499">
      <c r="A499" s="35"/>
      <c r="B499" s="35"/>
      <c r="C499" s="35"/>
      <c r="D499" s="35"/>
      <c r="E499" s="35"/>
      <c r="F499" s="35"/>
      <c r="G499" s="35"/>
      <c r="H499" s="35"/>
      <c r="I499" s="35"/>
      <c r="J499" s="35"/>
      <c r="K499" s="35"/>
      <c r="L499" s="35"/>
      <c r="M499" s="35"/>
      <c r="N499" s="35"/>
      <c r="O499" s="35"/>
      <c r="P499" s="35"/>
      <c r="Q499" s="43"/>
      <c r="R499" s="35"/>
      <c r="S499" s="35"/>
      <c r="T499" s="35"/>
      <c r="U499" s="138"/>
      <c r="V499" s="35"/>
      <c r="W499" s="35"/>
      <c r="X499" s="35"/>
      <c r="Y499" s="35"/>
      <c r="Z499" s="35"/>
      <c r="AA499" s="35"/>
      <c r="AB499" s="218"/>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row>
    <row r="500">
      <c r="A500" s="35"/>
      <c r="B500" s="35"/>
      <c r="C500" s="35"/>
      <c r="D500" s="35"/>
      <c r="E500" s="35"/>
      <c r="F500" s="35"/>
      <c r="G500" s="35"/>
      <c r="H500" s="35"/>
      <c r="I500" s="35"/>
      <c r="J500" s="35"/>
      <c r="K500" s="35"/>
      <c r="L500" s="35"/>
      <c r="M500" s="35"/>
      <c r="N500" s="35"/>
      <c r="O500" s="35"/>
      <c r="P500" s="35"/>
      <c r="Q500" s="43"/>
      <c r="R500" s="35"/>
      <c r="S500" s="35"/>
      <c r="T500" s="35"/>
      <c r="U500" s="138"/>
      <c r="V500" s="35"/>
      <c r="W500" s="35"/>
      <c r="X500" s="35"/>
      <c r="Y500" s="35"/>
      <c r="Z500" s="35"/>
      <c r="AA500" s="35"/>
      <c r="AB500" s="218"/>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row>
    <row r="501">
      <c r="A501" s="35"/>
      <c r="B501" s="35"/>
      <c r="C501" s="35"/>
      <c r="D501" s="35"/>
      <c r="E501" s="35"/>
      <c r="F501" s="35"/>
      <c r="G501" s="35"/>
      <c r="H501" s="35"/>
      <c r="I501" s="35"/>
      <c r="J501" s="35"/>
      <c r="K501" s="35"/>
      <c r="L501" s="35"/>
      <c r="M501" s="35"/>
      <c r="N501" s="35"/>
      <c r="O501" s="35"/>
      <c r="P501" s="35"/>
      <c r="Q501" s="43"/>
      <c r="R501" s="35"/>
      <c r="S501" s="35"/>
      <c r="T501" s="35"/>
      <c r="U501" s="138"/>
      <c r="V501" s="35"/>
      <c r="W501" s="35"/>
      <c r="X501" s="35"/>
      <c r="Y501" s="35"/>
      <c r="Z501" s="35"/>
      <c r="AA501" s="35"/>
      <c r="AB501" s="218"/>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row>
    <row r="502">
      <c r="A502" s="35"/>
      <c r="B502" s="35"/>
      <c r="C502" s="35"/>
      <c r="D502" s="35"/>
      <c r="E502" s="35"/>
      <c r="F502" s="35"/>
      <c r="G502" s="35"/>
      <c r="H502" s="35"/>
      <c r="I502" s="35"/>
      <c r="J502" s="35"/>
      <c r="K502" s="35"/>
      <c r="L502" s="35"/>
      <c r="M502" s="35"/>
      <c r="N502" s="35"/>
      <c r="O502" s="35"/>
      <c r="P502" s="35"/>
      <c r="Q502" s="43"/>
      <c r="R502" s="35"/>
      <c r="S502" s="35"/>
      <c r="T502" s="35"/>
      <c r="U502" s="138"/>
      <c r="V502" s="35"/>
      <c r="W502" s="35"/>
      <c r="X502" s="35"/>
      <c r="Y502" s="35"/>
      <c r="Z502" s="35"/>
      <c r="AA502" s="35"/>
      <c r="AB502" s="218"/>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row>
    <row r="503">
      <c r="A503" s="35"/>
      <c r="B503" s="35"/>
      <c r="C503" s="35"/>
      <c r="D503" s="35"/>
      <c r="E503" s="35"/>
      <c r="F503" s="35"/>
      <c r="G503" s="35"/>
      <c r="H503" s="35"/>
      <c r="I503" s="35"/>
      <c r="J503" s="35"/>
      <c r="K503" s="35"/>
      <c r="L503" s="35"/>
      <c r="M503" s="35"/>
      <c r="N503" s="35"/>
      <c r="O503" s="35"/>
      <c r="P503" s="35"/>
      <c r="Q503" s="43"/>
      <c r="R503" s="35"/>
      <c r="S503" s="35"/>
      <c r="T503" s="35"/>
      <c r="U503" s="138"/>
      <c r="V503" s="35"/>
      <c r="W503" s="35"/>
      <c r="X503" s="35"/>
      <c r="Y503" s="35"/>
      <c r="Z503" s="35"/>
      <c r="AA503" s="35"/>
      <c r="AB503" s="218"/>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row>
    <row r="504">
      <c r="A504" s="35"/>
      <c r="B504" s="35"/>
      <c r="C504" s="35"/>
      <c r="D504" s="35"/>
      <c r="E504" s="35"/>
      <c r="F504" s="35"/>
      <c r="G504" s="35"/>
      <c r="H504" s="35"/>
      <c r="I504" s="35"/>
      <c r="J504" s="35"/>
      <c r="K504" s="35"/>
      <c r="L504" s="35"/>
      <c r="M504" s="35"/>
      <c r="N504" s="35"/>
      <c r="O504" s="35"/>
      <c r="P504" s="35"/>
      <c r="Q504" s="43"/>
      <c r="R504" s="35"/>
      <c r="S504" s="35"/>
      <c r="T504" s="35"/>
      <c r="U504" s="138"/>
      <c r="V504" s="35"/>
      <c r="W504" s="35"/>
      <c r="X504" s="35"/>
      <c r="Y504" s="35"/>
      <c r="Z504" s="35"/>
      <c r="AA504" s="35"/>
      <c r="AB504" s="218"/>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row>
    <row r="505">
      <c r="A505" s="35"/>
      <c r="B505" s="35"/>
      <c r="C505" s="35"/>
      <c r="D505" s="35"/>
      <c r="E505" s="35"/>
      <c r="F505" s="35"/>
      <c r="G505" s="35"/>
      <c r="H505" s="35"/>
      <c r="I505" s="35"/>
      <c r="J505" s="35"/>
      <c r="K505" s="35"/>
      <c r="L505" s="35"/>
      <c r="M505" s="35"/>
      <c r="N505" s="35"/>
      <c r="O505" s="35"/>
      <c r="P505" s="35"/>
      <c r="Q505" s="43"/>
      <c r="R505" s="35"/>
      <c r="S505" s="35"/>
      <c r="T505" s="35"/>
      <c r="U505" s="138"/>
      <c r="V505" s="35"/>
      <c r="W505" s="35"/>
      <c r="X505" s="35"/>
      <c r="Y505" s="35"/>
      <c r="Z505" s="35"/>
      <c r="AA505" s="35"/>
      <c r="AB505" s="218"/>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row>
    <row r="506">
      <c r="A506" s="35"/>
      <c r="B506" s="35"/>
      <c r="C506" s="35"/>
      <c r="D506" s="35"/>
      <c r="E506" s="35"/>
      <c r="F506" s="35"/>
      <c r="G506" s="35"/>
      <c r="H506" s="35"/>
      <c r="I506" s="35"/>
      <c r="J506" s="35"/>
      <c r="K506" s="35"/>
      <c r="L506" s="35"/>
      <c r="M506" s="35"/>
      <c r="N506" s="35"/>
      <c r="O506" s="35"/>
      <c r="P506" s="35"/>
      <c r="Q506" s="43"/>
      <c r="R506" s="35"/>
      <c r="S506" s="35"/>
      <c r="T506" s="35"/>
      <c r="U506" s="138"/>
      <c r="V506" s="35"/>
      <c r="W506" s="35"/>
      <c r="X506" s="35"/>
      <c r="Y506" s="35"/>
      <c r="Z506" s="35"/>
      <c r="AA506" s="35"/>
      <c r="AB506" s="218"/>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row>
    <row r="507">
      <c r="A507" s="35"/>
      <c r="B507" s="35"/>
      <c r="C507" s="35"/>
      <c r="D507" s="35"/>
      <c r="E507" s="35"/>
      <c r="F507" s="35"/>
      <c r="G507" s="35"/>
      <c r="H507" s="35"/>
      <c r="I507" s="35"/>
      <c r="J507" s="35"/>
      <c r="K507" s="35"/>
      <c r="L507" s="35"/>
      <c r="M507" s="35"/>
      <c r="N507" s="35"/>
      <c r="O507" s="35"/>
      <c r="P507" s="35"/>
      <c r="Q507" s="43"/>
      <c r="R507" s="35"/>
      <c r="S507" s="35"/>
      <c r="T507" s="35"/>
      <c r="U507" s="138"/>
      <c r="V507" s="35"/>
      <c r="W507" s="35"/>
      <c r="X507" s="35"/>
      <c r="Y507" s="35"/>
      <c r="Z507" s="35"/>
      <c r="AA507" s="35"/>
      <c r="AB507" s="218"/>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row>
    <row r="508">
      <c r="A508" s="35"/>
      <c r="B508" s="35"/>
      <c r="C508" s="35"/>
      <c r="D508" s="35"/>
      <c r="E508" s="35"/>
      <c r="F508" s="35"/>
      <c r="G508" s="35"/>
      <c r="H508" s="35"/>
      <c r="I508" s="35"/>
      <c r="J508" s="35"/>
      <c r="K508" s="35"/>
      <c r="L508" s="35"/>
      <c r="M508" s="35"/>
      <c r="N508" s="35"/>
      <c r="O508" s="35"/>
      <c r="P508" s="35"/>
      <c r="Q508" s="43"/>
      <c r="R508" s="35"/>
      <c r="S508" s="35"/>
      <c r="T508" s="35"/>
      <c r="U508" s="138"/>
      <c r="V508" s="35"/>
      <c r="W508" s="35"/>
      <c r="X508" s="35"/>
      <c r="Y508" s="35"/>
      <c r="Z508" s="35"/>
      <c r="AA508" s="35"/>
      <c r="AB508" s="218"/>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row>
    <row r="509">
      <c r="A509" s="35"/>
      <c r="B509" s="35"/>
      <c r="C509" s="35"/>
      <c r="D509" s="35"/>
      <c r="E509" s="35"/>
      <c r="F509" s="35"/>
      <c r="G509" s="35"/>
      <c r="H509" s="35"/>
      <c r="I509" s="35"/>
      <c r="J509" s="35"/>
      <c r="K509" s="35"/>
      <c r="L509" s="35"/>
      <c r="M509" s="35"/>
      <c r="N509" s="35"/>
      <c r="O509" s="35"/>
      <c r="P509" s="35"/>
      <c r="Q509" s="43"/>
      <c r="R509" s="35"/>
      <c r="S509" s="35"/>
      <c r="T509" s="35"/>
      <c r="U509" s="138"/>
      <c r="V509" s="35"/>
      <c r="W509" s="35"/>
      <c r="X509" s="35"/>
      <c r="Y509" s="35"/>
      <c r="Z509" s="35"/>
      <c r="AA509" s="35"/>
      <c r="AB509" s="218"/>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row>
    <row r="510">
      <c r="A510" s="35"/>
      <c r="B510" s="35"/>
      <c r="C510" s="35"/>
      <c r="D510" s="35"/>
      <c r="E510" s="35"/>
      <c r="F510" s="35"/>
      <c r="G510" s="35"/>
      <c r="H510" s="35"/>
      <c r="I510" s="35"/>
      <c r="J510" s="35"/>
      <c r="K510" s="35"/>
      <c r="L510" s="35"/>
      <c r="M510" s="35"/>
      <c r="N510" s="35"/>
      <c r="O510" s="35"/>
      <c r="P510" s="35"/>
      <c r="Q510" s="43"/>
      <c r="R510" s="35"/>
      <c r="S510" s="35"/>
      <c r="T510" s="35"/>
      <c r="U510" s="138"/>
      <c r="V510" s="35"/>
      <c r="W510" s="35"/>
      <c r="X510" s="35"/>
      <c r="Y510" s="35"/>
      <c r="Z510" s="35"/>
      <c r="AA510" s="35"/>
      <c r="AB510" s="218"/>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row>
    <row r="511">
      <c r="A511" s="35"/>
      <c r="B511" s="35"/>
      <c r="C511" s="35"/>
      <c r="D511" s="35"/>
      <c r="E511" s="35"/>
      <c r="F511" s="35"/>
      <c r="G511" s="35"/>
      <c r="H511" s="35"/>
      <c r="I511" s="35"/>
      <c r="J511" s="35"/>
      <c r="K511" s="35"/>
      <c r="L511" s="35"/>
      <c r="M511" s="35"/>
      <c r="N511" s="35"/>
      <c r="O511" s="35"/>
      <c r="P511" s="35"/>
      <c r="Q511" s="43"/>
      <c r="R511" s="35"/>
      <c r="S511" s="35"/>
      <c r="T511" s="35"/>
      <c r="U511" s="138"/>
      <c r="V511" s="35"/>
      <c r="W511" s="35"/>
      <c r="X511" s="35"/>
      <c r="Y511" s="35"/>
      <c r="Z511" s="35"/>
      <c r="AA511" s="35"/>
      <c r="AB511" s="218"/>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row>
    <row r="512">
      <c r="A512" s="35"/>
      <c r="B512" s="35"/>
      <c r="C512" s="35"/>
      <c r="D512" s="35"/>
      <c r="E512" s="35"/>
      <c r="F512" s="35"/>
      <c r="G512" s="35"/>
      <c r="H512" s="35"/>
      <c r="I512" s="35"/>
      <c r="J512" s="35"/>
      <c r="K512" s="35"/>
      <c r="L512" s="35"/>
      <c r="M512" s="35"/>
      <c r="N512" s="35"/>
      <c r="O512" s="35"/>
      <c r="P512" s="35"/>
      <c r="Q512" s="43"/>
      <c r="R512" s="35"/>
      <c r="S512" s="35"/>
      <c r="T512" s="35"/>
      <c r="U512" s="138"/>
      <c r="V512" s="35"/>
      <c r="W512" s="35"/>
      <c r="X512" s="35"/>
      <c r="Y512" s="35"/>
      <c r="Z512" s="35"/>
      <c r="AA512" s="35"/>
      <c r="AB512" s="218"/>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row>
    <row r="513">
      <c r="A513" s="35"/>
      <c r="B513" s="35"/>
      <c r="C513" s="35"/>
      <c r="D513" s="35"/>
      <c r="E513" s="35"/>
      <c r="F513" s="35"/>
      <c r="G513" s="35"/>
      <c r="H513" s="35"/>
      <c r="I513" s="35"/>
      <c r="J513" s="35"/>
      <c r="K513" s="35"/>
      <c r="L513" s="35"/>
      <c r="M513" s="35"/>
      <c r="N513" s="35"/>
      <c r="O513" s="35"/>
      <c r="P513" s="35"/>
      <c r="Q513" s="43"/>
      <c r="R513" s="35"/>
      <c r="S513" s="35"/>
      <c r="T513" s="35"/>
      <c r="U513" s="138"/>
      <c r="V513" s="35"/>
      <c r="W513" s="35"/>
      <c r="X513" s="35"/>
      <c r="Y513" s="35"/>
      <c r="Z513" s="35"/>
      <c r="AA513" s="35"/>
      <c r="AB513" s="218"/>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row>
    <row r="514">
      <c r="A514" s="35"/>
      <c r="B514" s="35"/>
      <c r="C514" s="35"/>
      <c r="D514" s="35"/>
      <c r="E514" s="35"/>
      <c r="F514" s="35"/>
      <c r="G514" s="35"/>
      <c r="H514" s="35"/>
      <c r="I514" s="35"/>
      <c r="J514" s="35"/>
      <c r="K514" s="35"/>
      <c r="L514" s="35"/>
      <c r="M514" s="35"/>
      <c r="N514" s="35"/>
      <c r="O514" s="35"/>
      <c r="P514" s="35"/>
      <c r="Q514" s="43"/>
      <c r="R514" s="35"/>
      <c r="S514" s="35"/>
      <c r="T514" s="35"/>
      <c r="U514" s="138"/>
      <c r="V514" s="35"/>
      <c r="W514" s="35"/>
      <c r="X514" s="35"/>
      <c r="Y514" s="35"/>
      <c r="Z514" s="35"/>
      <c r="AA514" s="35"/>
      <c r="AB514" s="218"/>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row>
    <row r="515">
      <c r="A515" s="35"/>
      <c r="B515" s="35"/>
      <c r="C515" s="35"/>
      <c r="D515" s="35"/>
      <c r="E515" s="35"/>
      <c r="F515" s="35"/>
      <c r="G515" s="35"/>
      <c r="H515" s="35"/>
      <c r="I515" s="35"/>
      <c r="J515" s="35"/>
      <c r="K515" s="35"/>
      <c r="L515" s="35"/>
      <c r="M515" s="35"/>
      <c r="N515" s="35"/>
      <c r="O515" s="35"/>
      <c r="P515" s="35"/>
      <c r="Q515" s="43"/>
      <c r="R515" s="35"/>
      <c r="S515" s="35"/>
      <c r="T515" s="35"/>
      <c r="U515" s="138"/>
      <c r="V515" s="35"/>
      <c r="W515" s="35"/>
      <c r="X515" s="35"/>
      <c r="Y515" s="35"/>
      <c r="Z515" s="35"/>
      <c r="AA515" s="35"/>
      <c r="AB515" s="218"/>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row>
    <row r="516">
      <c r="A516" s="35"/>
      <c r="B516" s="35"/>
      <c r="C516" s="35"/>
      <c r="D516" s="35"/>
      <c r="E516" s="35"/>
      <c r="F516" s="35"/>
      <c r="G516" s="35"/>
      <c r="H516" s="35"/>
      <c r="I516" s="35"/>
      <c r="J516" s="35"/>
      <c r="K516" s="35"/>
      <c r="L516" s="35"/>
      <c r="M516" s="35"/>
      <c r="N516" s="35"/>
      <c r="O516" s="35"/>
      <c r="P516" s="35"/>
      <c r="Q516" s="43"/>
      <c r="R516" s="35"/>
      <c r="S516" s="35"/>
      <c r="T516" s="35"/>
      <c r="U516" s="138"/>
      <c r="V516" s="35"/>
      <c r="W516" s="35"/>
      <c r="X516" s="35"/>
      <c r="Y516" s="35"/>
      <c r="Z516" s="35"/>
      <c r="AA516" s="35"/>
      <c r="AB516" s="218"/>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row>
    <row r="517">
      <c r="A517" s="35"/>
      <c r="B517" s="35"/>
      <c r="C517" s="35"/>
      <c r="D517" s="35"/>
      <c r="E517" s="35"/>
      <c r="F517" s="35"/>
      <c r="G517" s="35"/>
      <c r="H517" s="35"/>
      <c r="I517" s="35"/>
      <c r="J517" s="35"/>
      <c r="K517" s="35"/>
      <c r="L517" s="35"/>
      <c r="M517" s="35"/>
      <c r="N517" s="35"/>
      <c r="O517" s="35"/>
      <c r="P517" s="35"/>
      <c r="Q517" s="43"/>
      <c r="R517" s="35"/>
      <c r="S517" s="35"/>
      <c r="T517" s="35"/>
      <c r="U517" s="138"/>
      <c r="V517" s="35"/>
      <c r="W517" s="35"/>
      <c r="X517" s="35"/>
      <c r="Y517" s="35"/>
      <c r="Z517" s="35"/>
      <c r="AA517" s="35"/>
      <c r="AB517" s="218"/>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row>
    <row r="518">
      <c r="A518" s="35"/>
      <c r="B518" s="35"/>
      <c r="C518" s="35"/>
      <c r="D518" s="35"/>
      <c r="E518" s="35"/>
      <c r="F518" s="35"/>
      <c r="G518" s="35"/>
      <c r="H518" s="35"/>
      <c r="I518" s="35"/>
      <c r="J518" s="35"/>
      <c r="K518" s="35"/>
      <c r="L518" s="35"/>
      <c r="M518" s="35"/>
      <c r="N518" s="35"/>
      <c r="O518" s="35"/>
      <c r="P518" s="35"/>
      <c r="Q518" s="43"/>
      <c r="R518" s="35"/>
      <c r="S518" s="35"/>
      <c r="T518" s="35"/>
      <c r="U518" s="138"/>
      <c r="V518" s="35"/>
      <c r="W518" s="35"/>
      <c r="X518" s="35"/>
      <c r="Y518" s="35"/>
      <c r="Z518" s="35"/>
      <c r="AA518" s="35"/>
      <c r="AB518" s="218"/>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row>
    <row r="519">
      <c r="A519" s="35"/>
      <c r="B519" s="35"/>
      <c r="C519" s="35"/>
      <c r="D519" s="35"/>
      <c r="E519" s="35"/>
      <c r="F519" s="35"/>
      <c r="G519" s="35"/>
      <c r="H519" s="35"/>
      <c r="I519" s="35"/>
      <c r="J519" s="35"/>
      <c r="K519" s="35"/>
      <c r="L519" s="35"/>
      <c r="M519" s="35"/>
      <c r="N519" s="35"/>
      <c r="O519" s="35"/>
      <c r="P519" s="35"/>
      <c r="Q519" s="43"/>
      <c r="R519" s="35"/>
      <c r="S519" s="35"/>
      <c r="T519" s="35"/>
      <c r="U519" s="138"/>
      <c r="V519" s="35"/>
      <c r="W519" s="35"/>
      <c r="X519" s="35"/>
      <c r="Y519" s="35"/>
      <c r="Z519" s="35"/>
      <c r="AA519" s="35"/>
      <c r="AB519" s="218"/>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row>
    <row r="520">
      <c r="A520" s="35"/>
      <c r="B520" s="35"/>
      <c r="C520" s="35"/>
      <c r="D520" s="35"/>
      <c r="E520" s="35"/>
      <c r="F520" s="35"/>
      <c r="G520" s="35"/>
      <c r="H520" s="35"/>
      <c r="I520" s="35"/>
      <c r="J520" s="35"/>
      <c r="K520" s="35"/>
      <c r="L520" s="35"/>
      <c r="M520" s="35"/>
      <c r="N520" s="35"/>
      <c r="O520" s="35"/>
      <c r="P520" s="35"/>
      <c r="Q520" s="43"/>
      <c r="R520" s="35"/>
      <c r="S520" s="35"/>
      <c r="T520" s="35"/>
      <c r="U520" s="138"/>
      <c r="V520" s="35"/>
      <c r="W520" s="35"/>
      <c r="X520" s="35"/>
      <c r="Y520" s="35"/>
      <c r="Z520" s="35"/>
      <c r="AA520" s="35"/>
      <c r="AB520" s="218"/>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row>
    <row r="521">
      <c r="A521" s="35"/>
      <c r="B521" s="35"/>
      <c r="C521" s="35"/>
      <c r="D521" s="35"/>
      <c r="E521" s="35"/>
      <c r="F521" s="35"/>
      <c r="G521" s="35"/>
      <c r="H521" s="35"/>
      <c r="I521" s="35"/>
      <c r="J521" s="35"/>
      <c r="K521" s="35"/>
      <c r="L521" s="35"/>
      <c r="M521" s="35"/>
      <c r="N521" s="35"/>
      <c r="O521" s="35"/>
      <c r="P521" s="35"/>
      <c r="Q521" s="43"/>
      <c r="R521" s="35"/>
      <c r="S521" s="35"/>
      <c r="T521" s="35"/>
      <c r="U521" s="138"/>
      <c r="V521" s="35"/>
      <c r="W521" s="35"/>
      <c r="X521" s="35"/>
      <c r="Y521" s="35"/>
      <c r="Z521" s="35"/>
      <c r="AA521" s="35"/>
      <c r="AB521" s="218"/>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row>
    <row r="522">
      <c r="A522" s="35"/>
      <c r="B522" s="35"/>
      <c r="C522" s="35"/>
      <c r="D522" s="35"/>
      <c r="E522" s="35"/>
      <c r="F522" s="35"/>
      <c r="G522" s="35"/>
      <c r="H522" s="35"/>
      <c r="I522" s="35"/>
      <c r="J522" s="35"/>
      <c r="K522" s="35"/>
      <c r="L522" s="35"/>
      <c r="M522" s="35"/>
      <c r="N522" s="35"/>
      <c r="O522" s="35"/>
      <c r="P522" s="35"/>
      <c r="Q522" s="43"/>
      <c r="R522" s="35"/>
      <c r="S522" s="35"/>
      <c r="T522" s="35"/>
      <c r="U522" s="138"/>
      <c r="V522" s="35"/>
      <c r="W522" s="35"/>
      <c r="X522" s="35"/>
      <c r="Y522" s="35"/>
      <c r="Z522" s="35"/>
      <c r="AA522" s="35"/>
      <c r="AB522" s="218"/>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row>
    <row r="523">
      <c r="A523" s="35"/>
      <c r="B523" s="35"/>
      <c r="C523" s="35"/>
      <c r="D523" s="35"/>
      <c r="E523" s="35"/>
      <c r="F523" s="35"/>
      <c r="G523" s="35"/>
      <c r="H523" s="35"/>
      <c r="I523" s="35"/>
      <c r="J523" s="35"/>
      <c r="K523" s="35"/>
      <c r="L523" s="35"/>
      <c r="M523" s="35"/>
      <c r="N523" s="35"/>
      <c r="O523" s="35"/>
      <c r="P523" s="35"/>
      <c r="Q523" s="43"/>
      <c r="R523" s="35"/>
      <c r="S523" s="35"/>
      <c r="T523" s="35"/>
      <c r="U523" s="138"/>
      <c r="V523" s="35"/>
      <c r="W523" s="35"/>
      <c r="X523" s="35"/>
      <c r="Y523" s="35"/>
      <c r="Z523" s="35"/>
      <c r="AA523" s="35"/>
      <c r="AB523" s="218"/>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row>
    <row r="524">
      <c r="A524" s="35"/>
      <c r="B524" s="35"/>
      <c r="C524" s="35"/>
      <c r="D524" s="35"/>
      <c r="E524" s="35"/>
      <c r="F524" s="35"/>
      <c r="G524" s="35"/>
      <c r="H524" s="35"/>
      <c r="I524" s="35"/>
      <c r="J524" s="35"/>
      <c r="K524" s="35"/>
      <c r="L524" s="35"/>
      <c r="M524" s="35"/>
      <c r="N524" s="35"/>
      <c r="O524" s="35"/>
      <c r="P524" s="35"/>
      <c r="Q524" s="43"/>
      <c r="R524" s="35"/>
      <c r="S524" s="35"/>
      <c r="T524" s="35"/>
      <c r="U524" s="138"/>
      <c r="V524" s="35"/>
      <c r="W524" s="35"/>
      <c r="X524" s="35"/>
      <c r="Y524" s="35"/>
      <c r="Z524" s="35"/>
      <c r="AA524" s="35"/>
      <c r="AB524" s="218"/>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row>
    <row r="525">
      <c r="A525" s="35"/>
      <c r="B525" s="35"/>
      <c r="C525" s="35"/>
      <c r="D525" s="35"/>
      <c r="E525" s="35"/>
      <c r="F525" s="35"/>
      <c r="G525" s="35"/>
      <c r="H525" s="35"/>
      <c r="I525" s="35"/>
      <c r="J525" s="35"/>
      <c r="K525" s="35"/>
      <c r="L525" s="35"/>
      <c r="M525" s="35"/>
      <c r="N525" s="35"/>
      <c r="O525" s="35"/>
      <c r="P525" s="35"/>
      <c r="Q525" s="43"/>
      <c r="R525" s="35"/>
      <c r="S525" s="35"/>
      <c r="T525" s="35"/>
      <c r="U525" s="138"/>
      <c r="V525" s="35"/>
      <c r="W525" s="35"/>
      <c r="X525" s="35"/>
      <c r="Y525" s="35"/>
      <c r="Z525" s="35"/>
      <c r="AA525" s="35"/>
      <c r="AB525" s="218"/>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row>
    <row r="526">
      <c r="A526" s="35"/>
      <c r="B526" s="35"/>
      <c r="C526" s="35"/>
      <c r="D526" s="35"/>
      <c r="E526" s="35"/>
      <c r="F526" s="35"/>
      <c r="G526" s="35"/>
      <c r="H526" s="35"/>
      <c r="I526" s="35"/>
      <c r="J526" s="35"/>
      <c r="K526" s="35"/>
      <c r="L526" s="35"/>
      <c r="M526" s="35"/>
      <c r="N526" s="35"/>
      <c r="O526" s="35"/>
      <c r="P526" s="35"/>
      <c r="Q526" s="43"/>
      <c r="R526" s="35"/>
      <c r="S526" s="35"/>
      <c r="T526" s="35"/>
      <c r="U526" s="138"/>
      <c r="V526" s="35"/>
      <c r="W526" s="35"/>
      <c r="X526" s="35"/>
      <c r="Y526" s="35"/>
      <c r="Z526" s="35"/>
      <c r="AA526" s="35"/>
      <c r="AB526" s="218"/>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row>
    <row r="527">
      <c r="A527" s="35"/>
      <c r="B527" s="35"/>
      <c r="C527" s="35"/>
      <c r="D527" s="35"/>
      <c r="E527" s="35"/>
      <c r="F527" s="35"/>
      <c r="G527" s="35"/>
      <c r="H527" s="35"/>
      <c r="I527" s="35"/>
      <c r="J527" s="35"/>
      <c r="K527" s="35"/>
      <c r="L527" s="35"/>
      <c r="M527" s="35"/>
      <c r="N527" s="35"/>
      <c r="O527" s="35"/>
      <c r="P527" s="35"/>
      <c r="Q527" s="43"/>
      <c r="R527" s="35"/>
      <c r="S527" s="35"/>
      <c r="T527" s="35"/>
      <c r="U527" s="138"/>
      <c r="V527" s="35"/>
      <c r="W527" s="35"/>
      <c r="X527" s="35"/>
      <c r="Y527" s="35"/>
      <c r="Z527" s="35"/>
      <c r="AA527" s="35"/>
      <c r="AB527" s="218"/>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row>
    <row r="528">
      <c r="A528" s="35"/>
      <c r="B528" s="35"/>
      <c r="C528" s="35"/>
      <c r="D528" s="35"/>
      <c r="E528" s="35"/>
      <c r="F528" s="35"/>
      <c r="G528" s="35"/>
      <c r="H528" s="35"/>
      <c r="I528" s="35"/>
      <c r="J528" s="35"/>
      <c r="K528" s="35"/>
      <c r="L528" s="35"/>
      <c r="M528" s="35"/>
      <c r="N528" s="35"/>
      <c r="O528" s="35"/>
      <c r="P528" s="35"/>
      <c r="Q528" s="43"/>
      <c r="R528" s="35"/>
      <c r="S528" s="35"/>
      <c r="T528" s="35"/>
      <c r="U528" s="138"/>
      <c r="V528" s="35"/>
      <c r="W528" s="35"/>
      <c r="X528" s="35"/>
      <c r="Y528" s="35"/>
      <c r="Z528" s="35"/>
      <c r="AA528" s="35"/>
      <c r="AB528" s="218"/>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row>
    <row r="529">
      <c r="A529" s="35"/>
      <c r="B529" s="35"/>
      <c r="C529" s="35"/>
      <c r="D529" s="35"/>
      <c r="E529" s="35"/>
      <c r="F529" s="35"/>
      <c r="G529" s="35"/>
      <c r="H529" s="35"/>
      <c r="I529" s="35"/>
      <c r="J529" s="35"/>
      <c r="K529" s="35"/>
      <c r="L529" s="35"/>
      <c r="M529" s="35"/>
      <c r="N529" s="35"/>
      <c r="O529" s="35"/>
      <c r="P529" s="35"/>
      <c r="Q529" s="43"/>
      <c r="R529" s="35"/>
      <c r="S529" s="35"/>
      <c r="T529" s="35"/>
      <c r="U529" s="138"/>
      <c r="V529" s="35"/>
      <c r="W529" s="35"/>
      <c r="X529" s="35"/>
      <c r="Y529" s="35"/>
      <c r="Z529" s="35"/>
      <c r="AA529" s="35"/>
      <c r="AB529" s="218"/>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row>
    <row r="530">
      <c r="A530" s="35"/>
      <c r="B530" s="35"/>
      <c r="C530" s="35"/>
      <c r="D530" s="35"/>
      <c r="E530" s="35"/>
      <c r="F530" s="35"/>
      <c r="G530" s="35"/>
      <c r="H530" s="35"/>
      <c r="I530" s="35"/>
      <c r="J530" s="35"/>
      <c r="K530" s="35"/>
      <c r="L530" s="35"/>
      <c r="M530" s="35"/>
      <c r="N530" s="35"/>
      <c r="O530" s="35"/>
      <c r="P530" s="35"/>
      <c r="Q530" s="43"/>
      <c r="R530" s="35"/>
      <c r="S530" s="35"/>
      <c r="T530" s="35"/>
      <c r="U530" s="138"/>
      <c r="V530" s="35"/>
      <c r="W530" s="35"/>
      <c r="X530" s="35"/>
      <c r="Y530" s="35"/>
      <c r="Z530" s="35"/>
      <c r="AA530" s="35"/>
      <c r="AB530" s="218"/>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row>
    <row r="531">
      <c r="A531" s="35"/>
      <c r="B531" s="35"/>
      <c r="C531" s="35"/>
      <c r="D531" s="35"/>
      <c r="E531" s="35"/>
      <c r="F531" s="35"/>
      <c r="G531" s="35"/>
      <c r="H531" s="35"/>
      <c r="I531" s="35"/>
      <c r="J531" s="35"/>
      <c r="K531" s="35"/>
      <c r="L531" s="35"/>
      <c r="M531" s="35"/>
      <c r="N531" s="35"/>
      <c r="O531" s="35"/>
      <c r="P531" s="35"/>
      <c r="Q531" s="43"/>
      <c r="R531" s="35"/>
      <c r="S531" s="35"/>
      <c r="T531" s="35"/>
      <c r="U531" s="138"/>
      <c r="V531" s="35"/>
      <c r="W531" s="35"/>
      <c r="X531" s="35"/>
      <c r="Y531" s="35"/>
      <c r="Z531" s="35"/>
      <c r="AA531" s="35"/>
      <c r="AB531" s="218"/>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row>
    <row r="532">
      <c r="A532" s="35"/>
      <c r="B532" s="35"/>
      <c r="C532" s="35"/>
      <c r="D532" s="35"/>
      <c r="E532" s="35"/>
      <c r="F532" s="35"/>
      <c r="G532" s="35"/>
      <c r="H532" s="35"/>
      <c r="I532" s="35"/>
      <c r="J532" s="35"/>
      <c r="K532" s="35"/>
      <c r="L532" s="35"/>
      <c r="M532" s="35"/>
      <c r="N532" s="35"/>
      <c r="O532" s="35"/>
      <c r="P532" s="35"/>
      <c r="Q532" s="43"/>
      <c r="R532" s="35"/>
      <c r="S532" s="35"/>
      <c r="T532" s="35"/>
      <c r="U532" s="138"/>
      <c r="V532" s="35"/>
      <c r="W532" s="35"/>
      <c r="X532" s="35"/>
      <c r="Y532" s="35"/>
      <c r="Z532" s="35"/>
      <c r="AA532" s="35"/>
      <c r="AB532" s="218"/>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row>
    <row r="533">
      <c r="A533" s="35"/>
      <c r="B533" s="35"/>
      <c r="C533" s="35"/>
      <c r="D533" s="35"/>
      <c r="E533" s="35"/>
      <c r="F533" s="35"/>
      <c r="G533" s="35"/>
      <c r="H533" s="35"/>
      <c r="I533" s="35"/>
      <c r="J533" s="35"/>
      <c r="K533" s="35"/>
      <c r="L533" s="35"/>
      <c r="M533" s="35"/>
      <c r="N533" s="35"/>
      <c r="O533" s="35"/>
      <c r="P533" s="35"/>
      <c r="Q533" s="43"/>
      <c r="R533" s="35"/>
      <c r="S533" s="35"/>
      <c r="T533" s="35"/>
      <c r="U533" s="138"/>
      <c r="V533" s="35"/>
      <c r="W533" s="35"/>
      <c r="X533" s="35"/>
      <c r="Y533" s="35"/>
      <c r="Z533" s="35"/>
      <c r="AA533" s="35"/>
      <c r="AB533" s="218"/>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row>
    <row r="534">
      <c r="A534" s="35"/>
      <c r="B534" s="35"/>
      <c r="C534" s="35"/>
      <c r="D534" s="35"/>
      <c r="E534" s="35"/>
      <c r="F534" s="35"/>
      <c r="G534" s="35"/>
      <c r="H534" s="35"/>
      <c r="I534" s="35"/>
      <c r="J534" s="35"/>
      <c r="K534" s="35"/>
      <c r="L534" s="35"/>
      <c r="M534" s="35"/>
      <c r="N534" s="35"/>
      <c r="O534" s="35"/>
      <c r="P534" s="35"/>
      <c r="Q534" s="43"/>
      <c r="R534" s="35"/>
      <c r="S534" s="35"/>
      <c r="T534" s="35"/>
      <c r="U534" s="138"/>
      <c r="V534" s="35"/>
      <c r="W534" s="35"/>
      <c r="X534" s="35"/>
      <c r="Y534" s="35"/>
      <c r="Z534" s="35"/>
      <c r="AA534" s="35"/>
      <c r="AB534" s="218"/>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row>
    <row r="535">
      <c r="A535" s="35"/>
      <c r="B535" s="35"/>
      <c r="C535" s="35"/>
      <c r="D535" s="35"/>
      <c r="E535" s="35"/>
      <c r="F535" s="35"/>
      <c r="G535" s="35"/>
      <c r="H535" s="35"/>
      <c r="I535" s="35"/>
      <c r="J535" s="35"/>
      <c r="K535" s="35"/>
      <c r="L535" s="35"/>
      <c r="M535" s="35"/>
      <c r="N535" s="35"/>
      <c r="O535" s="35"/>
      <c r="P535" s="35"/>
      <c r="Q535" s="43"/>
      <c r="R535" s="35"/>
      <c r="S535" s="35"/>
      <c r="T535" s="35"/>
      <c r="U535" s="138"/>
      <c r="V535" s="35"/>
      <c r="W535" s="35"/>
      <c r="X535" s="35"/>
      <c r="Y535" s="35"/>
      <c r="Z535" s="35"/>
      <c r="AA535" s="35"/>
      <c r="AB535" s="218"/>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row>
    <row r="536">
      <c r="A536" s="35"/>
      <c r="B536" s="35"/>
      <c r="C536" s="35"/>
      <c r="D536" s="35"/>
      <c r="E536" s="35"/>
      <c r="F536" s="35"/>
      <c r="G536" s="35"/>
      <c r="H536" s="35"/>
      <c r="I536" s="35"/>
      <c r="J536" s="35"/>
      <c r="K536" s="35"/>
      <c r="L536" s="35"/>
      <c r="M536" s="35"/>
      <c r="N536" s="35"/>
      <c r="O536" s="35"/>
      <c r="P536" s="35"/>
      <c r="Q536" s="43"/>
      <c r="R536" s="35"/>
      <c r="S536" s="35"/>
      <c r="T536" s="35"/>
      <c r="U536" s="138"/>
      <c r="V536" s="35"/>
      <c r="W536" s="35"/>
      <c r="X536" s="35"/>
      <c r="Y536" s="35"/>
      <c r="Z536" s="35"/>
      <c r="AA536" s="35"/>
      <c r="AB536" s="218"/>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row>
    <row r="537">
      <c r="A537" s="35"/>
      <c r="B537" s="35"/>
      <c r="C537" s="35"/>
      <c r="D537" s="35"/>
      <c r="E537" s="35"/>
      <c r="F537" s="35"/>
      <c r="G537" s="35"/>
      <c r="H537" s="35"/>
      <c r="I537" s="35"/>
      <c r="J537" s="35"/>
      <c r="K537" s="35"/>
      <c r="L537" s="35"/>
      <c r="M537" s="35"/>
      <c r="N537" s="35"/>
      <c r="O537" s="35"/>
      <c r="P537" s="35"/>
      <c r="Q537" s="43"/>
      <c r="R537" s="35"/>
      <c r="S537" s="35"/>
      <c r="T537" s="35"/>
      <c r="U537" s="138"/>
      <c r="V537" s="35"/>
      <c r="W537" s="35"/>
      <c r="X537" s="35"/>
      <c r="Y537" s="35"/>
      <c r="Z537" s="35"/>
      <c r="AA537" s="35"/>
      <c r="AB537" s="218"/>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row>
    <row r="538">
      <c r="A538" s="35"/>
      <c r="B538" s="35"/>
      <c r="C538" s="35"/>
      <c r="D538" s="35"/>
      <c r="E538" s="35"/>
      <c r="F538" s="35"/>
      <c r="G538" s="35"/>
      <c r="H538" s="35"/>
      <c r="I538" s="35"/>
      <c r="J538" s="35"/>
      <c r="K538" s="35"/>
      <c r="L538" s="35"/>
      <c r="M538" s="35"/>
      <c r="N538" s="35"/>
      <c r="O538" s="35"/>
      <c r="P538" s="35"/>
      <c r="Q538" s="43"/>
      <c r="R538" s="35"/>
      <c r="S538" s="35"/>
      <c r="T538" s="35"/>
      <c r="U538" s="138"/>
      <c r="V538" s="35"/>
      <c r="W538" s="35"/>
      <c r="X538" s="35"/>
      <c r="Y538" s="35"/>
      <c r="Z538" s="35"/>
      <c r="AA538" s="35"/>
      <c r="AB538" s="218"/>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row>
    <row r="539">
      <c r="A539" s="35"/>
      <c r="B539" s="35"/>
      <c r="C539" s="35"/>
      <c r="D539" s="35"/>
      <c r="E539" s="35"/>
      <c r="F539" s="35"/>
      <c r="G539" s="35"/>
      <c r="H539" s="35"/>
      <c r="I539" s="35"/>
      <c r="J539" s="35"/>
      <c r="K539" s="35"/>
      <c r="L539" s="35"/>
      <c r="M539" s="35"/>
      <c r="N539" s="35"/>
      <c r="O539" s="35"/>
      <c r="P539" s="35"/>
      <c r="Q539" s="43"/>
      <c r="R539" s="35"/>
      <c r="S539" s="35"/>
      <c r="T539" s="35"/>
      <c r="U539" s="138"/>
      <c r="V539" s="35"/>
      <c r="W539" s="35"/>
      <c r="X539" s="35"/>
      <c r="Y539" s="35"/>
      <c r="Z539" s="35"/>
      <c r="AA539" s="35"/>
      <c r="AB539" s="218"/>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row>
    <row r="540">
      <c r="A540" s="35"/>
      <c r="B540" s="35"/>
      <c r="C540" s="35"/>
      <c r="D540" s="35"/>
      <c r="E540" s="35"/>
      <c r="F540" s="35"/>
      <c r="G540" s="35"/>
      <c r="H540" s="35"/>
      <c r="I540" s="35"/>
      <c r="J540" s="35"/>
      <c r="K540" s="35"/>
      <c r="L540" s="35"/>
      <c r="M540" s="35"/>
      <c r="N540" s="35"/>
      <c r="O540" s="35"/>
      <c r="P540" s="35"/>
      <c r="Q540" s="43"/>
      <c r="R540" s="35"/>
      <c r="S540" s="35"/>
      <c r="T540" s="35"/>
      <c r="U540" s="138"/>
      <c r="V540" s="35"/>
      <c r="W540" s="35"/>
      <c r="X540" s="35"/>
      <c r="Y540" s="35"/>
      <c r="Z540" s="35"/>
      <c r="AA540" s="35"/>
      <c r="AB540" s="218"/>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row>
    <row r="541">
      <c r="A541" s="35"/>
      <c r="B541" s="35"/>
      <c r="C541" s="35"/>
      <c r="D541" s="35"/>
      <c r="E541" s="35"/>
      <c r="F541" s="35"/>
      <c r="G541" s="35"/>
      <c r="H541" s="35"/>
      <c r="I541" s="35"/>
      <c r="J541" s="35"/>
      <c r="K541" s="35"/>
      <c r="L541" s="35"/>
      <c r="M541" s="35"/>
      <c r="N541" s="35"/>
      <c r="O541" s="35"/>
      <c r="P541" s="35"/>
      <c r="Q541" s="43"/>
      <c r="R541" s="35"/>
      <c r="S541" s="35"/>
      <c r="T541" s="35"/>
      <c r="U541" s="138"/>
      <c r="V541" s="35"/>
      <c r="W541" s="35"/>
      <c r="X541" s="35"/>
      <c r="Y541" s="35"/>
      <c r="Z541" s="35"/>
      <c r="AA541" s="35"/>
      <c r="AB541" s="218"/>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row>
    <row r="542">
      <c r="A542" s="35"/>
      <c r="B542" s="35"/>
      <c r="C542" s="35"/>
      <c r="D542" s="35"/>
      <c r="E542" s="35"/>
      <c r="F542" s="35"/>
      <c r="G542" s="35"/>
      <c r="H542" s="35"/>
      <c r="I542" s="35"/>
      <c r="J542" s="35"/>
      <c r="K542" s="35"/>
      <c r="L542" s="35"/>
      <c r="M542" s="35"/>
      <c r="N542" s="35"/>
      <c r="O542" s="35"/>
      <c r="P542" s="35"/>
      <c r="Q542" s="43"/>
      <c r="R542" s="35"/>
      <c r="S542" s="35"/>
      <c r="T542" s="35"/>
      <c r="U542" s="138"/>
      <c r="V542" s="35"/>
      <c r="W542" s="35"/>
      <c r="X542" s="35"/>
      <c r="Y542" s="35"/>
      <c r="Z542" s="35"/>
      <c r="AA542" s="35"/>
      <c r="AB542" s="218"/>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row>
    <row r="543">
      <c r="A543" s="35"/>
      <c r="B543" s="35"/>
      <c r="C543" s="35"/>
      <c r="D543" s="35"/>
      <c r="E543" s="35"/>
      <c r="F543" s="35"/>
      <c r="G543" s="35"/>
      <c r="H543" s="35"/>
      <c r="I543" s="35"/>
      <c r="J543" s="35"/>
      <c r="K543" s="35"/>
      <c r="L543" s="35"/>
      <c r="M543" s="35"/>
      <c r="N543" s="35"/>
      <c r="O543" s="35"/>
      <c r="P543" s="35"/>
      <c r="Q543" s="43"/>
      <c r="R543" s="35"/>
      <c r="S543" s="35"/>
      <c r="T543" s="35"/>
      <c r="U543" s="138"/>
      <c r="V543" s="35"/>
      <c r="W543" s="35"/>
      <c r="X543" s="35"/>
      <c r="Y543" s="35"/>
      <c r="Z543" s="35"/>
      <c r="AA543" s="35"/>
      <c r="AB543" s="218"/>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row>
    <row r="544">
      <c r="A544" s="35"/>
      <c r="B544" s="35"/>
      <c r="C544" s="35"/>
      <c r="D544" s="35"/>
      <c r="E544" s="35"/>
      <c r="F544" s="35"/>
      <c r="G544" s="35"/>
      <c r="H544" s="35"/>
      <c r="I544" s="35"/>
      <c r="J544" s="35"/>
      <c r="K544" s="35"/>
      <c r="L544" s="35"/>
      <c r="M544" s="35"/>
      <c r="N544" s="35"/>
      <c r="O544" s="35"/>
      <c r="P544" s="35"/>
      <c r="Q544" s="43"/>
      <c r="R544" s="35"/>
      <c r="S544" s="35"/>
      <c r="T544" s="35"/>
      <c r="U544" s="138"/>
      <c r="V544" s="35"/>
      <c r="W544" s="35"/>
      <c r="X544" s="35"/>
      <c r="Y544" s="35"/>
      <c r="Z544" s="35"/>
      <c r="AA544" s="35"/>
      <c r="AB544" s="218"/>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row>
    <row r="545">
      <c r="A545" s="35"/>
      <c r="B545" s="35"/>
      <c r="C545" s="35"/>
      <c r="D545" s="35"/>
      <c r="E545" s="35"/>
      <c r="F545" s="35"/>
      <c r="G545" s="35"/>
      <c r="H545" s="35"/>
      <c r="I545" s="35"/>
      <c r="J545" s="35"/>
      <c r="K545" s="35"/>
      <c r="L545" s="35"/>
      <c r="M545" s="35"/>
      <c r="N545" s="35"/>
      <c r="O545" s="35"/>
      <c r="P545" s="35"/>
      <c r="Q545" s="43"/>
      <c r="R545" s="35"/>
      <c r="S545" s="35"/>
      <c r="T545" s="35"/>
      <c r="U545" s="138"/>
      <c r="V545" s="35"/>
      <c r="W545" s="35"/>
      <c r="X545" s="35"/>
      <c r="Y545" s="35"/>
      <c r="Z545" s="35"/>
      <c r="AA545" s="35"/>
      <c r="AB545" s="218"/>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row>
    <row r="546">
      <c r="A546" s="35"/>
      <c r="B546" s="35"/>
      <c r="C546" s="35"/>
      <c r="D546" s="35"/>
      <c r="E546" s="35"/>
      <c r="F546" s="35"/>
      <c r="G546" s="35"/>
      <c r="H546" s="35"/>
      <c r="I546" s="35"/>
      <c r="J546" s="35"/>
      <c r="K546" s="35"/>
      <c r="L546" s="35"/>
      <c r="M546" s="35"/>
      <c r="N546" s="35"/>
      <c r="O546" s="35"/>
      <c r="P546" s="35"/>
      <c r="Q546" s="43"/>
      <c r="R546" s="35"/>
      <c r="S546" s="35"/>
      <c r="T546" s="35"/>
      <c r="U546" s="138"/>
      <c r="V546" s="35"/>
      <c r="W546" s="35"/>
      <c r="X546" s="35"/>
      <c r="Y546" s="35"/>
      <c r="Z546" s="35"/>
      <c r="AA546" s="35"/>
      <c r="AB546" s="218"/>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row>
    <row r="547">
      <c r="A547" s="35"/>
      <c r="B547" s="35"/>
      <c r="C547" s="35"/>
      <c r="D547" s="35"/>
      <c r="E547" s="35"/>
      <c r="F547" s="35"/>
      <c r="G547" s="35"/>
      <c r="H547" s="35"/>
      <c r="I547" s="35"/>
      <c r="J547" s="35"/>
      <c r="K547" s="35"/>
      <c r="L547" s="35"/>
      <c r="M547" s="35"/>
      <c r="N547" s="35"/>
      <c r="O547" s="35"/>
      <c r="P547" s="35"/>
      <c r="Q547" s="43"/>
      <c r="R547" s="35"/>
      <c r="S547" s="35"/>
      <c r="T547" s="35"/>
      <c r="U547" s="138"/>
      <c r="V547" s="35"/>
      <c r="W547" s="35"/>
      <c r="X547" s="35"/>
      <c r="Y547" s="35"/>
      <c r="Z547" s="35"/>
      <c r="AA547" s="35"/>
      <c r="AB547" s="218"/>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row>
    <row r="548">
      <c r="A548" s="35"/>
      <c r="B548" s="35"/>
      <c r="C548" s="35"/>
      <c r="D548" s="35"/>
      <c r="E548" s="35"/>
      <c r="F548" s="35"/>
      <c r="G548" s="35"/>
      <c r="H548" s="35"/>
      <c r="I548" s="35"/>
      <c r="J548" s="35"/>
      <c r="K548" s="35"/>
      <c r="L548" s="35"/>
      <c r="M548" s="35"/>
      <c r="N548" s="35"/>
      <c r="O548" s="35"/>
      <c r="P548" s="35"/>
      <c r="Q548" s="43"/>
      <c r="R548" s="35"/>
      <c r="S548" s="35"/>
      <c r="T548" s="35"/>
      <c r="U548" s="138"/>
      <c r="V548" s="35"/>
      <c r="W548" s="35"/>
      <c r="X548" s="35"/>
      <c r="Y548" s="35"/>
      <c r="Z548" s="35"/>
      <c r="AA548" s="35"/>
      <c r="AB548" s="218"/>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row>
    <row r="549">
      <c r="A549" s="35"/>
      <c r="B549" s="35"/>
      <c r="C549" s="35"/>
      <c r="D549" s="35"/>
      <c r="E549" s="35"/>
      <c r="F549" s="35"/>
      <c r="G549" s="35"/>
      <c r="H549" s="35"/>
      <c r="I549" s="35"/>
      <c r="J549" s="35"/>
      <c r="K549" s="35"/>
      <c r="L549" s="35"/>
      <c r="M549" s="35"/>
      <c r="N549" s="35"/>
      <c r="O549" s="35"/>
      <c r="P549" s="35"/>
      <c r="Q549" s="43"/>
      <c r="R549" s="35"/>
      <c r="S549" s="35"/>
      <c r="T549" s="35"/>
      <c r="U549" s="138"/>
      <c r="V549" s="35"/>
      <c r="W549" s="35"/>
      <c r="X549" s="35"/>
      <c r="Y549" s="35"/>
      <c r="Z549" s="35"/>
      <c r="AA549" s="35"/>
      <c r="AB549" s="218"/>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row>
    <row r="550">
      <c r="A550" s="35"/>
      <c r="B550" s="35"/>
      <c r="C550" s="35"/>
      <c r="D550" s="35"/>
      <c r="E550" s="35"/>
      <c r="F550" s="35"/>
      <c r="G550" s="35"/>
      <c r="H550" s="35"/>
      <c r="I550" s="35"/>
      <c r="J550" s="35"/>
      <c r="K550" s="35"/>
      <c r="L550" s="35"/>
      <c r="M550" s="35"/>
      <c r="N550" s="35"/>
      <c r="O550" s="35"/>
      <c r="P550" s="35"/>
      <c r="Q550" s="43"/>
      <c r="R550" s="35"/>
      <c r="S550" s="35"/>
      <c r="T550" s="35"/>
      <c r="U550" s="138"/>
      <c r="V550" s="35"/>
      <c r="W550" s="35"/>
      <c r="X550" s="35"/>
      <c r="Y550" s="35"/>
      <c r="Z550" s="35"/>
      <c r="AA550" s="35"/>
      <c r="AB550" s="218"/>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row>
    <row r="551">
      <c r="A551" s="35"/>
      <c r="B551" s="35"/>
      <c r="C551" s="35"/>
      <c r="D551" s="35"/>
      <c r="E551" s="35"/>
      <c r="F551" s="35"/>
      <c r="G551" s="35"/>
      <c r="H551" s="35"/>
      <c r="I551" s="35"/>
      <c r="J551" s="35"/>
      <c r="K551" s="35"/>
      <c r="L551" s="35"/>
      <c r="M551" s="35"/>
      <c r="N551" s="35"/>
      <c r="O551" s="35"/>
      <c r="P551" s="35"/>
      <c r="Q551" s="43"/>
      <c r="R551" s="35"/>
      <c r="S551" s="35"/>
      <c r="T551" s="35"/>
      <c r="U551" s="138"/>
      <c r="V551" s="35"/>
      <c r="W551" s="35"/>
      <c r="X551" s="35"/>
      <c r="Y551" s="35"/>
      <c r="Z551" s="35"/>
      <c r="AA551" s="35"/>
      <c r="AB551" s="218"/>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row>
    <row r="552">
      <c r="A552" s="35"/>
      <c r="B552" s="35"/>
      <c r="C552" s="35"/>
      <c r="D552" s="35"/>
      <c r="E552" s="35"/>
      <c r="F552" s="35"/>
      <c r="G552" s="35"/>
      <c r="H552" s="35"/>
      <c r="I552" s="35"/>
      <c r="J552" s="35"/>
      <c r="K552" s="35"/>
      <c r="L552" s="35"/>
      <c r="M552" s="35"/>
      <c r="N552" s="35"/>
      <c r="O552" s="35"/>
      <c r="P552" s="35"/>
      <c r="Q552" s="43"/>
      <c r="R552" s="35"/>
      <c r="S552" s="35"/>
      <c r="T552" s="35"/>
      <c r="U552" s="138"/>
      <c r="V552" s="35"/>
      <c r="W552" s="35"/>
      <c r="X552" s="35"/>
      <c r="Y552" s="35"/>
      <c r="Z552" s="35"/>
      <c r="AA552" s="35"/>
      <c r="AB552" s="218"/>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row>
    <row r="553">
      <c r="A553" s="35"/>
      <c r="B553" s="35"/>
      <c r="C553" s="35"/>
      <c r="D553" s="35"/>
      <c r="E553" s="35"/>
      <c r="F553" s="35"/>
      <c r="G553" s="35"/>
      <c r="H553" s="35"/>
      <c r="I553" s="35"/>
      <c r="J553" s="35"/>
      <c r="K553" s="35"/>
      <c r="L553" s="35"/>
      <c r="M553" s="35"/>
      <c r="N553" s="35"/>
      <c r="O553" s="35"/>
      <c r="P553" s="35"/>
      <c r="Q553" s="43"/>
      <c r="R553" s="35"/>
      <c r="S553" s="35"/>
      <c r="T553" s="35"/>
      <c r="U553" s="138"/>
      <c r="V553" s="35"/>
      <c r="W553" s="35"/>
      <c r="X553" s="35"/>
      <c r="Y553" s="35"/>
      <c r="Z553" s="35"/>
      <c r="AA553" s="35"/>
      <c r="AB553" s="218"/>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row>
    <row r="554">
      <c r="A554" s="35"/>
      <c r="B554" s="35"/>
      <c r="C554" s="35"/>
      <c r="D554" s="35"/>
      <c r="E554" s="35"/>
      <c r="F554" s="35"/>
      <c r="G554" s="35"/>
      <c r="H554" s="35"/>
      <c r="I554" s="35"/>
      <c r="J554" s="35"/>
      <c r="K554" s="35"/>
      <c r="L554" s="35"/>
      <c r="M554" s="35"/>
      <c r="N554" s="35"/>
      <c r="O554" s="35"/>
      <c r="P554" s="35"/>
      <c r="Q554" s="43"/>
      <c r="R554" s="35"/>
      <c r="S554" s="35"/>
      <c r="T554" s="35"/>
      <c r="U554" s="138"/>
      <c r="V554" s="35"/>
      <c r="W554" s="35"/>
      <c r="X554" s="35"/>
      <c r="Y554" s="35"/>
      <c r="Z554" s="35"/>
      <c r="AA554" s="35"/>
      <c r="AB554" s="218"/>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row>
    <row r="555">
      <c r="A555" s="35"/>
      <c r="B555" s="35"/>
      <c r="C555" s="35"/>
      <c r="D555" s="35"/>
      <c r="E555" s="35"/>
      <c r="F555" s="35"/>
      <c r="G555" s="35"/>
      <c r="H555" s="35"/>
      <c r="I555" s="35"/>
      <c r="J555" s="35"/>
      <c r="K555" s="35"/>
      <c r="L555" s="35"/>
      <c r="M555" s="35"/>
      <c r="N555" s="35"/>
      <c r="O555" s="35"/>
      <c r="P555" s="35"/>
      <c r="Q555" s="43"/>
      <c r="R555" s="35"/>
      <c r="S555" s="35"/>
      <c r="T555" s="35"/>
      <c r="U555" s="138"/>
      <c r="V555" s="35"/>
      <c r="W555" s="35"/>
      <c r="X555" s="35"/>
      <c r="Y555" s="35"/>
      <c r="Z555" s="35"/>
      <c r="AA555" s="35"/>
      <c r="AB555" s="218"/>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row>
    <row r="556">
      <c r="A556" s="35"/>
      <c r="B556" s="35"/>
      <c r="C556" s="35"/>
      <c r="D556" s="35"/>
      <c r="E556" s="35"/>
      <c r="F556" s="35"/>
      <c r="G556" s="35"/>
      <c r="H556" s="35"/>
      <c r="I556" s="35"/>
      <c r="J556" s="35"/>
      <c r="K556" s="35"/>
      <c r="L556" s="35"/>
      <c r="M556" s="35"/>
      <c r="N556" s="35"/>
      <c r="O556" s="35"/>
      <c r="P556" s="35"/>
      <c r="Q556" s="43"/>
      <c r="R556" s="35"/>
      <c r="S556" s="35"/>
      <c r="T556" s="35"/>
      <c r="U556" s="138"/>
      <c r="V556" s="35"/>
      <c r="W556" s="35"/>
      <c r="X556" s="35"/>
      <c r="Y556" s="35"/>
      <c r="Z556" s="35"/>
      <c r="AA556" s="35"/>
      <c r="AB556" s="218"/>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row>
    <row r="557">
      <c r="A557" s="35"/>
      <c r="B557" s="35"/>
      <c r="C557" s="35"/>
      <c r="D557" s="35"/>
      <c r="E557" s="35"/>
      <c r="F557" s="35"/>
      <c r="G557" s="35"/>
      <c r="H557" s="35"/>
      <c r="I557" s="35"/>
      <c r="J557" s="35"/>
      <c r="K557" s="35"/>
      <c r="L557" s="35"/>
      <c r="M557" s="35"/>
      <c r="N557" s="35"/>
      <c r="O557" s="35"/>
      <c r="P557" s="35"/>
      <c r="Q557" s="43"/>
      <c r="R557" s="35"/>
      <c r="S557" s="35"/>
      <c r="T557" s="35"/>
      <c r="U557" s="138"/>
      <c r="V557" s="35"/>
      <c r="W557" s="35"/>
      <c r="X557" s="35"/>
      <c r="Y557" s="35"/>
      <c r="Z557" s="35"/>
      <c r="AA557" s="35"/>
      <c r="AB557" s="218"/>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row>
    <row r="558">
      <c r="A558" s="35"/>
      <c r="B558" s="35"/>
      <c r="C558" s="35"/>
      <c r="D558" s="35"/>
      <c r="E558" s="35"/>
      <c r="F558" s="35"/>
      <c r="G558" s="35"/>
      <c r="H558" s="35"/>
      <c r="I558" s="35"/>
      <c r="J558" s="35"/>
      <c r="K558" s="35"/>
      <c r="L558" s="35"/>
      <c r="M558" s="35"/>
      <c r="N558" s="35"/>
      <c r="O558" s="35"/>
      <c r="P558" s="35"/>
      <c r="Q558" s="43"/>
      <c r="R558" s="35"/>
      <c r="S558" s="35"/>
      <c r="T558" s="35"/>
      <c r="U558" s="138"/>
      <c r="V558" s="35"/>
      <c r="W558" s="35"/>
      <c r="X558" s="35"/>
      <c r="Y558" s="35"/>
      <c r="Z558" s="35"/>
      <c r="AA558" s="35"/>
      <c r="AB558" s="218"/>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row>
    <row r="559">
      <c r="A559" s="35"/>
      <c r="B559" s="35"/>
      <c r="C559" s="35"/>
      <c r="D559" s="35"/>
      <c r="E559" s="35"/>
      <c r="F559" s="35"/>
      <c r="G559" s="35"/>
      <c r="H559" s="35"/>
      <c r="I559" s="35"/>
      <c r="J559" s="35"/>
      <c r="K559" s="35"/>
      <c r="L559" s="35"/>
      <c r="M559" s="35"/>
      <c r="N559" s="35"/>
      <c r="O559" s="35"/>
      <c r="P559" s="35"/>
      <c r="Q559" s="43"/>
      <c r="R559" s="35"/>
      <c r="S559" s="35"/>
      <c r="T559" s="35"/>
      <c r="U559" s="138"/>
      <c r="V559" s="35"/>
      <c r="W559" s="35"/>
      <c r="X559" s="35"/>
      <c r="Y559" s="35"/>
      <c r="Z559" s="35"/>
      <c r="AA559" s="35"/>
      <c r="AB559" s="218"/>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row>
    <row r="560">
      <c r="A560" s="35"/>
      <c r="B560" s="35"/>
      <c r="C560" s="35"/>
      <c r="D560" s="35"/>
      <c r="E560" s="35"/>
      <c r="F560" s="35"/>
      <c r="G560" s="35"/>
      <c r="H560" s="35"/>
      <c r="I560" s="35"/>
      <c r="J560" s="35"/>
      <c r="K560" s="35"/>
      <c r="L560" s="35"/>
      <c r="M560" s="35"/>
      <c r="N560" s="35"/>
      <c r="O560" s="35"/>
      <c r="P560" s="35"/>
      <c r="Q560" s="43"/>
      <c r="R560" s="35"/>
      <c r="S560" s="35"/>
      <c r="T560" s="35"/>
      <c r="U560" s="138"/>
      <c r="V560" s="35"/>
      <c r="W560" s="35"/>
      <c r="X560" s="35"/>
      <c r="Y560" s="35"/>
      <c r="Z560" s="35"/>
      <c r="AA560" s="35"/>
      <c r="AB560" s="218"/>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row>
    <row r="561">
      <c r="A561" s="35"/>
      <c r="B561" s="35"/>
      <c r="C561" s="35"/>
      <c r="D561" s="35"/>
      <c r="E561" s="35"/>
      <c r="F561" s="35"/>
      <c r="G561" s="35"/>
      <c r="H561" s="35"/>
      <c r="I561" s="35"/>
      <c r="J561" s="35"/>
      <c r="K561" s="35"/>
      <c r="L561" s="35"/>
      <c r="M561" s="35"/>
      <c r="N561" s="35"/>
      <c r="O561" s="35"/>
      <c r="P561" s="35"/>
      <c r="Q561" s="43"/>
      <c r="R561" s="35"/>
      <c r="S561" s="35"/>
      <c r="T561" s="35"/>
      <c r="U561" s="138"/>
      <c r="V561" s="35"/>
      <c r="W561" s="35"/>
      <c r="X561" s="35"/>
      <c r="Y561" s="35"/>
      <c r="Z561" s="35"/>
      <c r="AA561" s="35"/>
      <c r="AB561" s="218"/>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row>
    <row r="562">
      <c r="A562" s="35"/>
      <c r="B562" s="35"/>
      <c r="C562" s="35"/>
      <c r="D562" s="35"/>
      <c r="E562" s="35"/>
      <c r="F562" s="35"/>
      <c r="G562" s="35"/>
      <c r="H562" s="35"/>
      <c r="I562" s="35"/>
      <c r="J562" s="35"/>
      <c r="K562" s="35"/>
      <c r="L562" s="35"/>
      <c r="M562" s="35"/>
      <c r="N562" s="35"/>
      <c r="O562" s="35"/>
      <c r="P562" s="35"/>
      <c r="Q562" s="43"/>
      <c r="R562" s="35"/>
      <c r="S562" s="35"/>
      <c r="T562" s="35"/>
      <c r="U562" s="138"/>
      <c r="V562" s="35"/>
      <c r="W562" s="35"/>
      <c r="X562" s="35"/>
      <c r="Y562" s="35"/>
      <c r="Z562" s="35"/>
      <c r="AA562" s="35"/>
      <c r="AB562" s="218"/>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row>
    <row r="563">
      <c r="A563" s="35"/>
      <c r="B563" s="35"/>
      <c r="C563" s="35"/>
      <c r="D563" s="35"/>
      <c r="E563" s="35"/>
      <c r="F563" s="35"/>
      <c r="G563" s="35"/>
      <c r="H563" s="35"/>
      <c r="I563" s="35"/>
      <c r="J563" s="35"/>
      <c r="K563" s="35"/>
      <c r="L563" s="35"/>
      <c r="M563" s="35"/>
      <c r="N563" s="35"/>
      <c r="O563" s="35"/>
      <c r="P563" s="35"/>
      <c r="Q563" s="43"/>
      <c r="R563" s="35"/>
      <c r="S563" s="35"/>
      <c r="T563" s="35"/>
      <c r="U563" s="138"/>
      <c r="V563" s="35"/>
      <c r="W563" s="35"/>
      <c r="X563" s="35"/>
      <c r="Y563" s="35"/>
      <c r="Z563" s="35"/>
      <c r="AA563" s="35"/>
      <c r="AB563" s="218"/>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row>
    <row r="564">
      <c r="A564" s="35"/>
      <c r="B564" s="35"/>
      <c r="C564" s="35"/>
      <c r="D564" s="35"/>
      <c r="E564" s="35"/>
      <c r="F564" s="35"/>
      <c r="G564" s="35"/>
      <c r="H564" s="35"/>
      <c r="I564" s="35"/>
      <c r="J564" s="35"/>
      <c r="K564" s="35"/>
      <c r="L564" s="35"/>
      <c r="M564" s="35"/>
      <c r="N564" s="35"/>
      <c r="O564" s="35"/>
      <c r="P564" s="35"/>
      <c r="Q564" s="43"/>
      <c r="R564" s="35"/>
      <c r="S564" s="35"/>
      <c r="T564" s="35"/>
      <c r="U564" s="138"/>
      <c r="V564" s="35"/>
      <c r="W564" s="35"/>
      <c r="X564" s="35"/>
      <c r="Y564" s="35"/>
      <c r="Z564" s="35"/>
      <c r="AA564" s="35"/>
      <c r="AB564" s="218"/>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row>
    <row r="565">
      <c r="A565" s="35"/>
      <c r="B565" s="35"/>
      <c r="C565" s="35"/>
      <c r="D565" s="35"/>
      <c r="E565" s="35"/>
      <c r="F565" s="35"/>
      <c r="G565" s="35"/>
      <c r="H565" s="35"/>
      <c r="I565" s="35"/>
      <c r="J565" s="35"/>
      <c r="K565" s="35"/>
      <c r="L565" s="35"/>
      <c r="M565" s="35"/>
      <c r="N565" s="35"/>
      <c r="O565" s="35"/>
      <c r="P565" s="35"/>
      <c r="Q565" s="43"/>
      <c r="R565" s="35"/>
      <c r="S565" s="35"/>
      <c r="T565" s="35"/>
      <c r="U565" s="138"/>
      <c r="V565" s="35"/>
      <c r="W565" s="35"/>
      <c r="X565" s="35"/>
      <c r="Y565" s="35"/>
      <c r="Z565" s="35"/>
      <c r="AA565" s="35"/>
      <c r="AB565" s="218"/>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row>
    <row r="566">
      <c r="A566" s="35"/>
      <c r="B566" s="35"/>
      <c r="C566" s="35"/>
      <c r="D566" s="35"/>
      <c r="E566" s="35"/>
      <c r="F566" s="35"/>
      <c r="G566" s="35"/>
      <c r="H566" s="35"/>
      <c r="I566" s="35"/>
      <c r="J566" s="35"/>
      <c r="K566" s="35"/>
      <c r="L566" s="35"/>
      <c r="M566" s="35"/>
      <c r="N566" s="35"/>
      <c r="O566" s="35"/>
      <c r="P566" s="35"/>
      <c r="Q566" s="43"/>
      <c r="R566" s="35"/>
      <c r="S566" s="35"/>
      <c r="T566" s="35"/>
      <c r="U566" s="138"/>
      <c r="V566" s="35"/>
      <c r="W566" s="35"/>
      <c r="X566" s="35"/>
      <c r="Y566" s="35"/>
      <c r="Z566" s="35"/>
      <c r="AA566" s="35"/>
      <c r="AB566" s="218"/>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row>
    <row r="567">
      <c r="A567" s="35"/>
      <c r="B567" s="35"/>
      <c r="C567" s="35"/>
      <c r="D567" s="35"/>
      <c r="E567" s="35"/>
      <c r="F567" s="35"/>
      <c r="G567" s="35"/>
      <c r="H567" s="35"/>
      <c r="I567" s="35"/>
      <c r="J567" s="35"/>
      <c r="K567" s="35"/>
      <c r="L567" s="35"/>
      <c r="M567" s="35"/>
      <c r="N567" s="35"/>
      <c r="O567" s="35"/>
      <c r="P567" s="35"/>
      <c r="Q567" s="43"/>
      <c r="R567" s="35"/>
      <c r="S567" s="35"/>
      <c r="T567" s="35"/>
      <c r="U567" s="138"/>
      <c r="V567" s="35"/>
      <c r="W567" s="35"/>
      <c r="X567" s="35"/>
      <c r="Y567" s="35"/>
      <c r="Z567" s="35"/>
      <c r="AA567" s="35"/>
      <c r="AB567" s="218"/>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row>
    <row r="568">
      <c r="A568" s="35"/>
      <c r="B568" s="35"/>
      <c r="C568" s="35"/>
      <c r="D568" s="35"/>
      <c r="E568" s="35"/>
      <c r="F568" s="35"/>
      <c r="G568" s="35"/>
      <c r="H568" s="35"/>
      <c r="I568" s="35"/>
      <c r="J568" s="35"/>
      <c r="K568" s="35"/>
      <c r="L568" s="35"/>
      <c r="M568" s="35"/>
      <c r="N568" s="35"/>
      <c r="O568" s="35"/>
      <c r="P568" s="35"/>
      <c r="Q568" s="43"/>
      <c r="R568" s="35"/>
      <c r="S568" s="35"/>
      <c r="T568" s="35"/>
      <c r="U568" s="138"/>
      <c r="V568" s="35"/>
      <c r="W568" s="35"/>
      <c r="X568" s="35"/>
      <c r="Y568" s="35"/>
      <c r="Z568" s="35"/>
      <c r="AA568" s="35"/>
      <c r="AB568" s="218"/>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row>
    <row r="569">
      <c r="A569" s="35"/>
      <c r="B569" s="35"/>
      <c r="C569" s="35"/>
      <c r="D569" s="35"/>
      <c r="E569" s="35"/>
      <c r="F569" s="35"/>
      <c r="G569" s="35"/>
      <c r="H569" s="35"/>
      <c r="I569" s="35"/>
      <c r="J569" s="35"/>
      <c r="K569" s="35"/>
      <c r="L569" s="35"/>
      <c r="M569" s="35"/>
      <c r="N569" s="35"/>
      <c r="O569" s="35"/>
      <c r="P569" s="35"/>
      <c r="Q569" s="43"/>
      <c r="R569" s="35"/>
      <c r="S569" s="35"/>
      <c r="T569" s="35"/>
      <c r="U569" s="138"/>
      <c r="V569" s="35"/>
      <c r="W569" s="35"/>
      <c r="X569" s="35"/>
      <c r="Y569" s="35"/>
      <c r="Z569" s="35"/>
      <c r="AA569" s="35"/>
      <c r="AB569" s="218"/>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row>
    <row r="570">
      <c r="A570" s="35"/>
      <c r="B570" s="35"/>
      <c r="C570" s="35"/>
      <c r="D570" s="35"/>
      <c r="E570" s="35"/>
      <c r="F570" s="35"/>
      <c r="G570" s="35"/>
      <c r="H570" s="35"/>
      <c r="I570" s="35"/>
      <c r="J570" s="35"/>
      <c r="K570" s="35"/>
      <c r="L570" s="35"/>
      <c r="M570" s="35"/>
      <c r="N570" s="35"/>
      <c r="O570" s="35"/>
      <c r="P570" s="35"/>
      <c r="Q570" s="43"/>
      <c r="R570" s="35"/>
      <c r="S570" s="35"/>
      <c r="T570" s="35"/>
      <c r="U570" s="138"/>
      <c r="V570" s="35"/>
      <c r="W570" s="35"/>
      <c r="X570" s="35"/>
      <c r="Y570" s="35"/>
      <c r="Z570" s="35"/>
      <c r="AA570" s="35"/>
      <c r="AB570" s="218"/>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row>
    <row r="571">
      <c r="A571" s="35"/>
      <c r="B571" s="35"/>
      <c r="C571" s="35"/>
      <c r="D571" s="35"/>
      <c r="E571" s="35"/>
      <c r="F571" s="35"/>
      <c r="G571" s="35"/>
      <c r="H571" s="35"/>
      <c r="I571" s="35"/>
      <c r="J571" s="35"/>
      <c r="K571" s="35"/>
      <c r="L571" s="35"/>
      <c r="M571" s="35"/>
      <c r="N571" s="35"/>
      <c r="O571" s="35"/>
      <c r="P571" s="35"/>
      <c r="Q571" s="43"/>
      <c r="R571" s="35"/>
      <c r="S571" s="35"/>
      <c r="T571" s="35"/>
      <c r="U571" s="138"/>
      <c r="V571" s="35"/>
      <c r="W571" s="35"/>
      <c r="X571" s="35"/>
      <c r="Y571" s="35"/>
      <c r="Z571" s="35"/>
      <c r="AA571" s="35"/>
      <c r="AB571" s="218"/>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row>
    <row r="572">
      <c r="A572" s="35"/>
      <c r="B572" s="35"/>
      <c r="C572" s="35"/>
      <c r="D572" s="35"/>
      <c r="E572" s="35"/>
      <c r="F572" s="35"/>
      <c r="G572" s="35"/>
      <c r="H572" s="35"/>
      <c r="I572" s="35"/>
      <c r="J572" s="35"/>
      <c r="K572" s="35"/>
      <c r="L572" s="35"/>
      <c r="M572" s="35"/>
      <c r="N572" s="35"/>
      <c r="O572" s="35"/>
      <c r="P572" s="35"/>
      <c r="Q572" s="43"/>
      <c r="R572" s="35"/>
      <c r="S572" s="35"/>
      <c r="T572" s="35"/>
      <c r="U572" s="138"/>
      <c r="V572" s="35"/>
      <c r="W572" s="35"/>
      <c r="X572" s="35"/>
      <c r="Y572" s="35"/>
      <c r="Z572" s="35"/>
      <c r="AA572" s="35"/>
      <c r="AB572" s="218"/>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row>
    <row r="573">
      <c r="A573" s="35"/>
      <c r="B573" s="35"/>
      <c r="C573" s="35"/>
      <c r="D573" s="35"/>
      <c r="E573" s="35"/>
      <c r="F573" s="35"/>
      <c r="G573" s="35"/>
      <c r="H573" s="35"/>
      <c r="I573" s="35"/>
      <c r="J573" s="35"/>
      <c r="K573" s="35"/>
      <c r="L573" s="35"/>
      <c r="M573" s="35"/>
      <c r="N573" s="35"/>
      <c r="O573" s="35"/>
      <c r="P573" s="35"/>
      <c r="Q573" s="43"/>
      <c r="R573" s="35"/>
      <c r="S573" s="35"/>
      <c r="T573" s="35"/>
      <c r="U573" s="138"/>
      <c r="V573" s="35"/>
      <c r="W573" s="35"/>
      <c r="X573" s="35"/>
      <c r="Y573" s="35"/>
      <c r="Z573" s="35"/>
      <c r="AA573" s="35"/>
      <c r="AB573" s="218"/>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row>
    <row r="574">
      <c r="A574" s="35"/>
      <c r="B574" s="35"/>
      <c r="C574" s="35"/>
      <c r="D574" s="35"/>
      <c r="E574" s="35"/>
      <c r="F574" s="35"/>
      <c r="G574" s="35"/>
      <c r="H574" s="35"/>
      <c r="I574" s="35"/>
      <c r="J574" s="35"/>
      <c r="K574" s="35"/>
      <c r="L574" s="35"/>
      <c r="M574" s="35"/>
      <c r="N574" s="35"/>
      <c r="O574" s="35"/>
      <c r="P574" s="35"/>
      <c r="Q574" s="43"/>
      <c r="R574" s="35"/>
      <c r="S574" s="35"/>
      <c r="T574" s="35"/>
      <c r="U574" s="138"/>
      <c r="V574" s="35"/>
      <c r="W574" s="35"/>
      <c r="X574" s="35"/>
      <c r="Y574" s="35"/>
      <c r="Z574" s="35"/>
      <c r="AA574" s="35"/>
      <c r="AB574" s="218"/>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row>
    <row r="575">
      <c r="A575" s="35"/>
      <c r="B575" s="35"/>
      <c r="C575" s="35"/>
      <c r="D575" s="35"/>
      <c r="E575" s="35"/>
      <c r="F575" s="35"/>
      <c r="G575" s="35"/>
      <c r="H575" s="35"/>
      <c r="I575" s="35"/>
      <c r="J575" s="35"/>
      <c r="K575" s="35"/>
      <c r="L575" s="35"/>
      <c r="M575" s="35"/>
      <c r="N575" s="35"/>
      <c r="O575" s="35"/>
      <c r="P575" s="35"/>
      <c r="Q575" s="43"/>
      <c r="R575" s="35"/>
      <c r="S575" s="35"/>
      <c r="T575" s="35"/>
      <c r="U575" s="138"/>
      <c r="V575" s="35"/>
      <c r="W575" s="35"/>
      <c r="X575" s="35"/>
      <c r="Y575" s="35"/>
      <c r="Z575" s="35"/>
      <c r="AA575" s="35"/>
      <c r="AB575" s="218"/>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row>
    <row r="576">
      <c r="A576" s="35"/>
      <c r="B576" s="35"/>
      <c r="C576" s="35"/>
      <c r="D576" s="35"/>
      <c r="E576" s="35"/>
      <c r="F576" s="35"/>
      <c r="G576" s="35"/>
      <c r="H576" s="35"/>
      <c r="I576" s="35"/>
      <c r="J576" s="35"/>
      <c r="K576" s="35"/>
      <c r="L576" s="35"/>
      <c r="M576" s="35"/>
      <c r="N576" s="35"/>
      <c r="O576" s="35"/>
      <c r="P576" s="35"/>
      <c r="Q576" s="43"/>
      <c r="R576" s="35"/>
      <c r="S576" s="35"/>
      <c r="T576" s="35"/>
      <c r="U576" s="138"/>
      <c r="V576" s="35"/>
      <c r="W576" s="35"/>
      <c r="X576" s="35"/>
      <c r="Y576" s="35"/>
      <c r="Z576" s="35"/>
      <c r="AA576" s="35"/>
      <c r="AB576" s="218"/>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row>
    <row r="577">
      <c r="A577" s="35"/>
      <c r="B577" s="35"/>
      <c r="C577" s="35"/>
      <c r="D577" s="35"/>
      <c r="E577" s="35"/>
      <c r="F577" s="35"/>
      <c r="G577" s="35"/>
      <c r="H577" s="35"/>
      <c r="I577" s="35"/>
      <c r="J577" s="35"/>
      <c r="K577" s="35"/>
      <c r="L577" s="35"/>
      <c r="M577" s="35"/>
      <c r="N577" s="35"/>
      <c r="O577" s="35"/>
      <c r="P577" s="35"/>
      <c r="Q577" s="43"/>
      <c r="R577" s="35"/>
      <c r="S577" s="35"/>
      <c r="T577" s="35"/>
      <c r="U577" s="138"/>
      <c r="V577" s="35"/>
      <c r="W577" s="35"/>
      <c r="X577" s="35"/>
      <c r="Y577" s="35"/>
      <c r="Z577" s="35"/>
      <c r="AA577" s="35"/>
      <c r="AB577" s="218"/>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row>
    <row r="578">
      <c r="A578" s="35"/>
      <c r="B578" s="35"/>
      <c r="C578" s="35"/>
      <c r="D578" s="35"/>
      <c r="E578" s="35"/>
      <c r="F578" s="35"/>
      <c r="G578" s="35"/>
      <c r="H578" s="35"/>
      <c r="I578" s="35"/>
      <c r="J578" s="35"/>
      <c r="K578" s="35"/>
      <c r="L578" s="35"/>
      <c r="M578" s="35"/>
      <c r="N578" s="35"/>
      <c r="O578" s="35"/>
      <c r="P578" s="35"/>
      <c r="Q578" s="43"/>
      <c r="R578" s="35"/>
      <c r="S578" s="35"/>
      <c r="T578" s="35"/>
      <c r="U578" s="138"/>
      <c r="V578" s="35"/>
      <c r="W578" s="35"/>
      <c r="X578" s="35"/>
      <c r="Y578" s="35"/>
      <c r="Z578" s="35"/>
      <c r="AA578" s="35"/>
      <c r="AB578" s="218"/>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row>
    <row r="579">
      <c r="A579" s="35"/>
      <c r="B579" s="35"/>
      <c r="C579" s="35"/>
      <c r="D579" s="35"/>
      <c r="E579" s="35"/>
      <c r="F579" s="35"/>
      <c r="G579" s="35"/>
      <c r="H579" s="35"/>
      <c r="I579" s="35"/>
      <c r="J579" s="35"/>
      <c r="K579" s="35"/>
      <c r="L579" s="35"/>
      <c r="M579" s="35"/>
      <c r="N579" s="35"/>
      <c r="O579" s="35"/>
      <c r="P579" s="35"/>
      <c r="Q579" s="43"/>
      <c r="R579" s="35"/>
      <c r="S579" s="35"/>
      <c r="T579" s="35"/>
      <c r="U579" s="138"/>
      <c r="V579" s="35"/>
      <c r="W579" s="35"/>
      <c r="X579" s="35"/>
      <c r="Y579" s="35"/>
      <c r="Z579" s="35"/>
      <c r="AA579" s="35"/>
      <c r="AB579" s="218"/>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row>
    <row r="580">
      <c r="A580" s="35"/>
      <c r="B580" s="35"/>
      <c r="C580" s="35"/>
      <c r="D580" s="35"/>
      <c r="E580" s="35"/>
      <c r="F580" s="35"/>
      <c r="G580" s="35"/>
      <c r="H580" s="35"/>
      <c r="I580" s="35"/>
      <c r="J580" s="35"/>
      <c r="K580" s="35"/>
      <c r="L580" s="35"/>
      <c r="M580" s="35"/>
      <c r="N580" s="35"/>
      <c r="O580" s="35"/>
      <c r="P580" s="35"/>
      <c r="Q580" s="43"/>
      <c r="R580" s="35"/>
      <c r="S580" s="35"/>
      <c r="T580" s="35"/>
      <c r="U580" s="138"/>
      <c r="V580" s="35"/>
      <c r="W580" s="35"/>
      <c r="X580" s="35"/>
      <c r="Y580" s="35"/>
      <c r="Z580" s="35"/>
      <c r="AA580" s="35"/>
      <c r="AB580" s="218"/>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row>
    <row r="581">
      <c r="A581" s="35"/>
      <c r="B581" s="35"/>
      <c r="C581" s="35"/>
      <c r="D581" s="35"/>
      <c r="E581" s="35"/>
      <c r="F581" s="35"/>
      <c r="G581" s="35"/>
      <c r="H581" s="35"/>
      <c r="I581" s="35"/>
      <c r="J581" s="35"/>
      <c r="K581" s="35"/>
      <c r="L581" s="35"/>
      <c r="M581" s="35"/>
      <c r="N581" s="35"/>
      <c r="O581" s="35"/>
      <c r="P581" s="35"/>
      <c r="Q581" s="43"/>
      <c r="R581" s="35"/>
      <c r="S581" s="35"/>
      <c r="T581" s="35"/>
      <c r="U581" s="138"/>
      <c r="V581" s="35"/>
      <c r="W581" s="35"/>
      <c r="X581" s="35"/>
      <c r="Y581" s="35"/>
      <c r="Z581" s="35"/>
      <c r="AA581" s="35"/>
      <c r="AB581" s="218"/>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row>
    <row r="582">
      <c r="A582" s="35"/>
      <c r="B582" s="35"/>
      <c r="C582" s="35"/>
      <c r="D582" s="35"/>
      <c r="E582" s="35"/>
      <c r="F582" s="35"/>
      <c r="G582" s="35"/>
      <c r="H582" s="35"/>
      <c r="I582" s="35"/>
      <c r="J582" s="35"/>
      <c r="K582" s="35"/>
      <c r="L582" s="35"/>
      <c r="M582" s="35"/>
      <c r="N582" s="35"/>
      <c r="O582" s="35"/>
      <c r="P582" s="35"/>
      <c r="Q582" s="43"/>
      <c r="R582" s="35"/>
      <c r="S582" s="35"/>
      <c r="T582" s="35"/>
      <c r="U582" s="138"/>
      <c r="V582" s="35"/>
      <c r="W582" s="35"/>
      <c r="X582" s="35"/>
      <c r="Y582" s="35"/>
      <c r="Z582" s="35"/>
      <c r="AA582" s="35"/>
      <c r="AB582" s="218"/>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row>
    <row r="583">
      <c r="A583" s="35"/>
      <c r="B583" s="35"/>
      <c r="C583" s="35"/>
      <c r="D583" s="35"/>
      <c r="E583" s="35"/>
      <c r="F583" s="35"/>
      <c r="G583" s="35"/>
      <c r="H583" s="35"/>
      <c r="I583" s="35"/>
      <c r="J583" s="35"/>
      <c r="K583" s="35"/>
      <c r="L583" s="35"/>
      <c r="M583" s="35"/>
      <c r="N583" s="35"/>
      <c r="O583" s="35"/>
      <c r="P583" s="35"/>
      <c r="Q583" s="43"/>
      <c r="R583" s="35"/>
      <c r="S583" s="35"/>
      <c r="T583" s="35"/>
      <c r="U583" s="138"/>
      <c r="V583" s="35"/>
      <c r="W583" s="35"/>
      <c r="X583" s="35"/>
      <c r="Y583" s="35"/>
      <c r="Z583" s="35"/>
      <c r="AA583" s="35"/>
      <c r="AB583" s="218"/>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row>
    <row r="584">
      <c r="A584" s="35"/>
      <c r="B584" s="35"/>
      <c r="C584" s="35"/>
      <c r="D584" s="35"/>
      <c r="E584" s="35"/>
      <c r="F584" s="35"/>
      <c r="G584" s="35"/>
      <c r="H584" s="35"/>
      <c r="I584" s="35"/>
      <c r="J584" s="35"/>
      <c r="K584" s="35"/>
      <c r="L584" s="35"/>
      <c r="M584" s="35"/>
      <c r="N584" s="35"/>
      <c r="O584" s="35"/>
      <c r="P584" s="35"/>
      <c r="Q584" s="43"/>
      <c r="R584" s="35"/>
      <c r="S584" s="35"/>
      <c r="T584" s="35"/>
      <c r="U584" s="138"/>
      <c r="V584" s="35"/>
      <c r="W584" s="35"/>
      <c r="X584" s="35"/>
      <c r="Y584" s="35"/>
      <c r="Z584" s="35"/>
      <c r="AA584" s="35"/>
      <c r="AB584" s="218"/>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row>
    <row r="585">
      <c r="A585" s="35"/>
      <c r="B585" s="35"/>
      <c r="C585" s="35"/>
      <c r="D585" s="35"/>
      <c r="E585" s="35"/>
      <c r="F585" s="35"/>
      <c r="G585" s="35"/>
      <c r="H585" s="35"/>
      <c r="I585" s="35"/>
      <c r="J585" s="35"/>
      <c r="K585" s="35"/>
      <c r="L585" s="35"/>
      <c r="M585" s="35"/>
      <c r="N585" s="35"/>
      <c r="O585" s="35"/>
      <c r="P585" s="35"/>
      <c r="Q585" s="43"/>
      <c r="R585" s="35"/>
      <c r="S585" s="35"/>
      <c r="T585" s="35"/>
      <c r="U585" s="138"/>
      <c r="V585" s="35"/>
      <c r="W585" s="35"/>
      <c r="X585" s="35"/>
      <c r="Y585" s="35"/>
      <c r="Z585" s="35"/>
      <c r="AA585" s="35"/>
      <c r="AB585" s="218"/>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row>
    <row r="586">
      <c r="A586" s="35"/>
      <c r="B586" s="35"/>
      <c r="C586" s="35"/>
      <c r="D586" s="35"/>
      <c r="E586" s="35"/>
      <c r="F586" s="35"/>
      <c r="G586" s="35"/>
      <c r="H586" s="35"/>
      <c r="I586" s="35"/>
      <c r="J586" s="35"/>
      <c r="K586" s="35"/>
      <c r="L586" s="35"/>
      <c r="M586" s="35"/>
      <c r="N586" s="35"/>
      <c r="O586" s="35"/>
      <c r="P586" s="35"/>
      <c r="Q586" s="43"/>
      <c r="R586" s="35"/>
      <c r="S586" s="35"/>
      <c r="T586" s="35"/>
      <c r="U586" s="138"/>
      <c r="V586" s="35"/>
      <c r="W586" s="35"/>
      <c r="X586" s="35"/>
      <c r="Y586" s="35"/>
      <c r="Z586" s="35"/>
      <c r="AA586" s="35"/>
      <c r="AB586" s="218"/>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row>
    <row r="587">
      <c r="A587" s="35"/>
      <c r="B587" s="35"/>
      <c r="C587" s="35"/>
      <c r="D587" s="35"/>
      <c r="E587" s="35"/>
      <c r="F587" s="35"/>
      <c r="G587" s="35"/>
      <c r="H587" s="35"/>
      <c r="I587" s="35"/>
      <c r="J587" s="35"/>
      <c r="K587" s="35"/>
      <c r="L587" s="35"/>
      <c r="M587" s="35"/>
      <c r="N587" s="35"/>
      <c r="O587" s="35"/>
      <c r="P587" s="35"/>
      <c r="Q587" s="43"/>
      <c r="R587" s="35"/>
      <c r="S587" s="35"/>
      <c r="T587" s="35"/>
      <c r="U587" s="138"/>
      <c r="V587" s="35"/>
      <c r="W587" s="35"/>
      <c r="X587" s="35"/>
      <c r="Y587" s="35"/>
      <c r="Z587" s="35"/>
      <c r="AA587" s="35"/>
      <c r="AB587" s="218"/>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row>
    <row r="588">
      <c r="A588" s="35"/>
      <c r="B588" s="35"/>
      <c r="C588" s="35"/>
      <c r="D588" s="35"/>
      <c r="E588" s="35"/>
      <c r="F588" s="35"/>
      <c r="G588" s="35"/>
      <c r="H588" s="35"/>
      <c r="I588" s="35"/>
      <c r="J588" s="35"/>
      <c r="K588" s="35"/>
      <c r="L588" s="35"/>
      <c r="M588" s="35"/>
      <c r="N588" s="35"/>
      <c r="O588" s="35"/>
      <c r="P588" s="35"/>
      <c r="Q588" s="43"/>
      <c r="R588" s="35"/>
      <c r="S588" s="35"/>
      <c r="T588" s="35"/>
      <c r="U588" s="138"/>
      <c r="V588" s="35"/>
      <c r="W588" s="35"/>
      <c r="X588" s="35"/>
      <c r="Y588" s="35"/>
      <c r="Z588" s="35"/>
      <c r="AA588" s="35"/>
      <c r="AB588" s="218"/>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row>
    <row r="589">
      <c r="A589" s="35"/>
      <c r="B589" s="35"/>
      <c r="C589" s="35"/>
      <c r="D589" s="35"/>
      <c r="E589" s="35"/>
      <c r="F589" s="35"/>
      <c r="G589" s="35"/>
      <c r="H589" s="35"/>
      <c r="I589" s="35"/>
      <c r="J589" s="35"/>
      <c r="K589" s="35"/>
      <c r="L589" s="35"/>
      <c r="M589" s="35"/>
      <c r="N589" s="35"/>
      <c r="O589" s="35"/>
      <c r="P589" s="35"/>
      <c r="Q589" s="43"/>
      <c r="R589" s="35"/>
      <c r="S589" s="35"/>
      <c r="T589" s="35"/>
      <c r="U589" s="138"/>
      <c r="V589" s="35"/>
      <c r="W589" s="35"/>
      <c r="X589" s="35"/>
      <c r="Y589" s="35"/>
      <c r="Z589" s="35"/>
      <c r="AA589" s="35"/>
      <c r="AB589" s="218"/>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row>
    <row r="590">
      <c r="A590" s="35"/>
      <c r="B590" s="35"/>
      <c r="C590" s="35"/>
      <c r="D590" s="35"/>
      <c r="E590" s="35"/>
      <c r="F590" s="35"/>
      <c r="G590" s="35"/>
      <c r="H590" s="35"/>
      <c r="I590" s="35"/>
      <c r="J590" s="35"/>
      <c r="K590" s="35"/>
      <c r="L590" s="35"/>
      <c r="M590" s="35"/>
      <c r="N590" s="35"/>
      <c r="O590" s="35"/>
      <c r="P590" s="35"/>
      <c r="Q590" s="43"/>
      <c r="R590" s="35"/>
      <c r="S590" s="35"/>
      <c r="T590" s="35"/>
      <c r="U590" s="138"/>
      <c r="V590" s="35"/>
      <c r="W590" s="35"/>
      <c r="X590" s="35"/>
      <c r="Y590" s="35"/>
      <c r="Z590" s="35"/>
      <c r="AA590" s="35"/>
      <c r="AB590" s="218"/>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row>
    <row r="591">
      <c r="A591" s="35"/>
      <c r="B591" s="35"/>
      <c r="C591" s="35"/>
      <c r="D591" s="35"/>
      <c r="E591" s="35"/>
      <c r="F591" s="35"/>
      <c r="G591" s="35"/>
      <c r="H591" s="35"/>
      <c r="I591" s="35"/>
      <c r="J591" s="35"/>
      <c r="K591" s="35"/>
      <c r="L591" s="35"/>
      <c r="M591" s="35"/>
      <c r="N591" s="35"/>
      <c r="O591" s="35"/>
      <c r="P591" s="35"/>
      <c r="Q591" s="43"/>
      <c r="R591" s="35"/>
      <c r="S591" s="35"/>
      <c r="T591" s="35"/>
      <c r="U591" s="138"/>
      <c r="V591" s="35"/>
      <c r="W591" s="35"/>
      <c r="X591" s="35"/>
      <c r="Y591" s="35"/>
      <c r="Z591" s="35"/>
      <c r="AA591" s="35"/>
      <c r="AB591" s="218"/>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row>
    <row r="592">
      <c r="A592" s="35"/>
      <c r="B592" s="35"/>
      <c r="C592" s="35"/>
      <c r="D592" s="35"/>
      <c r="E592" s="35"/>
      <c r="F592" s="35"/>
      <c r="G592" s="35"/>
      <c r="H592" s="35"/>
      <c r="I592" s="35"/>
      <c r="J592" s="35"/>
      <c r="K592" s="35"/>
      <c r="L592" s="35"/>
      <c r="M592" s="35"/>
      <c r="N592" s="35"/>
      <c r="O592" s="35"/>
      <c r="P592" s="35"/>
      <c r="Q592" s="43"/>
      <c r="R592" s="35"/>
      <c r="S592" s="35"/>
      <c r="T592" s="35"/>
      <c r="U592" s="138"/>
      <c r="V592" s="35"/>
      <c r="W592" s="35"/>
      <c r="X592" s="35"/>
      <c r="Y592" s="35"/>
      <c r="Z592" s="35"/>
      <c r="AA592" s="35"/>
      <c r="AB592" s="218"/>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row>
    <row r="593">
      <c r="A593" s="35"/>
      <c r="B593" s="35"/>
      <c r="C593" s="35"/>
      <c r="D593" s="35"/>
      <c r="E593" s="35"/>
      <c r="F593" s="35"/>
      <c r="G593" s="35"/>
      <c r="H593" s="35"/>
      <c r="I593" s="35"/>
      <c r="J593" s="35"/>
      <c r="K593" s="35"/>
      <c r="L593" s="35"/>
      <c r="M593" s="35"/>
      <c r="N593" s="35"/>
      <c r="O593" s="35"/>
      <c r="P593" s="35"/>
      <c r="Q593" s="43"/>
      <c r="R593" s="35"/>
      <c r="S593" s="35"/>
      <c r="T593" s="35"/>
      <c r="U593" s="138"/>
      <c r="V593" s="35"/>
      <c r="W593" s="35"/>
      <c r="X593" s="35"/>
      <c r="Y593" s="35"/>
      <c r="Z593" s="35"/>
      <c r="AA593" s="35"/>
      <c r="AB593" s="218"/>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row>
    <row r="594">
      <c r="A594" s="35"/>
      <c r="B594" s="35"/>
      <c r="C594" s="35"/>
      <c r="D594" s="35"/>
      <c r="E594" s="35"/>
      <c r="F594" s="35"/>
      <c r="G594" s="35"/>
      <c r="H594" s="35"/>
      <c r="I594" s="35"/>
      <c r="J594" s="35"/>
      <c r="K594" s="35"/>
      <c r="L594" s="35"/>
      <c r="M594" s="35"/>
      <c r="N594" s="35"/>
      <c r="O594" s="35"/>
      <c r="P594" s="35"/>
      <c r="Q594" s="43"/>
      <c r="R594" s="35"/>
      <c r="S594" s="35"/>
      <c r="T594" s="35"/>
      <c r="U594" s="138"/>
      <c r="V594" s="35"/>
      <c r="W594" s="35"/>
      <c r="X594" s="35"/>
      <c r="Y594" s="35"/>
      <c r="Z594" s="35"/>
      <c r="AA594" s="35"/>
      <c r="AB594" s="218"/>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row>
    <row r="595">
      <c r="A595" s="35"/>
      <c r="B595" s="35"/>
      <c r="C595" s="35"/>
      <c r="D595" s="35"/>
      <c r="E595" s="35"/>
      <c r="F595" s="35"/>
      <c r="G595" s="35"/>
      <c r="H595" s="35"/>
      <c r="I595" s="35"/>
      <c r="J595" s="35"/>
      <c r="K595" s="35"/>
      <c r="L595" s="35"/>
      <c r="M595" s="35"/>
      <c r="N595" s="35"/>
      <c r="O595" s="35"/>
      <c r="P595" s="35"/>
      <c r="Q595" s="43"/>
      <c r="R595" s="35"/>
      <c r="S595" s="35"/>
      <c r="T595" s="35"/>
      <c r="U595" s="138"/>
      <c r="V595" s="35"/>
      <c r="W595" s="35"/>
      <c r="X595" s="35"/>
      <c r="Y595" s="35"/>
      <c r="Z595" s="35"/>
      <c r="AA595" s="35"/>
      <c r="AB595" s="218"/>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row>
    <row r="596">
      <c r="A596" s="35"/>
      <c r="B596" s="35"/>
      <c r="C596" s="35"/>
      <c r="D596" s="35"/>
      <c r="E596" s="35"/>
      <c r="F596" s="35"/>
      <c r="G596" s="35"/>
      <c r="H596" s="35"/>
      <c r="I596" s="35"/>
      <c r="J596" s="35"/>
      <c r="K596" s="35"/>
      <c r="L596" s="35"/>
      <c r="M596" s="35"/>
      <c r="N596" s="35"/>
      <c r="O596" s="35"/>
      <c r="P596" s="35"/>
      <c r="Q596" s="43"/>
      <c r="R596" s="35"/>
      <c r="S596" s="35"/>
      <c r="T596" s="35"/>
      <c r="U596" s="138"/>
      <c r="V596" s="35"/>
      <c r="W596" s="35"/>
      <c r="X596" s="35"/>
      <c r="Y596" s="35"/>
      <c r="Z596" s="35"/>
      <c r="AA596" s="35"/>
      <c r="AB596" s="218"/>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row>
    <row r="597">
      <c r="A597" s="35"/>
      <c r="B597" s="35"/>
      <c r="C597" s="35"/>
      <c r="D597" s="35"/>
      <c r="E597" s="35"/>
      <c r="F597" s="35"/>
      <c r="G597" s="35"/>
      <c r="H597" s="35"/>
      <c r="I597" s="35"/>
      <c r="J597" s="35"/>
      <c r="K597" s="35"/>
      <c r="L597" s="35"/>
      <c r="M597" s="35"/>
      <c r="N597" s="35"/>
      <c r="O597" s="35"/>
      <c r="P597" s="35"/>
      <c r="Q597" s="43"/>
      <c r="R597" s="35"/>
      <c r="S597" s="35"/>
      <c r="T597" s="35"/>
      <c r="U597" s="138"/>
      <c r="V597" s="35"/>
      <c r="W597" s="35"/>
      <c r="X597" s="35"/>
      <c r="Y597" s="35"/>
      <c r="Z597" s="35"/>
      <c r="AA597" s="35"/>
      <c r="AB597" s="218"/>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row>
    <row r="598">
      <c r="A598" s="35"/>
      <c r="B598" s="35"/>
      <c r="C598" s="35"/>
      <c r="D598" s="35"/>
      <c r="E598" s="35"/>
      <c r="F598" s="35"/>
      <c r="G598" s="35"/>
      <c r="H598" s="35"/>
      <c r="I598" s="35"/>
      <c r="J598" s="35"/>
      <c r="K598" s="35"/>
      <c r="L598" s="35"/>
      <c r="M598" s="35"/>
      <c r="N598" s="35"/>
      <c r="O598" s="35"/>
      <c r="P598" s="35"/>
      <c r="Q598" s="43"/>
      <c r="R598" s="35"/>
      <c r="S598" s="35"/>
      <c r="T598" s="35"/>
      <c r="U598" s="138"/>
      <c r="V598" s="35"/>
      <c r="W598" s="35"/>
      <c r="X598" s="35"/>
      <c r="Y598" s="35"/>
      <c r="Z598" s="35"/>
      <c r="AA598" s="35"/>
      <c r="AB598" s="218"/>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row>
    <row r="599">
      <c r="A599" s="35"/>
      <c r="B599" s="35"/>
      <c r="C599" s="35"/>
      <c r="D599" s="35"/>
      <c r="E599" s="35"/>
      <c r="F599" s="35"/>
      <c r="G599" s="35"/>
      <c r="H599" s="35"/>
      <c r="I599" s="35"/>
      <c r="J599" s="35"/>
      <c r="K599" s="35"/>
      <c r="L599" s="35"/>
      <c r="M599" s="35"/>
      <c r="N599" s="35"/>
      <c r="O599" s="35"/>
      <c r="P599" s="35"/>
      <c r="Q599" s="43"/>
      <c r="R599" s="35"/>
      <c r="S599" s="35"/>
      <c r="T599" s="35"/>
      <c r="U599" s="138"/>
      <c r="V599" s="35"/>
      <c r="W599" s="35"/>
      <c r="X599" s="35"/>
      <c r="Y599" s="35"/>
      <c r="Z599" s="35"/>
      <c r="AA599" s="35"/>
      <c r="AB599" s="218"/>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row>
    <row r="600">
      <c r="A600" s="35"/>
      <c r="B600" s="35"/>
      <c r="C600" s="35"/>
      <c r="D600" s="35"/>
      <c r="E600" s="35"/>
      <c r="F600" s="35"/>
      <c r="G600" s="35"/>
      <c r="H600" s="35"/>
      <c r="I600" s="35"/>
      <c r="J600" s="35"/>
      <c r="K600" s="35"/>
      <c r="L600" s="35"/>
      <c r="M600" s="35"/>
      <c r="N600" s="35"/>
      <c r="O600" s="35"/>
      <c r="P600" s="35"/>
      <c r="Q600" s="43"/>
      <c r="R600" s="35"/>
      <c r="S600" s="35"/>
      <c r="T600" s="35"/>
      <c r="U600" s="138"/>
      <c r="V600" s="35"/>
      <c r="W600" s="35"/>
      <c r="X600" s="35"/>
      <c r="Y600" s="35"/>
      <c r="Z600" s="35"/>
      <c r="AA600" s="35"/>
      <c r="AB600" s="218"/>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row>
    <row r="601">
      <c r="A601" s="35"/>
      <c r="B601" s="35"/>
      <c r="C601" s="35"/>
      <c r="D601" s="35"/>
      <c r="E601" s="35"/>
      <c r="F601" s="35"/>
      <c r="G601" s="35"/>
      <c r="H601" s="35"/>
      <c r="I601" s="35"/>
      <c r="J601" s="35"/>
      <c r="K601" s="35"/>
      <c r="L601" s="35"/>
      <c r="M601" s="35"/>
      <c r="N601" s="35"/>
      <c r="O601" s="35"/>
      <c r="P601" s="35"/>
      <c r="Q601" s="43"/>
      <c r="R601" s="35"/>
      <c r="S601" s="35"/>
      <c r="T601" s="35"/>
      <c r="U601" s="138"/>
      <c r="V601" s="35"/>
      <c r="W601" s="35"/>
      <c r="X601" s="35"/>
      <c r="Y601" s="35"/>
      <c r="Z601" s="35"/>
      <c r="AA601" s="35"/>
      <c r="AB601" s="218"/>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row>
    <row r="602">
      <c r="A602" s="35"/>
      <c r="B602" s="35"/>
      <c r="C602" s="35"/>
      <c r="D602" s="35"/>
      <c r="E602" s="35"/>
      <c r="F602" s="35"/>
      <c r="G602" s="35"/>
      <c r="H602" s="35"/>
      <c r="I602" s="35"/>
      <c r="J602" s="35"/>
      <c r="K602" s="35"/>
      <c r="L602" s="35"/>
      <c r="M602" s="35"/>
      <c r="N602" s="35"/>
      <c r="O602" s="35"/>
      <c r="P602" s="35"/>
      <c r="Q602" s="43"/>
      <c r="R602" s="35"/>
      <c r="S602" s="35"/>
      <c r="T602" s="35"/>
      <c r="U602" s="138"/>
      <c r="V602" s="35"/>
      <c r="W602" s="35"/>
      <c r="X602" s="35"/>
      <c r="Y602" s="35"/>
      <c r="Z602" s="35"/>
      <c r="AA602" s="35"/>
      <c r="AB602" s="218"/>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row>
    <row r="603">
      <c r="A603" s="35"/>
      <c r="B603" s="35"/>
      <c r="C603" s="35"/>
      <c r="D603" s="35"/>
      <c r="E603" s="35"/>
      <c r="F603" s="35"/>
      <c r="G603" s="35"/>
      <c r="H603" s="35"/>
      <c r="I603" s="35"/>
      <c r="J603" s="35"/>
      <c r="K603" s="35"/>
      <c r="L603" s="35"/>
      <c r="M603" s="35"/>
      <c r="N603" s="35"/>
      <c r="O603" s="35"/>
      <c r="P603" s="35"/>
      <c r="Q603" s="43"/>
      <c r="R603" s="35"/>
      <c r="S603" s="35"/>
      <c r="T603" s="35"/>
      <c r="U603" s="138"/>
      <c r="V603" s="35"/>
      <c r="W603" s="35"/>
      <c r="X603" s="35"/>
      <c r="Y603" s="35"/>
      <c r="Z603" s="35"/>
      <c r="AA603" s="35"/>
      <c r="AB603" s="218"/>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row>
    <row r="604">
      <c r="A604" s="35"/>
      <c r="B604" s="35"/>
      <c r="C604" s="35"/>
      <c r="D604" s="35"/>
      <c r="E604" s="35"/>
      <c r="F604" s="35"/>
      <c r="G604" s="35"/>
      <c r="H604" s="35"/>
      <c r="I604" s="35"/>
      <c r="J604" s="35"/>
      <c r="K604" s="35"/>
      <c r="L604" s="35"/>
      <c r="M604" s="35"/>
      <c r="N604" s="35"/>
      <c r="O604" s="35"/>
      <c r="P604" s="35"/>
      <c r="Q604" s="43"/>
      <c r="R604" s="35"/>
      <c r="S604" s="35"/>
      <c r="T604" s="35"/>
      <c r="U604" s="138"/>
      <c r="V604" s="35"/>
      <c r="W604" s="35"/>
      <c r="X604" s="35"/>
      <c r="Y604" s="35"/>
      <c r="Z604" s="35"/>
      <c r="AA604" s="35"/>
      <c r="AB604" s="218"/>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row>
    <row r="605">
      <c r="A605" s="35"/>
      <c r="B605" s="35"/>
      <c r="C605" s="35"/>
      <c r="D605" s="35"/>
      <c r="E605" s="35"/>
      <c r="F605" s="35"/>
      <c r="G605" s="35"/>
      <c r="H605" s="35"/>
      <c r="I605" s="35"/>
      <c r="J605" s="35"/>
      <c r="K605" s="35"/>
      <c r="L605" s="35"/>
      <c r="M605" s="35"/>
      <c r="N605" s="35"/>
      <c r="O605" s="35"/>
      <c r="P605" s="35"/>
      <c r="Q605" s="43"/>
      <c r="R605" s="35"/>
      <c r="S605" s="35"/>
      <c r="T605" s="35"/>
      <c r="U605" s="138"/>
      <c r="V605" s="35"/>
      <c r="W605" s="35"/>
      <c r="X605" s="35"/>
      <c r="Y605" s="35"/>
      <c r="Z605" s="35"/>
      <c r="AA605" s="35"/>
      <c r="AB605" s="218"/>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row>
    <row r="606">
      <c r="A606" s="35"/>
      <c r="B606" s="35"/>
      <c r="C606" s="35"/>
      <c r="D606" s="35"/>
      <c r="E606" s="35"/>
      <c r="F606" s="35"/>
      <c r="G606" s="35"/>
      <c r="H606" s="35"/>
      <c r="I606" s="35"/>
      <c r="J606" s="35"/>
      <c r="K606" s="35"/>
      <c r="L606" s="35"/>
      <c r="M606" s="35"/>
      <c r="N606" s="35"/>
      <c r="O606" s="35"/>
      <c r="P606" s="35"/>
      <c r="Q606" s="43"/>
      <c r="R606" s="35"/>
      <c r="S606" s="35"/>
      <c r="T606" s="35"/>
      <c r="U606" s="138"/>
      <c r="V606" s="35"/>
      <c r="W606" s="35"/>
      <c r="X606" s="35"/>
      <c r="Y606" s="35"/>
      <c r="Z606" s="35"/>
      <c r="AA606" s="35"/>
      <c r="AB606" s="218"/>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row>
    <row r="607">
      <c r="A607" s="35"/>
      <c r="B607" s="35"/>
      <c r="C607" s="35"/>
      <c r="D607" s="35"/>
      <c r="E607" s="35"/>
      <c r="F607" s="35"/>
      <c r="G607" s="35"/>
      <c r="H607" s="35"/>
      <c r="I607" s="35"/>
      <c r="J607" s="35"/>
      <c r="K607" s="35"/>
      <c r="L607" s="35"/>
      <c r="M607" s="35"/>
      <c r="N607" s="35"/>
      <c r="O607" s="35"/>
      <c r="P607" s="35"/>
      <c r="Q607" s="43"/>
      <c r="R607" s="35"/>
      <c r="S607" s="35"/>
      <c r="T607" s="35"/>
      <c r="U607" s="138"/>
      <c r="V607" s="35"/>
      <c r="W607" s="35"/>
      <c r="X607" s="35"/>
      <c r="Y607" s="35"/>
      <c r="Z607" s="35"/>
      <c r="AA607" s="35"/>
      <c r="AB607" s="218"/>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row>
    <row r="608">
      <c r="A608" s="35"/>
      <c r="B608" s="35"/>
      <c r="C608" s="35"/>
      <c r="D608" s="35"/>
      <c r="E608" s="35"/>
      <c r="F608" s="35"/>
      <c r="G608" s="35"/>
      <c r="H608" s="35"/>
      <c r="I608" s="35"/>
      <c r="J608" s="35"/>
      <c r="K608" s="35"/>
      <c r="L608" s="35"/>
      <c r="M608" s="35"/>
      <c r="N608" s="35"/>
      <c r="O608" s="35"/>
      <c r="P608" s="35"/>
      <c r="Q608" s="43"/>
      <c r="R608" s="35"/>
      <c r="S608" s="35"/>
      <c r="T608" s="35"/>
      <c r="U608" s="138"/>
      <c r="V608" s="35"/>
      <c r="W608" s="35"/>
      <c r="X608" s="35"/>
      <c r="Y608" s="35"/>
      <c r="Z608" s="35"/>
      <c r="AA608" s="35"/>
      <c r="AB608" s="218"/>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row>
    <row r="609">
      <c r="A609" s="35"/>
      <c r="B609" s="35"/>
      <c r="C609" s="35"/>
      <c r="D609" s="35"/>
      <c r="E609" s="35"/>
      <c r="F609" s="35"/>
      <c r="G609" s="35"/>
      <c r="H609" s="35"/>
      <c r="I609" s="35"/>
      <c r="J609" s="35"/>
      <c r="K609" s="35"/>
      <c r="L609" s="35"/>
      <c r="M609" s="35"/>
      <c r="N609" s="35"/>
      <c r="O609" s="35"/>
      <c r="P609" s="35"/>
      <c r="Q609" s="43"/>
      <c r="R609" s="35"/>
      <c r="S609" s="35"/>
      <c r="T609" s="35"/>
      <c r="U609" s="138"/>
      <c r="V609" s="35"/>
      <c r="W609" s="35"/>
      <c r="X609" s="35"/>
      <c r="Y609" s="35"/>
      <c r="Z609" s="35"/>
      <c r="AA609" s="35"/>
      <c r="AB609" s="218"/>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row>
    <row r="610">
      <c r="A610" s="35"/>
      <c r="B610" s="35"/>
      <c r="C610" s="35"/>
      <c r="D610" s="35"/>
      <c r="E610" s="35"/>
      <c r="F610" s="35"/>
      <c r="G610" s="35"/>
      <c r="H610" s="35"/>
      <c r="I610" s="35"/>
      <c r="J610" s="35"/>
      <c r="K610" s="35"/>
      <c r="L610" s="35"/>
      <c r="M610" s="35"/>
      <c r="N610" s="35"/>
      <c r="O610" s="35"/>
      <c r="P610" s="35"/>
      <c r="Q610" s="43"/>
      <c r="R610" s="35"/>
      <c r="S610" s="35"/>
      <c r="T610" s="35"/>
      <c r="U610" s="138"/>
      <c r="V610" s="35"/>
      <c r="W610" s="35"/>
      <c r="X610" s="35"/>
      <c r="Y610" s="35"/>
      <c r="Z610" s="35"/>
      <c r="AA610" s="35"/>
      <c r="AB610" s="218"/>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row>
    <row r="611">
      <c r="A611" s="35"/>
      <c r="B611" s="35"/>
      <c r="C611" s="35"/>
      <c r="D611" s="35"/>
      <c r="E611" s="35"/>
      <c r="F611" s="35"/>
      <c r="G611" s="35"/>
      <c r="H611" s="35"/>
      <c r="I611" s="35"/>
      <c r="J611" s="35"/>
      <c r="K611" s="35"/>
      <c r="L611" s="35"/>
      <c r="M611" s="35"/>
      <c r="N611" s="35"/>
      <c r="O611" s="35"/>
      <c r="P611" s="35"/>
      <c r="Q611" s="43"/>
      <c r="R611" s="35"/>
      <c r="S611" s="35"/>
      <c r="T611" s="35"/>
      <c r="U611" s="138"/>
      <c r="V611" s="35"/>
      <c r="W611" s="35"/>
      <c r="X611" s="35"/>
      <c r="Y611" s="35"/>
      <c r="Z611" s="35"/>
      <c r="AA611" s="35"/>
      <c r="AB611" s="218"/>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row>
    <row r="612">
      <c r="A612" s="35"/>
      <c r="B612" s="35"/>
      <c r="C612" s="35"/>
      <c r="D612" s="35"/>
      <c r="E612" s="35"/>
      <c r="F612" s="35"/>
      <c r="G612" s="35"/>
      <c r="H612" s="35"/>
      <c r="I612" s="35"/>
      <c r="J612" s="35"/>
      <c r="K612" s="35"/>
      <c r="L612" s="35"/>
      <c r="M612" s="35"/>
      <c r="N612" s="35"/>
      <c r="O612" s="35"/>
      <c r="P612" s="35"/>
      <c r="Q612" s="43"/>
      <c r="R612" s="35"/>
      <c r="S612" s="35"/>
      <c r="T612" s="35"/>
      <c r="U612" s="138"/>
      <c r="V612" s="35"/>
      <c r="W612" s="35"/>
      <c r="X612" s="35"/>
      <c r="Y612" s="35"/>
      <c r="Z612" s="35"/>
      <c r="AA612" s="35"/>
      <c r="AB612" s="218"/>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row>
    <row r="613">
      <c r="A613" s="35"/>
      <c r="B613" s="35"/>
      <c r="C613" s="35"/>
      <c r="D613" s="35"/>
      <c r="E613" s="35"/>
      <c r="F613" s="35"/>
      <c r="G613" s="35"/>
      <c r="H613" s="35"/>
      <c r="I613" s="35"/>
      <c r="J613" s="35"/>
      <c r="K613" s="35"/>
      <c r="L613" s="35"/>
      <c r="M613" s="35"/>
      <c r="N613" s="35"/>
      <c r="O613" s="35"/>
      <c r="P613" s="35"/>
      <c r="Q613" s="43"/>
      <c r="R613" s="35"/>
      <c r="S613" s="35"/>
      <c r="T613" s="35"/>
      <c r="U613" s="138"/>
      <c r="V613" s="35"/>
      <c r="W613" s="35"/>
      <c r="X613" s="35"/>
      <c r="Y613" s="35"/>
      <c r="Z613" s="35"/>
      <c r="AA613" s="35"/>
      <c r="AB613" s="218"/>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row>
    <row r="614">
      <c r="A614" s="35"/>
      <c r="B614" s="35"/>
      <c r="C614" s="35"/>
      <c r="D614" s="35"/>
      <c r="E614" s="35"/>
      <c r="F614" s="35"/>
      <c r="G614" s="35"/>
      <c r="H614" s="35"/>
      <c r="I614" s="35"/>
      <c r="J614" s="35"/>
      <c r="K614" s="35"/>
      <c r="L614" s="35"/>
      <c r="M614" s="35"/>
      <c r="N614" s="35"/>
      <c r="O614" s="35"/>
      <c r="P614" s="35"/>
      <c r="Q614" s="43"/>
      <c r="R614" s="35"/>
      <c r="S614" s="35"/>
      <c r="T614" s="35"/>
      <c r="U614" s="138"/>
      <c r="V614" s="35"/>
      <c r="W614" s="35"/>
      <c r="X614" s="35"/>
      <c r="Y614" s="35"/>
      <c r="Z614" s="35"/>
      <c r="AA614" s="35"/>
      <c r="AB614" s="218"/>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row>
    <row r="615">
      <c r="A615" s="35"/>
      <c r="B615" s="35"/>
      <c r="C615" s="35"/>
      <c r="D615" s="35"/>
      <c r="E615" s="35"/>
      <c r="F615" s="35"/>
      <c r="G615" s="35"/>
      <c r="H615" s="35"/>
      <c r="I615" s="35"/>
      <c r="J615" s="35"/>
      <c r="K615" s="35"/>
      <c r="L615" s="35"/>
      <c r="M615" s="35"/>
      <c r="N615" s="35"/>
      <c r="O615" s="35"/>
      <c r="P615" s="35"/>
      <c r="Q615" s="43"/>
      <c r="R615" s="35"/>
      <c r="S615" s="35"/>
      <c r="T615" s="35"/>
      <c r="U615" s="138"/>
      <c r="V615" s="35"/>
      <c r="W615" s="35"/>
      <c r="X615" s="35"/>
      <c r="Y615" s="35"/>
      <c r="Z615" s="35"/>
      <c r="AA615" s="35"/>
      <c r="AB615" s="218"/>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row>
    <row r="616">
      <c r="A616" s="35"/>
      <c r="B616" s="35"/>
      <c r="C616" s="35"/>
      <c r="D616" s="35"/>
      <c r="E616" s="35"/>
      <c r="F616" s="35"/>
      <c r="G616" s="35"/>
      <c r="H616" s="35"/>
      <c r="I616" s="35"/>
      <c r="J616" s="35"/>
      <c r="K616" s="35"/>
      <c r="L616" s="35"/>
      <c r="M616" s="35"/>
      <c r="N616" s="35"/>
      <c r="O616" s="35"/>
      <c r="P616" s="35"/>
      <c r="Q616" s="43"/>
      <c r="R616" s="35"/>
      <c r="S616" s="35"/>
      <c r="T616" s="35"/>
      <c r="U616" s="138"/>
      <c r="V616" s="35"/>
      <c r="W616" s="35"/>
      <c r="X616" s="35"/>
      <c r="Y616" s="35"/>
      <c r="Z616" s="35"/>
      <c r="AA616" s="35"/>
      <c r="AB616" s="218"/>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row>
    <row r="617">
      <c r="A617" s="35"/>
      <c r="B617" s="35"/>
      <c r="C617" s="35"/>
      <c r="D617" s="35"/>
      <c r="E617" s="35"/>
      <c r="F617" s="35"/>
      <c r="G617" s="35"/>
      <c r="H617" s="35"/>
      <c r="I617" s="35"/>
      <c r="J617" s="35"/>
      <c r="K617" s="35"/>
      <c r="L617" s="35"/>
      <c r="M617" s="35"/>
      <c r="N617" s="35"/>
      <c r="O617" s="35"/>
      <c r="P617" s="35"/>
      <c r="Q617" s="43"/>
      <c r="R617" s="35"/>
      <c r="S617" s="35"/>
      <c r="T617" s="35"/>
      <c r="U617" s="138"/>
      <c r="V617" s="35"/>
      <c r="W617" s="35"/>
      <c r="X617" s="35"/>
      <c r="Y617" s="35"/>
      <c r="Z617" s="35"/>
      <c r="AA617" s="35"/>
      <c r="AB617" s="218"/>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row>
    <row r="618">
      <c r="A618" s="35"/>
      <c r="B618" s="35"/>
      <c r="C618" s="35"/>
      <c r="D618" s="35"/>
      <c r="E618" s="35"/>
      <c r="F618" s="35"/>
      <c r="G618" s="35"/>
      <c r="H618" s="35"/>
      <c r="I618" s="35"/>
      <c r="J618" s="35"/>
      <c r="K618" s="35"/>
      <c r="L618" s="35"/>
      <c r="M618" s="35"/>
      <c r="N618" s="35"/>
      <c r="O618" s="35"/>
      <c r="P618" s="35"/>
      <c r="Q618" s="43"/>
      <c r="R618" s="35"/>
      <c r="S618" s="35"/>
      <c r="T618" s="35"/>
      <c r="U618" s="138"/>
      <c r="V618" s="35"/>
      <c r="W618" s="35"/>
      <c r="X618" s="35"/>
      <c r="Y618" s="35"/>
      <c r="Z618" s="35"/>
      <c r="AA618" s="35"/>
      <c r="AB618" s="218"/>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row>
    <row r="619">
      <c r="A619" s="35"/>
      <c r="B619" s="35"/>
      <c r="C619" s="35"/>
      <c r="D619" s="35"/>
      <c r="E619" s="35"/>
      <c r="F619" s="35"/>
      <c r="G619" s="35"/>
      <c r="H619" s="35"/>
      <c r="I619" s="35"/>
      <c r="J619" s="35"/>
      <c r="K619" s="35"/>
      <c r="L619" s="35"/>
      <c r="M619" s="35"/>
      <c r="N619" s="35"/>
      <c r="O619" s="35"/>
      <c r="P619" s="35"/>
      <c r="Q619" s="43"/>
      <c r="R619" s="35"/>
      <c r="S619" s="35"/>
      <c r="T619" s="35"/>
      <c r="U619" s="138"/>
      <c r="V619" s="35"/>
      <c r="W619" s="35"/>
      <c r="X619" s="35"/>
      <c r="Y619" s="35"/>
      <c r="Z619" s="35"/>
      <c r="AA619" s="35"/>
      <c r="AB619" s="218"/>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row>
    <row r="620">
      <c r="A620" s="35"/>
      <c r="B620" s="35"/>
      <c r="C620" s="35"/>
      <c r="D620" s="35"/>
      <c r="E620" s="35"/>
      <c r="F620" s="35"/>
      <c r="G620" s="35"/>
      <c r="H620" s="35"/>
      <c r="I620" s="35"/>
      <c r="J620" s="35"/>
      <c r="K620" s="35"/>
      <c r="L620" s="35"/>
      <c r="M620" s="35"/>
      <c r="N620" s="35"/>
      <c r="O620" s="35"/>
      <c r="P620" s="35"/>
      <c r="Q620" s="43"/>
      <c r="R620" s="35"/>
      <c r="S620" s="35"/>
      <c r="T620" s="35"/>
      <c r="U620" s="138"/>
      <c r="V620" s="35"/>
      <c r="W620" s="35"/>
      <c r="X620" s="35"/>
      <c r="Y620" s="35"/>
      <c r="Z620" s="35"/>
      <c r="AA620" s="35"/>
      <c r="AB620" s="218"/>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row>
    <row r="621">
      <c r="A621" s="35"/>
      <c r="B621" s="35"/>
      <c r="C621" s="35"/>
      <c r="D621" s="35"/>
      <c r="E621" s="35"/>
      <c r="F621" s="35"/>
      <c r="G621" s="35"/>
      <c r="H621" s="35"/>
      <c r="I621" s="35"/>
      <c r="J621" s="35"/>
      <c r="K621" s="35"/>
      <c r="L621" s="35"/>
      <c r="M621" s="35"/>
      <c r="N621" s="35"/>
      <c r="O621" s="35"/>
      <c r="P621" s="35"/>
      <c r="Q621" s="43"/>
      <c r="R621" s="35"/>
      <c r="S621" s="35"/>
      <c r="T621" s="35"/>
      <c r="U621" s="138"/>
      <c r="V621" s="35"/>
      <c r="W621" s="35"/>
      <c r="X621" s="35"/>
      <c r="Y621" s="35"/>
      <c r="Z621" s="35"/>
      <c r="AA621" s="35"/>
      <c r="AB621" s="218"/>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row>
    <row r="622">
      <c r="A622" s="35"/>
      <c r="B622" s="35"/>
      <c r="C622" s="35"/>
      <c r="D622" s="35"/>
      <c r="E622" s="35"/>
      <c r="F622" s="35"/>
      <c r="G622" s="35"/>
      <c r="H622" s="35"/>
      <c r="I622" s="35"/>
      <c r="J622" s="35"/>
      <c r="K622" s="35"/>
      <c r="L622" s="35"/>
      <c r="M622" s="35"/>
      <c r="N622" s="35"/>
      <c r="O622" s="35"/>
      <c r="P622" s="35"/>
      <c r="Q622" s="43"/>
      <c r="R622" s="35"/>
      <c r="S622" s="35"/>
      <c r="T622" s="35"/>
      <c r="U622" s="138"/>
      <c r="V622" s="35"/>
      <c r="W622" s="35"/>
      <c r="X622" s="35"/>
      <c r="Y622" s="35"/>
      <c r="Z622" s="35"/>
      <c r="AA622" s="35"/>
      <c r="AB622" s="218"/>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row>
    <row r="623">
      <c r="A623" s="35"/>
      <c r="B623" s="35"/>
      <c r="C623" s="35"/>
      <c r="D623" s="35"/>
      <c r="E623" s="35"/>
      <c r="F623" s="35"/>
      <c r="G623" s="35"/>
      <c r="H623" s="35"/>
      <c r="I623" s="35"/>
      <c r="J623" s="35"/>
      <c r="K623" s="35"/>
      <c r="L623" s="35"/>
      <c r="M623" s="35"/>
      <c r="N623" s="35"/>
      <c r="O623" s="35"/>
      <c r="P623" s="35"/>
      <c r="Q623" s="43"/>
      <c r="R623" s="35"/>
      <c r="S623" s="35"/>
      <c r="T623" s="35"/>
      <c r="U623" s="138"/>
      <c r="V623" s="35"/>
      <c r="W623" s="35"/>
      <c r="X623" s="35"/>
      <c r="Y623" s="35"/>
      <c r="Z623" s="35"/>
      <c r="AA623" s="35"/>
      <c r="AB623" s="218"/>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row>
    <row r="624">
      <c r="A624" s="35"/>
      <c r="B624" s="35"/>
      <c r="C624" s="35"/>
      <c r="D624" s="35"/>
      <c r="E624" s="35"/>
      <c r="F624" s="35"/>
      <c r="G624" s="35"/>
      <c r="H624" s="35"/>
      <c r="I624" s="35"/>
      <c r="J624" s="35"/>
      <c r="K624" s="35"/>
      <c r="L624" s="35"/>
      <c r="M624" s="35"/>
      <c r="N624" s="35"/>
      <c r="O624" s="35"/>
      <c r="P624" s="35"/>
      <c r="Q624" s="43"/>
      <c r="R624" s="35"/>
      <c r="S624" s="35"/>
      <c r="T624" s="35"/>
      <c r="U624" s="138"/>
      <c r="V624" s="35"/>
      <c r="W624" s="35"/>
      <c r="X624" s="35"/>
      <c r="Y624" s="35"/>
      <c r="Z624" s="35"/>
      <c r="AA624" s="35"/>
      <c r="AB624" s="218"/>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row>
    <row r="625">
      <c r="A625" s="35"/>
      <c r="B625" s="35"/>
      <c r="C625" s="35"/>
      <c r="D625" s="35"/>
      <c r="E625" s="35"/>
      <c r="F625" s="35"/>
      <c r="G625" s="35"/>
      <c r="H625" s="35"/>
      <c r="I625" s="35"/>
      <c r="J625" s="35"/>
      <c r="K625" s="35"/>
      <c r="L625" s="35"/>
      <c r="M625" s="35"/>
      <c r="N625" s="35"/>
      <c r="O625" s="35"/>
      <c r="P625" s="35"/>
      <c r="Q625" s="43"/>
      <c r="R625" s="35"/>
      <c r="S625" s="35"/>
      <c r="T625" s="35"/>
      <c r="U625" s="138"/>
      <c r="V625" s="35"/>
      <c r="W625" s="35"/>
      <c r="X625" s="35"/>
      <c r="Y625" s="35"/>
      <c r="Z625" s="35"/>
      <c r="AA625" s="35"/>
      <c r="AB625" s="218"/>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row>
    <row r="626">
      <c r="A626" s="35"/>
      <c r="B626" s="35"/>
      <c r="C626" s="35"/>
      <c r="D626" s="35"/>
      <c r="E626" s="35"/>
      <c r="F626" s="35"/>
      <c r="G626" s="35"/>
      <c r="H626" s="35"/>
      <c r="I626" s="35"/>
      <c r="J626" s="35"/>
      <c r="K626" s="35"/>
      <c r="L626" s="35"/>
      <c r="M626" s="35"/>
      <c r="N626" s="35"/>
      <c r="O626" s="35"/>
      <c r="P626" s="35"/>
      <c r="Q626" s="43"/>
      <c r="R626" s="35"/>
      <c r="S626" s="35"/>
      <c r="T626" s="35"/>
      <c r="U626" s="138"/>
      <c r="V626" s="35"/>
      <c r="W626" s="35"/>
      <c r="X626" s="35"/>
      <c r="Y626" s="35"/>
      <c r="Z626" s="35"/>
      <c r="AA626" s="35"/>
      <c r="AB626" s="218"/>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row>
    <row r="627">
      <c r="A627" s="35"/>
      <c r="B627" s="35"/>
      <c r="C627" s="35"/>
      <c r="D627" s="35"/>
      <c r="E627" s="35"/>
      <c r="F627" s="35"/>
      <c r="G627" s="35"/>
      <c r="H627" s="35"/>
      <c r="I627" s="35"/>
      <c r="J627" s="35"/>
      <c r="K627" s="35"/>
      <c r="L627" s="35"/>
      <c r="M627" s="35"/>
      <c r="N627" s="35"/>
      <c r="O627" s="35"/>
      <c r="P627" s="35"/>
      <c r="Q627" s="43"/>
      <c r="R627" s="35"/>
      <c r="S627" s="35"/>
      <c r="T627" s="35"/>
      <c r="U627" s="138"/>
      <c r="V627" s="35"/>
      <c r="W627" s="35"/>
      <c r="X627" s="35"/>
      <c r="Y627" s="35"/>
      <c r="Z627" s="35"/>
      <c r="AA627" s="35"/>
      <c r="AB627" s="218"/>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row>
    <row r="628">
      <c r="A628" s="35"/>
      <c r="B628" s="35"/>
      <c r="C628" s="35"/>
      <c r="D628" s="35"/>
      <c r="E628" s="35"/>
      <c r="F628" s="35"/>
      <c r="G628" s="35"/>
      <c r="H628" s="35"/>
      <c r="I628" s="35"/>
      <c r="J628" s="35"/>
      <c r="K628" s="35"/>
      <c r="L628" s="35"/>
      <c r="M628" s="35"/>
      <c r="N628" s="35"/>
      <c r="O628" s="35"/>
      <c r="P628" s="35"/>
      <c r="Q628" s="43"/>
      <c r="R628" s="35"/>
      <c r="S628" s="35"/>
      <c r="T628" s="35"/>
      <c r="U628" s="138"/>
      <c r="V628" s="35"/>
      <c r="W628" s="35"/>
      <c r="X628" s="35"/>
      <c r="Y628" s="35"/>
      <c r="Z628" s="35"/>
      <c r="AA628" s="35"/>
      <c r="AB628" s="218"/>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row>
    <row r="629">
      <c r="A629" s="35"/>
      <c r="B629" s="35"/>
      <c r="C629" s="35"/>
      <c r="D629" s="35"/>
      <c r="E629" s="35"/>
      <c r="F629" s="35"/>
      <c r="G629" s="35"/>
      <c r="H629" s="35"/>
      <c r="I629" s="35"/>
      <c r="J629" s="35"/>
      <c r="K629" s="35"/>
      <c r="L629" s="35"/>
      <c r="M629" s="35"/>
      <c r="N629" s="35"/>
      <c r="O629" s="35"/>
      <c r="P629" s="35"/>
      <c r="Q629" s="43"/>
      <c r="R629" s="35"/>
      <c r="S629" s="35"/>
      <c r="T629" s="35"/>
      <c r="U629" s="138"/>
      <c r="V629" s="35"/>
      <c r="W629" s="35"/>
      <c r="X629" s="35"/>
      <c r="Y629" s="35"/>
      <c r="Z629" s="35"/>
      <c r="AA629" s="35"/>
      <c r="AB629" s="218"/>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row>
    <row r="630">
      <c r="A630" s="35"/>
      <c r="B630" s="35"/>
      <c r="C630" s="35"/>
      <c r="D630" s="35"/>
      <c r="E630" s="35"/>
      <c r="F630" s="35"/>
      <c r="G630" s="35"/>
      <c r="H630" s="35"/>
      <c r="I630" s="35"/>
      <c r="J630" s="35"/>
      <c r="K630" s="35"/>
      <c r="L630" s="35"/>
      <c r="M630" s="35"/>
      <c r="N630" s="35"/>
      <c r="O630" s="35"/>
      <c r="P630" s="35"/>
      <c r="Q630" s="43"/>
      <c r="R630" s="35"/>
      <c r="S630" s="35"/>
      <c r="T630" s="35"/>
      <c r="U630" s="138"/>
      <c r="V630" s="35"/>
      <c r="W630" s="35"/>
      <c r="X630" s="35"/>
      <c r="Y630" s="35"/>
      <c r="Z630" s="35"/>
      <c r="AA630" s="35"/>
      <c r="AB630" s="218"/>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row>
    <row r="631">
      <c r="A631" s="35"/>
      <c r="B631" s="35"/>
      <c r="C631" s="35"/>
      <c r="D631" s="35"/>
      <c r="E631" s="35"/>
      <c r="F631" s="35"/>
      <c r="G631" s="35"/>
      <c r="H631" s="35"/>
      <c r="I631" s="35"/>
      <c r="J631" s="35"/>
      <c r="K631" s="35"/>
      <c r="L631" s="35"/>
      <c r="M631" s="35"/>
      <c r="N631" s="35"/>
      <c r="O631" s="35"/>
      <c r="P631" s="35"/>
      <c r="Q631" s="43"/>
      <c r="R631" s="35"/>
      <c r="S631" s="35"/>
      <c r="T631" s="35"/>
      <c r="U631" s="138"/>
      <c r="V631" s="35"/>
      <c r="W631" s="35"/>
      <c r="X631" s="35"/>
      <c r="Y631" s="35"/>
      <c r="Z631" s="35"/>
      <c r="AA631" s="35"/>
      <c r="AB631" s="218"/>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row>
    <row r="632">
      <c r="A632" s="35"/>
      <c r="B632" s="35"/>
      <c r="C632" s="35"/>
      <c r="D632" s="35"/>
      <c r="E632" s="35"/>
      <c r="F632" s="35"/>
      <c r="G632" s="35"/>
      <c r="H632" s="35"/>
      <c r="I632" s="35"/>
      <c r="J632" s="35"/>
      <c r="K632" s="35"/>
      <c r="L632" s="35"/>
      <c r="M632" s="35"/>
      <c r="N632" s="35"/>
      <c r="O632" s="35"/>
      <c r="P632" s="35"/>
      <c r="Q632" s="43"/>
      <c r="R632" s="35"/>
      <c r="S632" s="35"/>
      <c r="T632" s="35"/>
      <c r="U632" s="138"/>
      <c r="V632" s="35"/>
      <c r="W632" s="35"/>
      <c r="X632" s="35"/>
      <c r="Y632" s="35"/>
      <c r="Z632" s="35"/>
      <c r="AA632" s="35"/>
      <c r="AB632" s="218"/>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row>
    <row r="633">
      <c r="A633" s="35"/>
      <c r="B633" s="35"/>
      <c r="C633" s="35"/>
      <c r="D633" s="35"/>
      <c r="E633" s="35"/>
      <c r="F633" s="35"/>
      <c r="G633" s="35"/>
      <c r="H633" s="35"/>
      <c r="I633" s="35"/>
      <c r="J633" s="35"/>
      <c r="K633" s="35"/>
      <c r="L633" s="35"/>
      <c r="M633" s="35"/>
      <c r="N633" s="35"/>
      <c r="O633" s="35"/>
      <c r="P633" s="35"/>
      <c r="Q633" s="43"/>
      <c r="R633" s="35"/>
      <c r="S633" s="35"/>
      <c r="T633" s="35"/>
      <c r="U633" s="138"/>
      <c r="V633" s="35"/>
      <c r="W633" s="35"/>
      <c r="X633" s="35"/>
      <c r="Y633" s="35"/>
      <c r="Z633" s="35"/>
      <c r="AA633" s="35"/>
      <c r="AB633" s="218"/>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row>
    <row r="634">
      <c r="A634" s="35"/>
      <c r="B634" s="35"/>
      <c r="C634" s="35"/>
      <c r="D634" s="35"/>
      <c r="E634" s="35"/>
      <c r="F634" s="35"/>
      <c r="G634" s="35"/>
      <c r="H634" s="35"/>
      <c r="I634" s="35"/>
      <c r="J634" s="35"/>
      <c r="K634" s="35"/>
      <c r="L634" s="35"/>
      <c r="M634" s="35"/>
      <c r="N634" s="35"/>
      <c r="O634" s="35"/>
      <c r="P634" s="35"/>
      <c r="Q634" s="43"/>
      <c r="R634" s="35"/>
      <c r="S634" s="35"/>
      <c r="T634" s="35"/>
      <c r="U634" s="138"/>
      <c r="V634" s="35"/>
      <c r="W634" s="35"/>
      <c r="X634" s="35"/>
      <c r="Y634" s="35"/>
      <c r="Z634" s="35"/>
      <c r="AA634" s="35"/>
      <c r="AB634" s="218"/>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row>
    <row r="635">
      <c r="A635" s="35"/>
      <c r="B635" s="35"/>
      <c r="C635" s="35"/>
      <c r="D635" s="35"/>
      <c r="E635" s="35"/>
      <c r="F635" s="35"/>
      <c r="G635" s="35"/>
      <c r="H635" s="35"/>
      <c r="I635" s="35"/>
      <c r="J635" s="35"/>
      <c r="K635" s="35"/>
      <c r="L635" s="35"/>
      <c r="M635" s="35"/>
      <c r="N635" s="35"/>
      <c r="O635" s="35"/>
      <c r="P635" s="35"/>
      <c r="Q635" s="43"/>
      <c r="R635" s="35"/>
      <c r="S635" s="35"/>
      <c r="T635" s="35"/>
      <c r="U635" s="138"/>
      <c r="V635" s="35"/>
      <c r="W635" s="35"/>
      <c r="X635" s="35"/>
      <c r="Y635" s="35"/>
      <c r="Z635" s="35"/>
      <c r="AA635" s="35"/>
      <c r="AB635" s="218"/>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row>
    <row r="636">
      <c r="A636" s="35"/>
      <c r="B636" s="35"/>
      <c r="C636" s="35"/>
      <c r="D636" s="35"/>
      <c r="E636" s="35"/>
      <c r="F636" s="35"/>
      <c r="G636" s="35"/>
      <c r="H636" s="35"/>
      <c r="I636" s="35"/>
      <c r="J636" s="35"/>
      <c r="K636" s="35"/>
      <c r="L636" s="35"/>
      <c r="M636" s="35"/>
      <c r="N636" s="35"/>
      <c r="O636" s="35"/>
      <c r="P636" s="35"/>
      <c r="Q636" s="43"/>
      <c r="R636" s="35"/>
      <c r="S636" s="35"/>
      <c r="T636" s="35"/>
      <c r="U636" s="138"/>
      <c r="V636" s="35"/>
      <c r="W636" s="35"/>
      <c r="X636" s="35"/>
      <c r="Y636" s="35"/>
      <c r="Z636" s="35"/>
      <c r="AA636" s="35"/>
      <c r="AB636" s="218"/>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row>
    <row r="637">
      <c r="A637" s="35"/>
      <c r="B637" s="35"/>
      <c r="C637" s="35"/>
      <c r="D637" s="35"/>
      <c r="E637" s="35"/>
      <c r="F637" s="35"/>
      <c r="G637" s="35"/>
      <c r="H637" s="35"/>
      <c r="I637" s="35"/>
      <c r="J637" s="35"/>
      <c r="K637" s="35"/>
      <c r="L637" s="35"/>
      <c r="M637" s="35"/>
      <c r="N637" s="35"/>
      <c r="O637" s="35"/>
      <c r="P637" s="35"/>
      <c r="Q637" s="43"/>
      <c r="R637" s="35"/>
      <c r="S637" s="35"/>
      <c r="T637" s="35"/>
      <c r="U637" s="138"/>
      <c r="V637" s="35"/>
      <c r="W637" s="35"/>
      <c r="X637" s="35"/>
      <c r="Y637" s="35"/>
      <c r="Z637" s="35"/>
      <c r="AA637" s="35"/>
      <c r="AB637" s="218"/>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row>
    <row r="638">
      <c r="A638" s="35"/>
      <c r="B638" s="35"/>
      <c r="C638" s="35"/>
      <c r="D638" s="35"/>
      <c r="E638" s="35"/>
      <c r="F638" s="35"/>
      <c r="G638" s="35"/>
      <c r="H638" s="35"/>
      <c r="I638" s="35"/>
      <c r="J638" s="35"/>
      <c r="K638" s="35"/>
      <c r="L638" s="35"/>
      <c r="M638" s="35"/>
      <c r="N638" s="35"/>
      <c r="O638" s="35"/>
      <c r="P638" s="35"/>
      <c r="Q638" s="43"/>
      <c r="R638" s="35"/>
      <c r="S638" s="35"/>
      <c r="T638" s="35"/>
      <c r="U638" s="138"/>
      <c r="V638" s="35"/>
      <c r="W638" s="35"/>
      <c r="X638" s="35"/>
      <c r="Y638" s="35"/>
      <c r="Z638" s="35"/>
      <c r="AA638" s="35"/>
      <c r="AB638" s="218"/>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row>
    <row r="639">
      <c r="A639" s="35"/>
      <c r="B639" s="35"/>
      <c r="C639" s="35"/>
      <c r="D639" s="35"/>
      <c r="E639" s="35"/>
      <c r="F639" s="35"/>
      <c r="G639" s="35"/>
      <c r="H639" s="35"/>
      <c r="I639" s="35"/>
      <c r="J639" s="35"/>
      <c r="K639" s="35"/>
      <c r="L639" s="35"/>
      <c r="M639" s="35"/>
      <c r="N639" s="35"/>
      <c r="O639" s="35"/>
      <c r="P639" s="35"/>
      <c r="Q639" s="43"/>
      <c r="R639" s="35"/>
      <c r="S639" s="35"/>
      <c r="T639" s="35"/>
      <c r="U639" s="138"/>
      <c r="V639" s="35"/>
      <c r="W639" s="35"/>
      <c r="X639" s="35"/>
      <c r="Y639" s="35"/>
      <c r="Z639" s="35"/>
      <c r="AA639" s="35"/>
      <c r="AB639" s="218"/>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row>
    <row r="640">
      <c r="A640" s="35"/>
      <c r="B640" s="35"/>
      <c r="C640" s="35"/>
      <c r="D640" s="35"/>
      <c r="E640" s="35"/>
      <c r="F640" s="35"/>
      <c r="G640" s="35"/>
      <c r="H640" s="35"/>
      <c r="I640" s="35"/>
      <c r="J640" s="35"/>
      <c r="K640" s="35"/>
      <c r="L640" s="35"/>
      <c r="M640" s="35"/>
      <c r="N640" s="35"/>
      <c r="O640" s="35"/>
      <c r="P640" s="35"/>
      <c r="Q640" s="43"/>
      <c r="R640" s="35"/>
      <c r="S640" s="35"/>
      <c r="T640" s="35"/>
      <c r="U640" s="138"/>
      <c r="V640" s="35"/>
      <c r="W640" s="35"/>
      <c r="X640" s="35"/>
      <c r="Y640" s="35"/>
      <c r="Z640" s="35"/>
      <c r="AA640" s="35"/>
      <c r="AB640" s="218"/>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row>
    <row r="641">
      <c r="A641" s="35"/>
      <c r="B641" s="35"/>
      <c r="C641" s="35"/>
      <c r="D641" s="35"/>
      <c r="E641" s="35"/>
      <c r="F641" s="35"/>
      <c r="G641" s="35"/>
      <c r="H641" s="35"/>
      <c r="I641" s="35"/>
      <c r="J641" s="35"/>
      <c r="K641" s="35"/>
      <c r="L641" s="35"/>
      <c r="M641" s="35"/>
      <c r="N641" s="35"/>
      <c r="O641" s="35"/>
      <c r="P641" s="35"/>
      <c r="Q641" s="43"/>
      <c r="R641" s="35"/>
      <c r="S641" s="35"/>
      <c r="T641" s="35"/>
      <c r="U641" s="138"/>
      <c r="V641" s="35"/>
      <c r="W641" s="35"/>
      <c r="X641" s="35"/>
      <c r="Y641" s="35"/>
      <c r="Z641" s="35"/>
      <c r="AA641" s="35"/>
      <c r="AB641" s="218"/>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row>
    <row r="642">
      <c r="A642" s="35"/>
      <c r="B642" s="35"/>
      <c r="C642" s="35"/>
      <c r="D642" s="35"/>
      <c r="E642" s="35"/>
      <c r="F642" s="35"/>
      <c r="G642" s="35"/>
      <c r="H642" s="35"/>
      <c r="I642" s="35"/>
      <c r="J642" s="35"/>
      <c r="K642" s="35"/>
      <c r="L642" s="35"/>
      <c r="M642" s="35"/>
      <c r="N642" s="35"/>
      <c r="O642" s="35"/>
      <c r="P642" s="35"/>
      <c r="Q642" s="43"/>
      <c r="R642" s="35"/>
      <c r="S642" s="35"/>
      <c r="T642" s="35"/>
      <c r="U642" s="138"/>
      <c r="V642" s="35"/>
      <c r="W642" s="35"/>
      <c r="X642" s="35"/>
      <c r="Y642" s="35"/>
      <c r="Z642" s="35"/>
      <c r="AA642" s="35"/>
      <c r="AB642" s="218"/>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row>
    <row r="643">
      <c r="A643" s="35"/>
      <c r="B643" s="35"/>
      <c r="C643" s="35"/>
      <c r="D643" s="35"/>
      <c r="E643" s="35"/>
      <c r="F643" s="35"/>
      <c r="G643" s="35"/>
      <c r="H643" s="35"/>
      <c r="I643" s="35"/>
      <c r="J643" s="35"/>
      <c r="K643" s="35"/>
      <c r="L643" s="35"/>
      <c r="M643" s="35"/>
      <c r="N643" s="35"/>
      <c r="O643" s="35"/>
      <c r="P643" s="35"/>
      <c r="Q643" s="43"/>
      <c r="R643" s="35"/>
      <c r="S643" s="35"/>
      <c r="T643" s="35"/>
      <c r="U643" s="138"/>
      <c r="V643" s="35"/>
      <c r="W643" s="35"/>
      <c r="X643" s="35"/>
      <c r="Y643" s="35"/>
      <c r="Z643" s="35"/>
      <c r="AA643" s="35"/>
      <c r="AB643" s="218"/>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row>
    <row r="644">
      <c r="A644" s="35"/>
      <c r="B644" s="35"/>
      <c r="C644" s="35"/>
      <c r="D644" s="35"/>
      <c r="E644" s="35"/>
      <c r="F644" s="35"/>
      <c r="G644" s="35"/>
      <c r="H644" s="35"/>
      <c r="I644" s="35"/>
      <c r="J644" s="35"/>
      <c r="K644" s="35"/>
      <c r="L644" s="35"/>
      <c r="M644" s="35"/>
      <c r="N644" s="35"/>
      <c r="O644" s="35"/>
      <c r="P644" s="35"/>
      <c r="Q644" s="43"/>
      <c r="R644" s="35"/>
      <c r="S644" s="35"/>
      <c r="T644" s="35"/>
      <c r="U644" s="138"/>
      <c r="V644" s="35"/>
      <c r="W644" s="35"/>
      <c r="X644" s="35"/>
      <c r="Y644" s="35"/>
      <c r="Z644" s="35"/>
      <c r="AA644" s="35"/>
      <c r="AB644" s="218"/>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row>
    <row r="645">
      <c r="A645" s="35"/>
      <c r="B645" s="35"/>
      <c r="C645" s="35"/>
      <c r="D645" s="35"/>
      <c r="E645" s="35"/>
      <c r="F645" s="35"/>
      <c r="G645" s="35"/>
      <c r="H645" s="35"/>
      <c r="I645" s="35"/>
      <c r="J645" s="35"/>
      <c r="K645" s="35"/>
      <c r="L645" s="35"/>
      <c r="M645" s="35"/>
      <c r="N645" s="35"/>
      <c r="O645" s="35"/>
      <c r="P645" s="35"/>
      <c r="Q645" s="43"/>
      <c r="R645" s="35"/>
      <c r="S645" s="35"/>
      <c r="T645" s="35"/>
      <c r="U645" s="138"/>
      <c r="V645" s="35"/>
      <c r="W645" s="35"/>
      <c r="X645" s="35"/>
      <c r="Y645" s="35"/>
      <c r="Z645" s="35"/>
      <c r="AA645" s="35"/>
      <c r="AB645" s="218"/>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row>
    <row r="646">
      <c r="A646" s="35"/>
      <c r="B646" s="35"/>
      <c r="C646" s="35"/>
      <c r="D646" s="35"/>
      <c r="E646" s="35"/>
      <c r="F646" s="35"/>
      <c r="G646" s="35"/>
      <c r="H646" s="35"/>
      <c r="I646" s="35"/>
      <c r="J646" s="35"/>
      <c r="K646" s="35"/>
      <c r="L646" s="35"/>
      <c r="M646" s="35"/>
      <c r="N646" s="35"/>
      <c r="O646" s="35"/>
      <c r="P646" s="35"/>
      <c r="Q646" s="43"/>
      <c r="R646" s="35"/>
      <c r="S646" s="35"/>
      <c r="T646" s="35"/>
      <c r="U646" s="138"/>
      <c r="V646" s="35"/>
      <c r="W646" s="35"/>
      <c r="X646" s="35"/>
      <c r="Y646" s="35"/>
      <c r="Z646" s="35"/>
      <c r="AA646" s="35"/>
      <c r="AB646" s="218"/>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row>
    <row r="647">
      <c r="A647" s="35"/>
      <c r="B647" s="35"/>
      <c r="C647" s="35"/>
      <c r="D647" s="35"/>
      <c r="E647" s="35"/>
      <c r="F647" s="35"/>
      <c r="G647" s="35"/>
      <c r="H647" s="35"/>
      <c r="I647" s="35"/>
      <c r="J647" s="35"/>
      <c r="K647" s="35"/>
      <c r="L647" s="35"/>
      <c r="M647" s="35"/>
      <c r="N647" s="35"/>
      <c r="O647" s="35"/>
      <c r="P647" s="35"/>
      <c r="Q647" s="43"/>
      <c r="R647" s="35"/>
      <c r="S647" s="35"/>
      <c r="T647" s="35"/>
      <c r="U647" s="138"/>
      <c r="V647" s="35"/>
      <c r="W647" s="35"/>
      <c r="X647" s="35"/>
      <c r="Y647" s="35"/>
      <c r="Z647" s="35"/>
      <c r="AA647" s="35"/>
      <c r="AB647" s="218"/>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row>
    <row r="648">
      <c r="A648" s="35"/>
      <c r="B648" s="35"/>
      <c r="C648" s="35"/>
      <c r="D648" s="35"/>
      <c r="E648" s="35"/>
      <c r="F648" s="35"/>
      <c r="G648" s="35"/>
      <c r="H648" s="35"/>
      <c r="I648" s="35"/>
      <c r="J648" s="35"/>
      <c r="K648" s="35"/>
      <c r="L648" s="35"/>
      <c r="M648" s="35"/>
      <c r="N648" s="35"/>
      <c r="O648" s="35"/>
      <c r="P648" s="35"/>
      <c r="Q648" s="43"/>
      <c r="R648" s="35"/>
      <c r="S648" s="35"/>
      <c r="T648" s="35"/>
      <c r="U648" s="138"/>
      <c r="V648" s="35"/>
      <c r="W648" s="35"/>
      <c r="X648" s="35"/>
      <c r="Y648" s="35"/>
      <c r="Z648" s="35"/>
      <c r="AA648" s="35"/>
      <c r="AB648" s="218"/>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row>
    <row r="649">
      <c r="A649" s="35"/>
      <c r="B649" s="35"/>
      <c r="C649" s="35"/>
      <c r="D649" s="35"/>
      <c r="E649" s="35"/>
      <c r="F649" s="35"/>
      <c r="G649" s="35"/>
      <c r="H649" s="35"/>
      <c r="I649" s="35"/>
      <c r="J649" s="35"/>
      <c r="K649" s="35"/>
      <c r="L649" s="35"/>
      <c r="M649" s="35"/>
      <c r="N649" s="35"/>
      <c r="O649" s="35"/>
      <c r="P649" s="35"/>
      <c r="Q649" s="43"/>
      <c r="R649" s="35"/>
      <c r="S649" s="35"/>
      <c r="T649" s="35"/>
      <c r="U649" s="138"/>
      <c r="V649" s="35"/>
      <c r="W649" s="35"/>
      <c r="X649" s="35"/>
      <c r="Y649" s="35"/>
      <c r="Z649" s="35"/>
      <c r="AA649" s="35"/>
      <c r="AB649" s="218"/>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row>
    <row r="650">
      <c r="A650" s="35"/>
      <c r="B650" s="35"/>
      <c r="C650" s="35"/>
      <c r="D650" s="35"/>
      <c r="E650" s="35"/>
      <c r="F650" s="35"/>
      <c r="G650" s="35"/>
      <c r="H650" s="35"/>
      <c r="I650" s="35"/>
      <c r="J650" s="35"/>
      <c r="K650" s="35"/>
      <c r="L650" s="35"/>
      <c r="M650" s="35"/>
      <c r="N650" s="35"/>
      <c r="O650" s="35"/>
      <c r="P650" s="35"/>
      <c r="Q650" s="43"/>
      <c r="R650" s="35"/>
      <c r="S650" s="35"/>
      <c r="T650" s="35"/>
      <c r="U650" s="138"/>
      <c r="V650" s="35"/>
      <c r="W650" s="35"/>
      <c r="X650" s="35"/>
      <c r="Y650" s="35"/>
      <c r="Z650" s="35"/>
      <c r="AA650" s="35"/>
      <c r="AB650" s="218"/>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row>
    <row r="651">
      <c r="A651" s="35"/>
      <c r="B651" s="35"/>
      <c r="C651" s="35"/>
      <c r="D651" s="35"/>
      <c r="E651" s="35"/>
      <c r="F651" s="35"/>
      <c r="G651" s="35"/>
      <c r="H651" s="35"/>
      <c r="I651" s="35"/>
      <c r="J651" s="35"/>
      <c r="K651" s="35"/>
      <c r="L651" s="35"/>
      <c r="M651" s="35"/>
      <c r="N651" s="35"/>
      <c r="O651" s="35"/>
      <c r="P651" s="35"/>
      <c r="Q651" s="43"/>
      <c r="R651" s="35"/>
      <c r="S651" s="35"/>
      <c r="T651" s="35"/>
      <c r="U651" s="138"/>
      <c r="V651" s="35"/>
      <c r="W651" s="35"/>
      <c r="X651" s="35"/>
      <c r="Y651" s="35"/>
      <c r="Z651" s="35"/>
      <c r="AA651" s="35"/>
      <c r="AB651" s="218"/>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row>
    <row r="652">
      <c r="A652" s="35"/>
      <c r="B652" s="35"/>
      <c r="C652" s="35"/>
      <c r="D652" s="35"/>
      <c r="E652" s="35"/>
      <c r="F652" s="35"/>
      <c r="G652" s="35"/>
      <c r="H652" s="35"/>
      <c r="I652" s="35"/>
      <c r="J652" s="35"/>
      <c r="K652" s="35"/>
      <c r="L652" s="35"/>
      <c r="M652" s="35"/>
      <c r="N652" s="35"/>
      <c r="O652" s="35"/>
      <c r="P652" s="35"/>
      <c r="Q652" s="43"/>
      <c r="R652" s="35"/>
      <c r="S652" s="35"/>
      <c r="T652" s="35"/>
      <c r="U652" s="138"/>
      <c r="V652" s="35"/>
      <c r="W652" s="35"/>
      <c r="X652" s="35"/>
      <c r="Y652" s="35"/>
      <c r="Z652" s="35"/>
      <c r="AA652" s="35"/>
      <c r="AB652" s="218"/>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row>
    <row r="653">
      <c r="A653" s="35"/>
      <c r="B653" s="35"/>
      <c r="C653" s="35"/>
      <c r="D653" s="35"/>
      <c r="E653" s="35"/>
      <c r="F653" s="35"/>
      <c r="G653" s="35"/>
      <c r="H653" s="35"/>
      <c r="I653" s="35"/>
      <c r="J653" s="35"/>
      <c r="K653" s="35"/>
      <c r="L653" s="35"/>
      <c r="M653" s="35"/>
      <c r="N653" s="35"/>
      <c r="O653" s="35"/>
      <c r="P653" s="35"/>
      <c r="Q653" s="43"/>
      <c r="R653" s="35"/>
      <c r="S653" s="35"/>
      <c r="T653" s="35"/>
      <c r="U653" s="138"/>
      <c r="V653" s="35"/>
      <c r="W653" s="35"/>
      <c r="X653" s="35"/>
      <c r="Y653" s="35"/>
      <c r="Z653" s="35"/>
      <c r="AA653" s="35"/>
      <c r="AB653" s="218"/>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row>
    <row r="654">
      <c r="A654" s="35"/>
      <c r="B654" s="35"/>
      <c r="C654" s="35"/>
      <c r="D654" s="35"/>
      <c r="E654" s="35"/>
      <c r="F654" s="35"/>
      <c r="G654" s="35"/>
      <c r="H654" s="35"/>
      <c r="I654" s="35"/>
      <c r="J654" s="35"/>
      <c r="K654" s="35"/>
      <c r="L654" s="35"/>
      <c r="M654" s="35"/>
      <c r="N654" s="35"/>
      <c r="O654" s="35"/>
      <c r="P654" s="35"/>
      <c r="Q654" s="43"/>
      <c r="R654" s="35"/>
      <c r="S654" s="35"/>
      <c r="T654" s="35"/>
      <c r="U654" s="138"/>
      <c r="V654" s="35"/>
      <c r="W654" s="35"/>
      <c r="X654" s="35"/>
      <c r="Y654" s="35"/>
      <c r="Z654" s="35"/>
      <c r="AA654" s="35"/>
      <c r="AB654" s="218"/>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row>
    <row r="655">
      <c r="A655" s="35"/>
      <c r="B655" s="35"/>
      <c r="C655" s="35"/>
      <c r="D655" s="35"/>
      <c r="E655" s="35"/>
      <c r="F655" s="35"/>
      <c r="G655" s="35"/>
      <c r="H655" s="35"/>
      <c r="I655" s="35"/>
      <c r="J655" s="35"/>
      <c r="K655" s="35"/>
      <c r="L655" s="35"/>
      <c r="M655" s="35"/>
      <c r="N655" s="35"/>
      <c r="O655" s="35"/>
      <c r="P655" s="35"/>
      <c r="Q655" s="43"/>
      <c r="R655" s="35"/>
      <c r="S655" s="35"/>
      <c r="T655" s="35"/>
      <c r="U655" s="138"/>
      <c r="V655" s="35"/>
      <c r="W655" s="35"/>
      <c r="X655" s="35"/>
      <c r="Y655" s="35"/>
      <c r="Z655" s="35"/>
      <c r="AA655" s="35"/>
      <c r="AB655" s="218"/>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row>
    <row r="656">
      <c r="A656" s="35"/>
      <c r="B656" s="35"/>
      <c r="C656" s="35"/>
      <c r="D656" s="35"/>
      <c r="E656" s="35"/>
      <c r="F656" s="35"/>
      <c r="G656" s="35"/>
      <c r="H656" s="35"/>
      <c r="I656" s="35"/>
      <c r="J656" s="35"/>
      <c r="K656" s="35"/>
      <c r="L656" s="35"/>
      <c r="M656" s="35"/>
      <c r="N656" s="35"/>
      <c r="O656" s="35"/>
      <c r="P656" s="35"/>
      <c r="Q656" s="43"/>
      <c r="R656" s="35"/>
      <c r="S656" s="35"/>
      <c r="T656" s="35"/>
      <c r="U656" s="138"/>
      <c r="V656" s="35"/>
      <c r="W656" s="35"/>
      <c r="X656" s="35"/>
      <c r="Y656" s="35"/>
      <c r="Z656" s="35"/>
      <c r="AA656" s="35"/>
      <c r="AB656" s="218"/>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row>
    <row r="657">
      <c r="A657" s="35"/>
      <c r="B657" s="35"/>
      <c r="C657" s="35"/>
      <c r="D657" s="35"/>
      <c r="E657" s="35"/>
      <c r="F657" s="35"/>
      <c r="G657" s="35"/>
      <c r="H657" s="35"/>
      <c r="I657" s="35"/>
      <c r="J657" s="35"/>
      <c r="K657" s="35"/>
      <c r="L657" s="35"/>
      <c r="M657" s="35"/>
      <c r="N657" s="35"/>
      <c r="O657" s="35"/>
      <c r="P657" s="35"/>
      <c r="Q657" s="43"/>
      <c r="R657" s="35"/>
      <c r="S657" s="35"/>
      <c r="T657" s="35"/>
      <c r="U657" s="138"/>
      <c r="V657" s="35"/>
      <c r="W657" s="35"/>
      <c r="X657" s="35"/>
      <c r="Y657" s="35"/>
      <c r="Z657" s="35"/>
      <c r="AA657" s="35"/>
      <c r="AB657" s="218"/>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row>
    <row r="658">
      <c r="A658" s="35"/>
      <c r="B658" s="35"/>
      <c r="C658" s="35"/>
      <c r="D658" s="35"/>
      <c r="E658" s="35"/>
      <c r="F658" s="35"/>
      <c r="G658" s="35"/>
      <c r="H658" s="35"/>
      <c r="I658" s="35"/>
      <c r="J658" s="35"/>
      <c r="K658" s="35"/>
      <c r="L658" s="35"/>
      <c r="M658" s="35"/>
      <c r="N658" s="35"/>
      <c r="O658" s="35"/>
      <c r="P658" s="35"/>
      <c r="Q658" s="43"/>
      <c r="R658" s="35"/>
      <c r="S658" s="35"/>
      <c r="T658" s="35"/>
      <c r="U658" s="138"/>
      <c r="V658" s="35"/>
      <c r="W658" s="35"/>
      <c r="X658" s="35"/>
      <c r="Y658" s="35"/>
      <c r="Z658" s="35"/>
      <c r="AA658" s="35"/>
      <c r="AB658" s="218"/>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row>
    <row r="659">
      <c r="A659" s="35"/>
      <c r="B659" s="35"/>
      <c r="C659" s="35"/>
      <c r="D659" s="35"/>
      <c r="E659" s="35"/>
      <c r="F659" s="35"/>
      <c r="G659" s="35"/>
      <c r="H659" s="35"/>
      <c r="I659" s="35"/>
      <c r="J659" s="35"/>
      <c r="K659" s="35"/>
      <c r="L659" s="35"/>
      <c r="M659" s="35"/>
      <c r="N659" s="35"/>
      <c r="O659" s="35"/>
      <c r="P659" s="35"/>
      <c r="Q659" s="43"/>
      <c r="R659" s="35"/>
      <c r="S659" s="35"/>
      <c r="T659" s="35"/>
      <c r="U659" s="138"/>
      <c r="V659" s="35"/>
      <c r="W659" s="35"/>
      <c r="X659" s="35"/>
      <c r="Y659" s="35"/>
      <c r="Z659" s="35"/>
      <c r="AA659" s="35"/>
      <c r="AB659" s="218"/>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row>
    <row r="660">
      <c r="A660" s="35"/>
      <c r="B660" s="35"/>
      <c r="C660" s="35"/>
      <c r="D660" s="35"/>
      <c r="E660" s="35"/>
      <c r="F660" s="35"/>
      <c r="G660" s="35"/>
      <c r="H660" s="35"/>
      <c r="I660" s="35"/>
      <c r="J660" s="35"/>
      <c r="K660" s="35"/>
      <c r="L660" s="35"/>
      <c r="M660" s="35"/>
      <c r="N660" s="35"/>
      <c r="O660" s="35"/>
      <c r="P660" s="35"/>
      <c r="Q660" s="43"/>
      <c r="R660" s="35"/>
      <c r="S660" s="35"/>
      <c r="T660" s="35"/>
      <c r="U660" s="138"/>
      <c r="V660" s="35"/>
      <c r="W660" s="35"/>
      <c r="X660" s="35"/>
      <c r="Y660" s="35"/>
      <c r="Z660" s="35"/>
      <c r="AA660" s="35"/>
      <c r="AB660" s="218"/>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row>
    <row r="661">
      <c r="A661" s="35"/>
      <c r="B661" s="35"/>
      <c r="C661" s="35"/>
      <c r="D661" s="35"/>
      <c r="E661" s="35"/>
      <c r="F661" s="35"/>
      <c r="G661" s="35"/>
      <c r="H661" s="35"/>
      <c r="I661" s="35"/>
      <c r="J661" s="35"/>
      <c r="K661" s="35"/>
      <c r="L661" s="35"/>
      <c r="M661" s="35"/>
      <c r="N661" s="35"/>
      <c r="O661" s="35"/>
      <c r="P661" s="35"/>
      <c r="Q661" s="43"/>
      <c r="R661" s="35"/>
      <c r="S661" s="35"/>
      <c r="T661" s="35"/>
      <c r="U661" s="138"/>
      <c r="V661" s="35"/>
      <c r="W661" s="35"/>
      <c r="X661" s="35"/>
      <c r="Y661" s="35"/>
      <c r="Z661" s="35"/>
      <c r="AA661" s="35"/>
      <c r="AB661" s="218"/>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row>
    <row r="662">
      <c r="A662" s="35"/>
      <c r="B662" s="35"/>
      <c r="C662" s="35"/>
      <c r="D662" s="35"/>
      <c r="E662" s="35"/>
      <c r="F662" s="35"/>
      <c r="G662" s="35"/>
      <c r="H662" s="35"/>
      <c r="I662" s="35"/>
      <c r="J662" s="35"/>
      <c r="K662" s="35"/>
      <c r="L662" s="35"/>
      <c r="M662" s="35"/>
      <c r="N662" s="35"/>
      <c r="O662" s="35"/>
      <c r="P662" s="35"/>
      <c r="Q662" s="43"/>
      <c r="R662" s="35"/>
      <c r="S662" s="35"/>
      <c r="T662" s="35"/>
      <c r="U662" s="138"/>
      <c r="V662" s="35"/>
      <c r="W662" s="35"/>
      <c r="X662" s="35"/>
      <c r="Y662" s="35"/>
      <c r="Z662" s="35"/>
      <c r="AA662" s="35"/>
      <c r="AB662" s="218"/>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row>
    <row r="663">
      <c r="A663" s="35"/>
      <c r="B663" s="35"/>
      <c r="C663" s="35"/>
      <c r="D663" s="35"/>
      <c r="E663" s="35"/>
      <c r="F663" s="35"/>
      <c r="G663" s="35"/>
      <c r="H663" s="35"/>
      <c r="I663" s="35"/>
      <c r="J663" s="35"/>
      <c r="K663" s="35"/>
      <c r="L663" s="35"/>
      <c r="M663" s="35"/>
      <c r="N663" s="35"/>
      <c r="O663" s="35"/>
      <c r="P663" s="35"/>
      <c r="Q663" s="43"/>
      <c r="R663" s="35"/>
      <c r="S663" s="35"/>
      <c r="T663" s="35"/>
      <c r="U663" s="138"/>
      <c r="V663" s="35"/>
      <c r="W663" s="35"/>
      <c r="X663" s="35"/>
      <c r="Y663" s="35"/>
      <c r="Z663" s="35"/>
      <c r="AA663" s="35"/>
      <c r="AB663" s="218"/>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row>
    <row r="664">
      <c r="A664" s="35"/>
      <c r="B664" s="35"/>
      <c r="C664" s="35"/>
      <c r="D664" s="35"/>
      <c r="E664" s="35"/>
      <c r="F664" s="35"/>
      <c r="G664" s="35"/>
      <c r="H664" s="35"/>
      <c r="I664" s="35"/>
      <c r="J664" s="35"/>
      <c r="K664" s="35"/>
      <c r="L664" s="35"/>
      <c r="M664" s="35"/>
      <c r="N664" s="35"/>
      <c r="O664" s="35"/>
      <c r="P664" s="35"/>
      <c r="Q664" s="43"/>
      <c r="R664" s="35"/>
      <c r="S664" s="35"/>
      <c r="T664" s="35"/>
      <c r="U664" s="138"/>
      <c r="V664" s="35"/>
      <c r="W664" s="35"/>
      <c r="X664" s="35"/>
      <c r="Y664" s="35"/>
      <c r="Z664" s="35"/>
      <c r="AA664" s="35"/>
      <c r="AB664" s="218"/>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row>
    <row r="665">
      <c r="A665" s="35"/>
      <c r="B665" s="35"/>
      <c r="C665" s="35"/>
      <c r="D665" s="35"/>
      <c r="E665" s="35"/>
      <c r="F665" s="35"/>
      <c r="G665" s="35"/>
      <c r="H665" s="35"/>
      <c r="I665" s="35"/>
      <c r="J665" s="35"/>
      <c r="K665" s="35"/>
      <c r="L665" s="35"/>
      <c r="M665" s="35"/>
      <c r="N665" s="35"/>
      <c r="O665" s="35"/>
      <c r="P665" s="35"/>
      <c r="Q665" s="43"/>
      <c r="R665" s="35"/>
      <c r="S665" s="35"/>
      <c r="T665" s="35"/>
      <c r="U665" s="138"/>
      <c r="V665" s="35"/>
      <c r="W665" s="35"/>
      <c r="X665" s="35"/>
      <c r="Y665" s="35"/>
      <c r="Z665" s="35"/>
      <c r="AA665" s="35"/>
      <c r="AB665" s="218"/>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row>
    <row r="666">
      <c r="A666" s="35"/>
      <c r="B666" s="35"/>
      <c r="C666" s="35"/>
      <c r="D666" s="35"/>
      <c r="E666" s="35"/>
      <c r="F666" s="35"/>
      <c r="G666" s="35"/>
      <c r="H666" s="35"/>
      <c r="I666" s="35"/>
      <c r="J666" s="35"/>
      <c r="K666" s="35"/>
      <c r="L666" s="35"/>
      <c r="M666" s="35"/>
      <c r="N666" s="35"/>
      <c r="O666" s="35"/>
      <c r="P666" s="35"/>
      <c r="Q666" s="43"/>
      <c r="R666" s="35"/>
      <c r="S666" s="35"/>
      <c r="T666" s="35"/>
      <c r="U666" s="138"/>
      <c r="V666" s="35"/>
      <c r="W666" s="35"/>
      <c r="X666" s="35"/>
      <c r="Y666" s="35"/>
      <c r="Z666" s="35"/>
      <c r="AA666" s="35"/>
      <c r="AB666" s="218"/>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row>
    <row r="667">
      <c r="A667" s="35"/>
      <c r="B667" s="35"/>
      <c r="C667" s="35"/>
      <c r="D667" s="35"/>
      <c r="E667" s="35"/>
      <c r="F667" s="35"/>
      <c r="G667" s="35"/>
      <c r="H667" s="35"/>
      <c r="I667" s="35"/>
      <c r="J667" s="35"/>
      <c r="K667" s="35"/>
      <c r="L667" s="35"/>
      <c r="M667" s="35"/>
      <c r="N667" s="35"/>
      <c r="O667" s="35"/>
      <c r="P667" s="35"/>
      <c r="Q667" s="43"/>
      <c r="R667" s="35"/>
      <c r="S667" s="35"/>
      <c r="T667" s="35"/>
      <c r="U667" s="138"/>
      <c r="V667" s="35"/>
      <c r="W667" s="35"/>
      <c r="X667" s="35"/>
      <c r="Y667" s="35"/>
      <c r="Z667" s="35"/>
      <c r="AA667" s="35"/>
      <c r="AB667" s="218"/>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row>
    <row r="668">
      <c r="A668" s="35"/>
      <c r="B668" s="35"/>
      <c r="C668" s="35"/>
      <c r="D668" s="35"/>
      <c r="E668" s="35"/>
      <c r="F668" s="35"/>
      <c r="G668" s="35"/>
      <c r="H668" s="35"/>
      <c r="I668" s="35"/>
      <c r="J668" s="35"/>
      <c r="K668" s="35"/>
      <c r="L668" s="35"/>
      <c r="M668" s="35"/>
      <c r="N668" s="35"/>
      <c r="O668" s="35"/>
      <c r="P668" s="35"/>
      <c r="Q668" s="43"/>
      <c r="R668" s="35"/>
      <c r="S668" s="35"/>
      <c r="T668" s="35"/>
      <c r="U668" s="138"/>
      <c r="V668" s="35"/>
      <c r="W668" s="35"/>
      <c r="X668" s="35"/>
      <c r="Y668" s="35"/>
      <c r="Z668" s="35"/>
      <c r="AA668" s="35"/>
      <c r="AB668" s="218"/>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row>
    <row r="669">
      <c r="A669" s="35"/>
      <c r="B669" s="35"/>
      <c r="C669" s="35"/>
      <c r="D669" s="35"/>
      <c r="E669" s="35"/>
      <c r="F669" s="35"/>
      <c r="G669" s="35"/>
      <c r="H669" s="35"/>
      <c r="I669" s="35"/>
      <c r="J669" s="35"/>
      <c r="K669" s="35"/>
      <c r="L669" s="35"/>
      <c r="M669" s="35"/>
      <c r="N669" s="35"/>
      <c r="O669" s="35"/>
      <c r="P669" s="35"/>
      <c r="Q669" s="43"/>
      <c r="R669" s="35"/>
      <c r="S669" s="35"/>
      <c r="T669" s="35"/>
      <c r="U669" s="138"/>
      <c r="V669" s="35"/>
      <c r="W669" s="35"/>
      <c r="X669" s="35"/>
      <c r="Y669" s="35"/>
      <c r="Z669" s="35"/>
      <c r="AA669" s="35"/>
      <c r="AB669" s="218"/>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row>
    <row r="670">
      <c r="A670" s="35"/>
      <c r="B670" s="35"/>
      <c r="C670" s="35"/>
      <c r="D670" s="35"/>
      <c r="E670" s="35"/>
      <c r="F670" s="35"/>
      <c r="G670" s="35"/>
      <c r="H670" s="35"/>
      <c r="I670" s="35"/>
      <c r="J670" s="35"/>
      <c r="K670" s="35"/>
      <c r="L670" s="35"/>
      <c r="M670" s="35"/>
      <c r="N670" s="35"/>
      <c r="O670" s="35"/>
      <c r="P670" s="35"/>
      <c r="Q670" s="43"/>
      <c r="R670" s="35"/>
      <c r="S670" s="35"/>
      <c r="T670" s="35"/>
      <c r="U670" s="138"/>
      <c r="V670" s="35"/>
      <c r="W670" s="35"/>
      <c r="X670" s="35"/>
      <c r="Y670" s="35"/>
      <c r="Z670" s="35"/>
      <c r="AA670" s="35"/>
      <c r="AB670" s="218"/>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row>
    <row r="671">
      <c r="A671" s="35"/>
      <c r="B671" s="35"/>
      <c r="C671" s="35"/>
      <c r="D671" s="35"/>
      <c r="E671" s="35"/>
      <c r="F671" s="35"/>
      <c r="G671" s="35"/>
      <c r="H671" s="35"/>
      <c r="I671" s="35"/>
      <c r="J671" s="35"/>
      <c r="K671" s="35"/>
      <c r="L671" s="35"/>
      <c r="M671" s="35"/>
      <c r="N671" s="35"/>
      <c r="O671" s="35"/>
      <c r="P671" s="35"/>
      <c r="Q671" s="43"/>
      <c r="R671" s="35"/>
      <c r="S671" s="35"/>
      <c r="T671" s="35"/>
      <c r="U671" s="138"/>
      <c r="V671" s="35"/>
      <c r="W671" s="35"/>
      <c r="X671" s="35"/>
      <c r="Y671" s="35"/>
      <c r="Z671" s="35"/>
      <c r="AA671" s="35"/>
      <c r="AB671" s="218"/>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row>
    <row r="672">
      <c r="A672" s="35"/>
      <c r="B672" s="35"/>
      <c r="C672" s="35"/>
      <c r="D672" s="35"/>
      <c r="E672" s="35"/>
      <c r="F672" s="35"/>
      <c r="G672" s="35"/>
      <c r="H672" s="35"/>
      <c r="I672" s="35"/>
      <c r="J672" s="35"/>
      <c r="K672" s="35"/>
      <c r="L672" s="35"/>
      <c r="M672" s="35"/>
      <c r="N672" s="35"/>
      <c r="O672" s="35"/>
      <c r="P672" s="35"/>
      <c r="Q672" s="43"/>
      <c r="R672" s="35"/>
      <c r="S672" s="35"/>
      <c r="T672" s="35"/>
      <c r="U672" s="138"/>
      <c r="V672" s="35"/>
      <c r="W672" s="35"/>
      <c r="X672" s="35"/>
      <c r="Y672" s="35"/>
      <c r="Z672" s="35"/>
      <c r="AA672" s="35"/>
      <c r="AB672" s="218"/>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row>
    <row r="673">
      <c r="A673" s="35"/>
      <c r="B673" s="35"/>
      <c r="C673" s="35"/>
      <c r="D673" s="35"/>
      <c r="E673" s="35"/>
      <c r="F673" s="35"/>
      <c r="G673" s="35"/>
      <c r="H673" s="35"/>
      <c r="I673" s="35"/>
      <c r="J673" s="35"/>
      <c r="K673" s="35"/>
      <c r="L673" s="35"/>
      <c r="M673" s="35"/>
      <c r="N673" s="35"/>
      <c r="O673" s="35"/>
      <c r="P673" s="35"/>
      <c r="Q673" s="43"/>
      <c r="R673" s="35"/>
      <c r="S673" s="35"/>
      <c r="T673" s="35"/>
      <c r="U673" s="138"/>
      <c r="V673" s="35"/>
      <c r="W673" s="35"/>
      <c r="X673" s="35"/>
      <c r="Y673" s="35"/>
      <c r="Z673" s="35"/>
      <c r="AA673" s="35"/>
      <c r="AB673" s="218"/>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row>
    <row r="674">
      <c r="A674" s="35"/>
      <c r="B674" s="35"/>
      <c r="C674" s="35"/>
      <c r="D674" s="35"/>
      <c r="E674" s="35"/>
      <c r="F674" s="35"/>
      <c r="G674" s="35"/>
      <c r="H674" s="35"/>
      <c r="I674" s="35"/>
      <c r="J674" s="35"/>
      <c r="K674" s="35"/>
      <c r="L674" s="35"/>
      <c r="M674" s="35"/>
      <c r="N674" s="35"/>
      <c r="O674" s="35"/>
      <c r="P674" s="35"/>
      <c r="Q674" s="43"/>
      <c r="R674" s="35"/>
      <c r="S674" s="35"/>
      <c r="T674" s="35"/>
      <c r="U674" s="138"/>
      <c r="V674" s="35"/>
      <c r="W674" s="35"/>
      <c r="X674" s="35"/>
      <c r="Y674" s="35"/>
      <c r="Z674" s="35"/>
      <c r="AA674" s="35"/>
      <c r="AB674" s="218"/>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row>
    <row r="675">
      <c r="A675" s="35"/>
      <c r="B675" s="35"/>
      <c r="C675" s="35"/>
      <c r="D675" s="35"/>
      <c r="E675" s="35"/>
      <c r="F675" s="35"/>
      <c r="G675" s="35"/>
      <c r="H675" s="35"/>
      <c r="I675" s="35"/>
      <c r="J675" s="35"/>
      <c r="K675" s="35"/>
      <c r="L675" s="35"/>
      <c r="M675" s="35"/>
      <c r="N675" s="35"/>
      <c r="O675" s="35"/>
      <c r="P675" s="35"/>
      <c r="Q675" s="43"/>
      <c r="R675" s="35"/>
      <c r="S675" s="35"/>
      <c r="T675" s="35"/>
      <c r="U675" s="138"/>
      <c r="V675" s="35"/>
      <c r="W675" s="35"/>
      <c r="X675" s="35"/>
      <c r="Y675" s="35"/>
      <c r="Z675" s="35"/>
      <c r="AA675" s="35"/>
      <c r="AB675" s="218"/>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row>
    <row r="676">
      <c r="A676" s="35"/>
      <c r="B676" s="35"/>
      <c r="C676" s="35"/>
      <c r="D676" s="35"/>
      <c r="E676" s="35"/>
      <c r="F676" s="35"/>
      <c r="G676" s="35"/>
      <c r="H676" s="35"/>
      <c r="I676" s="35"/>
      <c r="J676" s="35"/>
      <c r="K676" s="35"/>
      <c r="L676" s="35"/>
      <c r="M676" s="35"/>
      <c r="N676" s="35"/>
      <c r="O676" s="35"/>
      <c r="P676" s="35"/>
      <c r="Q676" s="43"/>
      <c r="R676" s="35"/>
      <c r="S676" s="35"/>
      <c r="T676" s="35"/>
      <c r="U676" s="138"/>
      <c r="V676" s="35"/>
      <c r="W676" s="35"/>
      <c r="X676" s="35"/>
      <c r="Y676" s="35"/>
      <c r="Z676" s="35"/>
      <c r="AA676" s="35"/>
      <c r="AB676" s="218"/>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row>
    <row r="677">
      <c r="A677" s="35"/>
      <c r="B677" s="35"/>
      <c r="C677" s="35"/>
      <c r="D677" s="35"/>
      <c r="E677" s="35"/>
      <c r="F677" s="35"/>
      <c r="G677" s="35"/>
      <c r="H677" s="35"/>
      <c r="I677" s="35"/>
      <c r="J677" s="35"/>
      <c r="K677" s="35"/>
      <c r="L677" s="35"/>
      <c r="M677" s="35"/>
      <c r="N677" s="35"/>
      <c r="O677" s="35"/>
      <c r="P677" s="35"/>
      <c r="Q677" s="43"/>
      <c r="R677" s="35"/>
      <c r="S677" s="35"/>
      <c r="T677" s="35"/>
      <c r="U677" s="138"/>
      <c r="V677" s="35"/>
      <c r="W677" s="35"/>
      <c r="X677" s="35"/>
      <c r="Y677" s="35"/>
      <c r="Z677" s="35"/>
      <c r="AA677" s="35"/>
      <c r="AB677" s="218"/>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row>
    <row r="678">
      <c r="A678" s="35"/>
      <c r="B678" s="35"/>
      <c r="C678" s="35"/>
      <c r="D678" s="35"/>
      <c r="E678" s="35"/>
      <c r="F678" s="35"/>
      <c r="G678" s="35"/>
      <c r="H678" s="35"/>
      <c r="I678" s="35"/>
      <c r="J678" s="35"/>
      <c r="K678" s="35"/>
      <c r="L678" s="35"/>
      <c r="M678" s="35"/>
      <c r="N678" s="35"/>
      <c r="O678" s="35"/>
      <c r="P678" s="35"/>
      <c r="Q678" s="43"/>
      <c r="R678" s="35"/>
      <c r="S678" s="35"/>
      <c r="T678" s="35"/>
      <c r="U678" s="138"/>
      <c r="V678" s="35"/>
      <c r="W678" s="35"/>
      <c r="X678" s="35"/>
      <c r="Y678" s="35"/>
      <c r="Z678" s="35"/>
      <c r="AA678" s="35"/>
      <c r="AB678" s="218"/>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row>
    <row r="679">
      <c r="A679" s="35"/>
      <c r="B679" s="35"/>
      <c r="C679" s="35"/>
      <c r="D679" s="35"/>
      <c r="E679" s="35"/>
      <c r="F679" s="35"/>
      <c r="G679" s="35"/>
      <c r="H679" s="35"/>
      <c r="I679" s="35"/>
      <c r="J679" s="35"/>
      <c r="K679" s="35"/>
      <c r="L679" s="35"/>
      <c r="M679" s="35"/>
      <c r="N679" s="35"/>
      <c r="O679" s="35"/>
      <c r="P679" s="35"/>
      <c r="Q679" s="43"/>
      <c r="R679" s="35"/>
      <c r="S679" s="35"/>
      <c r="T679" s="35"/>
      <c r="U679" s="138"/>
      <c r="V679" s="35"/>
      <c r="W679" s="35"/>
      <c r="X679" s="35"/>
      <c r="Y679" s="35"/>
      <c r="Z679" s="35"/>
      <c r="AA679" s="35"/>
      <c r="AB679" s="218"/>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row>
    <row r="680">
      <c r="A680" s="35"/>
      <c r="B680" s="35"/>
      <c r="C680" s="35"/>
      <c r="D680" s="35"/>
      <c r="E680" s="35"/>
      <c r="F680" s="35"/>
      <c r="G680" s="35"/>
      <c r="H680" s="35"/>
      <c r="I680" s="35"/>
      <c r="J680" s="35"/>
      <c r="K680" s="35"/>
      <c r="L680" s="35"/>
      <c r="M680" s="35"/>
      <c r="N680" s="35"/>
      <c r="O680" s="35"/>
      <c r="P680" s="35"/>
      <c r="Q680" s="43"/>
      <c r="R680" s="35"/>
      <c r="S680" s="35"/>
      <c r="T680" s="35"/>
      <c r="U680" s="138"/>
      <c r="V680" s="35"/>
      <c r="W680" s="35"/>
      <c r="X680" s="35"/>
      <c r="Y680" s="35"/>
      <c r="Z680" s="35"/>
      <c r="AA680" s="35"/>
      <c r="AB680" s="218"/>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row>
    <row r="681">
      <c r="A681" s="35"/>
      <c r="B681" s="35"/>
      <c r="C681" s="35"/>
      <c r="D681" s="35"/>
      <c r="E681" s="35"/>
      <c r="F681" s="35"/>
      <c r="G681" s="35"/>
      <c r="H681" s="35"/>
      <c r="I681" s="35"/>
      <c r="J681" s="35"/>
      <c r="K681" s="35"/>
      <c r="L681" s="35"/>
      <c r="M681" s="35"/>
      <c r="N681" s="35"/>
      <c r="O681" s="35"/>
      <c r="P681" s="35"/>
      <c r="Q681" s="43"/>
      <c r="R681" s="35"/>
      <c r="S681" s="35"/>
      <c r="T681" s="35"/>
      <c r="U681" s="138"/>
      <c r="V681" s="35"/>
      <c r="W681" s="35"/>
      <c r="X681" s="35"/>
      <c r="Y681" s="35"/>
      <c r="Z681" s="35"/>
      <c r="AA681" s="35"/>
      <c r="AB681" s="218"/>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row>
    <row r="682">
      <c r="A682" s="35"/>
      <c r="B682" s="35"/>
      <c r="C682" s="35"/>
      <c r="D682" s="35"/>
      <c r="E682" s="35"/>
      <c r="F682" s="35"/>
      <c r="G682" s="35"/>
      <c r="H682" s="35"/>
      <c r="I682" s="35"/>
      <c r="J682" s="35"/>
      <c r="K682" s="35"/>
      <c r="L682" s="35"/>
      <c r="M682" s="35"/>
      <c r="N682" s="35"/>
      <c r="O682" s="35"/>
      <c r="P682" s="35"/>
      <c r="Q682" s="43"/>
      <c r="R682" s="35"/>
      <c r="S682" s="35"/>
      <c r="T682" s="35"/>
      <c r="U682" s="138"/>
      <c r="V682" s="35"/>
      <c r="W682" s="35"/>
      <c r="X682" s="35"/>
      <c r="Y682" s="35"/>
      <c r="Z682" s="35"/>
      <c r="AA682" s="35"/>
      <c r="AB682" s="218"/>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row>
    <row r="683">
      <c r="A683" s="35"/>
      <c r="B683" s="35"/>
      <c r="C683" s="35"/>
      <c r="D683" s="35"/>
      <c r="E683" s="35"/>
      <c r="F683" s="35"/>
      <c r="G683" s="35"/>
      <c r="H683" s="35"/>
      <c r="I683" s="35"/>
      <c r="J683" s="35"/>
      <c r="K683" s="35"/>
      <c r="L683" s="35"/>
      <c r="M683" s="35"/>
      <c r="N683" s="35"/>
      <c r="O683" s="35"/>
      <c r="P683" s="35"/>
      <c r="Q683" s="43"/>
      <c r="R683" s="35"/>
      <c r="S683" s="35"/>
      <c r="T683" s="35"/>
      <c r="U683" s="138"/>
      <c r="V683" s="35"/>
      <c r="W683" s="35"/>
      <c r="X683" s="35"/>
      <c r="Y683" s="35"/>
      <c r="Z683" s="35"/>
      <c r="AA683" s="35"/>
      <c r="AB683" s="218"/>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row>
    <row r="684">
      <c r="A684" s="35"/>
      <c r="B684" s="35"/>
      <c r="C684" s="35"/>
      <c r="D684" s="35"/>
      <c r="E684" s="35"/>
      <c r="F684" s="35"/>
      <c r="G684" s="35"/>
      <c r="H684" s="35"/>
      <c r="I684" s="35"/>
      <c r="J684" s="35"/>
      <c r="K684" s="35"/>
      <c r="L684" s="35"/>
      <c r="M684" s="35"/>
      <c r="N684" s="35"/>
      <c r="O684" s="35"/>
      <c r="P684" s="35"/>
      <c r="Q684" s="43"/>
      <c r="R684" s="35"/>
      <c r="S684" s="35"/>
      <c r="T684" s="35"/>
      <c r="U684" s="138"/>
      <c r="V684" s="35"/>
      <c r="W684" s="35"/>
      <c r="X684" s="35"/>
      <c r="Y684" s="35"/>
      <c r="Z684" s="35"/>
      <c r="AA684" s="35"/>
      <c r="AB684" s="218"/>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row>
    <row r="685">
      <c r="A685" s="35"/>
      <c r="B685" s="35"/>
      <c r="C685" s="35"/>
      <c r="D685" s="35"/>
      <c r="E685" s="35"/>
      <c r="F685" s="35"/>
      <c r="G685" s="35"/>
      <c r="H685" s="35"/>
      <c r="I685" s="35"/>
      <c r="J685" s="35"/>
      <c r="K685" s="35"/>
      <c r="L685" s="35"/>
      <c r="M685" s="35"/>
      <c r="N685" s="35"/>
      <c r="O685" s="35"/>
      <c r="P685" s="35"/>
      <c r="Q685" s="43"/>
      <c r="R685" s="35"/>
      <c r="S685" s="35"/>
      <c r="T685" s="35"/>
      <c r="U685" s="138"/>
      <c r="V685" s="35"/>
      <c r="W685" s="35"/>
      <c r="X685" s="35"/>
      <c r="Y685" s="35"/>
      <c r="Z685" s="35"/>
      <c r="AA685" s="35"/>
      <c r="AB685" s="218"/>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row>
    <row r="686">
      <c r="A686" s="35"/>
      <c r="B686" s="35"/>
      <c r="C686" s="35"/>
      <c r="D686" s="35"/>
      <c r="E686" s="35"/>
      <c r="F686" s="35"/>
      <c r="G686" s="35"/>
      <c r="H686" s="35"/>
      <c r="I686" s="35"/>
      <c r="J686" s="35"/>
      <c r="K686" s="35"/>
      <c r="L686" s="35"/>
      <c r="M686" s="35"/>
      <c r="N686" s="35"/>
      <c r="O686" s="35"/>
      <c r="P686" s="35"/>
      <c r="Q686" s="43"/>
      <c r="R686" s="35"/>
      <c r="S686" s="35"/>
      <c r="T686" s="35"/>
      <c r="U686" s="138"/>
      <c r="V686" s="35"/>
      <c r="W686" s="35"/>
      <c r="X686" s="35"/>
      <c r="Y686" s="35"/>
      <c r="Z686" s="35"/>
      <c r="AA686" s="35"/>
      <c r="AB686" s="218"/>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row>
    <row r="687">
      <c r="A687" s="35"/>
      <c r="B687" s="35"/>
      <c r="C687" s="35"/>
      <c r="D687" s="35"/>
      <c r="E687" s="35"/>
      <c r="F687" s="35"/>
      <c r="G687" s="35"/>
      <c r="H687" s="35"/>
      <c r="I687" s="35"/>
      <c r="J687" s="35"/>
      <c r="K687" s="35"/>
      <c r="L687" s="35"/>
      <c r="M687" s="35"/>
      <c r="N687" s="35"/>
      <c r="O687" s="35"/>
      <c r="P687" s="35"/>
      <c r="Q687" s="43"/>
      <c r="R687" s="35"/>
      <c r="S687" s="35"/>
      <c r="T687" s="35"/>
      <c r="U687" s="138"/>
      <c r="V687" s="35"/>
      <c r="W687" s="35"/>
      <c r="X687" s="35"/>
      <c r="Y687" s="35"/>
      <c r="Z687" s="35"/>
      <c r="AA687" s="35"/>
      <c r="AB687" s="218"/>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row>
    <row r="688">
      <c r="A688" s="35"/>
      <c r="B688" s="35"/>
      <c r="C688" s="35"/>
      <c r="D688" s="35"/>
      <c r="E688" s="35"/>
      <c r="F688" s="35"/>
      <c r="G688" s="35"/>
      <c r="H688" s="35"/>
      <c r="I688" s="35"/>
      <c r="J688" s="35"/>
      <c r="K688" s="35"/>
      <c r="L688" s="35"/>
      <c r="M688" s="35"/>
      <c r="N688" s="35"/>
      <c r="O688" s="35"/>
      <c r="P688" s="35"/>
      <c r="Q688" s="43"/>
      <c r="R688" s="35"/>
      <c r="S688" s="35"/>
      <c r="T688" s="35"/>
      <c r="U688" s="138"/>
      <c r="V688" s="35"/>
      <c r="W688" s="35"/>
      <c r="X688" s="35"/>
      <c r="Y688" s="35"/>
      <c r="Z688" s="35"/>
      <c r="AA688" s="35"/>
      <c r="AB688" s="218"/>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row>
    <row r="689">
      <c r="A689" s="35"/>
      <c r="B689" s="35"/>
      <c r="C689" s="35"/>
      <c r="D689" s="35"/>
      <c r="E689" s="35"/>
      <c r="F689" s="35"/>
      <c r="G689" s="35"/>
      <c r="H689" s="35"/>
      <c r="I689" s="35"/>
      <c r="J689" s="35"/>
      <c r="K689" s="35"/>
      <c r="L689" s="35"/>
      <c r="M689" s="35"/>
      <c r="N689" s="35"/>
      <c r="O689" s="35"/>
      <c r="P689" s="35"/>
      <c r="Q689" s="43"/>
      <c r="R689" s="35"/>
      <c r="S689" s="35"/>
      <c r="T689" s="35"/>
      <c r="U689" s="138"/>
      <c r="V689" s="35"/>
      <c r="W689" s="35"/>
      <c r="X689" s="35"/>
      <c r="Y689" s="35"/>
      <c r="Z689" s="35"/>
      <c r="AA689" s="35"/>
      <c r="AB689" s="218"/>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row>
    <row r="690">
      <c r="A690" s="35"/>
      <c r="B690" s="35"/>
      <c r="C690" s="35"/>
      <c r="D690" s="35"/>
      <c r="E690" s="35"/>
      <c r="F690" s="35"/>
      <c r="G690" s="35"/>
      <c r="H690" s="35"/>
      <c r="I690" s="35"/>
      <c r="J690" s="35"/>
      <c r="K690" s="35"/>
      <c r="L690" s="35"/>
      <c r="M690" s="35"/>
      <c r="N690" s="35"/>
      <c r="O690" s="35"/>
      <c r="P690" s="35"/>
      <c r="Q690" s="43"/>
      <c r="R690" s="35"/>
      <c r="S690" s="35"/>
      <c r="T690" s="35"/>
      <c r="U690" s="138"/>
      <c r="V690" s="35"/>
      <c r="W690" s="35"/>
      <c r="X690" s="35"/>
      <c r="Y690" s="35"/>
      <c r="Z690" s="35"/>
      <c r="AA690" s="35"/>
      <c r="AB690" s="218"/>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row>
    <row r="691">
      <c r="A691" s="35"/>
      <c r="B691" s="35"/>
      <c r="C691" s="35"/>
      <c r="D691" s="35"/>
      <c r="E691" s="35"/>
      <c r="F691" s="35"/>
      <c r="G691" s="35"/>
      <c r="H691" s="35"/>
      <c r="I691" s="35"/>
      <c r="J691" s="35"/>
      <c r="K691" s="35"/>
      <c r="L691" s="35"/>
      <c r="M691" s="35"/>
      <c r="N691" s="35"/>
      <c r="O691" s="35"/>
      <c r="P691" s="35"/>
      <c r="Q691" s="43"/>
      <c r="R691" s="35"/>
      <c r="S691" s="35"/>
      <c r="T691" s="35"/>
      <c r="U691" s="138"/>
      <c r="V691" s="35"/>
      <c r="W691" s="35"/>
      <c r="X691" s="35"/>
      <c r="Y691" s="35"/>
      <c r="Z691" s="35"/>
      <c r="AA691" s="35"/>
      <c r="AB691" s="218"/>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row>
    <row r="692">
      <c r="A692" s="35"/>
      <c r="B692" s="35"/>
      <c r="C692" s="35"/>
      <c r="D692" s="35"/>
      <c r="E692" s="35"/>
      <c r="F692" s="35"/>
      <c r="G692" s="35"/>
      <c r="H692" s="35"/>
      <c r="I692" s="35"/>
      <c r="J692" s="35"/>
      <c r="K692" s="35"/>
      <c r="L692" s="35"/>
      <c r="M692" s="35"/>
      <c r="N692" s="35"/>
      <c r="O692" s="35"/>
      <c r="P692" s="35"/>
      <c r="Q692" s="43"/>
      <c r="R692" s="35"/>
      <c r="S692" s="35"/>
      <c r="T692" s="35"/>
      <c r="U692" s="138"/>
      <c r="V692" s="35"/>
      <c r="W692" s="35"/>
      <c r="X692" s="35"/>
      <c r="Y692" s="35"/>
      <c r="Z692" s="35"/>
      <c r="AA692" s="35"/>
      <c r="AB692" s="218"/>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row>
    <row r="693">
      <c r="A693" s="35"/>
      <c r="B693" s="35"/>
      <c r="C693" s="35"/>
      <c r="D693" s="35"/>
      <c r="E693" s="35"/>
      <c r="F693" s="35"/>
      <c r="G693" s="35"/>
      <c r="H693" s="35"/>
      <c r="I693" s="35"/>
      <c r="J693" s="35"/>
      <c r="K693" s="35"/>
      <c r="L693" s="35"/>
      <c r="M693" s="35"/>
      <c r="N693" s="35"/>
      <c r="O693" s="35"/>
      <c r="P693" s="35"/>
      <c r="Q693" s="43"/>
      <c r="R693" s="35"/>
      <c r="S693" s="35"/>
      <c r="T693" s="35"/>
      <c r="U693" s="138"/>
      <c r="V693" s="35"/>
      <c r="W693" s="35"/>
      <c r="X693" s="35"/>
      <c r="Y693" s="35"/>
      <c r="Z693" s="35"/>
      <c r="AA693" s="35"/>
      <c r="AB693" s="218"/>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row>
    <row r="694">
      <c r="A694" s="35"/>
      <c r="B694" s="35"/>
      <c r="C694" s="35"/>
      <c r="D694" s="35"/>
      <c r="E694" s="35"/>
      <c r="F694" s="35"/>
      <c r="G694" s="35"/>
      <c r="H694" s="35"/>
      <c r="I694" s="35"/>
      <c r="J694" s="35"/>
      <c r="K694" s="35"/>
      <c r="L694" s="35"/>
      <c r="M694" s="35"/>
      <c r="N694" s="35"/>
      <c r="O694" s="35"/>
      <c r="P694" s="35"/>
      <c r="Q694" s="43"/>
      <c r="R694" s="35"/>
      <c r="S694" s="35"/>
      <c r="T694" s="35"/>
      <c r="U694" s="138"/>
      <c r="V694" s="35"/>
      <c r="W694" s="35"/>
      <c r="X694" s="35"/>
      <c r="Y694" s="35"/>
      <c r="Z694" s="35"/>
      <c r="AA694" s="35"/>
      <c r="AB694" s="218"/>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row>
    <row r="695">
      <c r="A695" s="35"/>
      <c r="B695" s="35"/>
      <c r="C695" s="35"/>
      <c r="D695" s="35"/>
      <c r="E695" s="35"/>
      <c r="F695" s="35"/>
      <c r="G695" s="35"/>
      <c r="H695" s="35"/>
      <c r="I695" s="35"/>
      <c r="J695" s="35"/>
      <c r="K695" s="35"/>
      <c r="L695" s="35"/>
      <c r="M695" s="35"/>
      <c r="N695" s="35"/>
      <c r="O695" s="35"/>
      <c r="P695" s="35"/>
      <c r="Q695" s="43"/>
      <c r="R695" s="35"/>
      <c r="S695" s="35"/>
      <c r="T695" s="35"/>
      <c r="U695" s="138"/>
      <c r="V695" s="35"/>
      <c r="W695" s="35"/>
      <c r="X695" s="35"/>
      <c r="Y695" s="35"/>
      <c r="Z695" s="35"/>
      <c r="AA695" s="35"/>
      <c r="AB695" s="218"/>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row>
    <row r="696">
      <c r="A696" s="35"/>
      <c r="B696" s="35"/>
      <c r="C696" s="35"/>
      <c r="D696" s="35"/>
      <c r="E696" s="35"/>
      <c r="F696" s="35"/>
      <c r="G696" s="35"/>
      <c r="H696" s="35"/>
      <c r="I696" s="35"/>
      <c r="J696" s="35"/>
      <c r="K696" s="35"/>
      <c r="L696" s="35"/>
      <c r="M696" s="35"/>
      <c r="N696" s="35"/>
      <c r="O696" s="35"/>
      <c r="P696" s="35"/>
      <c r="Q696" s="43"/>
      <c r="R696" s="35"/>
      <c r="S696" s="35"/>
      <c r="T696" s="35"/>
      <c r="U696" s="138"/>
      <c r="V696" s="35"/>
      <c r="W696" s="35"/>
      <c r="X696" s="35"/>
      <c r="Y696" s="35"/>
      <c r="Z696" s="35"/>
      <c r="AA696" s="35"/>
      <c r="AB696" s="218"/>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row>
    <row r="697">
      <c r="A697" s="35"/>
      <c r="B697" s="35"/>
      <c r="C697" s="35"/>
      <c r="D697" s="35"/>
      <c r="E697" s="35"/>
      <c r="F697" s="35"/>
      <c r="G697" s="35"/>
      <c r="H697" s="35"/>
      <c r="I697" s="35"/>
      <c r="J697" s="35"/>
      <c r="K697" s="35"/>
      <c r="L697" s="35"/>
      <c r="M697" s="35"/>
      <c r="N697" s="35"/>
      <c r="O697" s="35"/>
      <c r="P697" s="35"/>
      <c r="Q697" s="43"/>
      <c r="R697" s="35"/>
      <c r="S697" s="35"/>
      <c r="T697" s="35"/>
      <c r="U697" s="138"/>
      <c r="V697" s="35"/>
      <c r="W697" s="35"/>
      <c r="X697" s="35"/>
      <c r="Y697" s="35"/>
      <c r="Z697" s="35"/>
      <c r="AA697" s="35"/>
      <c r="AB697" s="218"/>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row>
    <row r="698">
      <c r="A698" s="35"/>
      <c r="B698" s="35"/>
      <c r="C698" s="35"/>
      <c r="D698" s="35"/>
      <c r="E698" s="35"/>
      <c r="F698" s="35"/>
      <c r="G698" s="35"/>
      <c r="H698" s="35"/>
      <c r="I698" s="35"/>
      <c r="J698" s="35"/>
      <c r="K698" s="35"/>
      <c r="L698" s="35"/>
      <c r="M698" s="35"/>
      <c r="N698" s="35"/>
      <c r="O698" s="35"/>
      <c r="P698" s="35"/>
      <c r="Q698" s="43"/>
      <c r="R698" s="35"/>
      <c r="S698" s="35"/>
      <c r="T698" s="35"/>
      <c r="U698" s="138"/>
      <c r="V698" s="35"/>
      <c r="W698" s="35"/>
      <c r="X698" s="35"/>
      <c r="Y698" s="35"/>
      <c r="Z698" s="35"/>
      <c r="AA698" s="35"/>
      <c r="AB698" s="218"/>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row>
    <row r="699">
      <c r="A699" s="35"/>
      <c r="B699" s="35"/>
      <c r="C699" s="35"/>
      <c r="D699" s="35"/>
      <c r="E699" s="35"/>
      <c r="F699" s="35"/>
      <c r="G699" s="35"/>
      <c r="H699" s="35"/>
      <c r="I699" s="35"/>
      <c r="J699" s="35"/>
      <c r="K699" s="35"/>
      <c r="L699" s="35"/>
      <c r="M699" s="35"/>
      <c r="N699" s="35"/>
      <c r="O699" s="35"/>
      <c r="P699" s="35"/>
      <c r="Q699" s="43"/>
      <c r="R699" s="35"/>
      <c r="S699" s="35"/>
      <c r="T699" s="35"/>
      <c r="U699" s="138"/>
      <c r="V699" s="35"/>
      <c r="W699" s="35"/>
      <c r="X699" s="35"/>
      <c r="Y699" s="35"/>
      <c r="Z699" s="35"/>
      <c r="AA699" s="35"/>
      <c r="AB699" s="218"/>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row>
    <row r="700">
      <c r="A700" s="35"/>
      <c r="B700" s="35"/>
      <c r="C700" s="35"/>
      <c r="D700" s="35"/>
      <c r="E700" s="35"/>
      <c r="F700" s="35"/>
      <c r="G700" s="35"/>
      <c r="H700" s="35"/>
      <c r="I700" s="35"/>
      <c r="J700" s="35"/>
      <c r="K700" s="35"/>
      <c r="L700" s="35"/>
      <c r="M700" s="35"/>
      <c r="N700" s="35"/>
      <c r="O700" s="35"/>
      <c r="P700" s="35"/>
      <c r="Q700" s="43"/>
      <c r="R700" s="35"/>
      <c r="S700" s="35"/>
      <c r="T700" s="35"/>
      <c r="U700" s="138"/>
      <c r="V700" s="35"/>
      <c r="W700" s="35"/>
      <c r="X700" s="35"/>
      <c r="Y700" s="35"/>
      <c r="Z700" s="35"/>
      <c r="AA700" s="35"/>
      <c r="AB700" s="218"/>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row>
    <row r="701">
      <c r="A701" s="35"/>
      <c r="B701" s="35"/>
      <c r="C701" s="35"/>
      <c r="D701" s="35"/>
      <c r="E701" s="35"/>
      <c r="F701" s="35"/>
      <c r="G701" s="35"/>
      <c r="H701" s="35"/>
      <c r="I701" s="35"/>
      <c r="J701" s="35"/>
      <c r="K701" s="35"/>
      <c r="L701" s="35"/>
      <c r="M701" s="35"/>
      <c r="N701" s="35"/>
      <c r="O701" s="35"/>
      <c r="P701" s="35"/>
      <c r="Q701" s="43"/>
      <c r="R701" s="35"/>
      <c r="S701" s="35"/>
      <c r="T701" s="35"/>
      <c r="U701" s="138"/>
      <c r="V701" s="35"/>
      <c r="W701" s="35"/>
      <c r="X701" s="35"/>
      <c r="Y701" s="35"/>
      <c r="Z701" s="35"/>
      <c r="AA701" s="35"/>
      <c r="AB701" s="218"/>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row>
    <row r="702">
      <c r="A702" s="35"/>
      <c r="B702" s="35"/>
      <c r="C702" s="35"/>
      <c r="D702" s="35"/>
      <c r="E702" s="35"/>
      <c r="F702" s="35"/>
      <c r="G702" s="35"/>
      <c r="H702" s="35"/>
      <c r="I702" s="35"/>
      <c r="J702" s="35"/>
      <c r="K702" s="35"/>
      <c r="L702" s="35"/>
      <c r="M702" s="35"/>
      <c r="N702" s="35"/>
      <c r="O702" s="35"/>
      <c r="P702" s="35"/>
      <c r="Q702" s="43"/>
      <c r="R702" s="35"/>
      <c r="S702" s="35"/>
      <c r="T702" s="35"/>
      <c r="U702" s="138"/>
      <c r="V702" s="35"/>
      <c r="W702" s="35"/>
      <c r="X702" s="35"/>
      <c r="Y702" s="35"/>
      <c r="Z702" s="35"/>
      <c r="AA702" s="35"/>
      <c r="AB702" s="218"/>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row>
    <row r="703">
      <c r="A703" s="35"/>
      <c r="B703" s="35"/>
      <c r="C703" s="35"/>
      <c r="D703" s="35"/>
      <c r="E703" s="35"/>
      <c r="F703" s="35"/>
      <c r="G703" s="35"/>
      <c r="H703" s="35"/>
      <c r="I703" s="35"/>
      <c r="J703" s="35"/>
      <c r="K703" s="35"/>
      <c r="L703" s="35"/>
      <c r="M703" s="35"/>
      <c r="N703" s="35"/>
      <c r="O703" s="35"/>
      <c r="P703" s="35"/>
      <c r="Q703" s="43"/>
      <c r="R703" s="35"/>
      <c r="S703" s="35"/>
      <c r="T703" s="35"/>
      <c r="U703" s="138"/>
      <c r="V703" s="35"/>
      <c r="W703" s="35"/>
      <c r="X703" s="35"/>
      <c r="Y703" s="35"/>
      <c r="Z703" s="35"/>
      <c r="AA703" s="35"/>
      <c r="AB703" s="218"/>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row>
    <row r="704">
      <c r="A704" s="35"/>
      <c r="B704" s="35"/>
      <c r="C704" s="35"/>
      <c r="D704" s="35"/>
      <c r="E704" s="35"/>
      <c r="F704" s="35"/>
      <c r="G704" s="35"/>
      <c r="H704" s="35"/>
      <c r="I704" s="35"/>
      <c r="J704" s="35"/>
      <c r="K704" s="35"/>
      <c r="L704" s="35"/>
      <c r="M704" s="35"/>
      <c r="N704" s="35"/>
      <c r="O704" s="35"/>
      <c r="P704" s="35"/>
      <c r="Q704" s="43"/>
      <c r="R704" s="35"/>
      <c r="S704" s="35"/>
      <c r="T704" s="35"/>
      <c r="U704" s="138"/>
      <c r="V704" s="35"/>
      <c r="W704" s="35"/>
      <c r="X704" s="35"/>
      <c r="Y704" s="35"/>
      <c r="Z704" s="35"/>
      <c r="AA704" s="35"/>
      <c r="AB704" s="218"/>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row>
    <row r="705">
      <c r="A705" s="35"/>
      <c r="B705" s="35"/>
      <c r="C705" s="35"/>
      <c r="D705" s="35"/>
      <c r="E705" s="35"/>
      <c r="F705" s="35"/>
      <c r="G705" s="35"/>
      <c r="H705" s="35"/>
      <c r="I705" s="35"/>
      <c r="J705" s="35"/>
      <c r="K705" s="35"/>
      <c r="L705" s="35"/>
      <c r="M705" s="35"/>
      <c r="N705" s="35"/>
      <c r="O705" s="35"/>
      <c r="P705" s="35"/>
      <c r="Q705" s="43"/>
      <c r="R705" s="35"/>
      <c r="S705" s="35"/>
      <c r="T705" s="35"/>
      <c r="U705" s="138"/>
      <c r="V705" s="35"/>
      <c r="W705" s="35"/>
      <c r="X705" s="35"/>
      <c r="Y705" s="35"/>
      <c r="Z705" s="35"/>
      <c r="AA705" s="35"/>
      <c r="AB705" s="218"/>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row>
    <row r="706">
      <c r="A706" s="35"/>
      <c r="B706" s="35"/>
      <c r="C706" s="35"/>
      <c r="D706" s="35"/>
      <c r="E706" s="35"/>
      <c r="F706" s="35"/>
      <c r="G706" s="35"/>
      <c r="H706" s="35"/>
      <c r="I706" s="35"/>
      <c r="J706" s="35"/>
      <c r="K706" s="35"/>
      <c r="L706" s="35"/>
      <c r="M706" s="35"/>
      <c r="N706" s="35"/>
      <c r="O706" s="35"/>
      <c r="P706" s="35"/>
      <c r="Q706" s="43"/>
      <c r="R706" s="35"/>
      <c r="S706" s="35"/>
      <c r="T706" s="35"/>
      <c r="U706" s="138"/>
      <c r="V706" s="35"/>
      <c r="W706" s="35"/>
      <c r="X706" s="35"/>
      <c r="Y706" s="35"/>
      <c r="Z706" s="35"/>
      <c r="AA706" s="35"/>
      <c r="AB706" s="218"/>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row>
    <row r="707">
      <c r="A707" s="35"/>
      <c r="B707" s="35"/>
      <c r="C707" s="35"/>
      <c r="D707" s="35"/>
      <c r="E707" s="35"/>
      <c r="F707" s="35"/>
      <c r="G707" s="35"/>
      <c r="H707" s="35"/>
      <c r="I707" s="35"/>
      <c r="J707" s="35"/>
      <c r="K707" s="35"/>
      <c r="L707" s="35"/>
      <c r="M707" s="35"/>
      <c r="N707" s="35"/>
      <c r="O707" s="35"/>
      <c r="P707" s="35"/>
      <c r="Q707" s="43"/>
      <c r="R707" s="35"/>
      <c r="S707" s="35"/>
      <c r="T707" s="35"/>
      <c r="U707" s="138"/>
      <c r="V707" s="35"/>
      <c r="W707" s="35"/>
      <c r="X707" s="35"/>
      <c r="Y707" s="35"/>
      <c r="Z707" s="35"/>
      <c r="AA707" s="35"/>
      <c r="AB707" s="218"/>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row>
    <row r="708">
      <c r="A708" s="35"/>
      <c r="B708" s="35"/>
      <c r="C708" s="35"/>
      <c r="D708" s="35"/>
      <c r="E708" s="35"/>
      <c r="F708" s="35"/>
      <c r="G708" s="35"/>
      <c r="H708" s="35"/>
      <c r="I708" s="35"/>
      <c r="J708" s="35"/>
      <c r="K708" s="35"/>
      <c r="L708" s="35"/>
      <c r="M708" s="35"/>
      <c r="N708" s="35"/>
      <c r="O708" s="35"/>
      <c r="P708" s="35"/>
      <c r="Q708" s="43"/>
      <c r="R708" s="35"/>
      <c r="S708" s="35"/>
      <c r="T708" s="35"/>
      <c r="U708" s="138"/>
      <c r="V708" s="35"/>
      <c r="W708" s="35"/>
      <c r="X708" s="35"/>
      <c r="Y708" s="35"/>
      <c r="Z708" s="35"/>
      <c r="AA708" s="35"/>
      <c r="AB708" s="218"/>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row>
    <row r="709">
      <c r="A709" s="35"/>
      <c r="B709" s="35"/>
      <c r="C709" s="35"/>
      <c r="D709" s="35"/>
      <c r="E709" s="35"/>
      <c r="F709" s="35"/>
      <c r="G709" s="35"/>
      <c r="H709" s="35"/>
      <c r="I709" s="35"/>
      <c r="J709" s="35"/>
      <c r="K709" s="35"/>
      <c r="L709" s="35"/>
      <c r="M709" s="35"/>
      <c r="N709" s="35"/>
      <c r="O709" s="35"/>
      <c r="P709" s="35"/>
      <c r="Q709" s="43"/>
      <c r="R709" s="35"/>
      <c r="S709" s="35"/>
      <c r="T709" s="35"/>
      <c r="U709" s="138"/>
      <c r="V709" s="35"/>
      <c r="W709" s="35"/>
      <c r="X709" s="35"/>
      <c r="Y709" s="35"/>
      <c r="Z709" s="35"/>
      <c r="AA709" s="35"/>
      <c r="AB709" s="218"/>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row>
    <row r="710">
      <c r="A710" s="35"/>
      <c r="B710" s="35"/>
      <c r="C710" s="35"/>
      <c r="D710" s="35"/>
      <c r="E710" s="35"/>
      <c r="F710" s="35"/>
      <c r="G710" s="35"/>
      <c r="H710" s="35"/>
      <c r="I710" s="35"/>
      <c r="J710" s="35"/>
      <c r="K710" s="35"/>
      <c r="L710" s="35"/>
      <c r="M710" s="35"/>
      <c r="N710" s="35"/>
      <c r="O710" s="35"/>
      <c r="P710" s="35"/>
      <c r="Q710" s="43"/>
      <c r="R710" s="35"/>
      <c r="S710" s="35"/>
      <c r="T710" s="35"/>
      <c r="U710" s="138"/>
      <c r="V710" s="35"/>
      <c r="W710" s="35"/>
      <c r="X710" s="35"/>
      <c r="Y710" s="35"/>
      <c r="Z710" s="35"/>
      <c r="AA710" s="35"/>
      <c r="AB710" s="218"/>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row>
    <row r="711">
      <c r="A711" s="35"/>
      <c r="B711" s="35"/>
      <c r="C711" s="35"/>
      <c r="D711" s="35"/>
      <c r="E711" s="35"/>
      <c r="F711" s="35"/>
      <c r="G711" s="35"/>
      <c r="H711" s="35"/>
      <c r="I711" s="35"/>
      <c r="J711" s="35"/>
      <c r="K711" s="35"/>
      <c r="L711" s="35"/>
      <c r="M711" s="35"/>
      <c r="N711" s="35"/>
      <c r="O711" s="35"/>
      <c r="P711" s="35"/>
      <c r="Q711" s="43"/>
      <c r="R711" s="35"/>
      <c r="S711" s="35"/>
      <c r="T711" s="35"/>
      <c r="U711" s="138"/>
      <c r="V711" s="35"/>
      <c r="W711" s="35"/>
      <c r="X711" s="35"/>
      <c r="Y711" s="35"/>
      <c r="Z711" s="35"/>
      <c r="AA711" s="35"/>
      <c r="AB711" s="218"/>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row>
    <row r="712">
      <c r="A712" s="35"/>
      <c r="B712" s="35"/>
      <c r="C712" s="35"/>
      <c r="D712" s="35"/>
      <c r="E712" s="35"/>
      <c r="F712" s="35"/>
      <c r="G712" s="35"/>
      <c r="H712" s="35"/>
      <c r="I712" s="35"/>
      <c r="J712" s="35"/>
      <c r="K712" s="35"/>
      <c r="L712" s="35"/>
      <c r="M712" s="35"/>
      <c r="N712" s="35"/>
      <c r="O712" s="35"/>
      <c r="P712" s="35"/>
      <c r="Q712" s="43"/>
      <c r="R712" s="35"/>
      <c r="S712" s="35"/>
      <c r="T712" s="35"/>
      <c r="U712" s="138"/>
      <c r="V712" s="35"/>
      <c r="W712" s="35"/>
      <c r="X712" s="35"/>
      <c r="Y712" s="35"/>
      <c r="Z712" s="35"/>
      <c r="AA712" s="35"/>
      <c r="AB712" s="218"/>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row>
    <row r="713">
      <c r="A713" s="35"/>
      <c r="B713" s="35"/>
      <c r="C713" s="35"/>
      <c r="D713" s="35"/>
      <c r="E713" s="35"/>
      <c r="F713" s="35"/>
      <c r="G713" s="35"/>
      <c r="H713" s="35"/>
      <c r="I713" s="35"/>
      <c r="J713" s="35"/>
      <c r="K713" s="35"/>
      <c r="L713" s="35"/>
      <c r="M713" s="35"/>
      <c r="N713" s="35"/>
      <c r="O713" s="35"/>
      <c r="P713" s="35"/>
      <c r="Q713" s="43"/>
      <c r="R713" s="35"/>
      <c r="S713" s="35"/>
      <c r="T713" s="35"/>
      <c r="U713" s="138"/>
      <c r="V713" s="35"/>
      <c r="W713" s="35"/>
      <c r="X713" s="35"/>
      <c r="Y713" s="35"/>
      <c r="Z713" s="35"/>
      <c r="AA713" s="35"/>
      <c r="AB713" s="218"/>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row>
    <row r="714">
      <c r="A714" s="35"/>
      <c r="B714" s="35"/>
      <c r="C714" s="35"/>
      <c r="D714" s="35"/>
      <c r="E714" s="35"/>
      <c r="F714" s="35"/>
      <c r="G714" s="35"/>
      <c r="H714" s="35"/>
      <c r="I714" s="35"/>
      <c r="J714" s="35"/>
      <c r="K714" s="35"/>
      <c r="L714" s="35"/>
      <c r="M714" s="35"/>
      <c r="N714" s="35"/>
      <c r="O714" s="35"/>
      <c r="P714" s="35"/>
      <c r="Q714" s="43"/>
      <c r="R714" s="35"/>
      <c r="S714" s="35"/>
      <c r="T714" s="35"/>
      <c r="U714" s="138"/>
      <c r="V714" s="35"/>
      <c r="W714" s="35"/>
      <c r="X714" s="35"/>
      <c r="Y714" s="35"/>
      <c r="Z714" s="35"/>
      <c r="AA714" s="35"/>
      <c r="AB714" s="218"/>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row>
    <row r="715">
      <c r="A715" s="35"/>
      <c r="B715" s="35"/>
      <c r="C715" s="35"/>
      <c r="D715" s="35"/>
      <c r="E715" s="35"/>
      <c r="F715" s="35"/>
      <c r="G715" s="35"/>
      <c r="H715" s="35"/>
      <c r="I715" s="35"/>
      <c r="J715" s="35"/>
      <c r="K715" s="35"/>
      <c r="L715" s="35"/>
      <c r="M715" s="35"/>
      <c r="N715" s="35"/>
      <c r="O715" s="35"/>
      <c r="P715" s="35"/>
      <c r="Q715" s="43"/>
      <c r="R715" s="35"/>
      <c r="S715" s="35"/>
      <c r="T715" s="35"/>
      <c r="U715" s="138"/>
      <c r="V715" s="35"/>
      <c r="W715" s="35"/>
      <c r="X715" s="35"/>
      <c r="Y715" s="35"/>
      <c r="Z715" s="35"/>
      <c r="AA715" s="35"/>
      <c r="AB715" s="218"/>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row>
    <row r="716">
      <c r="A716" s="35"/>
      <c r="B716" s="35"/>
      <c r="C716" s="35"/>
      <c r="D716" s="35"/>
      <c r="E716" s="35"/>
      <c r="F716" s="35"/>
      <c r="G716" s="35"/>
      <c r="H716" s="35"/>
      <c r="I716" s="35"/>
      <c r="J716" s="35"/>
      <c r="K716" s="35"/>
      <c r="L716" s="35"/>
      <c r="M716" s="35"/>
      <c r="N716" s="35"/>
      <c r="O716" s="35"/>
      <c r="P716" s="35"/>
      <c r="Q716" s="43"/>
      <c r="R716" s="35"/>
      <c r="S716" s="35"/>
      <c r="T716" s="35"/>
      <c r="U716" s="138"/>
      <c r="V716" s="35"/>
      <c r="W716" s="35"/>
      <c r="X716" s="35"/>
      <c r="Y716" s="35"/>
      <c r="Z716" s="35"/>
      <c r="AA716" s="35"/>
      <c r="AB716" s="218"/>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row>
    <row r="717">
      <c r="A717" s="35"/>
      <c r="B717" s="35"/>
      <c r="C717" s="35"/>
      <c r="D717" s="35"/>
      <c r="E717" s="35"/>
      <c r="F717" s="35"/>
      <c r="G717" s="35"/>
      <c r="H717" s="35"/>
      <c r="I717" s="35"/>
      <c r="J717" s="35"/>
      <c r="K717" s="35"/>
      <c r="L717" s="35"/>
      <c r="M717" s="35"/>
      <c r="N717" s="35"/>
      <c r="O717" s="35"/>
      <c r="P717" s="35"/>
      <c r="Q717" s="43"/>
      <c r="R717" s="35"/>
      <c r="S717" s="35"/>
      <c r="T717" s="35"/>
      <c r="U717" s="138"/>
      <c r="V717" s="35"/>
      <c r="W717" s="35"/>
      <c r="X717" s="35"/>
      <c r="Y717" s="35"/>
      <c r="Z717" s="35"/>
      <c r="AA717" s="35"/>
      <c r="AB717" s="218"/>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row>
    <row r="718">
      <c r="A718" s="35"/>
      <c r="B718" s="35"/>
      <c r="C718" s="35"/>
      <c r="D718" s="35"/>
      <c r="E718" s="35"/>
      <c r="F718" s="35"/>
      <c r="G718" s="35"/>
      <c r="H718" s="35"/>
      <c r="I718" s="35"/>
      <c r="J718" s="35"/>
      <c r="K718" s="35"/>
      <c r="L718" s="35"/>
      <c r="M718" s="35"/>
      <c r="N718" s="35"/>
      <c r="O718" s="35"/>
      <c r="P718" s="35"/>
      <c r="Q718" s="43"/>
      <c r="R718" s="35"/>
      <c r="S718" s="35"/>
      <c r="T718" s="35"/>
      <c r="U718" s="138"/>
      <c r="V718" s="35"/>
      <c r="W718" s="35"/>
      <c r="X718" s="35"/>
      <c r="Y718" s="35"/>
      <c r="Z718" s="35"/>
      <c r="AA718" s="35"/>
      <c r="AB718" s="218"/>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row>
    <row r="719">
      <c r="A719" s="35"/>
      <c r="B719" s="35"/>
      <c r="C719" s="35"/>
      <c r="D719" s="35"/>
      <c r="E719" s="35"/>
      <c r="F719" s="35"/>
      <c r="G719" s="35"/>
      <c r="H719" s="35"/>
      <c r="I719" s="35"/>
      <c r="J719" s="35"/>
      <c r="K719" s="35"/>
      <c r="L719" s="35"/>
      <c r="M719" s="35"/>
      <c r="N719" s="35"/>
      <c r="O719" s="35"/>
      <c r="P719" s="35"/>
      <c r="Q719" s="43"/>
      <c r="R719" s="35"/>
      <c r="S719" s="35"/>
      <c r="T719" s="35"/>
      <c r="U719" s="138"/>
      <c r="V719" s="35"/>
      <c r="W719" s="35"/>
      <c r="X719" s="35"/>
      <c r="Y719" s="35"/>
      <c r="Z719" s="35"/>
      <c r="AA719" s="35"/>
      <c r="AB719" s="218"/>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row>
    <row r="720">
      <c r="A720" s="35"/>
      <c r="B720" s="35"/>
      <c r="C720" s="35"/>
      <c r="D720" s="35"/>
      <c r="E720" s="35"/>
      <c r="F720" s="35"/>
      <c r="G720" s="35"/>
      <c r="H720" s="35"/>
      <c r="I720" s="35"/>
      <c r="J720" s="35"/>
      <c r="K720" s="35"/>
      <c r="L720" s="35"/>
      <c r="M720" s="35"/>
      <c r="N720" s="35"/>
      <c r="O720" s="35"/>
      <c r="P720" s="35"/>
      <c r="Q720" s="43"/>
      <c r="R720" s="35"/>
      <c r="S720" s="35"/>
      <c r="T720" s="35"/>
      <c r="U720" s="138"/>
      <c r="V720" s="35"/>
      <c r="W720" s="35"/>
      <c r="X720" s="35"/>
      <c r="Y720" s="35"/>
      <c r="Z720" s="35"/>
      <c r="AA720" s="35"/>
      <c r="AB720" s="218"/>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row>
    <row r="721">
      <c r="A721" s="35"/>
      <c r="B721" s="35"/>
      <c r="C721" s="35"/>
      <c r="D721" s="35"/>
      <c r="E721" s="35"/>
      <c r="F721" s="35"/>
      <c r="G721" s="35"/>
      <c r="H721" s="35"/>
      <c r="I721" s="35"/>
      <c r="J721" s="35"/>
      <c r="K721" s="35"/>
      <c r="L721" s="35"/>
      <c r="M721" s="35"/>
      <c r="N721" s="35"/>
      <c r="O721" s="35"/>
      <c r="P721" s="35"/>
      <c r="Q721" s="43"/>
      <c r="R721" s="35"/>
      <c r="S721" s="35"/>
      <c r="T721" s="35"/>
      <c r="U721" s="138"/>
      <c r="V721" s="35"/>
      <c r="W721" s="35"/>
      <c r="X721" s="35"/>
      <c r="Y721" s="35"/>
      <c r="Z721" s="35"/>
      <c r="AA721" s="35"/>
      <c r="AB721" s="218"/>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row>
    <row r="722">
      <c r="A722" s="35"/>
      <c r="B722" s="35"/>
      <c r="C722" s="35"/>
      <c r="D722" s="35"/>
      <c r="E722" s="35"/>
      <c r="F722" s="35"/>
      <c r="G722" s="35"/>
      <c r="H722" s="35"/>
      <c r="I722" s="35"/>
      <c r="J722" s="35"/>
      <c r="K722" s="35"/>
      <c r="L722" s="35"/>
      <c r="M722" s="35"/>
      <c r="N722" s="35"/>
      <c r="O722" s="35"/>
      <c r="P722" s="35"/>
      <c r="Q722" s="43"/>
      <c r="R722" s="35"/>
      <c r="S722" s="35"/>
      <c r="T722" s="35"/>
      <c r="U722" s="138"/>
      <c r="V722" s="35"/>
      <c r="W722" s="35"/>
      <c r="X722" s="35"/>
      <c r="Y722" s="35"/>
      <c r="Z722" s="35"/>
      <c r="AA722" s="35"/>
      <c r="AB722" s="218"/>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row>
    <row r="723">
      <c r="A723" s="35"/>
      <c r="B723" s="35"/>
      <c r="C723" s="35"/>
      <c r="D723" s="35"/>
      <c r="E723" s="35"/>
      <c r="F723" s="35"/>
      <c r="G723" s="35"/>
      <c r="H723" s="35"/>
      <c r="I723" s="35"/>
      <c r="J723" s="35"/>
      <c r="K723" s="35"/>
      <c r="L723" s="35"/>
      <c r="M723" s="35"/>
      <c r="N723" s="35"/>
      <c r="O723" s="35"/>
      <c r="P723" s="35"/>
      <c r="Q723" s="43"/>
      <c r="R723" s="35"/>
      <c r="S723" s="35"/>
      <c r="T723" s="35"/>
      <c r="U723" s="138"/>
      <c r="V723" s="35"/>
      <c r="W723" s="35"/>
      <c r="X723" s="35"/>
      <c r="Y723" s="35"/>
      <c r="Z723" s="35"/>
      <c r="AA723" s="35"/>
      <c r="AB723" s="218"/>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row>
    <row r="724">
      <c r="A724" s="35"/>
      <c r="B724" s="35"/>
      <c r="C724" s="35"/>
      <c r="D724" s="35"/>
      <c r="E724" s="35"/>
      <c r="F724" s="35"/>
      <c r="G724" s="35"/>
      <c r="H724" s="35"/>
      <c r="I724" s="35"/>
      <c r="J724" s="35"/>
      <c r="K724" s="35"/>
      <c r="L724" s="35"/>
      <c r="M724" s="35"/>
      <c r="N724" s="35"/>
      <c r="O724" s="35"/>
      <c r="P724" s="35"/>
      <c r="Q724" s="43"/>
      <c r="R724" s="35"/>
      <c r="S724" s="35"/>
      <c r="T724" s="35"/>
      <c r="U724" s="138"/>
      <c r="V724" s="35"/>
      <c r="W724" s="35"/>
      <c r="X724" s="35"/>
      <c r="Y724" s="35"/>
      <c r="Z724" s="35"/>
      <c r="AA724" s="35"/>
      <c r="AB724" s="218"/>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row>
    <row r="725">
      <c r="A725" s="35"/>
      <c r="B725" s="35"/>
      <c r="C725" s="35"/>
      <c r="D725" s="35"/>
      <c r="E725" s="35"/>
      <c r="F725" s="35"/>
      <c r="G725" s="35"/>
      <c r="H725" s="35"/>
      <c r="I725" s="35"/>
      <c r="J725" s="35"/>
      <c r="K725" s="35"/>
      <c r="L725" s="35"/>
      <c r="M725" s="35"/>
      <c r="N725" s="35"/>
      <c r="O725" s="35"/>
      <c r="P725" s="35"/>
      <c r="Q725" s="43"/>
      <c r="R725" s="35"/>
      <c r="S725" s="35"/>
      <c r="T725" s="35"/>
      <c r="U725" s="138"/>
      <c r="V725" s="35"/>
      <c r="W725" s="35"/>
      <c r="X725" s="35"/>
      <c r="Y725" s="35"/>
      <c r="Z725" s="35"/>
      <c r="AA725" s="35"/>
      <c r="AB725" s="218"/>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row>
    <row r="726">
      <c r="A726" s="35"/>
      <c r="B726" s="35"/>
      <c r="C726" s="35"/>
      <c r="D726" s="35"/>
      <c r="E726" s="35"/>
      <c r="F726" s="35"/>
      <c r="G726" s="35"/>
      <c r="H726" s="35"/>
      <c r="I726" s="35"/>
      <c r="J726" s="35"/>
      <c r="K726" s="35"/>
      <c r="L726" s="35"/>
      <c r="M726" s="35"/>
      <c r="N726" s="35"/>
      <c r="O726" s="35"/>
      <c r="P726" s="35"/>
      <c r="Q726" s="43"/>
      <c r="R726" s="35"/>
      <c r="S726" s="35"/>
      <c r="T726" s="35"/>
      <c r="U726" s="138"/>
      <c r="V726" s="35"/>
      <c r="W726" s="35"/>
      <c r="X726" s="35"/>
      <c r="Y726" s="35"/>
      <c r="Z726" s="35"/>
      <c r="AA726" s="35"/>
      <c r="AB726" s="218"/>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row>
    <row r="727">
      <c r="A727" s="35"/>
      <c r="B727" s="35"/>
      <c r="C727" s="35"/>
      <c r="D727" s="35"/>
      <c r="E727" s="35"/>
      <c r="F727" s="35"/>
      <c r="G727" s="35"/>
      <c r="H727" s="35"/>
      <c r="I727" s="35"/>
      <c r="J727" s="35"/>
      <c r="K727" s="35"/>
      <c r="L727" s="35"/>
      <c r="M727" s="35"/>
      <c r="N727" s="35"/>
      <c r="O727" s="35"/>
      <c r="P727" s="35"/>
      <c r="Q727" s="43"/>
      <c r="R727" s="35"/>
      <c r="S727" s="35"/>
      <c r="T727" s="35"/>
      <c r="U727" s="138"/>
      <c r="V727" s="35"/>
      <c r="W727" s="35"/>
      <c r="X727" s="35"/>
      <c r="Y727" s="35"/>
      <c r="Z727" s="35"/>
      <c r="AA727" s="35"/>
      <c r="AB727" s="218"/>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row>
    <row r="728">
      <c r="A728" s="35"/>
      <c r="B728" s="35"/>
      <c r="C728" s="35"/>
      <c r="D728" s="35"/>
      <c r="E728" s="35"/>
      <c r="F728" s="35"/>
      <c r="G728" s="35"/>
      <c r="H728" s="35"/>
      <c r="I728" s="35"/>
      <c r="J728" s="35"/>
      <c r="K728" s="35"/>
      <c r="L728" s="35"/>
      <c r="M728" s="35"/>
      <c r="N728" s="35"/>
      <c r="O728" s="35"/>
      <c r="P728" s="35"/>
      <c r="Q728" s="43"/>
      <c r="R728" s="35"/>
      <c r="S728" s="35"/>
      <c r="T728" s="35"/>
      <c r="U728" s="138"/>
      <c r="V728" s="35"/>
      <c r="W728" s="35"/>
      <c r="X728" s="35"/>
      <c r="Y728" s="35"/>
      <c r="Z728" s="35"/>
      <c r="AA728" s="35"/>
      <c r="AB728" s="218"/>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row>
    <row r="729">
      <c r="A729" s="35"/>
      <c r="B729" s="35"/>
      <c r="C729" s="35"/>
      <c r="D729" s="35"/>
      <c r="E729" s="35"/>
      <c r="F729" s="35"/>
      <c r="G729" s="35"/>
      <c r="H729" s="35"/>
      <c r="I729" s="35"/>
      <c r="J729" s="35"/>
      <c r="K729" s="35"/>
      <c r="L729" s="35"/>
      <c r="M729" s="35"/>
      <c r="N729" s="35"/>
      <c r="O729" s="35"/>
      <c r="P729" s="35"/>
      <c r="Q729" s="43"/>
      <c r="R729" s="35"/>
      <c r="S729" s="35"/>
      <c r="T729" s="35"/>
      <c r="U729" s="138"/>
      <c r="V729" s="35"/>
      <c r="W729" s="35"/>
      <c r="X729" s="35"/>
      <c r="Y729" s="35"/>
      <c r="Z729" s="35"/>
      <c r="AA729" s="35"/>
      <c r="AB729" s="218"/>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row>
    <row r="730">
      <c r="A730" s="35"/>
      <c r="B730" s="35"/>
      <c r="C730" s="35"/>
      <c r="D730" s="35"/>
      <c r="E730" s="35"/>
      <c r="F730" s="35"/>
      <c r="G730" s="35"/>
      <c r="H730" s="35"/>
      <c r="I730" s="35"/>
      <c r="J730" s="35"/>
      <c r="K730" s="35"/>
      <c r="L730" s="35"/>
      <c r="M730" s="35"/>
      <c r="N730" s="35"/>
      <c r="O730" s="35"/>
      <c r="P730" s="35"/>
      <c r="Q730" s="43"/>
      <c r="R730" s="35"/>
      <c r="S730" s="35"/>
      <c r="T730" s="35"/>
      <c r="U730" s="138"/>
      <c r="V730" s="35"/>
      <c r="W730" s="35"/>
      <c r="X730" s="35"/>
      <c r="Y730" s="35"/>
      <c r="Z730" s="35"/>
      <c r="AA730" s="35"/>
      <c r="AB730" s="218"/>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row>
    <row r="731">
      <c r="A731" s="35"/>
      <c r="B731" s="35"/>
      <c r="C731" s="35"/>
      <c r="D731" s="35"/>
      <c r="E731" s="35"/>
      <c r="F731" s="35"/>
      <c r="G731" s="35"/>
      <c r="H731" s="35"/>
      <c r="I731" s="35"/>
      <c r="J731" s="35"/>
      <c r="K731" s="35"/>
      <c r="L731" s="35"/>
      <c r="M731" s="35"/>
      <c r="N731" s="35"/>
      <c r="O731" s="35"/>
      <c r="P731" s="35"/>
      <c r="Q731" s="43"/>
      <c r="R731" s="35"/>
      <c r="S731" s="35"/>
      <c r="T731" s="35"/>
      <c r="U731" s="138"/>
      <c r="V731" s="35"/>
      <c r="W731" s="35"/>
      <c r="X731" s="35"/>
      <c r="Y731" s="35"/>
      <c r="Z731" s="35"/>
      <c r="AA731" s="35"/>
      <c r="AB731" s="218"/>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row>
    <row r="732">
      <c r="A732" s="35"/>
      <c r="B732" s="35"/>
      <c r="C732" s="35"/>
      <c r="D732" s="35"/>
      <c r="E732" s="35"/>
      <c r="F732" s="35"/>
      <c r="G732" s="35"/>
      <c r="H732" s="35"/>
      <c r="I732" s="35"/>
      <c r="J732" s="35"/>
      <c r="K732" s="35"/>
      <c r="L732" s="35"/>
      <c r="M732" s="35"/>
      <c r="N732" s="35"/>
      <c r="O732" s="35"/>
      <c r="P732" s="35"/>
      <c r="Q732" s="43"/>
      <c r="R732" s="35"/>
      <c r="S732" s="35"/>
      <c r="T732" s="35"/>
      <c r="U732" s="138"/>
      <c r="V732" s="35"/>
      <c r="W732" s="35"/>
      <c r="X732" s="35"/>
      <c r="Y732" s="35"/>
      <c r="Z732" s="35"/>
      <c r="AA732" s="35"/>
      <c r="AB732" s="218"/>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row>
    <row r="733">
      <c r="A733" s="35"/>
      <c r="B733" s="35"/>
      <c r="C733" s="35"/>
      <c r="D733" s="35"/>
      <c r="E733" s="35"/>
      <c r="F733" s="35"/>
      <c r="G733" s="35"/>
      <c r="H733" s="35"/>
      <c r="I733" s="35"/>
      <c r="J733" s="35"/>
      <c r="K733" s="35"/>
      <c r="L733" s="35"/>
      <c r="M733" s="35"/>
      <c r="N733" s="35"/>
      <c r="O733" s="35"/>
      <c r="P733" s="35"/>
      <c r="Q733" s="43"/>
      <c r="R733" s="35"/>
      <c r="S733" s="35"/>
      <c r="T733" s="35"/>
      <c r="U733" s="138"/>
      <c r="V733" s="35"/>
      <c r="W733" s="35"/>
      <c r="X733" s="35"/>
      <c r="Y733" s="35"/>
      <c r="Z733" s="35"/>
      <c r="AA733" s="35"/>
      <c r="AB733" s="218"/>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row>
    <row r="734">
      <c r="A734" s="35"/>
      <c r="B734" s="35"/>
      <c r="C734" s="35"/>
      <c r="D734" s="35"/>
      <c r="E734" s="35"/>
      <c r="F734" s="35"/>
      <c r="G734" s="35"/>
      <c r="H734" s="35"/>
      <c r="I734" s="35"/>
      <c r="J734" s="35"/>
      <c r="K734" s="35"/>
      <c r="L734" s="35"/>
      <c r="M734" s="35"/>
      <c r="N734" s="35"/>
      <c r="O734" s="35"/>
      <c r="P734" s="35"/>
      <c r="Q734" s="43"/>
      <c r="R734" s="35"/>
      <c r="S734" s="35"/>
      <c r="T734" s="35"/>
      <c r="U734" s="138"/>
      <c r="V734" s="35"/>
      <c r="W734" s="35"/>
      <c r="X734" s="35"/>
      <c r="Y734" s="35"/>
      <c r="Z734" s="35"/>
      <c r="AA734" s="35"/>
      <c r="AB734" s="218"/>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row>
    <row r="735">
      <c r="A735" s="35"/>
      <c r="B735" s="35"/>
      <c r="C735" s="35"/>
      <c r="D735" s="35"/>
      <c r="E735" s="35"/>
      <c r="F735" s="35"/>
      <c r="G735" s="35"/>
      <c r="H735" s="35"/>
      <c r="I735" s="35"/>
      <c r="J735" s="35"/>
      <c r="K735" s="35"/>
      <c r="L735" s="35"/>
      <c r="M735" s="35"/>
      <c r="N735" s="35"/>
      <c r="O735" s="35"/>
      <c r="P735" s="35"/>
      <c r="Q735" s="43"/>
      <c r="R735" s="35"/>
      <c r="S735" s="35"/>
      <c r="T735" s="35"/>
      <c r="U735" s="138"/>
      <c r="V735" s="35"/>
      <c r="W735" s="35"/>
      <c r="X735" s="35"/>
      <c r="Y735" s="35"/>
      <c r="Z735" s="35"/>
      <c r="AA735" s="35"/>
      <c r="AB735" s="218"/>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row>
    <row r="736">
      <c r="A736" s="35"/>
      <c r="B736" s="35"/>
      <c r="C736" s="35"/>
      <c r="D736" s="35"/>
      <c r="E736" s="35"/>
      <c r="F736" s="35"/>
      <c r="G736" s="35"/>
      <c r="H736" s="35"/>
      <c r="I736" s="35"/>
      <c r="J736" s="35"/>
      <c r="K736" s="35"/>
      <c r="L736" s="35"/>
      <c r="M736" s="35"/>
      <c r="N736" s="35"/>
      <c r="O736" s="35"/>
      <c r="P736" s="35"/>
      <c r="Q736" s="43"/>
      <c r="R736" s="35"/>
      <c r="S736" s="35"/>
      <c r="T736" s="35"/>
      <c r="U736" s="138"/>
      <c r="V736" s="35"/>
      <c r="W736" s="35"/>
      <c r="X736" s="35"/>
      <c r="Y736" s="35"/>
      <c r="Z736" s="35"/>
      <c r="AA736" s="35"/>
      <c r="AB736" s="218"/>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row>
    <row r="737">
      <c r="A737" s="35"/>
      <c r="B737" s="35"/>
      <c r="C737" s="35"/>
      <c r="D737" s="35"/>
      <c r="E737" s="35"/>
      <c r="F737" s="35"/>
      <c r="G737" s="35"/>
      <c r="H737" s="35"/>
      <c r="I737" s="35"/>
      <c r="J737" s="35"/>
      <c r="K737" s="35"/>
      <c r="L737" s="35"/>
      <c r="M737" s="35"/>
      <c r="N737" s="35"/>
      <c r="O737" s="35"/>
      <c r="P737" s="35"/>
      <c r="Q737" s="43"/>
      <c r="R737" s="35"/>
      <c r="S737" s="35"/>
      <c r="T737" s="35"/>
      <c r="U737" s="138"/>
      <c r="V737" s="35"/>
      <c r="W737" s="35"/>
      <c r="X737" s="35"/>
      <c r="Y737" s="35"/>
      <c r="Z737" s="35"/>
      <c r="AA737" s="35"/>
      <c r="AB737" s="218"/>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row>
    <row r="738">
      <c r="A738" s="35"/>
      <c r="B738" s="35"/>
      <c r="C738" s="35"/>
      <c r="D738" s="35"/>
      <c r="E738" s="35"/>
      <c r="F738" s="35"/>
      <c r="G738" s="35"/>
      <c r="H738" s="35"/>
      <c r="I738" s="35"/>
      <c r="J738" s="35"/>
      <c r="K738" s="35"/>
      <c r="L738" s="35"/>
      <c r="M738" s="35"/>
      <c r="N738" s="35"/>
      <c r="O738" s="35"/>
      <c r="P738" s="35"/>
      <c r="Q738" s="43"/>
      <c r="R738" s="35"/>
      <c r="S738" s="35"/>
      <c r="T738" s="35"/>
      <c r="U738" s="138"/>
      <c r="V738" s="35"/>
      <c r="W738" s="35"/>
      <c r="X738" s="35"/>
      <c r="Y738" s="35"/>
      <c r="Z738" s="35"/>
      <c r="AA738" s="35"/>
      <c r="AB738" s="218"/>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row>
    <row r="739">
      <c r="A739" s="35"/>
      <c r="B739" s="35"/>
      <c r="C739" s="35"/>
      <c r="D739" s="35"/>
      <c r="E739" s="35"/>
      <c r="F739" s="35"/>
      <c r="G739" s="35"/>
      <c r="H739" s="35"/>
      <c r="I739" s="35"/>
      <c r="J739" s="35"/>
      <c r="K739" s="35"/>
      <c r="L739" s="35"/>
      <c r="M739" s="35"/>
      <c r="N739" s="35"/>
      <c r="O739" s="35"/>
      <c r="P739" s="35"/>
      <c r="Q739" s="43"/>
      <c r="R739" s="35"/>
      <c r="S739" s="35"/>
      <c r="T739" s="35"/>
      <c r="U739" s="138"/>
      <c r="V739" s="35"/>
      <c r="W739" s="35"/>
      <c r="X739" s="35"/>
      <c r="Y739" s="35"/>
      <c r="Z739" s="35"/>
      <c r="AA739" s="35"/>
      <c r="AB739" s="218"/>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row>
    <row r="740">
      <c r="A740" s="35"/>
      <c r="B740" s="35"/>
      <c r="C740" s="35"/>
      <c r="D740" s="35"/>
      <c r="E740" s="35"/>
      <c r="F740" s="35"/>
      <c r="G740" s="35"/>
      <c r="H740" s="35"/>
      <c r="I740" s="35"/>
      <c r="J740" s="35"/>
      <c r="K740" s="35"/>
      <c r="L740" s="35"/>
      <c r="M740" s="35"/>
      <c r="N740" s="35"/>
      <c r="O740" s="35"/>
      <c r="P740" s="35"/>
      <c r="Q740" s="43"/>
      <c r="R740" s="35"/>
      <c r="S740" s="35"/>
      <c r="T740" s="35"/>
      <c r="U740" s="138"/>
      <c r="V740" s="35"/>
      <c r="W740" s="35"/>
      <c r="X740" s="35"/>
      <c r="Y740" s="35"/>
      <c r="Z740" s="35"/>
      <c r="AA740" s="35"/>
      <c r="AB740" s="218"/>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row>
    <row r="741">
      <c r="A741" s="35"/>
      <c r="B741" s="35"/>
      <c r="C741" s="35"/>
      <c r="D741" s="35"/>
      <c r="E741" s="35"/>
      <c r="F741" s="35"/>
      <c r="G741" s="35"/>
      <c r="H741" s="35"/>
      <c r="I741" s="35"/>
      <c r="J741" s="35"/>
      <c r="K741" s="35"/>
      <c r="L741" s="35"/>
      <c r="M741" s="35"/>
      <c r="N741" s="35"/>
      <c r="O741" s="35"/>
      <c r="P741" s="35"/>
      <c r="Q741" s="43"/>
      <c r="R741" s="35"/>
      <c r="S741" s="35"/>
      <c r="T741" s="35"/>
      <c r="U741" s="138"/>
      <c r="V741" s="35"/>
      <c r="W741" s="35"/>
      <c r="X741" s="35"/>
      <c r="Y741" s="35"/>
      <c r="Z741" s="35"/>
      <c r="AA741" s="35"/>
      <c r="AB741" s="218"/>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row>
    <row r="742">
      <c r="A742" s="35"/>
      <c r="B742" s="35"/>
      <c r="C742" s="35"/>
      <c r="D742" s="35"/>
      <c r="E742" s="35"/>
      <c r="F742" s="35"/>
      <c r="G742" s="35"/>
      <c r="H742" s="35"/>
      <c r="I742" s="35"/>
      <c r="J742" s="35"/>
      <c r="K742" s="35"/>
      <c r="L742" s="35"/>
      <c r="M742" s="35"/>
      <c r="N742" s="35"/>
      <c r="O742" s="35"/>
      <c r="P742" s="35"/>
      <c r="Q742" s="43"/>
      <c r="R742" s="35"/>
      <c r="S742" s="35"/>
      <c r="T742" s="35"/>
      <c r="U742" s="138"/>
      <c r="V742" s="35"/>
      <c r="W742" s="35"/>
      <c r="X742" s="35"/>
      <c r="Y742" s="35"/>
      <c r="Z742" s="35"/>
      <c r="AA742" s="35"/>
      <c r="AB742" s="218"/>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row>
    <row r="743">
      <c r="A743" s="35"/>
      <c r="B743" s="35"/>
      <c r="C743" s="35"/>
      <c r="D743" s="35"/>
      <c r="E743" s="35"/>
      <c r="F743" s="35"/>
      <c r="G743" s="35"/>
      <c r="H743" s="35"/>
      <c r="I743" s="35"/>
      <c r="J743" s="35"/>
      <c r="K743" s="35"/>
      <c r="L743" s="35"/>
      <c r="M743" s="35"/>
      <c r="N743" s="35"/>
      <c r="O743" s="35"/>
      <c r="P743" s="35"/>
      <c r="Q743" s="43"/>
      <c r="R743" s="35"/>
      <c r="S743" s="35"/>
      <c r="T743" s="35"/>
      <c r="U743" s="138"/>
      <c r="V743" s="35"/>
      <c r="W743" s="35"/>
      <c r="X743" s="35"/>
      <c r="Y743" s="35"/>
      <c r="Z743" s="35"/>
      <c r="AA743" s="35"/>
      <c r="AB743" s="218"/>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row>
    <row r="744">
      <c r="A744" s="35"/>
      <c r="B744" s="35"/>
      <c r="C744" s="35"/>
      <c r="D744" s="35"/>
      <c r="E744" s="35"/>
      <c r="F744" s="35"/>
      <c r="G744" s="35"/>
      <c r="H744" s="35"/>
      <c r="I744" s="35"/>
      <c r="J744" s="35"/>
      <c r="K744" s="35"/>
      <c r="L744" s="35"/>
      <c r="M744" s="35"/>
      <c r="N744" s="35"/>
      <c r="O744" s="35"/>
      <c r="P744" s="35"/>
      <c r="Q744" s="43"/>
      <c r="R744" s="35"/>
      <c r="S744" s="35"/>
      <c r="T744" s="35"/>
      <c r="U744" s="138"/>
      <c r="V744" s="35"/>
      <c r="W744" s="35"/>
      <c r="X744" s="35"/>
      <c r="Y744" s="35"/>
      <c r="Z744" s="35"/>
      <c r="AA744" s="35"/>
      <c r="AB744" s="218"/>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row>
    <row r="745">
      <c r="A745" s="35"/>
      <c r="B745" s="35"/>
      <c r="C745" s="35"/>
      <c r="D745" s="35"/>
      <c r="E745" s="35"/>
      <c r="F745" s="35"/>
      <c r="G745" s="35"/>
      <c r="H745" s="35"/>
      <c r="I745" s="35"/>
      <c r="J745" s="35"/>
      <c r="K745" s="35"/>
      <c r="L745" s="35"/>
      <c r="M745" s="35"/>
      <c r="N745" s="35"/>
      <c r="O745" s="35"/>
      <c r="P745" s="35"/>
      <c r="Q745" s="43"/>
      <c r="R745" s="35"/>
      <c r="S745" s="35"/>
      <c r="T745" s="35"/>
      <c r="U745" s="138"/>
      <c r="V745" s="35"/>
      <c r="W745" s="35"/>
      <c r="X745" s="35"/>
      <c r="Y745" s="35"/>
      <c r="Z745" s="35"/>
      <c r="AA745" s="35"/>
      <c r="AB745" s="218"/>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row>
    <row r="746">
      <c r="A746" s="35"/>
      <c r="B746" s="35"/>
      <c r="C746" s="35"/>
      <c r="D746" s="35"/>
      <c r="E746" s="35"/>
      <c r="F746" s="35"/>
      <c r="G746" s="35"/>
      <c r="H746" s="35"/>
      <c r="I746" s="35"/>
      <c r="J746" s="35"/>
      <c r="K746" s="35"/>
      <c r="L746" s="35"/>
      <c r="M746" s="35"/>
      <c r="N746" s="35"/>
      <c r="O746" s="35"/>
      <c r="P746" s="35"/>
      <c r="Q746" s="43"/>
      <c r="R746" s="35"/>
      <c r="S746" s="35"/>
      <c r="T746" s="35"/>
      <c r="U746" s="138"/>
      <c r="V746" s="35"/>
      <c r="W746" s="35"/>
      <c r="X746" s="35"/>
      <c r="Y746" s="35"/>
      <c r="Z746" s="35"/>
      <c r="AA746" s="35"/>
      <c r="AB746" s="218"/>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row>
    <row r="747">
      <c r="A747" s="35"/>
      <c r="B747" s="35"/>
      <c r="C747" s="35"/>
      <c r="D747" s="35"/>
      <c r="E747" s="35"/>
      <c r="F747" s="35"/>
      <c r="G747" s="35"/>
      <c r="H747" s="35"/>
      <c r="I747" s="35"/>
      <c r="J747" s="35"/>
      <c r="K747" s="35"/>
      <c r="L747" s="35"/>
      <c r="M747" s="35"/>
      <c r="N747" s="35"/>
      <c r="O747" s="35"/>
      <c r="P747" s="35"/>
      <c r="Q747" s="43"/>
      <c r="R747" s="35"/>
      <c r="S747" s="35"/>
      <c r="T747" s="35"/>
      <c r="U747" s="138"/>
      <c r="V747" s="35"/>
      <c r="W747" s="35"/>
      <c r="X747" s="35"/>
      <c r="Y747" s="35"/>
      <c r="Z747" s="35"/>
      <c r="AA747" s="35"/>
      <c r="AB747" s="218"/>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row>
    <row r="748">
      <c r="A748" s="35"/>
      <c r="B748" s="35"/>
      <c r="C748" s="35"/>
      <c r="D748" s="35"/>
      <c r="E748" s="35"/>
      <c r="F748" s="35"/>
      <c r="G748" s="35"/>
      <c r="H748" s="35"/>
      <c r="I748" s="35"/>
      <c r="J748" s="35"/>
      <c r="K748" s="35"/>
      <c r="L748" s="35"/>
      <c r="M748" s="35"/>
      <c r="N748" s="35"/>
      <c r="O748" s="35"/>
      <c r="P748" s="35"/>
      <c r="Q748" s="43"/>
      <c r="R748" s="35"/>
      <c r="S748" s="35"/>
      <c r="T748" s="35"/>
      <c r="U748" s="138"/>
      <c r="V748" s="35"/>
      <c r="W748" s="35"/>
      <c r="X748" s="35"/>
      <c r="Y748" s="35"/>
      <c r="Z748" s="35"/>
      <c r="AA748" s="35"/>
      <c r="AB748" s="218"/>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row>
    <row r="749">
      <c r="A749" s="35"/>
      <c r="B749" s="35"/>
      <c r="C749" s="35"/>
      <c r="D749" s="35"/>
      <c r="E749" s="35"/>
      <c r="F749" s="35"/>
      <c r="G749" s="35"/>
      <c r="H749" s="35"/>
      <c r="I749" s="35"/>
      <c r="J749" s="35"/>
      <c r="K749" s="35"/>
      <c r="L749" s="35"/>
      <c r="M749" s="35"/>
      <c r="N749" s="35"/>
      <c r="O749" s="35"/>
      <c r="P749" s="35"/>
      <c r="Q749" s="43"/>
      <c r="R749" s="35"/>
      <c r="S749" s="35"/>
      <c r="T749" s="35"/>
      <c r="U749" s="138"/>
      <c r="V749" s="35"/>
      <c r="W749" s="35"/>
      <c r="X749" s="35"/>
      <c r="Y749" s="35"/>
      <c r="Z749" s="35"/>
      <c r="AA749" s="35"/>
      <c r="AB749" s="218"/>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row>
    <row r="750">
      <c r="A750" s="35"/>
      <c r="B750" s="35"/>
      <c r="C750" s="35"/>
      <c r="D750" s="35"/>
      <c r="E750" s="35"/>
      <c r="F750" s="35"/>
      <c r="G750" s="35"/>
      <c r="H750" s="35"/>
      <c r="I750" s="35"/>
      <c r="J750" s="35"/>
      <c r="K750" s="35"/>
      <c r="L750" s="35"/>
      <c r="M750" s="35"/>
      <c r="N750" s="35"/>
      <c r="O750" s="35"/>
      <c r="P750" s="35"/>
      <c r="Q750" s="43"/>
      <c r="R750" s="35"/>
      <c r="S750" s="35"/>
      <c r="T750" s="35"/>
      <c r="U750" s="138"/>
      <c r="V750" s="35"/>
      <c r="W750" s="35"/>
      <c r="X750" s="35"/>
      <c r="Y750" s="35"/>
      <c r="Z750" s="35"/>
      <c r="AA750" s="35"/>
      <c r="AB750" s="218"/>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row>
    <row r="751">
      <c r="A751" s="35"/>
      <c r="B751" s="35"/>
      <c r="C751" s="35"/>
      <c r="D751" s="35"/>
      <c r="E751" s="35"/>
      <c r="F751" s="35"/>
      <c r="G751" s="35"/>
      <c r="H751" s="35"/>
      <c r="I751" s="35"/>
      <c r="J751" s="35"/>
      <c r="K751" s="35"/>
      <c r="L751" s="35"/>
      <c r="M751" s="35"/>
      <c r="N751" s="35"/>
      <c r="O751" s="35"/>
      <c r="P751" s="35"/>
      <c r="Q751" s="43"/>
      <c r="R751" s="35"/>
      <c r="S751" s="35"/>
      <c r="T751" s="35"/>
      <c r="U751" s="138"/>
      <c r="V751" s="35"/>
      <c r="W751" s="35"/>
      <c r="X751" s="35"/>
      <c r="Y751" s="35"/>
      <c r="Z751" s="35"/>
      <c r="AA751" s="35"/>
      <c r="AB751" s="218"/>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row>
    <row r="752">
      <c r="A752" s="35"/>
      <c r="B752" s="35"/>
      <c r="C752" s="35"/>
      <c r="D752" s="35"/>
      <c r="E752" s="35"/>
      <c r="F752" s="35"/>
      <c r="G752" s="35"/>
      <c r="H752" s="35"/>
      <c r="I752" s="35"/>
      <c r="J752" s="35"/>
      <c r="K752" s="35"/>
      <c r="L752" s="35"/>
      <c r="M752" s="35"/>
      <c r="N752" s="35"/>
      <c r="O752" s="35"/>
      <c r="P752" s="35"/>
      <c r="Q752" s="43"/>
      <c r="R752" s="35"/>
      <c r="S752" s="35"/>
      <c r="T752" s="35"/>
      <c r="U752" s="138"/>
      <c r="V752" s="35"/>
      <c r="W752" s="35"/>
      <c r="X752" s="35"/>
      <c r="Y752" s="35"/>
      <c r="Z752" s="35"/>
      <c r="AA752" s="35"/>
      <c r="AB752" s="218"/>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row>
    <row r="753">
      <c r="A753" s="35"/>
      <c r="B753" s="35"/>
      <c r="C753" s="35"/>
      <c r="D753" s="35"/>
      <c r="E753" s="35"/>
      <c r="F753" s="35"/>
      <c r="G753" s="35"/>
      <c r="H753" s="35"/>
      <c r="I753" s="35"/>
      <c r="J753" s="35"/>
      <c r="K753" s="35"/>
      <c r="L753" s="35"/>
      <c r="M753" s="35"/>
      <c r="N753" s="35"/>
      <c r="O753" s="35"/>
      <c r="P753" s="35"/>
      <c r="Q753" s="43"/>
      <c r="R753" s="35"/>
      <c r="S753" s="35"/>
      <c r="T753" s="35"/>
      <c r="U753" s="138"/>
      <c r="V753" s="35"/>
      <c r="W753" s="35"/>
      <c r="X753" s="35"/>
      <c r="Y753" s="35"/>
      <c r="Z753" s="35"/>
      <c r="AA753" s="35"/>
      <c r="AB753" s="218"/>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row>
    <row r="754">
      <c r="A754" s="35"/>
      <c r="B754" s="35"/>
      <c r="C754" s="35"/>
      <c r="D754" s="35"/>
      <c r="E754" s="35"/>
      <c r="F754" s="35"/>
      <c r="G754" s="35"/>
      <c r="H754" s="35"/>
      <c r="I754" s="35"/>
      <c r="J754" s="35"/>
      <c r="K754" s="35"/>
      <c r="L754" s="35"/>
      <c r="M754" s="35"/>
      <c r="N754" s="35"/>
      <c r="O754" s="35"/>
      <c r="P754" s="35"/>
      <c r="Q754" s="43"/>
      <c r="R754" s="35"/>
      <c r="S754" s="35"/>
      <c r="T754" s="35"/>
      <c r="U754" s="138"/>
      <c r="V754" s="35"/>
      <c r="W754" s="35"/>
      <c r="X754" s="35"/>
      <c r="Y754" s="35"/>
      <c r="Z754" s="35"/>
      <c r="AA754" s="35"/>
      <c r="AB754" s="218"/>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row>
    <row r="755">
      <c r="A755" s="35"/>
      <c r="B755" s="35"/>
      <c r="C755" s="35"/>
      <c r="D755" s="35"/>
      <c r="E755" s="35"/>
      <c r="F755" s="35"/>
      <c r="G755" s="35"/>
      <c r="H755" s="35"/>
      <c r="I755" s="35"/>
      <c r="J755" s="35"/>
      <c r="K755" s="35"/>
      <c r="L755" s="35"/>
      <c r="M755" s="35"/>
      <c r="N755" s="35"/>
      <c r="O755" s="35"/>
      <c r="P755" s="35"/>
      <c r="Q755" s="43"/>
      <c r="R755" s="35"/>
      <c r="S755" s="35"/>
      <c r="T755" s="35"/>
      <c r="U755" s="138"/>
      <c r="V755" s="35"/>
      <c r="W755" s="35"/>
      <c r="X755" s="35"/>
      <c r="Y755" s="35"/>
      <c r="Z755" s="35"/>
      <c r="AA755" s="35"/>
      <c r="AB755" s="218"/>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row>
    <row r="756">
      <c r="A756" s="35"/>
      <c r="B756" s="35"/>
      <c r="C756" s="35"/>
      <c r="D756" s="35"/>
      <c r="E756" s="35"/>
      <c r="F756" s="35"/>
      <c r="G756" s="35"/>
      <c r="H756" s="35"/>
      <c r="I756" s="35"/>
      <c r="J756" s="35"/>
      <c r="K756" s="35"/>
      <c r="L756" s="35"/>
      <c r="M756" s="35"/>
      <c r="N756" s="35"/>
      <c r="O756" s="35"/>
      <c r="P756" s="35"/>
      <c r="Q756" s="43"/>
      <c r="R756" s="35"/>
      <c r="S756" s="35"/>
      <c r="T756" s="35"/>
      <c r="U756" s="138"/>
      <c r="V756" s="35"/>
      <c r="W756" s="35"/>
      <c r="X756" s="35"/>
      <c r="Y756" s="35"/>
      <c r="Z756" s="35"/>
      <c r="AA756" s="35"/>
      <c r="AB756" s="218"/>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row>
    <row r="757">
      <c r="A757" s="35"/>
      <c r="B757" s="35"/>
      <c r="C757" s="35"/>
      <c r="D757" s="35"/>
      <c r="E757" s="35"/>
      <c r="F757" s="35"/>
      <c r="G757" s="35"/>
      <c r="H757" s="35"/>
      <c r="I757" s="35"/>
      <c r="J757" s="35"/>
      <c r="K757" s="35"/>
      <c r="L757" s="35"/>
      <c r="M757" s="35"/>
      <c r="N757" s="35"/>
      <c r="O757" s="35"/>
      <c r="P757" s="35"/>
      <c r="Q757" s="43"/>
      <c r="R757" s="35"/>
      <c r="S757" s="35"/>
      <c r="T757" s="35"/>
      <c r="U757" s="138"/>
      <c r="V757" s="35"/>
      <c r="W757" s="35"/>
      <c r="X757" s="35"/>
      <c r="Y757" s="35"/>
      <c r="Z757" s="35"/>
      <c r="AA757" s="35"/>
      <c r="AB757" s="218"/>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row>
    <row r="758">
      <c r="A758" s="35"/>
      <c r="B758" s="35"/>
      <c r="C758" s="35"/>
      <c r="D758" s="35"/>
      <c r="E758" s="35"/>
      <c r="F758" s="35"/>
      <c r="G758" s="35"/>
      <c r="H758" s="35"/>
      <c r="I758" s="35"/>
      <c r="J758" s="35"/>
      <c r="K758" s="35"/>
      <c r="L758" s="35"/>
      <c r="M758" s="35"/>
      <c r="N758" s="35"/>
      <c r="O758" s="35"/>
      <c r="P758" s="35"/>
      <c r="Q758" s="43"/>
      <c r="R758" s="35"/>
      <c r="S758" s="35"/>
      <c r="T758" s="35"/>
      <c r="U758" s="138"/>
      <c r="V758" s="35"/>
      <c r="W758" s="35"/>
      <c r="X758" s="35"/>
      <c r="Y758" s="35"/>
      <c r="Z758" s="35"/>
      <c r="AA758" s="35"/>
      <c r="AB758" s="218"/>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row>
    <row r="759">
      <c r="A759" s="35"/>
      <c r="B759" s="35"/>
      <c r="C759" s="35"/>
      <c r="D759" s="35"/>
      <c r="E759" s="35"/>
      <c r="F759" s="35"/>
      <c r="G759" s="35"/>
      <c r="H759" s="35"/>
      <c r="I759" s="35"/>
      <c r="J759" s="35"/>
      <c r="K759" s="35"/>
      <c r="L759" s="35"/>
      <c r="M759" s="35"/>
      <c r="N759" s="35"/>
      <c r="O759" s="35"/>
      <c r="P759" s="35"/>
      <c r="Q759" s="43"/>
      <c r="R759" s="35"/>
      <c r="S759" s="35"/>
      <c r="T759" s="35"/>
      <c r="U759" s="138"/>
      <c r="V759" s="35"/>
      <c r="W759" s="35"/>
      <c r="X759" s="35"/>
      <c r="Y759" s="35"/>
      <c r="Z759" s="35"/>
      <c r="AA759" s="35"/>
      <c r="AB759" s="218"/>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row>
    <row r="760">
      <c r="A760" s="35"/>
      <c r="B760" s="35"/>
      <c r="C760" s="35"/>
      <c r="D760" s="35"/>
      <c r="E760" s="35"/>
      <c r="F760" s="35"/>
      <c r="G760" s="35"/>
      <c r="H760" s="35"/>
      <c r="I760" s="35"/>
      <c r="J760" s="35"/>
      <c r="K760" s="35"/>
      <c r="L760" s="35"/>
      <c r="M760" s="35"/>
      <c r="N760" s="35"/>
      <c r="O760" s="35"/>
      <c r="P760" s="35"/>
      <c r="Q760" s="43"/>
      <c r="R760" s="35"/>
      <c r="S760" s="35"/>
      <c r="T760" s="35"/>
      <c r="U760" s="138"/>
      <c r="V760" s="35"/>
      <c r="W760" s="35"/>
      <c r="X760" s="35"/>
      <c r="Y760" s="35"/>
      <c r="Z760" s="35"/>
      <c r="AA760" s="35"/>
      <c r="AB760" s="218"/>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row>
    <row r="761">
      <c r="A761" s="35"/>
      <c r="B761" s="35"/>
      <c r="C761" s="35"/>
      <c r="D761" s="35"/>
      <c r="E761" s="35"/>
      <c r="F761" s="35"/>
      <c r="G761" s="35"/>
      <c r="H761" s="35"/>
      <c r="I761" s="35"/>
      <c r="J761" s="35"/>
      <c r="K761" s="35"/>
      <c r="L761" s="35"/>
      <c r="M761" s="35"/>
      <c r="N761" s="35"/>
      <c r="O761" s="35"/>
      <c r="P761" s="35"/>
      <c r="Q761" s="43"/>
      <c r="R761" s="35"/>
      <c r="S761" s="35"/>
      <c r="T761" s="35"/>
      <c r="U761" s="138"/>
      <c r="V761" s="35"/>
      <c r="W761" s="35"/>
      <c r="X761" s="35"/>
      <c r="Y761" s="35"/>
      <c r="Z761" s="35"/>
      <c r="AA761" s="35"/>
      <c r="AB761" s="218"/>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row>
    <row r="762">
      <c r="A762" s="35"/>
      <c r="B762" s="35"/>
      <c r="C762" s="35"/>
      <c r="D762" s="35"/>
      <c r="E762" s="35"/>
      <c r="F762" s="35"/>
      <c r="G762" s="35"/>
      <c r="H762" s="35"/>
      <c r="I762" s="35"/>
      <c r="J762" s="35"/>
      <c r="K762" s="35"/>
      <c r="L762" s="35"/>
      <c r="M762" s="35"/>
      <c r="N762" s="35"/>
      <c r="O762" s="35"/>
      <c r="P762" s="35"/>
      <c r="Q762" s="43"/>
      <c r="R762" s="35"/>
      <c r="S762" s="35"/>
      <c r="T762" s="35"/>
      <c r="U762" s="138"/>
      <c r="V762" s="35"/>
      <c r="W762" s="35"/>
      <c r="X762" s="35"/>
      <c r="Y762" s="35"/>
      <c r="Z762" s="35"/>
      <c r="AA762" s="35"/>
      <c r="AB762" s="218"/>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row>
    <row r="763">
      <c r="A763" s="35"/>
      <c r="B763" s="35"/>
      <c r="C763" s="35"/>
      <c r="D763" s="35"/>
      <c r="E763" s="35"/>
      <c r="F763" s="35"/>
      <c r="G763" s="35"/>
      <c r="H763" s="35"/>
      <c r="I763" s="35"/>
      <c r="J763" s="35"/>
      <c r="K763" s="35"/>
      <c r="L763" s="35"/>
      <c r="M763" s="35"/>
      <c r="N763" s="35"/>
      <c r="O763" s="35"/>
      <c r="P763" s="35"/>
      <c r="Q763" s="43"/>
      <c r="R763" s="35"/>
      <c r="S763" s="35"/>
      <c r="T763" s="35"/>
      <c r="U763" s="138"/>
      <c r="V763" s="35"/>
      <c r="W763" s="35"/>
      <c r="X763" s="35"/>
      <c r="Y763" s="35"/>
      <c r="Z763" s="35"/>
      <c r="AA763" s="35"/>
      <c r="AB763" s="218"/>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row>
    <row r="764">
      <c r="A764" s="35"/>
      <c r="B764" s="35"/>
      <c r="C764" s="35"/>
      <c r="D764" s="35"/>
      <c r="E764" s="35"/>
      <c r="F764" s="35"/>
      <c r="G764" s="35"/>
      <c r="H764" s="35"/>
      <c r="I764" s="35"/>
      <c r="J764" s="35"/>
      <c r="K764" s="35"/>
      <c r="L764" s="35"/>
      <c r="M764" s="35"/>
      <c r="N764" s="35"/>
      <c r="O764" s="35"/>
      <c r="P764" s="35"/>
      <c r="Q764" s="43"/>
      <c r="R764" s="35"/>
      <c r="S764" s="35"/>
      <c r="T764" s="35"/>
      <c r="U764" s="138"/>
      <c r="V764" s="35"/>
      <c r="W764" s="35"/>
      <c r="X764" s="35"/>
      <c r="Y764" s="35"/>
      <c r="Z764" s="35"/>
      <c r="AA764" s="35"/>
      <c r="AB764" s="218"/>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row>
    <row r="765">
      <c r="A765" s="35"/>
      <c r="B765" s="35"/>
      <c r="C765" s="35"/>
      <c r="D765" s="35"/>
      <c r="E765" s="35"/>
      <c r="F765" s="35"/>
      <c r="G765" s="35"/>
      <c r="H765" s="35"/>
      <c r="I765" s="35"/>
      <c r="J765" s="35"/>
      <c r="K765" s="35"/>
      <c r="L765" s="35"/>
      <c r="M765" s="35"/>
      <c r="N765" s="35"/>
      <c r="O765" s="35"/>
      <c r="P765" s="35"/>
      <c r="Q765" s="43"/>
      <c r="R765" s="35"/>
      <c r="S765" s="35"/>
      <c r="T765" s="35"/>
      <c r="U765" s="138"/>
      <c r="V765" s="35"/>
      <c r="W765" s="35"/>
      <c r="X765" s="35"/>
      <c r="Y765" s="35"/>
      <c r="Z765" s="35"/>
      <c r="AA765" s="35"/>
      <c r="AB765" s="218"/>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row>
    <row r="766">
      <c r="A766" s="35"/>
      <c r="B766" s="35"/>
      <c r="C766" s="35"/>
      <c r="D766" s="35"/>
      <c r="E766" s="35"/>
      <c r="F766" s="35"/>
      <c r="G766" s="35"/>
      <c r="H766" s="35"/>
      <c r="I766" s="35"/>
      <c r="J766" s="35"/>
      <c r="K766" s="35"/>
      <c r="L766" s="35"/>
      <c r="M766" s="35"/>
      <c r="N766" s="35"/>
      <c r="O766" s="35"/>
      <c r="P766" s="35"/>
      <c r="Q766" s="43"/>
      <c r="R766" s="35"/>
      <c r="S766" s="35"/>
      <c r="T766" s="35"/>
      <c r="U766" s="138"/>
      <c r="V766" s="35"/>
      <c r="W766" s="35"/>
      <c r="X766" s="35"/>
      <c r="Y766" s="35"/>
      <c r="Z766" s="35"/>
      <c r="AA766" s="35"/>
      <c r="AB766" s="218"/>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row>
    <row r="767">
      <c r="A767" s="35"/>
      <c r="B767" s="35"/>
      <c r="C767" s="35"/>
      <c r="D767" s="35"/>
      <c r="E767" s="35"/>
      <c r="F767" s="35"/>
      <c r="G767" s="35"/>
      <c r="H767" s="35"/>
      <c r="I767" s="35"/>
      <c r="J767" s="35"/>
      <c r="K767" s="35"/>
      <c r="L767" s="35"/>
      <c r="M767" s="35"/>
      <c r="N767" s="35"/>
      <c r="O767" s="35"/>
      <c r="P767" s="35"/>
      <c r="Q767" s="43"/>
      <c r="R767" s="35"/>
      <c r="S767" s="35"/>
      <c r="T767" s="35"/>
      <c r="U767" s="138"/>
      <c r="V767" s="35"/>
      <c r="W767" s="35"/>
      <c r="X767" s="35"/>
      <c r="Y767" s="35"/>
      <c r="Z767" s="35"/>
      <c r="AA767" s="35"/>
      <c r="AB767" s="218"/>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row>
    <row r="768">
      <c r="A768" s="35"/>
      <c r="B768" s="35"/>
      <c r="C768" s="35"/>
      <c r="D768" s="35"/>
      <c r="E768" s="35"/>
      <c r="F768" s="35"/>
      <c r="G768" s="35"/>
      <c r="H768" s="35"/>
      <c r="I768" s="35"/>
      <c r="J768" s="35"/>
      <c r="K768" s="35"/>
      <c r="L768" s="35"/>
      <c r="M768" s="35"/>
      <c r="N768" s="35"/>
      <c r="O768" s="35"/>
      <c r="P768" s="35"/>
      <c r="Q768" s="43"/>
      <c r="R768" s="35"/>
      <c r="S768" s="35"/>
      <c r="T768" s="35"/>
      <c r="U768" s="138"/>
      <c r="V768" s="35"/>
      <c r="W768" s="35"/>
      <c r="X768" s="35"/>
      <c r="Y768" s="35"/>
      <c r="Z768" s="35"/>
      <c r="AA768" s="35"/>
      <c r="AB768" s="218"/>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row>
    <row r="769">
      <c r="A769" s="35"/>
      <c r="B769" s="35"/>
      <c r="C769" s="35"/>
      <c r="D769" s="35"/>
      <c r="E769" s="35"/>
      <c r="F769" s="35"/>
      <c r="G769" s="35"/>
      <c r="H769" s="35"/>
      <c r="I769" s="35"/>
      <c r="J769" s="35"/>
      <c r="K769" s="35"/>
      <c r="L769" s="35"/>
      <c r="M769" s="35"/>
      <c r="N769" s="35"/>
      <c r="O769" s="35"/>
      <c r="P769" s="35"/>
      <c r="Q769" s="43"/>
      <c r="R769" s="35"/>
      <c r="S769" s="35"/>
      <c r="T769" s="35"/>
      <c r="U769" s="138"/>
      <c r="V769" s="35"/>
      <c r="W769" s="35"/>
      <c r="X769" s="35"/>
      <c r="Y769" s="35"/>
      <c r="Z769" s="35"/>
      <c r="AA769" s="35"/>
      <c r="AB769" s="218"/>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row>
    <row r="770">
      <c r="A770" s="35"/>
      <c r="B770" s="35"/>
      <c r="C770" s="35"/>
      <c r="D770" s="35"/>
      <c r="E770" s="35"/>
      <c r="F770" s="35"/>
      <c r="G770" s="35"/>
      <c r="H770" s="35"/>
      <c r="I770" s="35"/>
      <c r="J770" s="35"/>
      <c r="K770" s="35"/>
      <c r="L770" s="35"/>
      <c r="M770" s="35"/>
      <c r="N770" s="35"/>
      <c r="O770" s="35"/>
      <c r="P770" s="35"/>
      <c r="Q770" s="43"/>
      <c r="R770" s="35"/>
      <c r="S770" s="35"/>
      <c r="T770" s="35"/>
      <c r="U770" s="138"/>
      <c r="V770" s="35"/>
      <c r="W770" s="35"/>
      <c r="X770" s="35"/>
      <c r="Y770" s="35"/>
      <c r="Z770" s="35"/>
      <c r="AA770" s="35"/>
      <c r="AB770" s="218"/>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row>
    <row r="771">
      <c r="A771" s="35"/>
      <c r="B771" s="35"/>
      <c r="C771" s="35"/>
      <c r="D771" s="35"/>
      <c r="E771" s="35"/>
      <c r="F771" s="35"/>
      <c r="G771" s="35"/>
      <c r="H771" s="35"/>
      <c r="I771" s="35"/>
      <c r="J771" s="35"/>
      <c r="K771" s="35"/>
      <c r="L771" s="35"/>
      <c r="M771" s="35"/>
      <c r="N771" s="35"/>
      <c r="O771" s="35"/>
      <c r="P771" s="35"/>
      <c r="Q771" s="43"/>
      <c r="R771" s="35"/>
      <c r="S771" s="35"/>
      <c r="T771" s="35"/>
      <c r="U771" s="138"/>
      <c r="V771" s="35"/>
      <c r="W771" s="35"/>
      <c r="X771" s="35"/>
      <c r="Y771" s="35"/>
      <c r="Z771" s="35"/>
      <c r="AA771" s="35"/>
      <c r="AB771" s="218"/>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row>
    <row r="772">
      <c r="A772" s="35"/>
      <c r="B772" s="35"/>
      <c r="C772" s="35"/>
      <c r="D772" s="35"/>
      <c r="E772" s="35"/>
      <c r="F772" s="35"/>
      <c r="G772" s="35"/>
      <c r="H772" s="35"/>
      <c r="I772" s="35"/>
      <c r="J772" s="35"/>
      <c r="K772" s="35"/>
      <c r="L772" s="35"/>
      <c r="M772" s="35"/>
      <c r="N772" s="35"/>
      <c r="O772" s="35"/>
      <c r="P772" s="35"/>
      <c r="Q772" s="43"/>
      <c r="R772" s="35"/>
      <c r="S772" s="35"/>
      <c r="T772" s="35"/>
      <c r="U772" s="138"/>
      <c r="V772" s="35"/>
      <c r="W772" s="35"/>
      <c r="X772" s="35"/>
      <c r="Y772" s="35"/>
      <c r="Z772" s="35"/>
      <c r="AA772" s="35"/>
      <c r="AB772" s="218"/>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row>
    <row r="773">
      <c r="A773" s="35"/>
      <c r="B773" s="35"/>
      <c r="C773" s="35"/>
      <c r="D773" s="35"/>
      <c r="E773" s="35"/>
      <c r="F773" s="35"/>
      <c r="G773" s="35"/>
      <c r="H773" s="35"/>
      <c r="I773" s="35"/>
      <c r="J773" s="35"/>
      <c r="K773" s="35"/>
      <c r="L773" s="35"/>
      <c r="M773" s="35"/>
      <c r="N773" s="35"/>
      <c r="O773" s="35"/>
      <c r="P773" s="35"/>
      <c r="Q773" s="43"/>
      <c r="R773" s="35"/>
      <c r="S773" s="35"/>
      <c r="T773" s="35"/>
      <c r="U773" s="138"/>
      <c r="V773" s="35"/>
      <c r="W773" s="35"/>
      <c r="X773" s="35"/>
      <c r="Y773" s="35"/>
      <c r="Z773" s="35"/>
      <c r="AA773" s="35"/>
      <c r="AB773" s="218"/>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row>
    <row r="774">
      <c r="A774" s="35"/>
      <c r="B774" s="35"/>
      <c r="C774" s="35"/>
      <c r="D774" s="35"/>
      <c r="E774" s="35"/>
      <c r="F774" s="35"/>
      <c r="G774" s="35"/>
      <c r="H774" s="35"/>
      <c r="I774" s="35"/>
      <c r="J774" s="35"/>
      <c r="K774" s="35"/>
      <c r="L774" s="35"/>
      <c r="M774" s="35"/>
      <c r="N774" s="35"/>
      <c r="O774" s="35"/>
      <c r="P774" s="35"/>
      <c r="Q774" s="43"/>
      <c r="R774" s="35"/>
      <c r="S774" s="35"/>
      <c r="T774" s="35"/>
      <c r="U774" s="138"/>
      <c r="V774" s="35"/>
      <c r="W774" s="35"/>
      <c r="X774" s="35"/>
      <c r="Y774" s="35"/>
      <c r="Z774" s="35"/>
      <c r="AA774" s="35"/>
      <c r="AB774" s="218"/>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row>
    <row r="775">
      <c r="A775" s="35"/>
      <c r="B775" s="35"/>
      <c r="C775" s="35"/>
      <c r="D775" s="35"/>
      <c r="E775" s="35"/>
      <c r="F775" s="35"/>
      <c r="G775" s="35"/>
      <c r="H775" s="35"/>
      <c r="I775" s="35"/>
      <c r="J775" s="35"/>
      <c r="K775" s="35"/>
      <c r="L775" s="35"/>
      <c r="M775" s="35"/>
      <c r="N775" s="35"/>
      <c r="O775" s="35"/>
      <c r="P775" s="35"/>
      <c r="Q775" s="43"/>
      <c r="R775" s="35"/>
      <c r="S775" s="35"/>
      <c r="T775" s="35"/>
      <c r="U775" s="138"/>
      <c r="V775" s="35"/>
      <c r="W775" s="35"/>
      <c r="X775" s="35"/>
      <c r="Y775" s="35"/>
      <c r="Z775" s="35"/>
      <c r="AA775" s="35"/>
      <c r="AB775" s="218"/>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row>
    <row r="776">
      <c r="A776" s="35"/>
      <c r="B776" s="35"/>
      <c r="C776" s="35"/>
      <c r="D776" s="35"/>
      <c r="E776" s="35"/>
      <c r="F776" s="35"/>
      <c r="G776" s="35"/>
      <c r="H776" s="35"/>
      <c r="I776" s="35"/>
      <c r="J776" s="35"/>
      <c r="K776" s="35"/>
      <c r="L776" s="35"/>
      <c r="M776" s="35"/>
      <c r="N776" s="35"/>
      <c r="O776" s="35"/>
      <c r="P776" s="35"/>
      <c r="Q776" s="43"/>
      <c r="R776" s="35"/>
      <c r="S776" s="35"/>
      <c r="T776" s="35"/>
      <c r="U776" s="138"/>
      <c r="V776" s="35"/>
      <c r="W776" s="35"/>
      <c r="X776" s="35"/>
      <c r="Y776" s="35"/>
      <c r="Z776" s="35"/>
      <c r="AA776" s="35"/>
      <c r="AB776" s="218"/>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row>
    <row r="777">
      <c r="A777" s="35"/>
      <c r="B777" s="35"/>
      <c r="C777" s="35"/>
      <c r="D777" s="35"/>
      <c r="E777" s="35"/>
      <c r="F777" s="35"/>
      <c r="G777" s="35"/>
      <c r="H777" s="35"/>
      <c r="I777" s="35"/>
      <c r="J777" s="35"/>
      <c r="K777" s="35"/>
      <c r="L777" s="35"/>
      <c r="M777" s="35"/>
      <c r="N777" s="35"/>
      <c r="O777" s="35"/>
      <c r="P777" s="35"/>
      <c r="Q777" s="43"/>
      <c r="R777" s="35"/>
      <c r="S777" s="35"/>
      <c r="T777" s="35"/>
      <c r="U777" s="138"/>
      <c r="V777" s="35"/>
      <c r="W777" s="35"/>
      <c r="X777" s="35"/>
      <c r="Y777" s="35"/>
      <c r="Z777" s="35"/>
      <c r="AA777" s="35"/>
      <c r="AB777" s="218"/>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row>
    <row r="778">
      <c r="A778" s="35"/>
      <c r="B778" s="35"/>
      <c r="C778" s="35"/>
      <c r="D778" s="35"/>
      <c r="E778" s="35"/>
      <c r="F778" s="35"/>
      <c r="G778" s="35"/>
      <c r="H778" s="35"/>
      <c r="I778" s="35"/>
      <c r="J778" s="35"/>
      <c r="K778" s="35"/>
      <c r="L778" s="35"/>
      <c r="M778" s="35"/>
      <c r="N778" s="35"/>
      <c r="O778" s="35"/>
      <c r="P778" s="35"/>
      <c r="Q778" s="43"/>
      <c r="R778" s="35"/>
      <c r="S778" s="35"/>
      <c r="T778" s="35"/>
      <c r="U778" s="138"/>
      <c r="V778" s="35"/>
      <c r="W778" s="35"/>
      <c r="X778" s="35"/>
      <c r="Y778" s="35"/>
      <c r="Z778" s="35"/>
      <c r="AA778" s="35"/>
      <c r="AB778" s="218"/>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row>
    <row r="779">
      <c r="A779" s="35"/>
      <c r="B779" s="35"/>
      <c r="C779" s="35"/>
      <c r="D779" s="35"/>
      <c r="E779" s="35"/>
      <c r="F779" s="35"/>
      <c r="G779" s="35"/>
      <c r="H779" s="35"/>
      <c r="I779" s="35"/>
      <c r="J779" s="35"/>
      <c r="K779" s="35"/>
      <c r="L779" s="35"/>
      <c r="M779" s="35"/>
      <c r="N779" s="35"/>
      <c r="O779" s="35"/>
      <c r="P779" s="35"/>
      <c r="Q779" s="43"/>
      <c r="R779" s="35"/>
      <c r="S779" s="35"/>
      <c r="T779" s="35"/>
      <c r="U779" s="138"/>
      <c r="V779" s="35"/>
      <c r="W779" s="35"/>
      <c r="X779" s="35"/>
      <c r="Y779" s="35"/>
      <c r="Z779" s="35"/>
      <c r="AA779" s="35"/>
      <c r="AB779" s="218"/>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row>
    <row r="780">
      <c r="A780" s="35"/>
      <c r="B780" s="35"/>
      <c r="C780" s="35"/>
      <c r="D780" s="35"/>
      <c r="E780" s="35"/>
      <c r="F780" s="35"/>
      <c r="G780" s="35"/>
      <c r="H780" s="35"/>
      <c r="I780" s="35"/>
      <c r="J780" s="35"/>
      <c r="K780" s="35"/>
      <c r="L780" s="35"/>
      <c r="M780" s="35"/>
      <c r="N780" s="35"/>
      <c r="O780" s="35"/>
      <c r="P780" s="35"/>
      <c r="Q780" s="43"/>
      <c r="R780" s="35"/>
      <c r="S780" s="35"/>
      <c r="T780" s="35"/>
      <c r="U780" s="138"/>
      <c r="V780" s="35"/>
      <c r="W780" s="35"/>
      <c r="X780" s="35"/>
      <c r="Y780" s="35"/>
      <c r="Z780" s="35"/>
      <c r="AA780" s="35"/>
      <c r="AB780" s="218"/>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row>
    <row r="781">
      <c r="A781" s="35"/>
      <c r="B781" s="35"/>
      <c r="C781" s="35"/>
      <c r="D781" s="35"/>
      <c r="E781" s="35"/>
      <c r="F781" s="35"/>
      <c r="G781" s="35"/>
      <c r="H781" s="35"/>
      <c r="I781" s="35"/>
      <c r="J781" s="35"/>
      <c r="K781" s="35"/>
      <c r="L781" s="35"/>
      <c r="M781" s="35"/>
      <c r="N781" s="35"/>
      <c r="O781" s="35"/>
      <c r="P781" s="35"/>
      <c r="Q781" s="43"/>
      <c r="R781" s="35"/>
      <c r="S781" s="35"/>
      <c r="T781" s="35"/>
      <c r="U781" s="138"/>
      <c r="V781" s="35"/>
      <c r="W781" s="35"/>
      <c r="X781" s="35"/>
      <c r="Y781" s="35"/>
      <c r="Z781" s="35"/>
      <c r="AA781" s="35"/>
      <c r="AB781" s="218"/>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row>
    <row r="782">
      <c r="A782" s="35"/>
      <c r="B782" s="35"/>
      <c r="C782" s="35"/>
      <c r="D782" s="35"/>
      <c r="E782" s="35"/>
      <c r="F782" s="35"/>
      <c r="G782" s="35"/>
      <c r="H782" s="35"/>
      <c r="I782" s="35"/>
      <c r="J782" s="35"/>
      <c r="K782" s="35"/>
      <c r="L782" s="35"/>
      <c r="M782" s="35"/>
      <c r="N782" s="35"/>
      <c r="O782" s="35"/>
      <c r="P782" s="35"/>
      <c r="Q782" s="43"/>
      <c r="R782" s="35"/>
      <c r="S782" s="35"/>
      <c r="T782" s="35"/>
      <c r="U782" s="138"/>
      <c r="V782" s="35"/>
      <c r="W782" s="35"/>
      <c r="X782" s="35"/>
      <c r="Y782" s="35"/>
      <c r="Z782" s="35"/>
      <c r="AA782" s="35"/>
      <c r="AB782" s="218"/>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row>
    <row r="783">
      <c r="A783" s="35"/>
      <c r="B783" s="35"/>
      <c r="C783" s="35"/>
      <c r="D783" s="35"/>
      <c r="E783" s="35"/>
      <c r="F783" s="35"/>
      <c r="G783" s="35"/>
      <c r="H783" s="35"/>
      <c r="I783" s="35"/>
      <c r="J783" s="35"/>
      <c r="K783" s="35"/>
      <c r="L783" s="35"/>
      <c r="M783" s="35"/>
      <c r="N783" s="35"/>
      <c r="O783" s="35"/>
      <c r="P783" s="35"/>
      <c r="Q783" s="43"/>
      <c r="R783" s="35"/>
      <c r="S783" s="35"/>
      <c r="T783" s="35"/>
      <c r="U783" s="138"/>
      <c r="V783" s="35"/>
      <c r="W783" s="35"/>
      <c r="X783" s="35"/>
      <c r="Y783" s="35"/>
      <c r="Z783" s="35"/>
      <c r="AA783" s="35"/>
      <c r="AB783" s="218"/>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row>
    <row r="784">
      <c r="A784" s="35"/>
      <c r="B784" s="35"/>
      <c r="C784" s="35"/>
      <c r="D784" s="35"/>
      <c r="E784" s="35"/>
      <c r="F784" s="35"/>
      <c r="G784" s="35"/>
      <c r="H784" s="35"/>
      <c r="I784" s="35"/>
      <c r="J784" s="35"/>
      <c r="K784" s="35"/>
      <c r="L784" s="35"/>
      <c r="M784" s="35"/>
      <c r="N784" s="35"/>
      <c r="O784" s="35"/>
      <c r="P784" s="35"/>
      <c r="Q784" s="43"/>
      <c r="R784" s="35"/>
      <c r="S784" s="35"/>
      <c r="T784" s="35"/>
      <c r="U784" s="138"/>
      <c r="V784" s="35"/>
      <c r="W784" s="35"/>
      <c r="X784" s="35"/>
      <c r="Y784" s="35"/>
      <c r="Z784" s="35"/>
      <c r="AA784" s="35"/>
      <c r="AB784" s="218"/>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row>
    <row r="785">
      <c r="A785" s="35"/>
      <c r="B785" s="35"/>
      <c r="C785" s="35"/>
      <c r="D785" s="35"/>
      <c r="E785" s="35"/>
      <c r="F785" s="35"/>
      <c r="G785" s="35"/>
      <c r="H785" s="35"/>
      <c r="I785" s="35"/>
      <c r="J785" s="35"/>
      <c r="K785" s="35"/>
      <c r="L785" s="35"/>
      <c r="M785" s="35"/>
      <c r="N785" s="35"/>
      <c r="O785" s="35"/>
      <c r="P785" s="35"/>
      <c r="Q785" s="43"/>
      <c r="R785" s="35"/>
      <c r="S785" s="35"/>
      <c r="T785" s="35"/>
      <c r="U785" s="138"/>
      <c r="V785" s="35"/>
      <c r="W785" s="35"/>
      <c r="X785" s="35"/>
      <c r="Y785" s="35"/>
      <c r="Z785" s="35"/>
      <c r="AA785" s="35"/>
      <c r="AB785" s="218"/>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row>
    <row r="786">
      <c r="A786" s="35"/>
      <c r="B786" s="35"/>
      <c r="C786" s="35"/>
      <c r="D786" s="35"/>
      <c r="E786" s="35"/>
      <c r="F786" s="35"/>
      <c r="G786" s="35"/>
      <c r="H786" s="35"/>
      <c r="I786" s="35"/>
      <c r="J786" s="35"/>
      <c r="K786" s="35"/>
      <c r="L786" s="35"/>
      <c r="M786" s="35"/>
      <c r="N786" s="35"/>
      <c r="O786" s="35"/>
      <c r="P786" s="35"/>
      <c r="Q786" s="43"/>
      <c r="R786" s="35"/>
      <c r="S786" s="35"/>
      <c r="T786" s="35"/>
      <c r="U786" s="138"/>
      <c r="V786" s="35"/>
      <c r="W786" s="35"/>
      <c r="X786" s="35"/>
      <c r="Y786" s="35"/>
      <c r="Z786" s="35"/>
      <c r="AA786" s="35"/>
      <c r="AB786" s="218"/>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row>
    <row r="787">
      <c r="A787" s="35"/>
      <c r="B787" s="35"/>
      <c r="C787" s="35"/>
      <c r="D787" s="35"/>
      <c r="E787" s="35"/>
      <c r="F787" s="35"/>
      <c r="G787" s="35"/>
      <c r="H787" s="35"/>
      <c r="I787" s="35"/>
      <c r="J787" s="35"/>
      <c r="K787" s="35"/>
      <c r="L787" s="35"/>
      <c r="M787" s="35"/>
      <c r="N787" s="35"/>
      <c r="O787" s="35"/>
      <c r="P787" s="35"/>
      <c r="Q787" s="43"/>
      <c r="R787" s="35"/>
      <c r="S787" s="35"/>
      <c r="T787" s="35"/>
      <c r="U787" s="138"/>
      <c r="V787" s="35"/>
      <c r="W787" s="35"/>
      <c r="X787" s="35"/>
      <c r="Y787" s="35"/>
      <c r="Z787" s="35"/>
      <c r="AA787" s="35"/>
      <c r="AB787" s="218"/>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row>
    <row r="788">
      <c r="A788" s="35"/>
      <c r="B788" s="35"/>
      <c r="C788" s="35"/>
      <c r="D788" s="35"/>
      <c r="E788" s="35"/>
      <c r="F788" s="35"/>
      <c r="G788" s="35"/>
      <c r="H788" s="35"/>
      <c r="I788" s="35"/>
      <c r="J788" s="35"/>
      <c r="K788" s="35"/>
      <c r="L788" s="35"/>
      <c r="M788" s="35"/>
      <c r="N788" s="35"/>
      <c r="O788" s="35"/>
      <c r="P788" s="35"/>
      <c r="Q788" s="43"/>
      <c r="R788" s="35"/>
      <c r="S788" s="35"/>
      <c r="T788" s="35"/>
      <c r="U788" s="138"/>
      <c r="V788" s="35"/>
      <c r="W788" s="35"/>
      <c r="X788" s="35"/>
      <c r="Y788" s="35"/>
      <c r="Z788" s="35"/>
      <c r="AA788" s="35"/>
      <c r="AB788" s="218"/>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row>
    <row r="789">
      <c r="A789" s="35"/>
      <c r="B789" s="35"/>
      <c r="C789" s="35"/>
      <c r="D789" s="35"/>
      <c r="E789" s="35"/>
      <c r="F789" s="35"/>
      <c r="G789" s="35"/>
      <c r="H789" s="35"/>
      <c r="I789" s="35"/>
      <c r="J789" s="35"/>
      <c r="K789" s="35"/>
      <c r="L789" s="35"/>
      <c r="M789" s="35"/>
      <c r="N789" s="35"/>
      <c r="O789" s="35"/>
      <c r="P789" s="35"/>
      <c r="Q789" s="43"/>
      <c r="R789" s="35"/>
      <c r="S789" s="35"/>
      <c r="T789" s="35"/>
      <c r="U789" s="138"/>
      <c r="V789" s="35"/>
      <c r="W789" s="35"/>
      <c r="X789" s="35"/>
      <c r="Y789" s="35"/>
      <c r="Z789" s="35"/>
      <c r="AA789" s="35"/>
      <c r="AB789" s="218"/>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row>
    <row r="790">
      <c r="A790" s="35"/>
      <c r="B790" s="35"/>
      <c r="C790" s="35"/>
      <c r="D790" s="35"/>
      <c r="E790" s="35"/>
      <c r="F790" s="35"/>
      <c r="G790" s="35"/>
      <c r="H790" s="35"/>
      <c r="I790" s="35"/>
      <c r="J790" s="35"/>
      <c r="K790" s="35"/>
      <c r="L790" s="35"/>
      <c r="M790" s="35"/>
      <c r="N790" s="35"/>
      <c r="O790" s="35"/>
      <c r="P790" s="35"/>
      <c r="Q790" s="43"/>
      <c r="R790" s="35"/>
      <c r="S790" s="35"/>
      <c r="T790" s="35"/>
      <c r="U790" s="138"/>
      <c r="V790" s="35"/>
      <c r="W790" s="35"/>
      <c r="X790" s="35"/>
      <c r="Y790" s="35"/>
      <c r="Z790" s="35"/>
      <c r="AA790" s="35"/>
      <c r="AB790" s="218"/>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row>
    <row r="791">
      <c r="A791" s="35"/>
      <c r="B791" s="35"/>
      <c r="C791" s="35"/>
      <c r="D791" s="35"/>
      <c r="E791" s="35"/>
      <c r="F791" s="35"/>
      <c r="G791" s="35"/>
      <c r="H791" s="35"/>
      <c r="I791" s="35"/>
      <c r="J791" s="35"/>
      <c r="K791" s="35"/>
      <c r="L791" s="35"/>
      <c r="M791" s="35"/>
      <c r="N791" s="35"/>
      <c r="O791" s="35"/>
      <c r="P791" s="35"/>
      <c r="Q791" s="43"/>
      <c r="R791" s="35"/>
      <c r="S791" s="35"/>
      <c r="T791" s="35"/>
      <c r="U791" s="138"/>
      <c r="V791" s="35"/>
      <c r="W791" s="35"/>
      <c r="X791" s="35"/>
      <c r="Y791" s="35"/>
      <c r="Z791" s="35"/>
      <c r="AA791" s="35"/>
      <c r="AB791" s="218"/>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row>
    <row r="792">
      <c r="A792" s="35"/>
      <c r="B792" s="35"/>
      <c r="C792" s="35"/>
      <c r="D792" s="35"/>
      <c r="E792" s="35"/>
      <c r="F792" s="35"/>
      <c r="G792" s="35"/>
      <c r="H792" s="35"/>
      <c r="I792" s="35"/>
      <c r="J792" s="35"/>
      <c r="K792" s="35"/>
      <c r="L792" s="35"/>
      <c r="M792" s="35"/>
      <c r="N792" s="35"/>
      <c r="O792" s="35"/>
      <c r="P792" s="35"/>
      <c r="Q792" s="43"/>
      <c r="R792" s="35"/>
      <c r="S792" s="35"/>
      <c r="T792" s="35"/>
      <c r="U792" s="138"/>
      <c r="V792" s="35"/>
      <c r="W792" s="35"/>
      <c r="X792" s="35"/>
      <c r="Y792" s="35"/>
      <c r="Z792" s="35"/>
      <c r="AA792" s="35"/>
      <c r="AB792" s="218"/>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row>
    <row r="793">
      <c r="A793" s="35"/>
      <c r="B793" s="35"/>
      <c r="C793" s="35"/>
      <c r="D793" s="35"/>
      <c r="E793" s="35"/>
      <c r="F793" s="35"/>
      <c r="G793" s="35"/>
      <c r="H793" s="35"/>
      <c r="I793" s="35"/>
      <c r="J793" s="35"/>
      <c r="K793" s="35"/>
      <c r="L793" s="35"/>
      <c r="M793" s="35"/>
      <c r="N793" s="35"/>
      <c r="O793" s="35"/>
      <c r="P793" s="35"/>
      <c r="Q793" s="43"/>
      <c r="R793" s="35"/>
      <c r="S793" s="35"/>
      <c r="T793" s="35"/>
      <c r="U793" s="138"/>
      <c r="V793" s="35"/>
      <c r="W793" s="35"/>
      <c r="X793" s="35"/>
      <c r="Y793" s="35"/>
      <c r="Z793" s="35"/>
      <c r="AA793" s="35"/>
      <c r="AB793" s="218"/>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row>
    <row r="794">
      <c r="A794" s="35"/>
      <c r="B794" s="35"/>
      <c r="C794" s="35"/>
      <c r="D794" s="35"/>
      <c r="E794" s="35"/>
      <c r="F794" s="35"/>
      <c r="G794" s="35"/>
      <c r="H794" s="35"/>
      <c r="I794" s="35"/>
      <c r="J794" s="35"/>
      <c r="K794" s="35"/>
      <c r="L794" s="35"/>
      <c r="M794" s="35"/>
      <c r="N794" s="35"/>
      <c r="O794" s="35"/>
      <c r="P794" s="35"/>
      <c r="Q794" s="43"/>
      <c r="R794" s="35"/>
      <c r="S794" s="35"/>
      <c r="T794" s="35"/>
      <c r="U794" s="138"/>
      <c r="V794" s="35"/>
      <c r="W794" s="35"/>
      <c r="X794" s="35"/>
      <c r="Y794" s="35"/>
      <c r="Z794" s="35"/>
      <c r="AA794" s="35"/>
      <c r="AB794" s="218"/>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row>
    <row r="795">
      <c r="A795" s="35"/>
      <c r="B795" s="35"/>
      <c r="C795" s="35"/>
      <c r="D795" s="35"/>
      <c r="E795" s="35"/>
      <c r="F795" s="35"/>
      <c r="G795" s="35"/>
      <c r="H795" s="35"/>
      <c r="I795" s="35"/>
      <c r="J795" s="35"/>
      <c r="K795" s="35"/>
      <c r="L795" s="35"/>
      <c r="M795" s="35"/>
      <c r="N795" s="35"/>
      <c r="O795" s="35"/>
      <c r="P795" s="35"/>
      <c r="Q795" s="43"/>
      <c r="R795" s="35"/>
      <c r="S795" s="35"/>
      <c r="T795" s="35"/>
      <c r="U795" s="138"/>
      <c r="V795" s="35"/>
      <c r="W795" s="35"/>
      <c r="X795" s="35"/>
      <c r="Y795" s="35"/>
      <c r="Z795" s="35"/>
      <c r="AA795" s="35"/>
      <c r="AB795" s="218"/>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row>
    <row r="796">
      <c r="A796" s="35"/>
      <c r="B796" s="35"/>
      <c r="C796" s="35"/>
      <c r="D796" s="35"/>
      <c r="E796" s="35"/>
      <c r="F796" s="35"/>
      <c r="G796" s="35"/>
      <c r="H796" s="35"/>
      <c r="I796" s="35"/>
      <c r="J796" s="35"/>
      <c r="K796" s="35"/>
      <c r="L796" s="35"/>
      <c r="M796" s="35"/>
      <c r="N796" s="35"/>
      <c r="O796" s="35"/>
      <c r="P796" s="35"/>
      <c r="Q796" s="43"/>
      <c r="R796" s="35"/>
      <c r="S796" s="35"/>
      <c r="T796" s="35"/>
      <c r="U796" s="138"/>
      <c r="V796" s="35"/>
      <c r="W796" s="35"/>
      <c r="X796" s="35"/>
      <c r="Y796" s="35"/>
      <c r="Z796" s="35"/>
      <c r="AA796" s="35"/>
      <c r="AB796" s="218"/>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row>
    <row r="797">
      <c r="A797" s="35"/>
      <c r="B797" s="35"/>
      <c r="C797" s="35"/>
      <c r="D797" s="35"/>
      <c r="E797" s="35"/>
      <c r="F797" s="35"/>
      <c r="G797" s="35"/>
      <c r="H797" s="35"/>
      <c r="I797" s="35"/>
      <c r="J797" s="35"/>
      <c r="K797" s="35"/>
      <c r="L797" s="35"/>
      <c r="M797" s="35"/>
      <c r="N797" s="35"/>
      <c r="O797" s="35"/>
      <c r="P797" s="35"/>
      <c r="Q797" s="43"/>
      <c r="R797" s="35"/>
      <c r="S797" s="35"/>
      <c r="T797" s="35"/>
      <c r="U797" s="138"/>
      <c r="V797" s="35"/>
      <c r="W797" s="35"/>
      <c r="X797" s="35"/>
      <c r="Y797" s="35"/>
      <c r="Z797" s="35"/>
      <c r="AA797" s="35"/>
      <c r="AB797" s="218"/>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row>
    <row r="798">
      <c r="A798" s="35"/>
      <c r="B798" s="35"/>
      <c r="C798" s="35"/>
      <c r="D798" s="35"/>
      <c r="E798" s="35"/>
      <c r="F798" s="35"/>
      <c r="G798" s="35"/>
      <c r="H798" s="35"/>
      <c r="I798" s="35"/>
      <c r="J798" s="35"/>
      <c r="K798" s="35"/>
      <c r="L798" s="35"/>
      <c r="M798" s="35"/>
      <c r="N798" s="35"/>
      <c r="O798" s="35"/>
      <c r="P798" s="35"/>
      <c r="Q798" s="43"/>
      <c r="R798" s="35"/>
      <c r="S798" s="35"/>
      <c r="T798" s="35"/>
      <c r="U798" s="138"/>
      <c r="V798" s="35"/>
      <c r="W798" s="35"/>
      <c r="X798" s="35"/>
      <c r="Y798" s="35"/>
      <c r="Z798" s="35"/>
      <c r="AA798" s="35"/>
      <c r="AB798" s="218"/>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row>
    <row r="799">
      <c r="A799" s="35"/>
      <c r="B799" s="35"/>
      <c r="C799" s="35"/>
      <c r="D799" s="35"/>
      <c r="E799" s="35"/>
      <c r="F799" s="35"/>
      <c r="G799" s="35"/>
      <c r="H799" s="35"/>
      <c r="I799" s="35"/>
      <c r="J799" s="35"/>
      <c r="K799" s="35"/>
      <c r="L799" s="35"/>
      <c r="M799" s="35"/>
      <c r="N799" s="35"/>
      <c r="O799" s="35"/>
      <c r="P799" s="35"/>
      <c r="Q799" s="43"/>
      <c r="R799" s="35"/>
      <c r="S799" s="35"/>
      <c r="T799" s="35"/>
      <c r="U799" s="138"/>
      <c r="V799" s="35"/>
      <c r="W799" s="35"/>
      <c r="X799" s="35"/>
      <c r="Y799" s="35"/>
      <c r="Z799" s="35"/>
      <c r="AA799" s="35"/>
      <c r="AB799" s="218"/>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row>
    <row r="800">
      <c r="A800" s="35"/>
      <c r="B800" s="35"/>
      <c r="C800" s="35"/>
      <c r="D800" s="35"/>
      <c r="E800" s="35"/>
      <c r="F800" s="35"/>
      <c r="G800" s="35"/>
      <c r="H800" s="35"/>
      <c r="I800" s="35"/>
      <c r="J800" s="35"/>
      <c r="K800" s="35"/>
      <c r="L800" s="35"/>
      <c r="M800" s="35"/>
      <c r="N800" s="35"/>
      <c r="O800" s="35"/>
      <c r="P800" s="35"/>
      <c r="Q800" s="43"/>
      <c r="R800" s="35"/>
      <c r="S800" s="35"/>
      <c r="T800" s="35"/>
      <c r="U800" s="138"/>
      <c r="V800" s="35"/>
      <c r="W800" s="35"/>
      <c r="X800" s="35"/>
      <c r="Y800" s="35"/>
      <c r="Z800" s="35"/>
      <c r="AA800" s="35"/>
      <c r="AB800" s="218"/>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row>
    <row r="801">
      <c r="A801" s="35"/>
      <c r="B801" s="35"/>
      <c r="C801" s="35"/>
      <c r="D801" s="35"/>
      <c r="E801" s="35"/>
      <c r="F801" s="35"/>
      <c r="G801" s="35"/>
      <c r="H801" s="35"/>
      <c r="I801" s="35"/>
      <c r="J801" s="35"/>
      <c r="K801" s="35"/>
      <c r="L801" s="35"/>
      <c r="M801" s="35"/>
      <c r="N801" s="35"/>
      <c r="O801" s="35"/>
      <c r="P801" s="35"/>
      <c r="Q801" s="43"/>
      <c r="R801" s="35"/>
      <c r="S801" s="35"/>
      <c r="T801" s="35"/>
      <c r="U801" s="138"/>
      <c r="V801" s="35"/>
      <c r="W801" s="35"/>
      <c r="X801" s="35"/>
      <c r="Y801" s="35"/>
      <c r="Z801" s="35"/>
      <c r="AA801" s="35"/>
      <c r="AB801" s="218"/>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row>
    <row r="802">
      <c r="A802" s="35"/>
      <c r="B802" s="35"/>
      <c r="C802" s="35"/>
      <c r="D802" s="35"/>
      <c r="E802" s="35"/>
      <c r="F802" s="35"/>
      <c r="G802" s="35"/>
      <c r="H802" s="35"/>
      <c r="I802" s="35"/>
      <c r="J802" s="35"/>
      <c r="K802" s="35"/>
      <c r="L802" s="35"/>
      <c r="M802" s="35"/>
      <c r="N802" s="35"/>
      <c r="O802" s="35"/>
      <c r="P802" s="35"/>
      <c r="Q802" s="43"/>
      <c r="R802" s="35"/>
      <c r="S802" s="35"/>
      <c r="T802" s="35"/>
      <c r="U802" s="138"/>
      <c r="V802" s="35"/>
      <c r="W802" s="35"/>
      <c r="X802" s="35"/>
      <c r="Y802" s="35"/>
      <c r="Z802" s="35"/>
      <c r="AA802" s="35"/>
      <c r="AB802" s="218"/>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row>
    <row r="803">
      <c r="A803" s="35"/>
      <c r="B803" s="35"/>
      <c r="C803" s="35"/>
      <c r="D803" s="35"/>
      <c r="E803" s="35"/>
      <c r="F803" s="35"/>
      <c r="G803" s="35"/>
      <c r="H803" s="35"/>
      <c r="I803" s="35"/>
      <c r="J803" s="35"/>
      <c r="K803" s="35"/>
      <c r="L803" s="35"/>
      <c r="M803" s="35"/>
      <c r="N803" s="35"/>
      <c r="O803" s="35"/>
      <c r="P803" s="35"/>
      <c r="Q803" s="43"/>
      <c r="R803" s="35"/>
      <c r="S803" s="35"/>
      <c r="T803" s="35"/>
      <c r="U803" s="138"/>
      <c r="V803" s="35"/>
      <c r="W803" s="35"/>
      <c r="X803" s="35"/>
      <c r="Y803" s="35"/>
      <c r="Z803" s="35"/>
      <c r="AA803" s="35"/>
      <c r="AB803" s="218"/>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row>
    <row r="804">
      <c r="A804" s="35"/>
      <c r="B804" s="35"/>
      <c r="C804" s="35"/>
      <c r="D804" s="35"/>
      <c r="E804" s="35"/>
      <c r="F804" s="35"/>
      <c r="G804" s="35"/>
      <c r="H804" s="35"/>
      <c r="I804" s="35"/>
      <c r="J804" s="35"/>
      <c r="K804" s="35"/>
      <c r="L804" s="35"/>
      <c r="M804" s="35"/>
      <c r="N804" s="35"/>
      <c r="O804" s="35"/>
      <c r="P804" s="35"/>
      <c r="Q804" s="43"/>
      <c r="R804" s="35"/>
      <c r="S804" s="35"/>
      <c r="T804" s="35"/>
      <c r="U804" s="138"/>
      <c r="V804" s="35"/>
      <c r="W804" s="35"/>
      <c r="X804" s="35"/>
      <c r="Y804" s="35"/>
      <c r="Z804" s="35"/>
      <c r="AA804" s="35"/>
      <c r="AB804" s="218"/>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row>
    <row r="805">
      <c r="A805" s="35"/>
      <c r="B805" s="35"/>
      <c r="C805" s="35"/>
      <c r="D805" s="35"/>
      <c r="E805" s="35"/>
      <c r="F805" s="35"/>
      <c r="G805" s="35"/>
      <c r="H805" s="35"/>
      <c r="I805" s="35"/>
      <c r="J805" s="35"/>
      <c r="K805" s="35"/>
      <c r="L805" s="35"/>
      <c r="M805" s="35"/>
      <c r="N805" s="35"/>
      <c r="O805" s="35"/>
      <c r="P805" s="35"/>
      <c r="Q805" s="43"/>
      <c r="R805" s="35"/>
      <c r="S805" s="35"/>
      <c r="T805" s="35"/>
      <c r="U805" s="138"/>
      <c r="V805" s="35"/>
      <c r="W805" s="35"/>
      <c r="X805" s="35"/>
      <c r="Y805" s="35"/>
      <c r="Z805" s="35"/>
      <c r="AA805" s="35"/>
      <c r="AB805" s="218"/>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row>
    <row r="806">
      <c r="A806" s="35"/>
      <c r="B806" s="35"/>
      <c r="C806" s="35"/>
      <c r="D806" s="35"/>
      <c r="E806" s="35"/>
      <c r="F806" s="35"/>
      <c r="G806" s="35"/>
      <c r="H806" s="35"/>
      <c r="I806" s="35"/>
      <c r="J806" s="35"/>
      <c r="K806" s="35"/>
      <c r="L806" s="35"/>
      <c r="M806" s="35"/>
      <c r="N806" s="35"/>
      <c r="O806" s="35"/>
      <c r="P806" s="35"/>
      <c r="Q806" s="43"/>
      <c r="R806" s="35"/>
      <c r="S806" s="35"/>
      <c r="T806" s="35"/>
      <c r="U806" s="138"/>
      <c r="V806" s="35"/>
      <c r="W806" s="35"/>
      <c r="X806" s="35"/>
      <c r="Y806" s="35"/>
      <c r="Z806" s="35"/>
      <c r="AA806" s="35"/>
      <c r="AB806" s="218"/>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row>
    <row r="807">
      <c r="A807" s="35"/>
      <c r="B807" s="35"/>
      <c r="C807" s="35"/>
      <c r="D807" s="35"/>
      <c r="E807" s="35"/>
      <c r="F807" s="35"/>
      <c r="G807" s="35"/>
      <c r="H807" s="35"/>
      <c r="I807" s="35"/>
      <c r="J807" s="35"/>
      <c r="K807" s="35"/>
      <c r="L807" s="35"/>
      <c r="M807" s="35"/>
      <c r="N807" s="35"/>
      <c r="O807" s="35"/>
      <c r="P807" s="35"/>
      <c r="Q807" s="43"/>
      <c r="R807" s="35"/>
      <c r="S807" s="35"/>
      <c r="T807" s="35"/>
      <c r="U807" s="138"/>
      <c r="V807" s="35"/>
      <c r="W807" s="35"/>
      <c r="X807" s="35"/>
      <c r="Y807" s="35"/>
      <c r="Z807" s="35"/>
      <c r="AA807" s="35"/>
      <c r="AB807" s="218"/>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row>
    <row r="808">
      <c r="A808" s="35"/>
      <c r="B808" s="35"/>
      <c r="C808" s="35"/>
      <c r="D808" s="35"/>
      <c r="E808" s="35"/>
      <c r="F808" s="35"/>
      <c r="G808" s="35"/>
      <c r="H808" s="35"/>
      <c r="I808" s="35"/>
      <c r="J808" s="35"/>
      <c r="K808" s="35"/>
      <c r="L808" s="35"/>
      <c r="M808" s="35"/>
      <c r="N808" s="35"/>
      <c r="O808" s="35"/>
      <c r="P808" s="35"/>
      <c r="Q808" s="43"/>
      <c r="R808" s="35"/>
      <c r="S808" s="35"/>
      <c r="T808" s="35"/>
      <c r="U808" s="138"/>
      <c r="V808" s="35"/>
      <c r="W808" s="35"/>
      <c r="X808" s="35"/>
      <c r="Y808" s="35"/>
      <c r="Z808" s="35"/>
      <c r="AA808" s="35"/>
      <c r="AB808" s="218"/>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row>
    <row r="809">
      <c r="A809" s="35"/>
      <c r="B809" s="35"/>
      <c r="C809" s="35"/>
      <c r="D809" s="35"/>
      <c r="E809" s="35"/>
      <c r="F809" s="35"/>
      <c r="G809" s="35"/>
      <c r="H809" s="35"/>
      <c r="I809" s="35"/>
      <c r="J809" s="35"/>
      <c r="K809" s="35"/>
      <c r="L809" s="35"/>
      <c r="M809" s="35"/>
      <c r="N809" s="35"/>
      <c r="O809" s="35"/>
      <c r="P809" s="35"/>
      <c r="Q809" s="43"/>
      <c r="R809" s="35"/>
      <c r="S809" s="35"/>
      <c r="T809" s="35"/>
      <c r="U809" s="138"/>
      <c r="V809" s="35"/>
      <c r="W809" s="35"/>
      <c r="X809" s="35"/>
      <c r="Y809" s="35"/>
      <c r="Z809" s="35"/>
      <c r="AA809" s="35"/>
      <c r="AB809" s="218"/>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row>
    <row r="810">
      <c r="A810" s="35"/>
      <c r="B810" s="35"/>
      <c r="C810" s="35"/>
      <c r="D810" s="35"/>
      <c r="E810" s="35"/>
      <c r="F810" s="35"/>
      <c r="G810" s="35"/>
      <c r="H810" s="35"/>
      <c r="I810" s="35"/>
      <c r="J810" s="35"/>
      <c r="K810" s="35"/>
      <c r="L810" s="35"/>
      <c r="M810" s="35"/>
      <c r="N810" s="35"/>
      <c r="O810" s="35"/>
      <c r="P810" s="35"/>
      <c r="Q810" s="43"/>
      <c r="R810" s="35"/>
      <c r="S810" s="35"/>
      <c r="T810" s="35"/>
      <c r="U810" s="138"/>
      <c r="V810" s="35"/>
      <c r="W810" s="35"/>
      <c r="X810" s="35"/>
      <c r="Y810" s="35"/>
      <c r="Z810" s="35"/>
      <c r="AA810" s="35"/>
      <c r="AB810" s="218"/>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row>
    <row r="811">
      <c r="A811" s="35"/>
      <c r="B811" s="35"/>
      <c r="C811" s="35"/>
      <c r="D811" s="35"/>
      <c r="E811" s="35"/>
      <c r="F811" s="35"/>
      <c r="G811" s="35"/>
      <c r="H811" s="35"/>
      <c r="I811" s="35"/>
      <c r="J811" s="35"/>
      <c r="K811" s="35"/>
      <c r="L811" s="35"/>
      <c r="M811" s="35"/>
      <c r="N811" s="35"/>
      <c r="O811" s="35"/>
      <c r="P811" s="35"/>
      <c r="Q811" s="43"/>
      <c r="R811" s="35"/>
      <c r="S811" s="35"/>
      <c r="T811" s="35"/>
      <c r="U811" s="138"/>
      <c r="V811" s="35"/>
      <c r="W811" s="35"/>
      <c r="X811" s="35"/>
      <c r="Y811" s="35"/>
      <c r="Z811" s="35"/>
      <c r="AA811" s="35"/>
      <c r="AB811" s="218"/>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row>
    <row r="812">
      <c r="A812" s="35"/>
      <c r="B812" s="35"/>
      <c r="C812" s="35"/>
      <c r="D812" s="35"/>
      <c r="E812" s="35"/>
      <c r="F812" s="35"/>
      <c r="G812" s="35"/>
      <c r="H812" s="35"/>
      <c r="I812" s="35"/>
      <c r="J812" s="35"/>
      <c r="K812" s="35"/>
      <c r="L812" s="35"/>
      <c r="M812" s="35"/>
      <c r="N812" s="35"/>
      <c r="O812" s="35"/>
      <c r="P812" s="35"/>
      <c r="Q812" s="43"/>
      <c r="R812" s="35"/>
      <c r="S812" s="35"/>
      <c r="T812" s="35"/>
      <c r="U812" s="138"/>
      <c r="V812" s="35"/>
      <c r="W812" s="35"/>
      <c r="X812" s="35"/>
      <c r="Y812" s="35"/>
      <c r="Z812" s="35"/>
      <c r="AA812" s="35"/>
      <c r="AB812" s="218"/>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row>
    <row r="813">
      <c r="A813" s="35"/>
      <c r="B813" s="35"/>
      <c r="C813" s="35"/>
      <c r="D813" s="35"/>
      <c r="E813" s="35"/>
      <c r="F813" s="35"/>
      <c r="G813" s="35"/>
      <c r="H813" s="35"/>
      <c r="I813" s="35"/>
      <c r="J813" s="35"/>
      <c r="K813" s="35"/>
      <c r="L813" s="35"/>
      <c r="M813" s="35"/>
      <c r="N813" s="35"/>
      <c r="O813" s="35"/>
      <c r="P813" s="35"/>
      <c r="Q813" s="43"/>
      <c r="R813" s="35"/>
      <c r="S813" s="35"/>
      <c r="T813" s="35"/>
      <c r="U813" s="138"/>
      <c r="V813" s="35"/>
      <c r="W813" s="35"/>
      <c r="X813" s="35"/>
      <c r="Y813" s="35"/>
      <c r="Z813" s="35"/>
      <c r="AA813" s="35"/>
      <c r="AB813" s="218"/>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row>
    <row r="814">
      <c r="A814" s="35"/>
      <c r="B814" s="35"/>
      <c r="C814" s="35"/>
      <c r="D814" s="35"/>
      <c r="E814" s="35"/>
      <c r="F814" s="35"/>
      <c r="G814" s="35"/>
      <c r="H814" s="35"/>
      <c r="I814" s="35"/>
      <c r="J814" s="35"/>
      <c r="K814" s="35"/>
      <c r="L814" s="35"/>
      <c r="M814" s="35"/>
      <c r="N814" s="35"/>
      <c r="O814" s="35"/>
      <c r="P814" s="35"/>
      <c r="Q814" s="43"/>
      <c r="R814" s="35"/>
      <c r="S814" s="35"/>
      <c r="T814" s="35"/>
      <c r="U814" s="138"/>
      <c r="V814" s="35"/>
      <c r="W814" s="35"/>
      <c r="X814" s="35"/>
      <c r="Y814" s="35"/>
      <c r="Z814" s="35"/>
      <c r="AA814" s="35"/>
      <c r="AB814" s="218"/>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row>
    <row r="815">
      <c r="A815" s="35"/>
      <c r="B815" s="35"/>
      <c r="C815" s="35"/>
      <c r="D815" s="35"/>
      <c r="E815" s="35"/>
      <c r="F815" s="35"/>
      <c r="G815" s="35"/>
      <c r="H815" s="35"/>
      <c r="I815" s="35"/>
      <c r="J815" s="35"/>
      <c r="K815" s="35"/>
      <c r="L815" s="35"/>
      <c r="M815" s="35"/>
      <c r="N815" s="35"/>
      <c r="O815" s="35"/>
      <c r="P815" s="35"/>
      <c r="Q815" s="43"/>
      <c r="R815" s="35"/>
      <c r="S815" s="35"/>
      <c r="T815" s="35"/>
      <c r="U815" s="138"/>
      <c r="V815" s="35"/>
      <c r="W815" s="35"/>
      <c r="X815" s="35"/>
      <c r="Y815" s="35"/>
      <c r="Z815" s="35"/>
      <c r="AA815" s="35"/>
      <c r="AB815" s="218"/>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row>
    <row r="816">
      <c r="A816" s="35"/>
      <c r="B816" s="35"/>
      <c r="C816" s="35"/>
      <c r="D816" s="35"/>
      <c r="E816" s="35"/>
      <c r="F816" s="35"/>
      <c r="G816" s="35"/>
      <c r="H816" s="35"/>
      <c r="I816" s="35"/>
      <c r="J816" s="35"/>
      <c r="K816" s="35"/>
      <c r="L816" s="35"/>
      <c r="M816" s="35"/>
      <c r="N816" s="35"/>
      <c r="O816" s="35"/>
      <c r="P816" s="35"/>
      <c r="Q816" s="43"/>
      <c r="R816" s="35"/>
      <c r="S816" s="35"/>
      <c r="T816" s="35"/>
      <c r="U816" s="138"/>
      <c r="V816" s="35"/>
      <c r="W816" s="35"/>
      <c r="X816" s="35"/>
      <c r="Y816" s="35"/>
      <c r="Z816" s="35"/>
      <c r="AA816" s="35"/>
      <c r="AB816" s="218"/>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row>
    <row r="817">
      <c r="A817" s="35"/>
      <c r="B817" s="35"/>
      <c r="C817" s="35"/>
      <c r="D817" s="35"/>
      <c r="E817" s="35"/>
      <c r="F817" s="35"/>
      <c r="G817" s="35"/>
      <c r="H817" s="35"/>
      <c r="I817" s="35"/>
      <c r="J817" s="35"/>
      <c r="K817" s="35"/>
      <c r="L817" s="35"/>
      <c r="M817" s="35"/>
      <c r="N817" s="35"/>
      <c r="O817" s="35"/>
      <c r="P817" s="35"/>
      <c r="Q817" s="43"/>
      <c r="R817" s="35"/>
      <c r="S817" s="35"/>
      <c r="T817" s="35"/>
      <c r="U817" s="138"/>
      <c r="V817" s="35"/>
      <c r="W817" s="35"/>
      <c r="X817" s="35"/>
      <c r="Y817" s="35"/>
      <c r="Z817" s="35"/>
      <c r="AA817" s="35"/>
      <c r="AB817" s="218"/>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row>
    <row r="818">
      <c r="A818" s="35"/>
      <c r="B818" s="35"/>
      <c r="C818" s="35"/>
      <c r="D818" s="35"/>
      <c r="E818" s="35"/>
      <c r="F818" s="35"/>
      <c r="G818" s="35"/>
      <c r="H818" s="35"/>
      <c r="I818" s="35"/>
      <c r="J818" s="35"/>
      <c r="K818" s="35"/>
      <c r="L818" s="35"/>
      <c r="M818" s="35"/>
      <c r="N818" s="35"/>
      <c r="O818" s="35"/>
      <c r="P818" s="35"/>
      <c r="Q818" s="43"/>
      <c r="R818" s="35"/>
      <c r="S818" s="35"/>
      <c r="T818" s="35"/>
      <c r="U818" s="138"/>
      <c r="V818" s="35"/>
      <c r="W818" s="35"/>
      <c r="X818" s="35"/>
      <c r="Y818" s="35"/>
      <c r="Z818" s="35"/>
      <c r="AA818" s="35"/>
      <c r="AB818" s="218"/>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row>
    <row r="819">
      <c r="A819" s="35"/>
      <c r="B819" s="35"/>
      <c r="C819" s="35"/>
      <c r="D819" s="35"/>
      <c r="E819" s="35"/>
      <c r="F819" s="35"/>
      <c r="G819" s="35"/>
      <c r="H819" s="35"/>
      <c r="I819" s="35"/>
      <c r="J819" s="35"/>
      <c r="K819" s="35"/>
      <c r="L819" s="35"/>
      <c r="M819" s="35"/>
      <c r="N819" s="35"/>
      <c r="O819" s="35"/>
      <c r="P819" s="35"/>
      <c r="Q819" s="43"/>
      <c r="R819" s="35"/>
      <c r="S819" s="35"/>
      <c r="T819" s="35"/>
      <c r="U819" s="138"/>
      <c r="V819" s="35"/>
      <c r="W819" s="35"/>
      <c r="X819" s="35"/>
      <c r="Y819" s="35"/>
      <c r="Z819" s="35"/>
      <c r="AA819" s="35"/>
      <c r="AB819" s="218"/>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row>
    <row r="820">
      <c r="A820" s="35"/>
      <c r="B820" s="35"/>
      <c r="C820" s="35"/>
      <c r="D820" s="35"/>
      <c r="E820" s="35"/>
      <c r="F820" s="35"/>
      <c r="G820" s="35"/>
      <c r="H820" s="35"/>
      <c r="I820" s="35"/>
      <c r="J820" s="35"/>
      <c r="K820" s="35"/>
      <c r="L820" s="35"/>
      <c r="M820" s="35"/>
      <c r="N820" s="35"/>
      <c r="O820" s="35"/>
      <c r="P820" s="35"/>
      <c r="Q820" s="43"/>
      <c r="R820" s="35"/>
      <c r="S820" s="35"/>
      <c r="T820" s="35"/>
      <c r="U820" s="138"/>
      <c r="V820" s="35"/>
      <c r="W820" s="35"/>
      <c r="X820" s="35"/>
      <c r="Y820" s="35"/>
      <c r="Z820" s="35"/>
      <c r="AA820" s="35"/>
      <c r="AB820" s="218"/>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row>
    <row r="821">
      <c r="A821" s="35"/>
      <c r="B821" s="35"/>
      <c r="C821" s="35"/>
      <c r="D821" s="35"/>
      <c r="E821" s="35"/>
      <c r="F821" s="35"/>
      <c r="G821" s="35"/>
      <c r="H821" s="35"/>
      <c r="I821" s="35"/>
      <c r="J821" s="35"/>
      <c r="K821" s="35"/>
      <c r="L821" s="35"/>
      <c r="M821" s="35"/>
      <c r="N821" s="35"/>
      <c r="O821" s="35"/>
      <c r="P821" s="35"/>
      <c r="Q821" s="43"/>
      <c r="R821" s="35"/>
      <c r="S821" s="35"/>
      <c r="T821" s="35"/>
      <c r="U821" s="138"/>
      <c r="V821" s="35"/>
      <c r="W821" s="35"/>
      <c r="X821" s="35"/>
      <c r="Y821" s="35"/>
      <c r="Z821" s="35"/>
      <c r="AA821" s="35"/>
      <c r="AB821" s="218"/>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row>
    <row r="822">
      <c r="A822" s="35"/>
      <c r="B822" s="35"/>
      <c r="C822" s="35"/>
      <c r="D822" s="35"/>
      <c r="E822" s="35"/>
      <c r="F822" s="35"/>
      <c r="G822" s="35"/>
      <c r="H822" s="35"/>
      <c r="I822" s="35"/>
      <c r="J822" s="35"/>
      <c r="K822" s="35"/>
      <c r="L822" s="35"/>
      <c r="M822" s="35"/>
      <c r="N822" s="35"/>
      <c r="O822" s="35"/>
      <c r="P822" s="35"/>
      <c r="Q822" s="43"/>
      <c r="R822" s="35"/>
      <c r="S822" s="35"/>
      <c r="T822" s="35"/>
      <c r="U822" s="138"/>
      <c r="V822" s="35"/>
      <c r="W822" s="35"/>
      <c r="X822" s="35"/>
      <c r="Y822" s="35"/>
      <c r="Z822" s="35"/>
      <c r="AA822" s="35"/>
      <c r="AB822" s="218"/>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row>
    <row r="823">
      <c r="A823" s="35"/>
      <c r="B823" s="35"/>
      <c r="C823" s="35"/>
      <c r="D823" s="35"/>
      <c r="E823" s="35"/>
      <c r="F823" s="35"/>
      <c r="G823" s="35"/>
      <c r="H823" s="35"/>
      <c r="I823" s="35"/>
      <c r="J823" s="35"/>
      <c r="K823" s="35"/>
      <c r="L823" s="35"/>
      <c r="M823" s="35"/>
      <c r="N823" s="35"/>
      <c r="O823" s="35"/>
      <c r="P823" s="35"/>
      <c r="Q823" s="43"/>
      <c r="R823" s="35"/>
      <c r="S823" s="35"/>
      <c r="T823" s="35"/>
      <c r="U823" s="138"/>
      <c r="V823" s="35"/>
      <c r="W823" s="35"/>
      <c r="X823" s="35"/>
      <c r="Y823" s="35"/>
      <c r="Z823" s="35"/>
      <c r="AA823" s="35"/>
      <c r="AB823" s="218"/>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row>
    <row r="824">
      <c r="A824" s="35"/>
      <c r="B824" s="35"/>
      <c r="C824" s="35"/>
      <c r="D824" s="35"/>
      <c r="E824" s="35"/>
      <c r="F824" s="35"/>
      <c r="G824" s="35"/>
      <c r="H824" s="35"/>
      <c r="I824" s="35"/>
      <c r="J824" s="35"/>
      <c r="K824" s="35"/>
      <c r="L824" s="35"/>
      <c r="M824" s="35"/>
      <c r="N824" s="35"/>
      <c r="O824" s="35"/>
      <c r="P824" s="35"/>
      <c r="Q824" s="43"/>
      <c r="R824" s="35"/>
      <c r="S824" s="35"/>
      <c r="T824" s="35"/>
      <c r="U824" s="138"/>
      <c r="V824" s="35"/>
      <c r="W824" s="35"/>
      <c r="X824" s="35"/>
      <c r="Y824" s="35"/>
      <c r="Z824" s="35"/>
      <c r="AA824" s="35"/>
      <c r="AB824" s="218"/>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row>
    <row r="825">
      <c r="A825" s="35"/>
      <c r="B825" s="35"/>
      <c r="C825" s="35"/>
      <c r="D825" s="35"/>
      <c r="E825" s="35"/>
      <c r="F825" s="35"/>
      <c r="G825" s="35"/>
      <c r="H825" s="35"/>
      <c r="I825" s="35"/>
      <c r="J825" s="35"/>
      <c r="K825" s="35"/>
      <c r="L825" s="35"/>
      <c r="M825" s="35"/>
      <c r="N825" s="35"/>
      <c r="O825" s="35"/>
      <c r="P825" s="35"/>
      <c r="Q825" s="43"/>
      <c r="R825" s="35"/>
      <c r="S825" s="35"/>
      <c r="T825" s="35"/>
      <c r="U825" s="138"/>
      <c r="V825" s="35"/>
      <c r="W825" s="35"/>
      <c r="X825" s="35"/>
      <c r="Y825" s="35"/>
      <c r="Z825" s="35"/>
      <c r="AA825" s="35"/>
      <c r="AB825" s="218"/>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row>
    <row r="826">
      <c r="A826" s="35"/>
      <c r="B826" s="35"/>
      <c r="C826" s="35"/>
      <c r="D826" s="35"/>
      <c r="E826" s="35"/>
      <c r="F826" s="35"/>
      <c r="G826" s="35"/>
      <c r="H826" s="35"/>
      <c r="I826" s="35"/>
      <c r="J826" s="35"/>
      <c r="K826" s="35"/>
      <c r="L826" s="35"/>
      <c r="M826" s="35"/>
      <c r="N826" s="35"/>
      <c r="O826" s="35"/>
      <c r="P826" s="35"/>
      <c r="Q826" s="43"/>
      <c r="R826" s="35"/>
      <c r="S826" s="35"/>
      <c r="T826" s="35"/>
      <c r="U826" s="138"/>
      <c r="V826" s="35"/>
      <c r="W826" s="35"/>
      <c r="X826" s="35"/>
      <c r="Y826" s="35"/>
      <c r="Z826" s="35"/>
      <c r="AA826" s="35"/>
      <c r="AB826" s="218"/>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row>
    <row r="827">
      <c r="A827" s="35"/>
      <c r="B827" s="35"/>
      <c r="C827" s="35"/>
      <c r="D827" s="35"/>
      <c r="E827" s="35"/>
      <c r="F827" s="35"/>
      <c r="G827" s="35"/>
      <c r="H827" s="35"/>
      <c r="I827" s="35"/>
      <c r="J827" s="35"/>
      <c r="K827" s="35"/>
      <c r="L827" s="35"/>
      <c r="M827" s="35"/>
      <c r="N827" s="35"/>
      <c r="O827" s="35"/>
      <c r="P827" s="35"/>
      <c r="Q827" s="43"/>
      <c r="R827" s="35"/>
      <c r="S827" s="35"/>
      <c r="T827" s="35"/>
      <c r="U827" s="138"/>
      <c r="V827" s="35"/>
      <c r="W827" s="35"/>
      <c r="X827" s="35"/>
      <c r="Y827" s="35"/>
      <c r="Z827" s="35"/>
      <c r="AA827" s="35"/>
      <c r="AB827" s="218"/>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row>
    <row r="828">
      <c r="A828" s="35"/>
      <c r="B828" s="35"/>
      <c r="C828" s="35"/>
      <c r="D828" s="35"/>
      <c r="E828" s="35"/>
      <c r="F828" s="35"/>
      <c r="G828" s="35"/>
      <c r="H828" s="35"/>
      <c r="I828" s="35"/>
      <c r="J828" s="35"/>
      <c r="K828" s="35"/>
      <c r="L828" s="35"/>
      <c r="M828" s="35"/>
      <c r="N828" s="35"/>
      <c r="O828" s="35"/>
      <c r="P828" s="35"/>
      <c r="Q828" s="43"/>
      <c r="R828" s="35"/>
      <c r="S828" s="35"/>
      <c r="T828" s="35"/>
      <c r="U828" s="138"/>
      <c r="V828" s="35"/>
      <c r="W828" s="35"/>
      <c r="X828" s="35"/>
      <c r="Y828" s="35"/>
      <c r="Z828" s="35"/>
      <c r="AA828" s="35"/>
      <c r="AB828" s="218"/>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row>
    <row r="829">
      <c r="A829" s="35"/>
      <c r="B829" s="35"/>
      <c r="C829" s="35"/>
      <c r="D829" s="35"/>
      <c r="E829" s="35"/>
      <c r="F829" s="35"/>
      <c r="G829" s="35"/>
      <c r="H829" s="35"/>
      <c r="I829" s="35"/>
      <c r="J829" s="35"/>
      <c r="K829" s="35"/>
      <c r="L829" s="35"/>
      <c r="M829" s="35"/>
      <c r="N829" s="35"/>
      <c r="O829" s="35"/>
      <c r="P829" s="35"/>
      <c r="Q829" s="43"/>
      <c r="R829" s="35"/>
      <c r="S829" s="35"/>
      <c r="T829" s="35"/>
      <c r="U829" s="138"/>
      <c r="V829" s="35"/>
      <c r="W829" s="35"/>
      <c r="X829" s="35"/>
      <c r="Y829" s="35"/>
      <c r="Z829" s="35"/>
      <c r="AA829" s="35"/>
      <c r="AB829" s="218"/>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row>
    <row r="830">
      <c r="A830" s="35"/>
      <c r="B830" s="35"/>
      <c r="C830" s="35"/>
      <c r="D830" s="35"/>
      <c r="E830" s="35"/>
      <c r="F830" s="35"/>
      <c r="G830" s="35"/>
      <c r="H830" s="35"/>
      <c r="I830" s="35"/>
      <c r="J830" s="35"/>
      <c r="K830" s="35"/>
      <c r="L830" s="35"/>
      <c r="M830" s="35"/>
      <c r="N830" s="35"/>
      <c r="O830" s="35"/>
      <c r="P830" s="35"/>
      <c r="Q830" s="43"/>
      <c r="R830" s="35"/>
      <c r="S830" s="35"/>
      <c r="T830" s="35"/>
      <c r="U830" s="138"/>
      <c r="V830" s="35"/>
      <c r="W830" s="35"/>
      <c r="X830" s="35"/>
      <c r="Y830" s="35"/>
      <c r="Z830" s="35"/>
      <c r="AA830" s="35"/>
      <c r="AB830" s="218"/>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row>
    <row r="831">
      <c r="A831" s="35"/>
      <c r="B831" s="35"/>
      <c r="C831" s="35"/>
      <c r="D831" s="35"/>
      <c r="E831" s="35"/>
      <c r="F831" s="35"/>
      <c r="G831" s="35"/>
      <c r="H831" s="35"/>
      <c r="I831" s="35"/>
      <c r="J831" s="35"/>
      <c r="K831" s="35"/>
      <c r="L831" s="35"/>
      <c r="M831" s="35"/>
      <c r="N831" s="35"/>
      <c r="O831" s="35"/>
      <c r="P831" s="35"/>
      <c r="Q831" s="43"/>
      <c r="R831" s="35"/>
      <c r="S831" s="35"/>
      <c r="T831" s="35"/>
      <c r="U831" s="138"/>
      <c r="V831" s="35"/>
      <c r="W831" s="35"/>
      <c r="X831" s="35"/>
      <c r="Y831" s="35"/>
      <c r="Z831" s="35"/>
      <c r="AA831" s="35"/>
      <c r="AB831" s="218"/>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row>
    <row r="832">
      <c r="A832" s="35"/>
      <c r="B832" s="35"/>
      <c r="C832" s="35"/>
      <c r="D832" s="35"/>
      <c r="E832" s="35"/>
      <c r="F832" s="35"/>
      <c r="G832" s="35"/>
      <c r="H832" s="35"/>
      <c r="I832" s="35"/>
      <c r="J832" s="35"/>
      <c r="K832" s="35"/>
      <c r="L832" s="35"/>
      <c r="M832" s="35"/>
      <c r="N832" s="35"/>
      <c r="O832" s="35"/>
      <c r="P832" s="35"/>
      <c r="Q832" s="43"/>
      <c r="R832" s="35"/>
      <c r="S832" s="35"/>
      <c r="T832" s="35"/>
      <c r="U832" s="138"/>
      <c r="V832" s="35"/>
      <c r="W832" s="35"/>
      <c r="X832" s="35"/>
      <c r="Y832" s="35"/>
      <c r="Z832" s="35"/>
      <c r="AA832" s="35"/>
      <c r="AB832" s="218"/>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row>
    <row r="833">
      <c r="A833" s="35"/>
      <c r="B833" s="35"/>
      <c r="C833" s="35"/>
      <c r="D833" s="35"/>
      <c r="E833" s="35"/>
      <c r="F833" s="35"/>
      <c r="G833" s="35"/>
      <c r="H833" s="35"/>
      <c r="I833" s="35"/>
      <c r="J833" s="35"/>
      <c r="K833" s="35"/>
      <c r="L833" s="35"/>
      <c r="M833" s="35"/>
      <c r="N833" s="35"/>
      <c r="O833" s="35"/>
      <c r="P833" s="35"/>
      <c r="Q833" s="43"/>
      <c r="R833" s="35"/>
      <c r="S833" s="35"/>
      <c r="T833" s="35"/>
      <c r="U833" s="138"/>
      <c r="V833" s="35"/>
      <c r="W833" s="35"/>
      <c r="X833" s="35"/>
      <c r="Y833" s="35"/>
      <c r="Z833" s="35"/>
      <c r="AA833" s="35"/>
      <c r="AB833" s="218"/>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row>
    <row r="834">
      <c r="A834" s="35"/>
      <c r="B834" s="35"/>
      <c r="C834" s="35"/>
      <c r="D834" s="35"/>
      <c r="E834" s="35"/>
      <c r="F834" s="35"/>
      <c r="G834" s="35"/>
      <c r="H834" s="35"/>
      <c r="I834" s="35"/>
      <c r="J834" s="35"/>
      <c r="K834" s="35"/>
      <c r="L834" s="35"/>
      <c r="M834" s="35"/>
      <c r="N834" s="35"/>
      <c r="O834" s="35"/>
      <c r="P834" s="35"/>
      <c r="Q834" s="43"/>
      <c r="R834" s="35"/>
      <c r="S834" s="35"/>
      <c r="T834" s="35"/>
      <c r="U834" s="138"/>
      <c r="V834" s="35"/>
      <c r="W834" s="35"/>
      <c r="X834" s="35"/>
      <c r="Y834" s="35"/>
      <c r="Z834" s="35"/>
      <c r="AA834" s="35"/>
      <c r="AB834" s="218"/>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row>
    <row r="835">
      <c r="A835" s="35"/>
      <c r="B835" s="35"/>
      <c r="C835" s="35"/>
      <c r="D835" s="35"/>
      <c r="E835" s="35"/>
      <c r="F835" s="35"/>
      <c r="G835" s="35"/>
      <c r="H835" s="35"/>
      <c r="I835" s="35"/>
      <c r="J835" s="35"/>
      <c r="K835" s="35"/>
      <c r="L835" s="35"/>
      <c r="M835" s="35"/>
      <c r="N835" s="35"/>
      <c r="O835" s="35"/>
      <c r="P835" s="35"/>
      <c r="Q835" s="43"/>
      <c r="R835" s="35"/>
      <c r="S835" s="35"/>
      <c r="T835" s="35"/>
      <c r="U835" s="138"/>
      <c r="V835" s="35"/>
      <c r="W835" s="35"/>
      <c r="X835" s="35"/>
      <c r="Y835" s="35"/>
      <c r="Z835" s="35"/>
      <c r="AA835" s="35"/>
      <c r="AB835" s="218"/>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row>
    <row r="836">
      <c r="A836" s="35"/>
      <c r="B836" s="35"/>
      <c r="C836" s="35"/>
      <c r="D836" s="35"/>
      <c r="E836" s="35"/>
      <c r="F836" s="35"/>
      <c r="G836" s="35"/>
      <c r="H836" s="35"/>
      <c r="I836" s="35"/>
      <c r="J836" s="35"/>
      <c r="K836" s="35"/>
      <c r="L836" s="35"/>
      <c r="M836" s="35"/>
      <c r="N836" s="35"/>
      <c r="O836" s="35"/>
      <c r="P836" s="35"/>
      <c r="Q836" s="43"/>
      <c r="R836" s="35"/>
      <c r="S836" s="35"/>
      <c r="T836" s="35"/>
      <c r="U836" s="138"/>
      <c r="V836" s="35"/>
      <c r="W836" s="35"/>
      <c r="X836" s="35"/>
      <c r="Y836" s="35"/>
      <c r="Z836" s="35"/>
      <c r="AA836" s="35"/>
      <c r="AB836" s="218"/>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row>
    <row r="837">
      <c r="A837" s="35"/>
      <c r="B837" s="35"/>
      <c r="C837" s="35"/>
      <c r="D837" s="35"/>
      <c r="E837" s="35"/>
      <c r="F837" s="35"/>
      <c r="G837" s="35"/>
      <c r="H837" s="35"/>
      <c r="I837" s="35"/>
      <c r="J837" s="35"/>
      <c r="K837" s="35"/>
      <c r="L837" s="35"/>
      <c r="M837" s="35"/>
      <c r="N837" s="35"/>
      <c r="O837" s="35"/>
      <c r="P837" s="35"/>
      <c r="Q837" s="43"/>
      <c r="R837" s="35"/>
      <c r="S837" s="35"/>
      <c r="T837" s="35"/>
      <c r="U837" s="138"/>
      <c r="V837" s="35"/>
      <c r="W837" s="35"/>
      <c r="X837" s="35"/>
      <c r="Y837" s="35"/>
      <c r="Z837" s="35"/>
      <c r="AA837" s="35"/>
      <c r="AB837" s="218"/>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row>
    <row r="838">
      <c r="A838" s="35"/>
      <c r="B838" s="35"/>
      <c r="C838" s="35"/>
      <c r="D838" s="35"/>
      <c r="E838" s="35"/>
      <c r="F838" s="35"/>
      <c r="G838" s="35"/>
      <c r="H838" s="35"/>
      <c r="I838" s="35"/>
      <c r="J838" s="35"/>
      <c r="K838" s="35"/>
      <c r="L838" s="35"/>
      <c r="M838" s="35"/>
      <c r="N838" s="35"/>
      <c r="O838" s="35"/>
      <c r="P838" s="35"/>
      <c r="Q838" s="43"/>
      <c r="R838" s="35"/>
      <c r="S838" s="35"/>
      <c r="T838" s="35"/>
      <c r="U838" s="138"/>
      <c r="V838" s="35"/>
      <c r="W838" s="35"/>
      <c r="X838" s="35"/>
      <c r="Y838" s="35"/>
      <c r="Z838" s="35"/>
      <c r="AA838" s="35"/>
      <c r="AB838" s="218"/>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row>
    <row r="839">
      <c r="A839" s="35"/>
      <c r="B839" s="35"/>
      <c r="C839" s="35"/>
      <c r="D839" s="35"/>
      <c r="E839" s="35"/>
      <c r="F839" s="35"/>
      <c r="G839" s="35"/>
      <c r="H839" s="35"/>
      <c r="I839" s="35"/>
      <c r="J839" s="35"/>
      <c r="K839" s="35"/>
      <c r="L839" s="35"/>
      <c r="M839" s="35"/>
      <c r="N839" s="35"/>
      <c r="O839" s="35"/>
      <c r="P839" s="35"/>
      <c r="Q839" s="43"/>
      <c r="R839" s="35"/>
      <c r="S839" s="35"/>
      <c r="T839" s="35"/>
      <c r="U839" s="138"/>
      <c r="V839" s="35"/>
      <c r="W839" s="35"/>
      <c r="X839" s="35"/>
      <c r="Y839" s="35"/>
      <c r="Z839" s="35"/>
      <c r="AA839" s="35"/>
      <c r="AB839" s="218"/>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row>
    <row r="840">
      <c r="A840" s="35"/>
      <c r="B840" s="35"/>
      <c r="C840" s="35"/>
      <c r="D840" s="35"/>
      <c r="E840" s="35"/>
      <c r="F840" s="35"/>
      <c r="G840" s="35"/>
      <c r="H840" s="35"/>
      <c r="I840" s="35"/>
      <c r="J840" s="35"/>
      <c r="K840" s="35"/>
      <c r="L840" s="35"/>
      <c r="M840" s="35"/>
      <c r="N840" s="35"/>
      <c r="O840" s="35"/>
      <c r="P840" s="35"/>
      <c r="Q840" s="43"/>
      <c r="R840" s="35"/>
      <c r="S840" s="35"/>
      <c r="T840" s="35"/>
      <c r="U840" s="138"/>
      <c r="V840" s="35"/>
      <c r="W840" s="35"/>
      <c r="X840" s="35"/>
      <c r="Y840" s="35"/>
      <c r="Z840" s="35"/>
      <c r="AA840" s="35"/>
      <c r="AB840" s="218"/>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row>
    <row r="841">
      <c r="A841" s="35"/>
      <c r="B841" s="35"/>
      <c r="C841" s="35"/>
      <c r="D841" s="35"/>
      <c r="E841" s="35"/>
      <c r="F841" s="35"/>
      <c r="G841" s="35"/>
      <c r="H841" s="35"/>
      <c r="I841" s="35"/>
      <c r="J841" s="35"/>
      <c r="K841" s="35"/>
      <c r="L841" s="35"/>
      <c r="M841" s="35"/>
      <c r="N841" s="35"/>
      <c r="O841" s="35"/>
      <c r="P841" s="35"/>
      <c r="Q841" s="43"/>
      <c r="R841" s="35"/>
      <c r="S841" s="35"/>
      <c r="T841" s="35"/>
      <c r="U841" s="138"/>
      <c r="V841" s="35"/>
      <c r="W841" s="35"/>
      <c r="X841" s="35"/>
      <c r="Y841" s="35"/>
      <c r="Z841" s="35"/>
      <c r="AA841" s="35"/>
      <c r="AB841" s="218"/>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row>
    <row r="842">
      <c r="A842" s="35"/>
      <c r="B842" s="35"/>
      <c r="C842" s="35"/>
      <c r="D842" s="35"/>
      <c r="E842" s="35"/>
      <c r="F842" s="35"/>
      <c r="G842" s="35"/>
      <c r="H842" s="35"/>
      <c r="I842" s="35"/>
      <c r="J842" s="35"/>
      <c r="K842" s="35"/>
      <c r="L842" s="35"/>
      <c r="M842" s="35"/>
      <c r="N842" s="35"/>
      <c r="O842" s="35"/>
      <c r="P842" s="35"/>
      <c r="Q842" s="43"/>
      <c r="R842" s="35"/>
      <c r="S842" s="35"/>
      <c r="T842" s="35"/>
      <c r="U842" s="138"/>
      <c r="V842" s="35"/>
      <c r="W842" s="35"/>
      <c r="X842" s="35"/>
      <c r="Y842" s="35"/>
      <c r="Z842" s="35"/>
      <c r="AA842" s="35"/>
      <c r="AB842" s="218"/>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row>
    <row r="843">
      <c r="A843" s="35"/>
      <c r="B843" s="35"/>
      <c r="C843" s="35"/>
      <c r="D843" s="35"/>
      <c r="E843" s="35"/>
      <c r="F843" s="35"/>
      <c r="G843" s="35"/>
      <c r="H843" s="35"/>
      <c r="I843" s="35"/>
      <c r="J843" s="35"/>
      <c r="K843" s="35"/>
      <c r="L843" s="35"/>
      <c r="M843" s="35"/>
      <c r="N843" s="35"/>
      <c r="O843" s="35"/>
      <c r="P843" s="35"/>
      <c r="Q843" s="43"/>
      <c r="R843" s="35"/>
      <c r="S843" s="35"/>
      <c r="T843" s="35"/>
      <c r="U843" s="138"/>
      <c r="V843" s="35"/>
      <c r="W843" s="35"/>
      <c r="X843" s="35"/>
      <c r="Y843" s="35"/>
      <c r="Z843" s="35"/>
      <c r="AA843" s="35"/>
      <c r="AB843" s="218"/>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row>
    <row r="844">
      <c r="A844" s="35"/>
      <c r="B844" s="35"/>
      <c r="C844" s="35"/>
      <c r="D844" s="35"/>
      <c r="E844" s="35"/>
      <c r="F844" s="35"/>
      <c r="G844" s="35"/>
      <c r="H844" s="35"/>
      <c r="I844" s="35"/>
      <c r="J844" s="35"/>
      <c r="K844" s="35"/>
      <c r="L844" s="35"/>
      <c r="M844" s="35"/>
      <c r="N844" s="35"/>
      <c r="O844" s="35"/>
      <c r="P844" s="35"/>
      <c r="Q844" s="43"/>
      <c r="R844" s="35"/>
      <c r="S844" s="35"/>
      <c r="T844" s="35"/>
      <c r="U844" s="138"/>
      <c r="V844" s="35"/>
      <c r="W844" s="35"/>
      <c r="X844" s="35"/>
      <c r="Y844" s="35"/>
      <c r="Z844" s="35"/>
      <c r="AA844" s="35"/>
      <c r="AB844" s="218"/>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row>
    <row r="845">
      <c r="A845" s="35"/>
      <c r="B845" s="35"/>
      <c r="C845" s="35"/>
      <c r="D845" s="35"/>
      <c r="E845" s="35"/>
      <c r="F845" s="35"/>
      <c r="G845" s="35"/>
      <c r="H845" s="35"/>
      <c r="I845" s="35"/>
      <c r="J845" s="35"/>
      <c r="K845" s="35"/>
      <c r="L845" s="35"/>
      <c r="M845" s="35"/>
      <c r="N845" s="35"/>
      <c r="O845" s="35"/>
      <c r="P845" s="35"/>
      <c r="Q845" s="43"/>
      <c r="R845" s="35"/>
      <c r="S845" s="35"/>
      <c r="T845" s="35"/>
      <c r="U845" s="138"/>
      <c r="V845" s="35"/>
      <c r="W845" s="35"/>
      <c r="X845" s="35"/>
      <c r="Y845" s="35"/>
      <c r="Z845" s="35"/>
      <c r="AA845" s="35"/>
      <c r="AB845" s="218"/>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row>
    <row r="846">
      <c r="A846" s="35"/>
      <c r="B846" s="35"/>
      <c r="C846" s="35"/>
      <c r="D846" s="35"/>
      <c r="E846" s="35"/>
      <c r="F846" s="35"/>
      <c r="G846" s="35"/>
      <c r="H846" s="35"/>
      <c r="I846" s="35"/>
      <c r="J846" s="35"/>
      <c r="K846" s="35"/>
      <c r="L846" s="35"/>
      <c r="M846" s="35"/>
      <c r="N846" s="35"/>
      <c r="O846" s="35"/>
      <c r="P846" s="35"/>
      <c r="Q846" s="43"/>
      <c r="R846" s="35"/>
      <c r="S846" s="35"/>
      <c r="T846" s="35"/>
      <c r="U846" s="138"/>
      <c r="V846" s="35"/>
      <c r="W846" s="35"/>
      <c r="X846" s="35"/>
      <c r="Y846" s="35"/>
      <c r="Z846" s="35"/>
      <c r="AA846" s="35"/>
      <c r="AB846" s="218"/>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row>
    <row r="847">
      <c r="A847" s="35"/>
      <c r="B847" s="35"/>
      <c r="C847" s="35"/>
      <c r="D847" s="35"/>
      <c r="E847" s="35"/>
      <c r="F847" s="35"/>
      <c r="G847" s="35"/>
      <c r="H847" s="35"/>
      <c r="I847" s="35"/>
      <c r="J847" s="35"/>
      <c r="K847" s="35"/>
      <c r="L847" s="35"/>
      <c r="M847" s="35"/>
      <c r="N847" s="35"/>
      <c r="O847" s="35"/>
      <c r="P847" s="35"/>
      <c r="Q847" s="43"/>
      <c r="R847" s="35"/>
      <c r="S847" s="35"/>
      <c r="T847" s="35"/>
      <c r="U847" s="138"/>
      <c r="V847" s="35"/>
      <c r="W847" s="35"/>
      <c r="X847" s="35"/>
      <c r="Y847" s="35"/>
      <c r="Z847" s="35"/>
      <c r="AA847" s="35"/>
      <c r="AB847" s="218"/>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row>
    <row r="848">
      <c r="A848" s="35"/>
      <c r="B848" s="35"/>
      <c r="C848" s="35"/>
      <c r="D848" s="35"/>
      <c r="E848" s="35"/>
      <c r="F848" s="35"/>
      <c r="G848" s="35"/>
      <c r="H848" s="35"/>
      <c r="I848" s="35"/>
      <c r="J848" s="35"/>
      <c r="K848" s="35"/>
      <c r="L848" s="35"/>
      <c r="M848" s="35"/>
      <c r="N848" s="35"/>
      <c r="O848" s="35"/>
      <c r="P848" s="35"/>
      <c r="Q848" s="43"/>
      <c r="R848" s="35"/>
      <c r="S848" s="35"/>
      <c r="T848" s="35"/>
      <c r="U848" s="138"/>
      <c r="V848" s="35"/>
      <c r="W848" s="35"/>
      <c r="X848" s="35"/>
      <c r="Y848" s="35"/>
      <c r="Z848" s="35"/>
      <c r="AA848" s="35"/>
      <c r="AB848" s="218"/>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row>
    <row r="849">
      <c r="A849" s="35"/>
      <c r="B849" s="35"/>
      <c r="C849" s="35"/>
      <c r="D849" s="35"/>
      <c r="E849" s="35"/>
      <c r="F849" s="35"/>
      <c r="G849" s="35"/>
      <c r="H849" s="35"/>
      <c r="I849" s="35"/>
      <c r="J849" s="35"/>
      <c r="K849" s="35"/>
      <c r="L849" s="35"/>
      <c r="M849" s="35"/>
      <c r="N849" s="35"/>
      <c r="O849" s="35"/>
      <c r="P849" s="35"/>
      <c r="Q849" s="43"/>
      <c r="R849" s="35"/>
      <c r="S849" s="35"/>
      <c r="T849" s="35"/>
      <c r="U849" s="138"/>
      <c r="V849" s="35"/>
      <c r="W849" s="35"/>
      <c r="X849" s="35"/>
      <c r="Y849" s="35"/>
      <c r="Z849" s="35"/>
      <c r="AA849" s="35"/>
      <c r="AB849" s="218"/>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row>
    <row r="850">
      <c r="A850" s="35"/>
      <c r="B850" s="35"/>
      <c r="C850" s="35"/>
      <c r="D850" s="35"/>
      <c r="E850" s="35"/>
      <c r="F850" s="35"/>
      <c r="G850" s="35"/>
      <c r="H850" s="35"/>
      <c r="I850" s="35"/>
      <c r="J850" s="35"/>
      <c r="K850" s="35"/>
      <c r="L850" s="35"/>
      <c r="M850" s="35"/>
      <c r="N850" s="35"/>
      <c r="O850" s="35"/>
      <c r="P850" s="35"/>
      <c r="Q850" s="43"/>
      <c r="R850" s="35"/>
      <c r="S850" s="35"/>
      <c r="T850" s="35"/>
      <c r="U850" s="138"/>
      <c r="V850" s="35"/>
      <c r="W850" s="35"/>
      <c r="X850" s="35"/>
      <c r="Y850" s="35"/>
      <c r="Z850" s="35"/>
      <c r="AA850" s="35"/>
      <c r="AB850" s="218"/>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row>
    <row r="851">
      <c r="A851" s="35"/>
      <c r="B851" s="35"/>
      <c r="C851" s="35"/>
      <c r="D851" s="35"/>
      <c r="E851" s="35"/>
      <c r="F851" s="35"/>
      <c r="G851" s="35"/>
      <c r="H851" s="35"/>
      <c r="I851" s="35"/>
      <c r="J851" s="35"/>
      <c r="K851" s="35"/>
      <c r="L851" s="35"/>
      <c r="M851" s="35"/>
      <c r="N851" s="35"/>
      <c r="O851" s="35"/>
      <c r="P851" s="35"/>
      <c r="Q851" s="43"/>
      <c r="R851" s="35"/>
      <c r="S851" s="35"/>
      <c r="T851" s="35"/>
      <c r="U851" s="138"/>
      <c r="V851" s="35"/>
      <c r="W851" s="35"/>
      <c r="X851" s="35"/>
      <c r="Y851" s="35"/>
      <c r="Z851" s="35"/>
      <c r="AA851" s="35"/>
      <c r="AB851" s="218"/>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row>
    <row r="852">
      <c r="A852" s="35"/>
      <c r="B852" s="35"/>
      <c r="C852" s="35"/>
      <c r="D852" s="35"/>
      <c r="E852" s="35"/>
      <c r="F852" s="35"/>
      <c r="G852" s="35"/>
      <c r="H852" s="35"/>
      <c r="I852" s="35"/>
      <c r="J852" s="35"/>
      <c r="K852" s="35"/>
      <c r="L852" s="35"/>
      <c r="M852" s="35"/>
      <c r="N852" s="35"/>
      <c r="O852" s="35"/>
      <c r="P852" s="35"/>
      <c r="Q852" s="43"/>
      <c r="R852" s="35"/>
      <c r="S852" s="35"/>
      <c r="T852" s="35"/>
      <c r="U852" s="138"/>
      <c r="V852" s="35"/>
      <c r="W852" s="35"/>
      <c r="X852" s="35"/>
      <c r="Y852" s="35"/>
      <c r="Z852" s="35"/>
      <c r="AA852" s="35"/>
      <c r="AB852" s="218"/>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row>
    <row r="853">
      <c r="A853" s="35"/>
      <c r="B853" s="35"/>
      <c r="C853" s="35"/>
      <c r="D853" s="35"/>
      <c r="E853" s="35"/>
      <c r="F853" s="35"/>
      <c r="G853" s="35"/>
      <c r="H853" s="35"/>
      <c r="I853" s="35"/>
      <c r="J853" s="35"/>
      <c r="K853" s="35"/>
      <c r="L853" s="35"/>
      <c r="M853" s="35"/>
      <c r="N853" s="35"/>
      <c r="O853" s="35"/>
      <c r="P853" s="35"/>
      <c r="Q853" s="43"/>
      <c r="R853" s="35"/>
      <c r="S853" s="35"/>
      <c r="T853" s="35"/>
      <c r="U853" s="138"/>
      <c r="V853" s="35"/>
      <c r="W853" s="35"/>
      <c r="X853" s="35"/>
      <c r="Y853" s="35"/>
      <c r="Z853" s="35"/>
      <c r="AA853" s="35"/>
      <c r="AB853" s="218"/>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row>
    <row r="854">
      <c r="A854" s="35"/>
      <c r="B854" s="35"/>
      <c r="C854" s="35"/>
      <c r="D854" s="35"/>
      <c r="E854" s="35"/>
      <c r="F854" s="35"/>
      <c r="G854" s="35"/>
      <c r="H854" s="35"/>
      <c r="I854" s="35"/>
      <c r="J854" s="35"/>
      <c r="K854" s="35"/>
      <c r="L854" s="35"/>
      <c r="M854" s="35"/>
      <c r="N854" s="35"/>
      <c r="O854" s="35"/>
      <c r="P854" s="35"/>
      <c r="Q854" s="43"/>
      <c r="R854" s="35"/>
      <c r="S854" s="35"/>
      <c r="T854" s="35"/>
      <c r="U854" s="138"/>
      <c r="V854" s="35"/>
      <c r="W854" s="35"/>
      <c r="X854" s="35"/>
      <c r="Y854" s="35"/>
      <c r="Z854" s="35"/>
      <c r="AA854" s="35"/>
      <c r="AB854" s="218"/>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row>
    <row r="855">
      <c r="A855" s="35"/>
      <c r="B855" s="35"/>
      <c r="C855" s="35"/>
      <c r="D855" s="35"/>
      <c r="E855" s="35"/>
      <c r="F855" s="35"/>
      <c r="G855" s="35"/>
      <c r="H855" s="35"/>
      <c r="I855" s="35"/>
      <c r="J855" s="35"/>
      <c r="K855" s="35"/>
      <c r="L855" s="35"/>
      <c r="M855" s="35"/>
      <c r="N855" s="35"/>
      <c r="O855" s="35"/>
      <c r="P855" s="35"/>
      <c r="Q855" s="43"/>
      <c r="R855" s="35"/>
      <c r="S855" s="35"/>
      <c r="T855" s="35"/>
      <c r="U855" s="138"/>
      <c r="V855" s="35"/>
      <c r="W855" s="35"/>
      <c r="X855" s="35"/>
      <c r="Y855" s="35"/>
      <c r="Z855" s="35"/>
      <c r="AA855" s="35"/>
      <c r="AB855" s="218"/>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row>
    <row r="856">
      <c r="A856" s="35"/>
      <c r="B856" s="35"/>
      <c r="C856" s="35"/>
      <c r="D856" s="35"/>
      <c r="E856" s="35"/>
      <c r="F856" s="35"/>
      <c r="G856" s="35"/>
      <c r="H856" s="35"/>
      <c r="I856" s="35"/>
      <c r="J856" s="35"/>
      <c r="K856" s="35"/>
      <c r="L856" s="35"/>
      <c r="M856" s="35"/>
      <c r="N856" s="35"/>
      <c r="O856" s="35"/>
      <c r="P856" s="35"/>
      <c r="Q856" s="43"/>
      <c r="R856" s="35"/>
      <c r="S856" s="35"/>
      <c r="T856" s="35"/>
      <c r="U856" s="138"/>
      <c r="V856" s="35"/>
      <c r="W856" s="35"/>
      <c r="X856" s="35"/>
      <c r="Y856" s="35"/>
      <c r="Z856" s="35"/>
      <c r="AA856" s="35"/>
      <c r="AB856" s="218"/>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row>
    <row r="857">
      <c r="A857" s="35"/>
      <c r="B857" s="35"/>
      <c r="C857" s="35"/>
      <c r="D857" s="35"/>
      <c r="E857" s="35"/>
      <c r="F857" s="35"/>
      <c r="G857" s="35"/>
      <c r="H857" s="35"/>
      <c r="I857" s="35"/>
      <c r="J857" s="35"/>
      <c r="K857" s="35"/>
      <c r="L857" s="35"/>
      <c r="M857" s="35"/>
      <c r="N857" s="35"/>
      <c r="O857" s="35"/>
      <c r="P857" s="35"/>
      <c r="Q857" s="43"/>
      <c r="R857" s="35"/>
      <c r="S857" s="35"/>
      <c r="T857" s="35"/>
      <c r="U857" s="138"/>
      <c r="V857" s="35"/>
      <c r="W857" s="35"/>
      <c r="X857" s="35"/>
      <c r="Y857" s="35"/>
      <c r="Z857" s="35"/>
      <c r="AA857" s="35"/>
      <c r="AB857" s="218"/>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row>
    <row r="858">
      <c r="A858" s="35"/>
      <c r="B858" s="35"/>
      <c r="C858" s="35"/>
      <c r="D858" s="35"/>
      <c r="E858" s="35"/>
      <c r="F858" s="35"/>
      <c r="G858" s="35"/>
      <c r="H858" s="35"/>
      <c r="I858" s="35"/>
      <c r="J858" s="35"/>
      <c r="K858" s="35"/>
      <c r="L858" s="35"/>
      <c r="M858" s="35"/>
      <c r="N858" s="35"/>
      <c r="O858" s="35"/>
      <c r="P858" s="35"/>
      <c r="Q858" s="43"/>
      <c r="R858" s="35"/>
      <c r="S858" s="35"/>
      <c r="T858" s="35"/>
      <c r="U858" s="138"/>
      <c r="V858" s="35"/>
      <c r="W858" s="35"/>
      <c r="X858" s="35"/>
      <c r="Y858" s="35"/>
      <c r="Z858" s="35"/>
      <c r="AA858" s="35"/>
      <c r="AB858" s="218"/>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row>
    <row r="859">
      <c r="A859" s="35"/>
      <c r="B859" s="35"/>
      <c r="C859" s="35"/>
      <c r="D859" s="35"/>
      <c r="E859" s="35"/>
      <c r="F859" s="35"/>
      <c r="G859" s="35"/>
      <c r="H859" s="35"/>
      <c r="I859" s="35"/>
      <c r="J859" s="35"/>
      <c r="K859" s="35"/>
      <c r="L859" s="35"/>
      <c r="M859" s="35"/>
      <c r="N859" s="35"/>
      <c r="O859" s="35"/>
      <c r="P859" s="35"/>
      <c r="Q859" s="43"/>
      <c r="R859" s="35"/>
      <c r="S859" s="35"/>
      <c r="T859" s="35"/>
      <c r="U859" s="138"/>
      <c r="V859" s="35"/>
      <c r="W859" s="35"/>
      <c r="X859" s="35"/>
      <c r="Y859" s="35"/>
      <c r="Z859" s="35"/>
      <c r="AA859" s="35"/>
      <c r="AB859" s="218"/>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row>
    <row r="860">
      <c r="A860" s="35"/>
      <c r="B860" s="35"/>
      <c r="C860" s="35"/>
      <c r="D860" s="35"/>
      <c r="E860" s="35"/>
      <c r="F860" s="35"/>
      <c r="G860" s="35"/>
      <c r="H860" s="35"/>
      <c r="I860" s="35"/>
      <c r="J860" s="35"/>
      <c r="K860" s="35"/>
      <c r="L860" s="35"/>
      <c r="M860" s="35"/>
      <c r="N860" s="35"/>
      <c r="O860" s="35"/>
      <c r="P860" s="35"/>
      <c r="Q860" s="43"/>
      <c r="R860" s="35"/>
      <c r="S860" s="35"/>
      <c r="T860" s="35"/>
      <c r="U860" s="138"/>
      <c r="V860" s="35"/>
      <c r="W860" s="35"/>
      <c r="X860" s="35"/>
      <c r="Y860" s="35"/>
      <c r="Z860" s="35"/>
      <c r="AA860" s="35"/>
      <c r="AB860" s="218"/>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row>
    <row r="861">
      <c r="A861" s="35"/>
      <c r="B861" s="35"/>
      <c r="C861" s="35"/>
      <c r="D861" s="35"/>
      <c r="E861" s="35"/>
      <c r="F861" s="35"/>
      <c r="G861" s="35"/>
      <c r="H861" s="35"/>
      <c r="I861" s="35"/>
      <c r="J861" s="35"/>
      <c r="K861" s="35"/>
      <c r="L861" s="35"/>
      <c r="M861" s="35"/>
      <c r="N861" s="35"/>
      <c r="O861" s="35"/>
      <c r="P861" s="35"/>
      <c r="Q861" s="43"/>
      <c r="R861" s="35"/>
      <c r="S861" s="35"/>
      <c r="T861" s="35"/>
      <c r="U861" s="138"/>
      <c r="V861" s="35"/>
      <c r="W861" s="35"/>
      <c r="X861" s="35"/>
      <c r="Y861" s="35"/>
      <c r="Z861" s="35"/>
      <c r="AA861" s="35"/>
      <c r="AB861" s="218"/>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row>
    <row r="862">
      <c r="A862" s="35"/>
      <c r="B862" s="35"/>
      <c r="C862" s="35"/>
      <c r="D862" s="35"/>
      <c r="E862" s="35"/>
      <c r="F862" s="35"/>
      <c r="G862" s="35"/>
      <c r="H862" s="35"/>
      <c r="I862" s="35"/>
      <c r="J862" s="35"/>
      <c r="K862" s="35"/>
      <c r="L862" s="35"/>
      <c r="M862" s="35"/>
      <c r="N862" s="35"/>
      <c r="O862" s="35"/>
      <c r="P862" s="35"/>
      <c r="Q862" s="43"/>
      <c r="R862" s="35"/>
      <c r="S862" s="35"/>
      <c r="T862" s="35"/>
      <c r="U862" s="138"/>
      <c r="V862" s="35"/>
      <c r="W862" s="35"/>
      <c r="X862" s="35"/>
      <c r="Y862" s="35"/>
      <c r="Z862" s="35"/>
      <c r="AA862" s="35"/>
      <c r="AB862" s="218"/>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row>
    <row r="863">
      <c r="A863" s="35"/>
      <c r="B863" s="35"/>
      <c r="C863" s="35"/>
      <c r="D863" s="35"/>
      <c r="E863" s="35"/>
      <c r="F863" s="35"/>
      <c r="G863" s="35"/>
      <c r="H863" s="35"/>
      <c r="I863" s="35"/>
      <c r="J863" s="35"/>
      <c r="K863" s="35"/>
      <c r="L863" s="35"/>
      <c r="M863" s="35"/>
      <c r="N863" s="35"/>
      <c r="O863" s="35"/>
      <c r="P863" s="35"/>
      <c r="Q863" s="43"/>
      <c r="R863" s="35"/>
      <c r="S863" s="35"/>
      <c r="T863" s="35"/>
      <c r="U863" s="138"/>
      <c r="V863" s="35"/>
      <c r="W863" s="35"/>
      <c r="X863" s="35"/>
      <c r="Y863" s="35"/>
      <c r="Z863" s="35"/>
      <c r="AA863" s="35"/>
      <c r="AB863" s="218"/>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row>
    <row r="864">
      <c r="A864" s="35"/>
      <c r="B864" s="35"/>
      <c r="C864" s="35"/>
      <c r="D864" s="35"/>
      <c r="E864" s="35"/>
      <c r="F864" s="35"/>
      <c r="G864" s="35"/>
      <c r="H864" s="35"/>
      <c r="I864" s="35"/>
      <c r="J864" s="35"/>
      <c r="K864" s="35"/>
      <c r="L864" s="35"/>
      <c r="M864" s="35"/>
      <c r="N864" s="35"/>
      <c r="O864" s="35"/>
      <c r="P864" s="35"/>
      <c r="Q864" s="43"/>
      <c r="R864" s="35"/>
      <c r="S864" s="35"/>
      <c r="T864" s="35"/>
      <c r="U864" s="138"/>
      <c r="V864" s="35"/>
      <c r="W864" s="35"/>
      <c r="X864" s="35"/>
      <c r="Y864" s="35"/>
      <c r="Z864" s="35"/>
      <c r="AA864" s="35"/>
      <c r="AB864" s="218"/>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row>
    <row r="865">
      <c r="A865" s="35"/>
      <c r="B865" s="35"/>
      <c r="C865" s="35"/>
      <c r="D865" s="35"/>
      <c r="E865" s="35"/>
      <c r="F865" s="35"/>
      <c r="G865" s="35"/>
      <c r="H865" s="35"/>
      <c r="I865" s="35"/>
      <c r="J865" s="35"/>
      <c r="K865" s="35"/>
      <c r="L865" s="35"/>
      <c r="M865" s="35"/>
      <c r="N865" s="35"/>
      <c r="O865" s="35"/>
      <c r="P865" s="35"/>
      <c r="Q865" s="43"/>
      <c r="R865" s="35"/>
      <c r="S865" s="35"/>
      <c r="T865" s="35"/>
      <c r="U865" s="138"/>
      <c r="V865" s="35"/>
      <c r="W865" s="35"/>
      <c r="X865" s="35"/>
      <c r="Y865" s="35"/>
      <c r="Z865" s="35"/>
      <c r="AA865" s="35"/>
      <c r="AB865" s="218"/>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row>
    <row r="866">
      <c r="A866" s="35"/>
      <c r="B866" s="35"/>
      <c r="C866" s="35"/>
      <c r="D866" s="35"/>
      <c r="E866" s="35"/>
      <c r="F866" s="35"/>
      <c r="G866" s="35"/>
      <c r="H866" s="35"/>
      <c r="I866" s="35"/>
      <c r="J866" s="35"/>
      <c r="K866" s="35"/>
      <c r="L866" s="35"/>
      <c r="M866" s="35"/>
      <c r="N866" s="35"/>
      <c r="O866" s="35"/>
      <c r="P866" s="35"/>
      <c r="Q866" s="43"/>
      <c r="R866" s="35"/>
      <c r="S866" s="35"/>
      <c r="T866" s="35"/>
      <c r="U866" s="138"/>
      <c r="V866" s="35"/>
      <c r="W866" s="35"/>
      <c r="X866" s="35"/>
      <c r="Y866" s="35"/>
      <c r="Z866" s="35"/>
      <c r="AA866" s="35"/>
      <c r="AB866" s="218"/>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row>
    <row r="867">
      <c r="A867" s="35"/>
      <c r="B867" s="35"/>
      <c r="C867" s="35"/>
      <c r="D867" s="35"/>
      <c r="E867" s="35"/>
      <c r="F867" s="35"/>
      <c r="G867" s="35"/>
      <c r="H867" s="35"/>
      <c r="I867" s="35"/>
      <c r="J867" s="35"/>
      <c r="K867" s="35"/>
      <c r="L867" s="35"/>
      <c r="M867" s="35"/>
      <c r="N867" s="35"/>
      <c r="O867" s="35"/>
      <c r="P867" s="35"/>
      <c r="Q867" s="43"/>
      <c r="R867" s="35"/>
      <c r="S867" s="35"/>
      <c r="T867" s="35"/>
      <c r="U867" s="138"/>
      <c r="V867" s="35"/>
      <c r="W867" s="35"/>
      <c r="X867" s="35"/>
      <c r="Y867" s="35"/>
      <c r="Z867" s="35"/>
      <c r="AA867" s="35"/>
      <c r="AB867" s="218"/>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row>
    <row r="868">
      <c r="A868" s="35"/>
      <c r="B868" s="35"/>
      <c r="C868" s="35"/>
      <c r="D868" s="35"/>
      <c r="E868" s="35"/>
      <c r="F868" s="35"/>
      <c r="G868" s="35"/>
      <c r="H868" s="35"/>
      <c r="I868" s="35"/>
      <c r="J868" s="35"/>
      <c r="K868" s="35"/>
      <c r="L868" s="35"/>
      <c r="M868" s="35"/>
      <c r="N868" s="35"/>
      <c r="O868" s="35"/>
      <c r="P868" s="35"/>
      <c r="Q868" s="43"/>
      <c r="R868" s="35"/>
      <c r="S868" s="35"/>
      <c r="T868" s="35"/>
      <c r="U868" s="138"/>
      <c r="V868" s="35"/>
      <c r="W868" s="35"/>
      <c r="X868" s="35"/>
      <c r="Y868" s="35"/>
      <c r="Z868" s="35"/>
      <c r="AA868" s="35"/>
      <c r="AB868" s="218"/>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row>
    <row r="869">
      <c r="A869" s="35"/>
      <c r="B869" s="35"/>
      <c r="C869" s="35"/>
      <c r="D869" s="35"/>
      <c r="E869" s="35"/>
      <c r="F869" s="35"/>
      <c r="G869" s="35"/>
      <c r="H869" s="35"/>
      <c r="I869" s="35"/>
      <c r="J869" s="35"/>
      <c r="K869" s="35"/>
      <c r="L869" s="35"/>
      <c r="M869" s="35"/>
      <c r="N869" s="35"/>
      <c r="O869" s="35"/>
      <c r="P869" s="35"/>
      <c r="Q869" s="43"/>
      <c r="R869" s="35"/>
      <c r="S869" s="35"/>
      <c r="T869" s="35"/>
      <c r="U869" s="138"/>
      <c r="V869" s="35"/>
      <c r="W869" s="35"/>
      <c r="X869" s="35"/>
      <c r="Y869" s="35"/>
      <c r="Z869" s="35"/>
      <c r="AA869" s="35"/>
      <c r="AB869" s="218"/>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row>
    <row r="870">
      <c r="A870" s="35"/>
      <c r="B870" s="35"/>
      <c r="C870" s="35"/>
      <c r="D870" s="35"/>
      <c r="E870" s="35"/>
      <c r="F870" s="35"/>
      <c r="G870" s="35"/>
      <c r="H870" s="35"/>
      <c r="I870" s="35"/>
      <c r="J870" s="35"/>
      <c r="K870" s="35"/>
      <c r="L870" s="35"/>
      <c r="M870" s="35"/>
      <c r="N870" s="35"/>
      <c r="O870" s="35"/>
      <c r="P870" s="35"/>
      <c r="Q870" s="43"/>
      <c r="R870" s="35"/>
      <c r="S870" s="35"/>
      <c r="T870" s="35"/>
      <c r="U870" s="138"/>
      <c r="V870" s="35"/>
      <c r="W870" s="35"/>
      <c r="X870" s="35"/>
      <c r="Y870" s="35"/>
      <c r="Z870" s="35"/>
      <c r="AA870" s="35"/>
      <c r="AB870" s="218"/>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row>
    <row r="871">
      <c r="A871" s="35"/>
      <c r="B871" s="35"/>
      <c r="C871" s="35"/>
      <c r="D871" s="35"/>
      <c r="E871" s="35"/>
      <c r="F871" s="35"/>
      <c r="G871" s="35"/>
      <c r="H871" s="35"/>
      <c r="I871" s="35"/>
      <c r="J871" s="35"/>
      <c r="K871" s="35"/>
      <c r="L871" s="35"/>
      <c r="M871" s="35"/>
      <c r="N871" s="35"/>
      <c r="O871" s="35"/>
      <c r="P871" s="35"/>
      <c r="Q871" s="43"/>
      <c r="R871" s="35"/>
      <c r="S871" s="35"/>
      <c r="T871" s="35"/>
      <c r="U871" s="138"/>
      <c r="V871" s="35"/>
      <c r="W871" s="35"/>
      <c r="X871" s="35"/>
      <c r="Y871" s="35"/>
      <c r="Z871" s="35"/>
      <c r="AA871" s="35"/>
      <c r="AB871" s="218"/>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row>
    <row r="872">
      <c r="A872" s="35"/>
      <c r="B872" s="35"/>
      <c r="C872" s="35"/>
      <c r="D872" s="35"/>
      <c r="E872" s="35"/>
      <c r="F872" s="35"/>
      <c r="G872" s="35"/>
      <c r="H872" s="35"/>
      <c r="I872" s="35"/>
      <c r="J872" s="35"/>
      <c r="K872" s="35"/>
      <c r="L872" s="35"/>
      <c r="M872" s="35"/>
      <c r="N872" s="35"/>
      <c r="O872" s="35"/>
      <c r="P872" s="35"/>
      <c r="Q872" s="43"/>
      <c r="R872" s="35"/>
      <c r="S872" s="35"/>
      <c r="T872" s="35"/>
      <c r="U872" s="138"/>
      <c r="V872" s="35"/>
      <c r="W872" s="35"/>
      <c r="X872" s="35"/>
      <c r="Y872" s="35"/>
      <c r="Z872" s="35"/>
      <c r="AA872" s="35"/>
      <c r="AB872" s="218"/>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row>
    <row r="873">
      <c r="A873" s="35"/>
      <c r="B873" s="35"/>
      <c r="C873" s="35"/>
      <c r="D873" s="35"/>
      <c r="E873" s="35"/>
      <c r="F873" s="35"/>
      <c r="G873" s="35"/>
      <c r="H873" s="35"/>
      <c r="I873" s="35"/>
      <c r="J873" s="35"/>
      <c r="K873" s="35"/>
      <c r="L873" s="35"/>
      <c r="M873" s="35"/>
      <c r="N873" s="35"/>
      <c r="O873" s="35"/>
      <c r="P873" s="35"/>
      <c r="Q873" s="43"/>
      <c r="R873" s="35"/>
      <c r="S873" s="35"/>
      <c r="T873" s="35"/>
      <c r="U873" s="138"/>
      <c r="V873" s="35"/>
      <c r="W873" s="35"/>
      <c r="X873" s="35"/>
      <c r="Y873" s="35"/>
      <c r="Z873" s="35"/>
      <c r="AA873" s="35"/>
      <c r="AB873" s="218"/>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row>
    <row r="874">
      <c r="A874" s="35"/>
      <c r="B874" s="35"/>
      <c r="C874" s="35"/>
      <c r="D874" s="35"/>
      <c r="E874" s="35"/>
      <c r="F874" s="35"/>
      <c r="G874" s="35"/>
      <c r="H874" s="35"/>
      <c r="I874" s="35"/>
      <c r="J874" s="35"/>
      <c r="K874" s="35"/>
      <c r="L874" s="35"/>
      <c r="M874" s="35"/>
      <c r="N874" s="35"/>
      <c r="O874" s="35"/>
      <c r="P874" s="35"/>
      <c r="Q874" s="43"/>
      <c r="R874" s="35"/>
      <c r="S874" s="35"/>
      <c r="T874" s="35"/>
      <c r="U874" s="138"/>
      <c r="V874" s="35"/>
      <c r="W874" s="35"/>
      <c r="X874" s="35"/>
      <c r="Y874" s="35"/>
      <c r="Z874" s="35"/>
      <c r="AA874" s="35"/>
      <c r="AB874" s="218"/>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row>
    <row r="875">
      <c r="A875" s="35"/>
      <c r="B875" s="35"/>
      <c r="C875" s="35"/>
      <c r="D875" s="35"/>
      <c r="E875" s="35"/>
      <c r="F875" s="35"/>
      <c r="G875" s="35"/>
      <c r="H875" s="35"/>
      <c r="I875" s="35"/>
      <c r="J875" s="35"/>
      <c r="K875" s="35"/>
      <c r="L875" s="35"/>
      <c r="M875" s="35"/>
      <c r="N875" s="35"/>
      <c r="O875" s="35"/>
      <c r="P875" s="35"/>
      <c r="Q875" s="43"/>
      <c r="R875" s="35"/>
      <c r="S875" s="35"/>
      <c r="T875" s="35"/>
      <c r="U875" s="138"/>
      <c r="V875" s="35"/>
      <c r="W875" s="35"/>
      <c r="X875" s="35"/>
      <c r="Y875" s="35"/>
      <c r="Z875" s="35"/>
      <c r="AA875" s="35"/>
      <c r="AB875" s="218"/>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row>
    <row r="876">
      <c r="A876" s="35"/>
      <c r="B876" s="35"/>
      <c r="C876" s="35"/>
      <c r="D876" s="35"/>
      <c r="E876" s="35"/>
      <c r="F876" s="35"/>
      <c r="G876" s="35"/>
      <c r="H876" s="35"/>
      <c r="I876" s="35"/>
      <c r="J876" s="35"/>
      <c r="K876" s="35"/>
      <c r="L876" s="35"/>
      <c r="M876" s="35"/>
      <c r="N876" s="35"/>
      <c r="O876" s="35"/>
      <c r="P876" s="35"/>
      <c r="Q876" s="43"/>
      <c r="R876" s="35"/>
      <c r="S876" s="35"/>
      <c r="T876" s="35"/>
      <c r="U876" s="138"/>
      <c r="V876" s="35"/>
      <c r="W876" s="35"/>
      <c r="X876" s="35"/>
      <c r="Y876" s="35"/>
      <c r="Z876" s="35"/>
      <c r="AA876" s="35"/>
      <c r="AB876" s="218"/>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row>
    <row r="877">
      <c r="A877" s="35"/>
      <c r="B877" s="35"/>
      <c r="C877" s="35"/>
      <c r="D877" s="35"/>
      <c r="E877" s="35"/>
      <c r="F877" s="35"/>
      <c r="G877" s="35"/>
      <c r="H877" s="35"/>
      <c r="I877" s="35"/>
      <c r="J877" s="35"/>
      <c r="K877" s="35"/>
      <c r="L877" s="35"/>
      <c r="M877" s="35"/>
      <c r="N877" s="35"/>
      <c r="O877" s="35"/>
      <c r="P877" s="35"/>
      <c r="Q877" s="43"/>
      <c r="R877" s="35"/>
      <c r="S877" s="35"/>
      <c r="T877" s="35"/>
      <c r="U877" s="138"/>
      <c r="V877" s="35"/>
      <c r="W877" s="35"/>
      <c r="X877" s="35"/>
      <c r="Y877" s="35"/>
      <c r="Z877" s="35"/>
      <c r="AA877" s="35"/>
      <c r="AB877" s="218"/>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row>
    <row r="878">
      <c r="A878" s="35"/>
      <c r="B878" s="35"/>
      <c r="C878" s="35"/>
      <c r="D878" s="35"/>
      <c r="E878" s="35"/>
      <c r="F878" s="35"/>
      <c r="G878" s="35"/>
      <c r="H878" s="35"/>
      <c r="I878" s="35"/>
      <c r="J878" s="35"/>
      <c r="K878" s="35"/>
      <c r="L878" s="35"/>
      <c r="M878" s="35"/>
      <c r="N878" s="35"/>
      <c r="O878" s="35"/>
      <c r="P878" s="35"/>
      <c r="Q878" s="43"/>
      <c r="R878" s="35"/>
      <c r="S878" s="35"/>
      <c r="T878" s="35"/>
      <c r="U878" s="138"/>
      <c r="V878" s="35"/>
      <c r="W878" s="35"/>
      <c r="X878" s="35"/>
      <c r="Y878" s="35"/>
      <c r="Z878" s="35"/>
      <c r="AA878" s="35"/>
      <c r="AB878" s="218"/>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row>
    <row r="879">
      <c r="A879" s="35"/>
      <c r="B879" s="35"/>
      <c r="C879" s="35"/>
      <c r="D879" s="35"/>
      <c r="E879" s="35"/>
      <c r="F879" s="35"/>
      <c r="G879" s="35"/>
      <c r="H879" s="35"/>
      <c r="I879" s="35"/>
      <c r="J879" s="35"/>
      <c r="K879" s="35"/>
      <c r="L879" s="35"/>
      <c r="M879" s="35"/>
      <c r="N879" s="35"/>
      <c r="O879" s="35"/>
      <c r="P879" s="35"/>
      <c r="Q879" s="43"/>
      <c r="R879" s="35"/>
      <c r="S879" s="35"/>
      <c r="T879" s="35"/>
      <c r="U879" s="138"/>
      <c r="V879" s="35"/>
      <c r="W879" s="35"/>
      <c r="X879" s="35"/>
      <c r="Y879" s="35"/>
      <c r="Z879" s="35"/>
      <c r="AA879" s="35"/>
      <c r="AB879" s="218"/>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row>
    <row r="880">
      <c r="A880" s="35"/>
      <c r="B880" s="35"/>
      <c r="C880" s="35"/>
      <c r="D880" s="35"/>
      <c r="E880" s="35"/>
      <c r="F880" s="35"/>
      <c r="G880" s="35"/>
      <c r="H880" s="35"/>
      <c r="I880" s="35"/>
      <c r="J880" s="35"/>
      <c r="K880" s="35"/>
      <c r="L880" s="35"/>
      <c r="M880" s="35"/>
      <c r="N880" s="35"/>
      <c r="O880" s="35"/>
      <c r="P880" s="35"/>
      <c r="Q880" s="43"/>
      <c r="R880" s="35"/>
      <c r="S880" s="35"/>
      <c r="T880" s="35"/>
      <c r="U880" s="138"/>
      <c r="V880" s="35"/>
      <c r="W880" s="35"/>
      <c r="X880" s="35"/>
      <c r="Y880" s="35"/>
      <c r="Z880" s="35"/>
      <c r="AA880" s="35"/>
      <c r="AB880" s="218"/>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row>
    <row r="881">
      <c r="A881" s="35"/>
      <c r="B881" s="35"/>
      <c r="C881" s="35"/>
      <c r="D881" s="35"/>
      <c r="E881" s="35"/>
      <c r="F881" s="35"/>
      <c r="G881" s="35"/>
      <c r="H881" s="35"/>
      <c r="I881" s="35"/>
      <c r="J881" s="35"/>
      <c r="K881" s="35"/>
      <c r="L881" s="35"/>
      <c r="M881" s="35"/>
      <c r="N881" s="35"/>
      <c r="O881" s="35"/>
      <c r="P881" s="35"/>
      <c r="Q881" s="43"/>
      <c r="R881" s="35"/>
      <c r="S881" s="35"/>
      <c r="T881" s="35"/>
      <c r="U881" s="138"/>
      <c r="V881" s="35"/>
      <c r="W881" s="35"/>
      <c r="X881" s="35"/>
      <c r="Y881" s="35"/>
      <c r="Z881" s="35"/>
      <c r="AA881" s="35"/>
      <c r="AB881" s="218"/>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row>
    <row r="882">
      <c r="A882" s="35"/>
      <c r="B882" s="35"/>
      <c r="C882" s="35"/>
      <c r="D882" s="35"/>
      <c r="E882" s="35"/>
      <c r="F882" s="35"/>
      <c r="G882" s="35"/>
      <c r="H882" s="35"/>
      <c r="I882" s="35"/>
      <c r="J882" s="35"/>
      <c r="K882" s="35"/>
      <c r="L882" s="35"/>
      <c r="M882" s="35"/>
      <c r="N882" s="35"/>
      <c r="O882" s="35"/>
      <c r="P882" s="35"/>
      <c r="Q882" s="43"/>
      <c r="R882" s="35"/>
      <c r="S882" s="35"/>
      <c r="T882" s="35"/>
      <c r="U882" s="138"/>
      <c r="V882" s="35"/>
      <c r="W882" s="35"/>
      <c r="X882" s="35"/>
      <c r="Y882" s="35"/>
      <c r="Z882" s="35"/>
      <c r="AA882" s="35"/>
      <c r="AB882" s="218"/>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row>
    <row r="883">
      <c r="A883" s="35"/>
      <c r="B883" s="35"/>
      <c r="C883" s="35"/>
      <c r="D883" s="35"/>
      <c r="E883" s="35"/>
      <c r="F883" s="35"/>
      <c r="G883" s="35"/>
      <c r="H883" s="35"/>
      <c r="I883" s="35"/>
      <c r="J883" s="35"/>
      <c r="K883" s="35"/>
      <c r="L883" s="35"/>
      <c r="M883" s="35"/>
      <c r="N883" s="35"/>
      <c r="O883" s="35"/>
      <c r="P883" s="35"/>
      <c r="Q883" s="43"/>
      <c r="R883" s="35"/>
      <c r="S883" s="35"/>
      <c r="T883" s="35"/>
      <c r="U883" s="138"/>
      <c r="V883" s="35"/>
      <c r="W883" s="35"/>
      <c r="X883" s="35"/>
      <c r="Y883" s="35"/>
      <c r="Z883" s="35"/>
      <c r="AA883" s="35"/>
      <c r="AB883" s="218"/>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row>
    <row r="884">
      <c r="A884" s="35"/>
      <c r="B884" s="35"/>
      <c r="C884" s="35"/>
      <c r="D884" s="35"/>
      <c r="E884" s="35"/>
      <c r="F884" s="35"/>
      <c r="G884" s="35"/>
      <c r="H884" s="35"/>
      <c r="I884" s="35"/>
      <c r="J884" s="35"/>
      <c r="K884" s="35"/>
      <c r="L884" s="35"/>
      <c r="M884" s="35"/>
      <c r="N884" s="35"/>
      <c r="O884" s="35"/>
      <c r="P884" s="35"/>
      <c r="Q884" s="43"/>
      <c r="R884" s="35"/>
      <c r="S884" s="35"/>
      <c r="T884" s="35"/>
      <c r="U884" s="138"/>
      <c r="V884" s="35"/>
      <c r="W884" s="35"/>
      <c r="X884" s="35"/>
      <c r="Y884" s="35"/>
      <c r="Z884" s="35"/>
      <c r="AA884" s="35"/>
      <c r="AB884" s="218"/>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row>
    <row r="885">
      <c r="A885" s="35"/>
      <c r="B885" s="35"/>
      <c r="C885" s="35"/>
      <c r="D885" s="35"/>
      <c r="E885" s="35"/>
      <c r="F885" s="35"/>
      <c r="G885" s="35"/>
      <c r="H885" s="35"/>
      <c r="I885" s="35"/>
      <c r="J885" s="35"/>
      <c r="K885" s="35"/>
      <c r="L885" s="35"/>
      <c r="M885" s="35"/>
      <c r="N885" s="35"/>
      <c r="O885" s="35"/>
      <c r="P885" s="35"/>
      <c r="Q885" s="43"/>
      <c r="R885" s="35"/>
      <c r="S885" s="35"/>
      <c r="T885" s="35"/>
      <c r="U885" s="138"/>
      <c r="V885" s="35"/>
      <c r="W885" s="35"/>
      <c r="X885" s="35"/>
      <c r="Y885" s="35"/>
      <c r="Z885" s="35"/>
      <c r="AA885" s="35"/>
      <c r="AB885" s="218"/>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row>
    <row r="886">
      <c r="A886" s="35"/>
      <c r="B886" s="35"/>
      <c r="C886" s="35"/>
      <c r="D886" s="35"/>
      <c r="E886" s="35"/>
      <c r="F886" s="35"/>
      <c r="G886" s="35"/>
      <c r="H886" s="35"/>
      <c r="I886" s="35"/>
      <c r="J886" s="35"/>
      <c r="K886" s="35"/>
      <c r="L886" s="35"/>
      <c r="M886" s="35"/>
      <c r="N886" s="35"/>
      <c r="O886" s="35"/>
      <c r="P886" s="35"/>
      <c r="Q886" s="43"/>
      <c r="R886" s="35"/>
      <c r="S886" s="35"/>
      <c r="T886" s="35"/>
      <c r="U886" s="138"/>
      <c r="V886" s="35"/>
      <c r="W886" s="35"/>
      <c r="X886" s="35"/>
      <c r="Y886" s="35"/>
      <c r="Z886" s="35"/>
      <c r="AA886" s="35"/>
      <c r="AB886" s="218"/>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row>
    <row r="887">
      <c r="A887" s="35"/>
      <c r="B887" s="35"/>
      <c r="C887" s="35"/>
      <c r="D887" s="35"/>
      <c r="E887" s="35"/>
      <c r="F887" s="35"/>
      <c r="G887" s="35"/>
      <c r="H887" s="35"/>
      <c r="I887" s="35"/>
      <c r="J887" s="35"/>
      <c r="K887" s="35"/>
      <c r="L887" s="35"/>
      <c r="M887" s="35"/>
      <c r="N887" s="35"/>
      <c r="O887" s="35"/>
      <c r="P887" s="35"/>
      <c r="Q887" s="43"/>
      <c r="R887" s="35"/>
      <c r="S887" s="35"/>
      <c r="T887" s="35"/>
      <c r="U887" s="138"/>
      <c r="V887" s="35"/>
      <c r="W887" s="35"/>
      <c r="X887" s="35"/>
      <c r="Y887" s="35"/>
      <c r="Z887" s="35"/>
      <c r="AA887" s="35"/>
      <c r="AB887" s="218"/>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row>
    <row r="888">
      <c r="A888" s="35"/>
      <c r="B888" s="35"/>
      <c r="C888" s="35"/>
      <c r="D888" s="35"/>
      <c r="E888" s="35"/>
      <c r="F888" s="35"/>
      <c r="G888" s="35"/>
      <c r="H888" s="35"/>
      <c r="I888" s="35"/>
      <c r="J888" s="35"/>
      <c r="K888" s="35"/>
      <c r="L888" s="35"/>
      <c r="M888" s="35"/>
      <c r="N888" s="35"/>
      <c r="O888" s="35"/>
      <c r="P888" s="35"/>
      <c r="Q888" s="43"/>
      <c r="R888" s="35"/>
      <c r="S888" s="35"/>
      <c r="T888" s="35"/>
      <c r="U888" s="138"/>
      <c r="V888" s="35"/>
      <c r="W888" s="35"/>
      <c r="X888" s="35"/>
      <c r="Y888" s="35"/>
      <c r="Z888" s="35"/>
      <c r="AA888" s="35"/>
      <c r="AB888" s="218"/>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row>
    <row r="889">
      <c r="A889" s="35"/>
      <c r="B889" s="35"/>
      <c r="C889" s="35"/>
      <c r="D889" s="35"/>
      <c r="E889" s="35"/>
      <c r="F889" s="35"/>
      <c r="G889" s="35"/>
      <c r="H889" s="35"/>
      <c r="I889" s="35"/>
      <c r="J889" s="35"/>
      <c r="K889" s="35"/>
      <c r="L889" s="35"/>
      <c r="M889" s="35"/>
      <c r="N889" s="35"/>
      <c r="O889" s="35"/>
      <c r="P889" s="35"/>
      <c r="Q889" s="43"/>
      <c r="R889" s="35"/>
      <c r="S889" s="35"/>
      <c r="T889" s="35"/>
      <c r="U889" s="138"/>
      <c r="V889" s="35"/>
      <c r="W889" s="35"/>
      <c r="X889" s="35"/>
      <c r="Y889" s="35"/>
      <c r="Z889" s="35"/>
      <c r="AA889" s="35"/>
      <c r="AB889" s="218"/>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row>
    <row r="890">
      <c r="A890" s="35"/>
      <c r="B890" s="35"/>
      <c r="C890" s="35"/>
      <c r="D890" s="35"/>
      <c r="E890" s="35"/>
      <c r="F890" s="35"/>
      <c r="G890" s="35"/>
      <c r="H890" s="35"/>
      <c r="I890" s="35"/>
      <c r="J890" s="35"/>
      <c r="K890" s="35"/>
      <c r="L890" s="35"/>
      <c r="M890" s="35"/>
      <c r="N890" s="35"/>
      <c r="O890" s="35"/>
      <c r="P890" s="35"/>
      <c r="Q890" s="43"/>
      <c r="R890" s="35"/>
      <c r="S890" s="35"/>
      <c r="T890" s="35"/>
      <c r="U890" s="138"/>
      <c r="V890" s="35"/>
      <c r="W890" s="35"/>
      <c r="X890" s="35"/>
      <c r="Y890" s="35"/>
      <c r="Z890" s="35"/>
      <c r="AA890" s="35"/>
      <c r="AB890" s="218"/>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row>
    <row r="891">
      <c r="A891" s="35"/>
      <c r="B891" s="35"/>
      <c r="C891" s="35"/>
      <c r="D891" s="35"/>
      <c r="E891" s="35"/>
      <c r="F891" s="35"/>
      <c r="G891" s="35"/>
      <c r="H891" s="35"/>
      <c r="I891" s="35"/>
      <c r="J891" s="35"/>
      <c r="K891" s="35"/>
      <c r="L891" s="35"/>
      <c r="M891" s="35"/>
      <c r="N891" s="35"/>
      <c r="O891" s="35"/>
      <c r="P891" s="35"/>
      <c r="Q891" s="43"/>
      <c r="R891" s="35"/>
      <c r="S891" s="35"/>
      <c r="T891" s="35"/>
      <c r="U891" s="138"/>
      <c r="V891" s="35"/>
      <c r="W891" s="35"/>
      <c r="X891" s="35"/>
      <c r="Y891" s="35"/>
      <c r="Z891" s="35"/>
      <c r="AA891" s="35"/>
      <c r="AB891" s="218"/>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row>
    <row r="892">
      <c r="A892" s="35"/>
      <c r="B892" s="35"/>
      <c r="C892" s="35"/>
      <c r="D892" s="35"/>
      <c r="E892" s="35"/>
      <c r="F892" s="35"/>
      <c r="G892" s="35"/>
      <c r="H892" s="35"/>
      <c r="I892" s="35"/>
      <c r="J892" s="35"/>
      <c r="K892" s="35"/>
      <c r="L892" s="35"/>
      <c r="M892" s="35"/>
      <c r="N892" s="35"/>
      <c r="O892" s="35"/>
      <c r="P892" s="35"/>
      <c r="Q892" s="43"/>
      <c r="R892" s="35"/>
      <c r="S892" s="35"/>
      <c r="T892" s="35"/>
      <c r="U892" s="138"/>
      <c r="V892" s="35"/>
      <c r="W892" s="35"/>
      <c r="X892" s="35"/>
      <c r="Y892" s="35"/>
      <c r="Z892" s="35"/>
      <c r="AA892" s="35"/>
      <c r="AB892" s="218"/>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row>
    <row r="893">
      <c r="A893" s="35"/>
      <c r="B893" s="35"/>
      <c r="C893" s="35"/>
      <c r="D893" s="35"/>
      <c r="E893" s="35"/>
      <c r="F893" s="35"/>
      <c r="G893" s="35"/>
      <c r="H893" s="35"/>
      <c r="I893" s="35"/>
      <c r="J893" s="35"/>
      <c r="K893" s="35"/>
      <c r="L893" s="35"/>
      <c r="M893" s="35"/>
      <c r="N893" s="35"/>
      <c r="O893" s="35"/>
      <c r="P893" s="35"/>
      <c r="Q893" s="43"/>
      <c r="R893" s="35"/>
      <c r="S893" s="35"/>
      <c r="T893" s="35"/>
      <c r="U893" s="138"/>
      <c r="V893" s="35"/>
      <c r="W893" s="35"/>
      <c r="X893" s="35"/>
      <c r="Y893" s="35"/>
      <c r="Z893" s="35"/>
      <c r="AA893" s="35"/>
      <c r="AB893" s="218"/>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row>
    <row r="894">
      <c r="A894" s="35"/>
      <c r="B894" s="35"/>
      <c r="C894" s="35"/>
      <c r="D894" s="35"/>
      <c r="E894" s="35"/>
      <c r="F894" s="35"/>
      <c r="G894" s="35"/>
      <c r="H894" s="35"/>
      <c r="I894" s="35"/>
      <c r="J894" s="35"/>
      <c r="K894" s="35"/>
      <c r="L894" s="35"/>
      <c r="M894" s="35"/>
      <c r="N894" s="35"/>
      <c r="O894" s="35"/>
      <c r="P894" s="35"/>
      <c r="Q894" s="43"/>
      <c r="R894" s="35"/>
      <c r="S894" s="35"/>
      <c r="T894" s="35"/>
      <c r="U894" s="138"/>
      <c r="V894" s="35"/>
      <c r="W894" s="35"/>
      <c r="X894" s="35"/>
      <c r="Y894" s="35"/>
      <c r="Z894" s="35"/>
      <c r="AA894" s="35"/>
      <c r="AB894" s="218"/>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row>
    <row r="895">
      <c r="A895" s="35"/>
      <c r="B895" s="35"/>
      <c r="C895" s="35"/>
      <c r="D895" s="35"/>
      <c r="E895" s="35"/>
      <c r="F895" s="35"/>
      <c r="G895" s="35"/>
      <c r="H895" s="35"/>
      <c r="I895" s="35"/>
      <c r="J895" s="35"/>
      <c r="K895" s="35"/>
      <c r="L895" s="35"/>
      <c r="M895" s="35"/>
      <c r="N895" s="35"/>
      <c r="O895" s="35"/>
      <c r="P895" s="35"/>
      <c r="Q895" s="43"/>
      <c r="R895" s="35"/>
      <c r="S895" s="35"/>
      <c r="T895" s="35"/>
      <c r="U895" s="138"/>
      <c r="V895" s="35"/>
      <c r="W895" s="35"/>
      <c r="X895" s="35"/>
      <c r="Y895" s="35"/>
      <c r="Z895" s="35"/>
      <c r="AA895" s="35"/>
      <c r="AB895" s="218"/>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row>
    <row r="896">
      <c r="A896" s="35"/>
      <c r="B896" s="35"/>
      <c r="C896" s="35"/>
      <c r="D896" s="35"/>
      <c r="E896" s="35"/>
      <c r="F896" s="35"/>
      <c r="G896" s="35"/>
      <c r="H896" s="35"/>
      <c r="I896" s="35"/>
      <c r="J896" s="35"/>
      <c r="K896" s="35"/>
      <c r="L896" s="35"/>
      <c r="M896" s="35"/>
      <c r="N896" s="35"/>
      <c r="O896" s="35"/>
      <c r="P896" s="35"/>
      <c r="Q896" s="43"/>
      <c r="R896" s="35"/>
      <c r="S896" s="35"/>
      <c r="T896" s="35"/>
      <c r="U896" s="138"/>
      <c r="V896" s="35"/>
      <c r="W896" s="35"/>
      <c r="X896" s="35"/>
      <c r="Y896" s="35"/>
      <c r="Z896" s="35"/>
      <c r="AA896" s="35"/>
      <c r="AB896" s="218"/>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row>
    <row r="897">
      <c r="A897" s="35"/>
      <c r="B897" s="35"/>
      <c r="C897" s="35"/>
      <c r="D897" s="35"/>
      <c r="E897" s="35"/>
      <c r="F897" s="35"/>
      <c r="G897" s="35"/>
      <c r="H897" s="35"/>
      <c r="I897" s="35"/>
      <c r="J897" s="35"/>
      <c r="K897" s="35"/>
      <c r="L897" s="35"/>
      <c r="M897" s="35"/>
      <c r="N897" s="35"/>
      <c r="O897" s="35"/>
      <c r="P897" s="35"/>
      <c r="Q897" s="43"/>
      <c r="R897" s="35"/>
      <c r="S897" s="35"/>
      <c r="T897" s="35"/>
      <c r="U897" s="138"/>
      <c r="V897" s="35"/>
      <c r="W897" s="35"/>
      <c r="X897" s="35"/>
      <c r="Y897" s="35"/>
      <c r="Z897" s="35"/>
      <c r="AA897" s="35"/>
      <c r="AB897" s="218"/>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row>
    <row r="898">
      <c r="A898" s="35"/>
      <c r="B898" s="35"/>
      <c r="C898" s="35"/>
      <c r="D898" s="35"/>
      <c r="E898" s="35"/>
      <c r="F898" s="35"/>
      <c r="G898" s="35"/>
      <c r="H898" s="35"/>
      <c r="I898" s="35"/>
      <c r="J898" s="35"/>
      <c r="K898" s="35"/>
      <c r="L898" s="35"/>
      <c r="M898" s="35"/>
      <c r="N898" s="35"/>
      <c r="O898" s="35"/>
      <c r="P898" s="35"/>
      <c r="Q898" s="43"/>
      <c r="R898" s="35"/>
      <c r="S898" s="35"/>
      <c r="T898" s="35"/>
      <c r="U898" s="138"/>
      <c r="V898" s="35"/>
      <c r="W898" s="35"/>
      <c r="X898" s="35"/>
      <c r="Y898" s="35"/>
      <c r="Z898" s="35"/>
      <c r="AA898" s="35"/>
      <c r="AB898" s="218"/>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row>
    <row r="899">
      <c r="A899" s="35"/>
      <c r="B899" s="35"/>
      <c r="C899" s="35"/>
      <c r="D899" s="35"/>
      <c r="E899" s="35"/>
      <c r="F899" s="35"/>
      <c r="G899" s="35"/>
      <c r="H899" s="35"/>
      <c r="I899" s="35"/>
      <c r="J899" s="35"/>
      <c r="K899" s="35"/>
      <c r="L899" s="35"/>
      <c r="M899" s="35"/>
      <c r="N899" s="35"/>
      <c r="O899" s="35"/>
      <c r="P899" s="35"/>
      <c r="Q899" s="43"/>
      <c r="R899" s="35"/>
      <c r="S899" s="35"/>
      <c r="T899" s="35"/>
      <c r="U899" s="138"/>
      <c r="V899" s="35"/>
      <c r="W899" s="35"/>
      <c r="X899" s="35"/>
      <c r="Y899" s="35"/>
      <c r="Z899" s="35"/>
      <c r="AA899" s="35"/>
      <c r="AB899" s="218"/>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row>
    <row r="900">
      <c r="A900" s="35"/>
      <c r="B900" s="35"/>
      <c r="C900" s="35"/>
      <c r="D900" s="35"/>
      <c r="E900" s="35"/>
      <c r="F900" s="35"/>
      <c r="G900" s="35"/>
      <c r="H900" s="35"/>
      <c r="I900" s="35"/>
      <c r="J900" s="35"/>
      <c r="K900" s="35"/>
      <c r="L900" s="35"/>
      <c r="M900" s="35"/>
      <c r="N900" s="35"/>
      <c r="O900" s="35"/>
      <c r="P900" s="35"/>
      <c r="Q900" s="43"/>
      <c r="R900" s="35"/>
      <c r="S900" s="35"/>
      <c r="T900" s="35"/>
      <c r="U900" s="138"/>
      <c r="V900" s="35"/>
      <c r="W900" s="35"/>
      <c r="X900" s="35"/>
      <c r="Y900" s="35"/>
      <c r="Z900" s="35"/>
      <c r="AA900" s="35"/>
      <c r="AB900" s="218"/>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row>
    <row r="901">
      <c r="A901" s="35"/>
      <c r="B901" s="35"/>
      <c r="C901" s="35"/>
      <c r="D901" s="35"/>
      <c r="E901" s="35"/>
      <c r="F901" s="35"/>
      <c r="G901" s="35"/>
      <c r="H901" s="35"/>
      <c r="I901" s="35"/>
      <c r="J901" s="35"/>
      <c r="K901" s="35"/>
      <c r="L901" s="35"/>
      <c r="M901" s="35"/>
      <c r="N901" s="35"/>
      <c r="O901" s="35"/>
      <c r="P901" s="35"/>
      <c r="Q901" s="43"/>
      <c r="R901" s="35"/>
      <c r="S901" s="35"/>
      <c r="T901" s="35"/>
      <c r="U901" s="138"/>
      <c r="V901" s="35"/>
      <c r="W901" s="35"/>
      <c r="X901" s="35"/>
      <c r="Y901" s="35"/>
      <c r="Z901" s="35"/>
      <c r="AA901" s="35"/>
      <c r="AB901" s="218"/>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row>
    <row r="902">
      <c r="A902" s="35"/>
      <c r="B902" s="35"/>
      <c r="C902" s="35"/>
      <c r="D902" s="35"/>
      <c r="E902" s="35"/>
      <c r="F902" s="35"/>
      <c r="G902" s="35"/>
      <c r="H902" s="35"/>
      <c r="I902" s="35"/>
      <c r="J902" s="35"/>
      <c r="K902" s="35"/>
      <c r="L902" s="35"/>
      <c r="M902" s="35"/>
      <c r="N902" s="35"/>
      <c r="O902" s="35"/>
      <c r="P902" s="35"/>
      <c r="Q902" s="43"/>
      <c r="R902" s="35"/>
      <c r="S902" s="35"/>
      <c r="T902" s="35"/>
      <c r="U902" s="138"/>
      <c r="V902" s="35"/>
      <c r="W902" s="35"/>
      <c r="X902" s="35"/>
      <c r="Y902" s="35"/>
      <c r="Z902" s="35"/>
      <c r="AA902" s="35"/>
      <c r="AB902" s="218"/>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row>
    <row r="903">
      <c r="A903" s="35"/>
      <c r="B903" s="35"/>
      <c r="C903" s="35"/>
      <c r="D903" s="35"/>
      <c r="E903" s="35"/>
      <c r="F903" s="35"/>
      <c r="G903" s="35"/>
      <c r="H903" s="35"/>
      <c r="I903" s="35"/>
      <c r="J903" s="35"/>
      <c r="K903" s="35"/>
      <c r="L903" s="35"/>
      <c r="M903" s="35"/>
      <c r="N903" s="35"/>
      <c r="O903" s="35"/>
      <c r="P903" s="35"/>
      <c r="Q903" s="43"/>
      <c r="R903" s="35"/>
      <c r="S903" s="35"/>
      <c r="T903" s="35"/>
      <c r="U903" s="138"/>
      <c r="V903" s="35"/>
      <c r="W903" s="35"/>
      <c r="X903" s="35"/>
      <c r="Y903" s="35"/>
      <c r="Z903" s="35"/>
      <c r="AA903" s="35"/>
      <c r="AB903" s="218"/>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row>
    <row r="904">
      <c r="A904" s="35"/>
      <c r="B904" s="35"/>
      <c r="C904" s="35"/>
      <c r="D904" s="35"/>
      <c r="E904" s="35"/>
      <c r="F904" s="35"/>
      <c r="G904" s="35"/>
      <c r="H904" s="35"/>
      <c r="I904" s="35"/>
      <c r="J904" s="35"/>
      <c r="K904" s="35"/>
      <c r="L904" s="35"/>
      <c r="M904" s="35"/>
      <c r="N904" s="35"/>
      <c r="O904" s="35"/>
      <c r="P904" s="35"/>
      <c r="Q904" s="43"/>
      <c r="R904" s="35"/>
      <c r="S904" s="35"/>
      <c r="T904" s="35"/>
      <c r="U904" s="138"/>
      <c r="V904" s="35"/>
      <c r="W904" s="35"/>
      <c r="X904" s="35"/>
      <c r="Y904" s="35"/>
      <c r="Z904" s="35"/>
      <c r="AA904" s="35"/>
      <c r="AB904" s="218"/>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row>
    <row r="905">
      <c r="A905" s="35"/>
      <c r="B905" s="35"/>
      <c r="C905" s="35"/>
      <c r="D905" s="35"/>
      <c r="E905" s="35"/>
      <c r="F905" s="35"/>
      <c r="G905" s="35"/>
      <c r="H905" s="35"/>
      <c r="I905" s="35"/>
      <c r="J905" s="35"/>
      <c r="K905" s="35"/>
      <c r="L905" s="35"/>
      <c r="M905" s="35"/>
      <c r="N905" s="35"/>
      <c r="O905" s="35"/>
      <c r="P905" s="35"/>
      <c r="Q905" s="43"/>
      <c r="R905" s="35"/>
      <c r="S905" s="35"/>
      <c r="T905" s="35"/>
      <c r="U905" s="138"/>
      <c r="V905" s="35"/>
      <c r="W905" s="35"/>
      <c r="X905" s="35"/>
      <c r="Y905" s="35"/>
      <c r="Z905" s="35"/>
      <c r="AA905" s="35"/>
      <c r="AB905" s="218"/>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row>
    <row r="906">
      <c r="A906" s="35"/>
      <c r="B906" s="35"/>
      <c r="C906" s="35"/>
      <c r="D906" s="35"/>
      <c r="E906" s="35"/>
      <c r="F906" s="35"/>
      <c r="G906" s="35"/>
      <c r="H906" s="35"/>
      <c r="I906" s="35"/>
      <c r="J906" s="35"/>
      <c r="K906" s="35"/>
      <c r="L906" s="35"/>
      <c r="M906" s="35"/>
      <c r="N906" s="35"/>
      <c r="O906" s="35"/>
      <c r="P906" s="35"/>
      <c r="Q906" s="43"/>
      <c r="R906" s="35"/>
      <c r="S906" s="35"/>
      <c r="T906" s="35"/>
      <c r="U906" s="138"/>
      <c r="V906" s="35"/>
      <c r="W906" s="35"/>
      <c r="X906" s="35"/>
      <c r="Y906" s="35"/>
      <c r="Z906" s="35"/>
      <c r="AA906" s="35"/>
      <c r="AB906" s="218"/>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row>
    <row r="907">
      <c r="A907" s="35"/>
      <c r="B907" s="35"/>
      <c r="C907" s="35"/>
      <c r="D907" s="35"/>
      <c r="E907" s="35"/>
      <c r="F907" s="35"/>
      <c r="G907" s="35"/>
      <c r="H907" s="35"/>
      <c r="I907" s="35"/>
      <c r="J907" s="35"/>
      <c r="K907" s="35"/>
      <c r="L907" s="35"/>
      <c r="M907" s="35"/>
      <c r="N907" s="35"/>
      <c r="O907" s="35"/>
      <c r="P907" s="35"/>
      <c r="Q907" s="43"/>
      <c r="R907" s="35"/>
      <c r="S907" s="35"/>
      <c r="T907" s="35"/>
      <c r="U907" s="138"/>
      <c r="V907" s="35"/>
      <c r="W907" s="35"/>
      <c r="X907" s="35"/>
      <c r="Y907" s="35"/>
      <c r="Z907" s="35"/>
      <c r="AA907" s="35"/>
      <c r="AB907" s="218"/>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row>
    <row r="908">
      <c r="A908" s="35"/>
      <c r="B908" s="35"/>
      <c r="C908" s="35"/>
      <c r="D908" s="35"/>
      <c r="E908" s="35"/>
      <c r="F908" s="35"/>
      <c r="G908" s="35"/>
      <c r="H908" s="35"/>
      <c r="I908" s="35"/>
      <c r="J908" s="35"/>
      <c r="K908" s="35"/>
      <c r="L908" s="35"/>
      <c r="M908" s="35"/>
      <c r="N908" s="35"/>
      <c r="O908" s="35"/>
      <c r="P908" s="35"/>
      <c r="Q908" s="43"/>
      <c r="R908" s="35"/>
      <c r="S908" s="35"/>
      <c r="T908" s="35"/>
      <c r="U908" s="138"/>
      <c r="V908" s="35"/>
      <c r="W908" s="35"/>
      <c r="X908" s="35"/>
      <c r="Y908" s="35"/>
      <c r="Z908" s="35"/>
      <c r="AA908" s="35"/>
      <c r="AB908" s="218"/>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row>
    <row r="909">
      <c r="A909" s="35"/>
      <c r="B909" s="35"/>
      <c r="C909" s="35"/>
      <c r="D909" s="35"/>
      <c r="E909" s="35"/>
      <c r="F909" s="35"/>
      <c r="G909" s="35"/>
      <c r="H909" s="35"/>
      <c r="I909" s="35"/>
      <c r="J909" s="35"/>
      <c r="K909" s="35"/>
      <c r="L909" s="35"/>
      <c r="M909" s="35"/>
      <c r="N909" s="35"/>
      <c r="O909" s="35"/>
      <c r="P909" s="35"/>
      <c r="Q909" s="43"/>
      <c r="R909" s="35"/>
      <c r="S909" s="35"/>
      <c r="T909" s="35"/>
      <c r="U909" s="138"/>
      <c r="V909" s="35"/>
      <c r="W909" s="35"/>
      <c r="X909" s="35"/>
      <c r="Y909" s="35"/>
      <c r="Z909" s="35"/>
      <c r="AA909" s="35"/>
      <c r="AB909" s="218"/>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row>
    <row r="910">
      <c r="A910" s="35"/>
      <c r="B910" s="35"/>
      <c r="C910" s="35"/>
      <c r="D910" s="35"/>
      <c r="E910" s="35"/>
      <c r="F910" s="35"/>
      <c r="G910" s="35"/>
      <c r="H910" s="35"/>
      <c r="I910" s="35"/>
      <c r="J910" s="35"/>
      <c r="K910" s="35"/>
      <c r="L910" s="35"/>
      <c r="M910" s="35"/>
      <c r="N910" s="35"/>
      <c r="O910" s="35"/>
      <c r="P910" s="35"/>
      <c r="Q910" s="43"/>
      <c r="R910" s="35"/>
      <c r="S910" s="35"/>
      <c r="T910" s="35"/>
      <c r="U910" s="138"/>
      <c r="V910" s="35"/>
      <c r="W910" s="35"/>
      <c r="X910" s="35"/>
      <c r="Y910" s="35"/>
      <c r="Z910" s="35"/>
      <c r="AA910" s="35"/>
      <c r="AB910" s="218"/>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row>
    <row r="911">
      <c r="A911" s="35"/>
      <c r="B911" s="35"/>
      <c r="C911" s="35"/>
      <c r="D911" s="35"/>
      <c r="E911" s="35"/>
      <c r="F911" s="35"/>
      <c r="G911" s="35"/>
      <c r="H911" s="35"/>
      <c r="I911" s="35"/>
      <c r="J911" s="35"/>
      <c r="K911" s="35"/>
      <c r="L911" s="35"/>
      <c r="M911" s="35"/>
      <c r="N911" s="35"/>
      <c r="O911" s="35"/>
      <c r="P911" s="35"/>
      <c r="Q911" s="43"/>
      <c r="R911" s="35"/>
      <c r="S911" s="35"/>
      <c r="T911" s="35"/>
      <c r="U911" s="138"/>
      <c r="V911" s="35"/>
      <c r="W911" s="35"/>
      <c r="X911" s="35"/>
      <c r="Y911" s="35"/>
      <c r="Z911" s="35"/>
      <c r="AA911" s="35"/>
      <c r="AB911" s="218"/>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row>
    <row r="912">
      <c r="A912" s="35"/>
      <c r="B912" s="35"/>
      <c r="C912" s="35"/>
      <c r="D912" s="35"/>
      <c r="E912" s="35"/>
      <c r="F912" s="35"/>
      <c r="G912" s="35"/>
      <c r="H912" s="35"/>
      <c r="I912" s="35"/>
      <c r="J912" s="35"/>
      <c r="K912" s="35"/>
      <c r="L912" s="35"/>
      <c r="M912" s="35"/>
      <c r="N912" s="35"/>
      <c r="O912" s="35"/>
      <c r="P912" s="35"/>
      <c r="Q912" s="43"/>
      <c r="R912" s="35"/>
      <c r="S912" s="35"/>
      <c r="T912" s="35"/>
      <c r="U912" s="138"/>
      <c r="V912" s="35"/>
      <c r="W912" s="35"/>
      <c r="X912" s="35"/>
      <c r="Y912" s="35"/>
      <c r="Z912" s="35"/>
      <c r="AA912" s="35"/>
      <c r="AB912" s="218"/>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row>
    <row r="913">
      <c r="A913" s="35"/>
      <c r="B913" s="35"/>
      <c r="C913" s="35"/>
      <c r="D913" s="35"/>
      <c r="E913" s="35"/>
      <c r="F913" s="35"/>
      <c r="G913" s="35"/>
      <c r="H913" s="35"/>
      <c r="I913" s="35"/>
      <c r="J913" s="35"/>
      <c r="K913" s="35"/>
      <c r="L913" s="35"/>
      <c r="M913" s="35"/>
      <c r="N913" s="35"/>
      <c r="O913" s="35"/>
      <c r="P913" s="35"/>
      <c r="Q913" s="43"/>
      <c r="R913" s="35"/>
      <c r="S913" s="35"/>
      <c r="T913" s="35"/>
      <c r="U913" s="138"/>
      <c r="V913" s="35"/>
      <c r="W913" s="35"/>
      <c r="X913" s="35"/>
      <c r="Y913" s="35"/>
      <c r="Z913" s="35"/>
      <c r="AA913" s="35"/>
      <c r="AB913" s="218"/>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row>
    <row r="914">
      <c r="A914" s="35"/>
      <c r="B914" s="35"/>
      <c r="C914" s="35"/>
      <c r="D914" s="35"/>
      <c r="E914" s="35"/>
      <c r="F914" s="35"/>
      <c r="G914" s="35"/>
      <c r="H914" s="35"/>
      <c r="I914" s="35"/>
      <c r="J914" s="35"/>
      <c r="K914" s="35"/>
      <c r="L914" s="35"/>
      <c r="M914" s="35"/>
      <c r="N914" s="35"/>
      <c r="O914" s="35"/>
      <c r="P914" s="35"/>
      <c r="Q914" s="43"/>
      <c r="R914" s="35"/>
      <c r="S914" s="35"/>
      <c r="T914" s="35"/>
      <c r="U914" s="138"/>
      <c r="V914" s="35"/>
      <c r="W914" s="35"/>
      <c r="X914" s="35"/>
      <c r="Y914" s="35"/>
      <c r="Z914" s="35"/>
      <c r="AA914" s="35"/>
      <c r="AB914" s="218"/>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row>
    <row r="915">
      <c r="A915" s="35"/>
      <c r="B915" s="35"/>
      <c r="C915" s="35"/>
      <c r="D915" s="35"/>
      <c r="E915" s="35"/>
      <c r="F915" s="35"/>
      <c r="G915" s="35"/>
      <c r="H915" s="35"/>
      <c r="I915" s="35"/>
      <c r="J915" s="35"/>
      <c r="K915" s="35"/>
      <c r="L915" s="35"/>
      <c r="M915" s="35"/>
      <c r="N915" s="35"/>
      <c r="O915" s="35"/>
      <c r="P915" s="35"/>
      <c r="Q915" s="43"/>
      <c r="R915" s="35"/>
      <c r="S915" s="35"/>
      <c r="T915" s="35"/>
      <c r="U915" s="138"/>
      <c r="V915" s="35"/>
      <c r="W915" s="35"/>
      <c r="X915" s="35"/>
      <c r="Y915" s="35"/>
      <c r="Z915" s="35"/>
      <c r="AA915" s="35"/>
      <c r="AB915" s="218"/>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row>
    <row r="916">
      <c r="A916" s="35"/>
      <c r="B916" s="35"/>
      <c r="C916" s="35"/>
      <c r="D916" s="35"/>
      <c r="E916" s="35"/>
      <c r="F916" s="35"/>
      <c r="G916" s="35"/>
      <c r="H916" s="35"/>
      <c r="I916" s="35"/>
      <c r="J916" s="35"/>
      <c r="K916" s="35"/>
      <c r="L916" s="35"/>
      <c r="M916" s="35"/>
      <c r="N916" s="35"/>
      <c r="O916" s="35"/>
      <c r="P916" s="35"/>
      <c r="Q916" s="43"/>
      <c r="R916" s="35"/>
      <c r="S916" s="35"/>
      <c r="T916" s="35"/>
      <c r="U916" s="138"/>
      <c r="V916" s="35"/>
      <c r="W916" s="35"/>
      <c r="X916" s="35"/>
      <c r="Y916" s="35"/>
      <c r="Z916" s="35"/>
      <c r="AA916" s="35"/>
      <c r="AB916" s="218"/>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row>
    <row r="917">
      <c r="A917" s="35"/>
      <c r="B917" s="35"/>
      <c r="C917" s="35"/>
      <c r="D917" s="35"/>
      <c r="E917" s="35"/>
      <c r="F917" s="35"/>
      <c r="G917" s="35"/>
      <c r="H917" s="35"/>
      <c r="I917" s="35"/>
      <c r="J917" s="35"/>
      <c r="K917" s="35"/>
      <c r="L917" s="35"/>
      <c r="M917" s="35"/>
      <c r="N917" s="35"/>
      <c r="O917" s="35"/>
      <c r="P917" s="35"/>
      <c r="Q917" s="43"/>
      <c r="R917" s="35"/>
      <c r="S917" s="35"/>
      <c r="T917" s="35"/>
      <c r="U917" s="138"/>
      <c r="V917" s="35"/>
      <c r="W917" s="35"/>
      <c r="X917" s="35"/>
      <c r="Y917" s="35"/>
      <c r="Z917" s="35"/>
      <c r="AA917" s="35"/>
      <c r="AB917" s="218"/>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row>
    <row r="918">
      <c r="A918" s="35"/>
      <c r="B918" s="35"/>
      <c r="C918" s="35"/>
      <c r="D918" s="35"/>
      <c r="E918" s="35"/>
      <c r="F918" s="35"/>
      <c r="G918" s="35"/>
      <c r="H918" s="35"/>
      <c r="I918" s="35"/>
      <c r="J918" s="35"/>
      <c r="K918" s="35"/>
      <c r="L918" s="35"/>
      <c r="M918" s="35"/>
      <c r="N918" s="35"/>
      <c r="O918" s="35"/>
      <c r="P918" s="35"/>
      <c r="Q918" s="43"/>
      <c r="R918" s="35"/>
      <c r="S918" s="35"/>
      <c r="T918" s="35"/>
      <c r="U918" s="138"/>
      <c r="V918" s="35"/>
      <c r="W918" s="35"/>
      <c r="X918" s="35"/>
      <c r="Y918" s="35"/>
      <c r="Z918" s="35"/>
      <c r="AA918" s="35"/>
      <c r="AB918" s="218"/>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row>
    <row r="919">
      <c r="A919" s="35"/>
      <c r="B919" s="35"/>
      <c r="C919" s="35"/>
      <c r="D919" s="35"/>
      <c r="E919" s="35"/>
      <c r="F919" s="35"/>
      <c r="G919" s="35"/>
      <c r="H919" s="35"/>
      <c r="I919" s="35"/>
      <c r="J919" s="35"/>
      <c r="K919" s="35"/>
      <c r="L919" s="35"/>
      <c r="M919" s="35"/>
      <c r="N919" s="35"/>
      <c r="O919" s="35"/>
      <c r="P919" s="35"/>
      <c r="Q919" s="43"/>
      <c r="R919" s="35"/>
      <c r="S919" s="35"/>
      <c r="T919" s="35"/>
      <c r="U919" s="138"/>
      <c r="V919" s="35"/>
      <c r="W919" s="35"/>
      <c r="X919" s="35"/>
      <c r="Y919" s="35"/>
      <c r="Z919" s="35"/>
      <c r="AA919" s="35"/>
      <c r="AB919" s="218"/>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row>
    <row r="920">
      <c r="A920" s="35"/>
      <c r="B920" s="35"/>
      <c r="C920" s="35"/>
      <c r="D920" s="35"/>
      <c r="E920" s="35"/>
      <c r="F920" s="35"/>
      <c r="G920" s="35"/>
      <c r="H920" s="35"/>
      <c r="I920" s="35"/>
      <c r="J920" s="35"/>
      <c r="K920" s="35"/>
      <c r="L920" s="35"/>
      <c r="M920" s="35"/>
      <c r="N920" s="35"/>
      <c r="O920" s="35"/>
      <c r="P920" s="35"/>
      <c r="Q920" s="43"/>
      <c r="R920" s="35"/>
      <c r="S920" s="35"/>
      <c r="T920" s="35"/>
      <c r="U920" s="138"/>
      <c r="V920" s="35"/>
      <c r="W920" s="35"/>
      <c r="X920" s="35"/>
      <c r="Y920" s="35"/>
      <c r="Z920" s="35"/>
      <c r="AA920" s="35"/>
      <c r="AB920" s="218"/>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row>
    <row r="921">
      <c r="A921" s="35"/>
      <c r="B921" s="35"/>
      <c r="C921" s="35"/>
      <c r="D921" s="35"/>
      <c r="E921" s="35"/>
      <c r="F921" s="35"/>
      <c r="G921" s="35"/>
      <c r="H921" s="35"/>
      <c r="I921" s="35"/>
      <c r="J921" s="35"/>
      <c r="K921" s="35"/>
      <c r="L921" s="35"/>
      <c r="M921" s="35"/>
      <c r="N921" s="35"/>
      <c r="O921" s="35"/>
      <c r="P921" s="35"/>
      <c r="Q921" s="43"/>
      <c r="R921" s="35"/>
      <c r="S921" s="35"/>
      <c r="T921" s="35"/>
      <c r="U921" s="138"/>
      <c r="V921" s="35"/>
      <c r="W921" s="35"/>
      <c r="X921" s="35"/>
      <c r="Y921" s="35"/>
      <c r="Z921" s="35"/>
      <c r="AA921" s="35"/>
      <c r="AB921" s="218"/>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row>
    <row r="922">
      <c r="A922" s="35"/>
      <c r="B922" s="35"/>
      <c r="C922" s="35"/>
      <c r="D922" s="35"/>
      <c r="E922" s="35"/>
      <c r="F922" s="35"/>
      <c r="G922" s="35"/>
      <c r="H922" s="35"/>
      <c r="I922" s="35"/>
      <c r="J922" s="35"/>
      <c r="K922" s="35"/>
      <c r="L922" s="35"/>
      <c r="M922" s="35"/>
      <c r="N922" s="35"/>
      <c r="O922" s="35"/>
      <c r="P922" s="35"/>
      <c r="Q922" s="43"/>
      <c r="R922" s="35"/>
      <c r="S922" s="35"/>
      <c r="T922" s="35"/>
      <c r="U922" s="138"/>
      <c r="V922" s="35"/>
      <c r="W922" s="35"/>
      <c r="X922" s="35"/>
      <c r="Y922" s="35"/>
      <c r="Z922" s="35"/>
      <c r="AA922" s="35"/>
      <c r="AB922" s="218"/>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row>
    <row r="923">
      <c r="A923" s="35"/>
      <c r="B923" s="35"/>
      <c r="C923" s="35"/>
      <c r="D923" s="35"/>
      <c r="E923" s="35"/>
      <c r="F923" s="35"/>
      <c r="G923" s="35"/>
      <c r="H923" s="35"/>
      <c r="I923" s="35"/>
      <c r="J923" s="35"/>
      <c r="K923" s="35"/>
      <c r="L923" s="35"/>
      <c r="M923" s="35"/>
      <c r="N923" s="35"/>
      <c r="O923" s="35"/>
      <c r="P923" s="35"/>
      <c r="Q923" s="43"/>
      <c r="R923" s="35"/>
      <c r="S923" s="35"/>
      <c r="T923" s="35"/>
      <c r="U923" s="138"/>
      <c r="V923" s="35"/>
      <c r="W923" s="35"/>
      <c r="X923" s="35"/>
      <c r="Y923" s="35"/>
      <c r="Z923" s="35"/>
      <c r="AA923" s="35"/>
      <c r="AB923" s="218"/>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row>
    <row r="924">
      <c r="A924" s="35"/>
      <c r="B924" s="35"/>
      <c r="C924" s="35"/>
      <c r="D924" s="35"/>
      <c r="E924" s="35"/>
      <c r="F924" s="35"/>
      <c r="G924" s="35"/>
      <c r="H924" s="35"/>
      <c r="I924" s="35"/>
      <c r="J924" s="35"/>
      <c r="K924" s="35"/>
      <c r="L924" s="35"/>
      <c r="M924" s="35"/>
      <c r="N924" s="35"/>
      <c r="O924" s="35"/>
      <c r="P924" s="35"/>
      <c r="Q924" s="43"/>
      <c r="R924" s="35"/>
      <c r="S924" s="35"/>
      <c r="T924" s="35"/>
      <c r="U924" s="138"/>
      <c r="V924" s="35"/>
      <c r="W924" s="35"/>
      <c r="X924" s="35"/>
      <c r="Y924" s="35"/>
      <c r="Z924" s="35"/>
      <c r="AA924" s="35"/>
      <c r="AB924" s="218"/>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row>
    <row r="925">
      <c r="A925" s="35"/>
      <c r="B925" s="35"/>
      <c r="C925" s="35"/>
      <c r="D925" s="35"/>
      <c r="E925" s="35"/>
      <c r="F925" s="35"/>
      <c r="G925" s="35"/>
      <c r="H925" s="35"/>
      <c r="I925" s="35"/>
      <c r="J925" s="35"/>
      <c r="K925" s="35"/>
      <c r="L925" s="35"/>
      <c r="M925" s="35"/>
      <c r="N925" s="35"/>
      <c r="O925" s="35"/>
      <c r="P925" s="35"/>
      <c r="Q925" s="43"/>
      <c r="R925" s="35"/>
      <c r="S925" s="35"/>
      <c r="T925" s="35"/>
      <c r="U925" s="138"/>
      <c r="V925" s="35"/>
      <c r="W925" s="35"/>
      <c r="X925" s="35"/>
      <c r="Y925" s="35"/>
      <c r="Z925" s="35"/>
      <c r="AA925" s="35"/>
      <c r="AB925" s="218"/>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row>
    <row r="926">
      <c r="A926" s="35"/>
      <c r="B926" s="35"/>
      <c r="C926" s="35"/>
      <c r="D926" s="35"/>
      <c r="E926" s="35"/>
      <c r="F926" s="35"/>
      <c r="G926" s="35"/>
      <c r="H926" s="35"/>
      <c r="I926" s="35"/>
      <c r="J926" s="35"/>
      <c r="K926" s="35"/>
      <c r="L926" s="35"/>
      <c r="M926" s="35"/>
      <c r="N926" s="35"/>
      <c r="O926" s="35"/>
      <c r="P926" s="35"/>
      <c r="Q926" s="43"/>
      <c r="R926" s="35"/>
      <c r="S926" s="35"/>
      <c r="T926" s="35"/>
      <c r="U926" s="138"/>
      <c r="V926" s="35"/>
      <c r="W926" s="35"/>
      <c r="X926" s="35"/>
      <c r="Y926" s="35"/>
      <c r="Z926" s="35"/>
      <c r="AA926" s="35"/>
      <c r="AB926" s="218"/>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row>
    <row r="927">
      <c r="A927" s="35"/>
      <c r="B927" s="35"/>
      <c r="C927" s="35"/>
      <c r="D927" s="35"/>
      <c r="E927" s="35"/>
      <c r="F927" s="35"/>
      <c r="G927" s="35"/>
      <c r="H927" s="35"/>
      <c r="I927" s="35"/>
      <c r="J927" s="35"/>
      <c r="K927" s="35"/>
      <c r="L927" s="35"/>
      <c r="M927" s="35"/>
      <c r="N927" s="35"/>
      <c r="O927" s="35"/>
      <c r="P927" s="35"/>
      <c r="Q927" s="43"/>
      <c r="R927" s="35"/>
      <c r="S927" s="35"/>
      <c r="T927" s="35"/>
      <c r="U927" s="138"/>
      <c r="V927" s="35"/>
      <c r="W927" s="35"/>
      <c r="X927" s="35"/>
      <c r="Y927" s="35"/>
      <c r="Z927" s="35"/>
      <c r="AA927" s="35"/>
      <c r="AB927" s="218"/>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row>
    <row r="928">
      <c r="A928" s="35"/>
      <c r="B928" s="35"/>
      <c r="C928" s="35"/>
      <c r="D928" s="35"/>
      <c r="E928" s="35"/>
      <c r="F928" s="35"/>
      <c r="G928" s="35"/>
      <c r="H928" s="35"/>
      <c r="I928" s="35"/>
      <c r="J928" s="35"/>
      <c r="K928" s="35"/>
      <c r="L928" s="35"/>
      <c r="M928" s="35"/>
      <c r="N928" s="35"/>
      <c r="O928" s="35"/>
      <c r="P928" s="35"/>
      <c r="Q928" s="43"/>
      <c r="R928" s="35"/>
      <c r="S928" s="35"/>
      <c r="T928" s="35"/>
      <c r="U928" s="138"/>
      <c r="V928" s="35"/>
      <c r="W928" s="35"/>
      <c r="X928" s="35"/>
      <c r="Y928" s="35"/>
      <c r="Z928" s="35"/>
      <c r="AA928" s="35"/>
      <c r="AB928" s="218"/>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row>
    <row r="929">
      <c r="A929" s="35"/>
      <c r="B929" s="35"/>
      <c r="C929" s="35"/>
      <c r="D929" s="35"/>
      <c r="E929" s="35"/>
      <c r="F929" s="35"/>
      <c r="G929" s="35"/>
      <c r="H929" s="35"/>
      <c r="I929" s="35"/>
      <c r="J929" s="35"/>
      <c r="K929" s="35"/>
      <c r="L929" s="35"/>
      <c r="M929" s="35"/>
      <c r="N929" s="35"/>
      <c r="O929" s="35"/>
      <c r="P929" s="35"/>
      <c r="Q929" s="43"/>
      <c r="R929" s="35"/>
      <c r="S929" s="35"/>
      <c r="T929" s="35"/>
      <c r="U929" s="138"/>
      <c r="V929" s="35"/>
      <c r="W929" s="35"/>
      <c r="X929" s="35"/>
      <c r="Y929" s="35"/>
      <c r="Z929" s="35"/>
      <c r="AA929" s="35"/>
      <c r="AB929" s="218"/>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row>
    <row r="930">
      <c r="A930" s="35"/>
      <c r="B930" s="35"/>
      <c r="C930" s="35"/>
      <c r="D930" s="35"/>
      <c r="E930" s="35"/>
      <c r="F930" s="35"/>
      <c r="G930" s="35"/>
      <c r="H930" s="35"/>
      <c r="I930" s="35"/>
      <c r="J930" s="35"/>
      <c r="K930" s="35"/>
      <c r="L930" s="35"/>
      <c r="M930" s="35"/>
      <c r="N930" s="35"/>
      <c r="O930" s="35"/>
      <c r="P930" s="35"/>
      <c r="Q930" s="43"/>
      <c r="R930" s="35"/>
      <c r="S930" s="35"/>
      <c r="T930" s="35"/>
      <c r="U930" s="138"/>
      <c r="V930" s="35"/>
      <c r="W930" s="35"/>
      <c r="X930" s="35"/>
      <c r="Y930" s="35"/>
      <c r="Z930" s="35"/>
      <c r="AA930" s="35"/>
      <c r="AB930" s="218"/>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row>
    <row r="931">
      <c r="A931" s="35"/>
      <c r="B931" s="35"/>
      <c r="C931" s="35"/>
      <c r="D931" s="35"/>
      <c r="E931" s="35"/>
      <c r="F931" s="35"/>
      <c r="G931" s="35"/>
      <c r="H931" s="35"/>
      <c r="I931" s="35"/>
      <c r="J931" s="35"/>
      <c r="K931" s="35"/>
      <c r="L931" s="35"/>
      <c r="M931" s="35"/>
      <c r="N931" s="35"/>
      <c r="O931" s="35"/>
      <c r="P931" s="35"/>
      <c r="Q931" s="43"/>
      <c r="R931" s="35"/>
      <c r="S931" s="35"/>
      <c r="T931" s="35"/>
      <c r="U931" s="138"/>
      <c r="V931" s="35"/>
      <c r="W931" s="35"/>
      <c r="X931" s="35"/>
      <c r="Y931" s="35"/>
      <c r="Z931" s="35"/>
      <c r="AA931" s="35"/>
      <c r="AB931" s="218"/>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row>
    <row r="932">
      <c r="A932" s="35"/>
      <c r="B932" s="35"/>
      <c r="C932" s="35"/>
      <c r="D932" s="35"/>
      <c r="E932" s="35"/>
      <c r="F932" s="35"/>
      <c r="G932" s="35"/>
      <c r="H932" s="35"/>
      <c r="I932" s="35"/>
      <c r="J932" s="35"/>
      <c r="K932" s="35"/>
      <c r="L932" s="35"/>
      <c r="M932" s="35"/>
      <c r="N932" s="35"/>
      <c r="O932" s="35"/>
      <c r="P932" s="35"/>
      <c r="Q932" s="43"/>
      <c r="R932" s="35"/>
      <c r="S932" s="35"/>
      <c r="T932" s="35"/>
      <c r="U932" s="138"/>
      <c r="V932" s="35"/>
      <c r="W932" s="35"/>
      <c r="X932" s="35"/>
      <c r="Y932" s="35"/>
      <c r="Z932" s="35"/>
      <c r="AA932" s="35"/>
      <c r="AB932" s="218"/>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row>
    <row r="933">
      <c r="A933" s="35"/>
      <c r="B933" s="35"/>
      <c r="C933" s="35"/>
      <c r="D933" s="35"/>
      <c r="E933" s="35"/>
      <c r="F933" s="35"/>
      <c r="G933" s="35"/>
      <c r="H933" s="35"/>
      <c r="I933" s="35"/>
      <c r="J933" s="35"/>
      <c r="K933" s="35"/>
      <c r="L933" s="35"/>
      <c r="M933" s="35"/>
      <c r="N933" s="35"/>
      <c r="O933" s="35"/>
      <c r="P933" s="35"/>
      <c r="Q933" s="43"/>
      <c r="R933" s="35"/>
      <c r="S933" s="35"/>
      <c r="T933" s="35"/>
      <c r="U933" s="138"/>
      <c r="V933" s="35"/>
      <c r="W933" s="35"/>
      <c r="X933" s="35"/>
      <c r="Y933" s="35"/>
      <c r="Z933" s="35"/>
      <c r="AA933" s="35"/>
      <c r="AB933" s="218"/>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row>
    <row r="934">
      <c r="A934" s="35"/>
      <c r="B934" s="35"/>
      <c r="C934" s="35"/>
      <c r="D934" s="35"/>
      <c r="E934" s="35"/>
      <c r="F934" s="35"/>
      <c r="G934" s="35"/>
      <c r="H934" s="35"/>
      <c r="I934" s="35"/>
      <c r="J934" s="35"/>
      <c r="K934" s="35"/>
      <c r="L934" s="35"/>
      <c r="M934" s="35"/>
      <c r="N934" s="35"/>
      <c r="O934" s="35"/>
      <c r="P934" s="35"/>
      <c r="Q934" s="43"/>
      <c r="R934" s="35"/>
      <c r="S934" s="35"/>
      <c r="T934" s="35"/>
      <c r="U934" s="138"/>
      <c r="V934" s="35"/>
      <c r="W934" s="35"/>
      <c r="X934" s="35"/>
      <c r="Y934" s="35"/>
      <c r="Z934" s="35"/>
      <c r="AA934" s="35"/>
      <c r="AB934" s="218"/>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row>
    <row r="935">
      <c r="A935" s="35"/>
      <c r="B935" s="35"/>
      <c r="C935" s="35"/>
      <c r="D935" s="35"/>
      <c r="E935" s="35"/>
      <c r="F935" s="35"/>
      <c r="G935" s="35"/>
      <c r="H935" s="35"/>
      <c r="I935" s="35"/>
      <c r="J935" s="35"/>
      <c r="K935" s="35"/>
      <c r="L935" s="35"/>
      <c r="M935" s="35"/>
      <c r="N935" s="35"/>
      <c r="O935" s="35"/>
      <c r="P935" s="35"/>
      <c r="Q935" s="43"/>
      <c r="R935" s="35"/>
      <c r="S935" s="35"/>
      <c r="T935" s="35"/>
      <c r="U935" s="138"/>
      <c r="V935" s="35"/>
      <c r="W935" s="35"/>
      <c r="X935" s="35"/>
      <c r="Y935" s="35"/>
      <c r="Z935" s="35"/>
      <c r="AA935" s="35"/>
      <c r="AB935" s="218"/>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row>
    <row r="936">
      <c r="A936" s="35"/>
      <c r="B936" s="35"/>
      <c r="C936" s="35"/>
      <c r="D936" s="35"/>
      <c r="E936" s="35"/>
      <c r="F936" s="35"/>
      <c r="G936" s="35"/>
      <c r="H936" s="35"/>
      <c r="I936" s="35"/>
      <c r="J936" s="35"/>
      <c r="K936" s="35"/>
      <c r="L936" s="35"/>
      <c r="M936" s="35"/>
      <c r="N936" s="35"/>
      <c r="O936" s="35"/>
      <c r="P936" s="35"/>
      <c r="Q936" s="43"/>
      <c r="R936" s="35"/>
      <c r="S936" s="35"/>
      <c r="T936" s="35"/>
      <c r="U936" s="138"/>
      <c r="V936" s="35"/>
      <c r="W936" s="35"/>
      <c r="X936" s="35"/>
      <c r="Y936" s="35"/>
      <c r="Z936" s="35"/>
      <c r="AA936" s="35"/>
      <c r="AB936" s="218"/>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row>
    <row r="937">
      <c r="A937" s="35"/>
      <c r="B937" s="35"/>
      <c r="C937" s="35"/>
      <c r="D937" s="35"/>
      <c r="E937" s="35"/>
      <c r="F937" s="35"/>
      <c r="G937" s="35"/>
      <c r="H937" s="35"/>
      <c r="I937" s="35"/>
      <c r="J937" s="35"/>
      <c r="K937" s="35"/>
      <c r="L937" s="35"/>
      <c r="M937" s="35"/>
      <c r="N937" s="35"/>
      <c r="O937" s="35"/>
      <c r="P937" s="35"/>
      <c r="Q937" s="43"/>
      <c r="R937" s="35"/>
      <c r="S937" s="35"/>
      <c r="T937" s="35"/>
      <c r="U937" s="138"/>
      <c r="V937" s="35"/>
      <c r="W937" s="35"/>
      <c r="X937" s="35"/>
      <c r="Y937" s="35"/>
      <c r="Z937" s="35"/>
      <c r="AA937" s="35"/>
      <c r="AB937" s="218"/>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row>
    <row r="938">
      <c r="A938" s="35"/>
      <c r="B938" s="35"/>
      <c r="C938" s="35"/>
      <c r="D938" s="35"/>
      <c r="E938" s="35"/>
      <c r="F938" s="35"/>
      <c r="G938" s="35"/>
      <c r="H938" s="35"/>
      <c r="I938" s="35"/>
      <c r="J938" s="35"/>
      <c r="K938" s="35"/>
      <c r="L938" s="35"/>
      <c r="M938" s="35"/>
      <c r="N938" s="35"/>
      <c r="O938" s="35"/>
      <c r="P938" s="35"/>
      <c r="Q938" s="43"/>
      <c r="R938" s="35"/>
      <c r="S938" s="35"/>
      <c r="T938" s="35"/>
      <c r="U938" s="138"/>
      <c r="V938" s="35"/>
      <c r="W938" s="35"/>
      <c r="X938" s="35"/>
      <c r="Y938" s="35"/>
      <c r="Z938" s="35"/>
      <c r="AA938" s="35"/>
      <c r="AB938" s="218"/>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row>
    <row r="939">
      <c r="A939" s="35"/>
      <c r="B939" s="35"/>
      <c r="C939" s="35"/>
      <c r="D939" s="35"/>
      <c r="E939" s="35"/>
      <c r="F939" s="35"/>
      <c r="G939" s="35"/>
      <c r="H939" s="35"/>
      <c r="I939" s="35"/>
      <c r="J939" s="35"/>
      <c r="K939" s="35"/>
      <c r="L939" s="35"/>
      <c r="M939" s="35"/>
      <c r="N939" s="35"/>
      <c r="O939" s="35"/>
      <c r="P939" s="35"/>
      <c r="Q939" s="43"/>
      <c r="R939" s="35"/>
      <c r="S939" s="35"/>
      <c r="T939" s="35"/>
      <c r="U939" s="138"/>
      <c r="V939" s="35"/>
      <c r="W939" s="35"/>
      <c r="X939" s="35"/>
      <c r="Y939" s="35"/>
      <c r="Z939" s="35"/>
      <c r="AA939" s="35"/>
      <c r="AB939" s="218"/>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row>
    <row r="940">
      <c r="A940" s="35"/>
      <c r="B940" s="35"/>
      <c r="C940" s="35"/>
      <c r="D940" s="35"/>
      <c r="E940" s="35"/>
      <c r="F940" s="35"/>
      <c r="G940" s="35"/>
      <c r="H940" s="35"/>
      <c r="I940" s="35"/>
      <c r="J940" s="35"/>
      <c r="K940" s="35"/>
      <c r="L940" s="35"/>
      <c r="M940" s="35"/>
      <c r="N940" s="35"/>
      <c r="O940" s="35"/>
      <c r="P940" s="35"/>
      <c r="Q940" s="43"/>
      <c r="R940" s="35"/>
      <c r="S940" s="35"/>
      <c r="T940" s="35"/>
      <c r="U940" s="138"/>
      <c r="V940" s="35"/>
      <c r="W940" s="35"/>
      <c r="X940" s="35"/>
      <c r="Y940" s="35"/>
      <c r="Z940" s="35"/>
      <c r="AA940" s="35"/>
      <c r="AB940" s="218"/>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row>
    <row r="941">
      <c r="A941" s="35"/>
      <c r="B941" s="35"/>
      <c r="C941" s="35"/>
      <c r="D941" s="35"/>
      <c r="E941" s="35"/>
      <c r="F941" s="35"/>
      <c r="G941" s="35"/>
      <c r="H941" s="35"/>
      <c r="I941" s="35"/>
      <c r="J941" s="35"/>
      <c r="K941" s="35"/>
      <c r="L941" s="35"/>
      <c r="M941" s="35"/>
      <c r="N941" s="35"/>
      <c r="O941" s="35"/>
      <c r="P941" s="35"/>
      <c r="Q941" s="43"/>
      <c r="R941" s="35"/>
      <c r="S941" s="35"/>
      <c r="T941" s="35"/>
      <c r="U941" s="138"/>
      <c r="V941" s="35"/>
      <c r="W941" s="35"/>
      <c r="X941" s="35"/>
      <c r="Y941" s="35"/>
      <c r="Z941" s="35"/>
      <c r="AA941" s="35"/>
      <c r="AB941" s="218"/>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row>
    <row r="942">
      <c r="A942" s="35"/>
      <c r="B942" s="35"/>
      <c r="C942" s="35"/>
      <c r="D942" s="35"/>
      <c r="E942" s="35"/>
      <c r="F942" s="35"/>
      <c r="G942" s="35"/>
      <c r="H942" s="35"/>
      <c r="I942" s="35"/>
      <c r="J942" s="35"/>
      <c r="K942" s="35"/>
      <c r="L942" s="35"/>
      <c r="M942" s="35"/>
      <c r="N942" s="35"/>
      <c r="O942" s="35"/>
      <c r="P942" s="35"/>
      <c r="Q942" s="43"/>
      <c r="R942" s="35"/>
      <c r="S942" s="35"/>
      <c r="T942" s="35"/>
      <c r="U942" s="138"/>
      <c r="V942" s="35"/>
      <c r="W942" s="35"/>
      <c r="X942" s="35"/>
      <c r="Y942" s="35"/>
      <c r="Z942" s="35"/>
      <c r="AA942" s="35"/>
      <c r="AB942" s="218"/>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row>
    <row r="943">
      <c r="A943" s="35"/>
      <c r="B943" s="35"/>
      <c r="C943" s="35"/>
      <c r="D943" s="35"/>
      <c r="E943" s="35"/>
      <c r="F943" s="35"/>
      <c r="G943" s="35"/>
      <c r="H943" s="35"/>
      <c r="I943" s="35"/>
      <c r="J943" s="35"/>
      <c r="K943" s="35"/>
      <c r="L943" s="35"/>
      <c r="M943" s="35"/>
      <c r="N943" s="35"/>
      <c r="O943" s="35"/>
      <c r="P943" s="35"/>
      <c r="Q943" s="43"/>
      <c r="R943" s="35"/>
      <c r="S943" s="35"/>
      <c r="T943" s="35"/>
      <c r="U943" s="138"/>
      <c r="V943" s="35"/>
      <c r="W943" s="35"/>
      <c r="X943" s="35"/>
      <c r="Y943" s="35"/>
      <c r="Z943" s="35"/>
      <c r="AA943" s="35"/>
      <c r="AB943" s="218"/>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row>
    <row r="944">
      <c r="A944" s="35"/>
      <c r="B944" s="35"/>
      <c r="C944" s="35"/>
      <c r="D944" s="35"/>
      <c r="E944" s="35"/>
      <c r="F944" s="35"/>
      <c r="G944" s="35"/>
      <c r="H944" s="35"/>
      <c r="I944" s="35"/>
      <c r="J944" s="35"/>
      <c r="K944" s="35"/>
      <c r="L944" s="35"/>
      <c r="M944" s="35"/>
      <c r="N944" s="35"/>
      <c r="O944" s="35"/>
      <c r="P944" s="35"/>
      <c r="Q944" s="43"/>
      <c r="R944" s="35"/>
      <c r="S944" s="35"/>
      <c r="T944" s="35"/>
      <c r="U944" s="138"/>
      <c r="V944" s="35"/>
      <c r="W944" s="35"/>
      <c r="X944" s="35"/>
      <c r="Y944" s="35"/>
      <c r="Z944" s="35"/>
      <c r="AA944" s="35"/>
      <c r="AB944" s="218"/>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row>
    <row r="945">
      <c r="A945" s="35"/>
      <c r="B945" s="35"/>
      <c r="C945" s="35"/>
      <c r="D945" s="35"/>
      <c r="E945" s="35"/>
      <c r="F945" s="35"/>
      <c r="G945" s="35"/>
      <c r="H945" s="35"/>
      <c r="I945" s="35"/>
      <c r="J945" s="35"/>
      <c r="K945" s="35"/>
      <c r="L945" s="35"/>
      <c r="M945" s="35"/>
      <c r="N945" s="35"/>
      <c r="O945" s="35"/>
      <c r="P945" s="35"/>
      <c r="Q945" s="43"/>
      <c r="R945" s="35"/>
      <c r="S945" s="35"/>
      <c r="T945" s="35"/>
      <c r="U945" s="138"/>
      <c r="V945" s="35"/>
      <c r="W945" s="35"/>
      <c r="X945" s="35"/>
      <c r="Y945" s="35"/>
      <c r="Z945" s="35"/>
      <c r="AA945" s="35"/>
      <c r="AB945" s="218"/>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row>
    <row r="946">
      <c r="A946" s="35"/>
      <c r="B946" s="35"/>
      <c r="C946" s="35"/>
      <c r="D946" s="35"/>
      <c r="E946" s="35"/>
      <c r="F946" s="35"/>
      <c r="G946" s="35"/>
      <c r="H946" s="35"/>
      <c r="I946" s="35"/>
      <c r="J946" s="35"/>
      <c r="K946" s="35"/>
      <c r="L946" s="35"/>
      <c r="M946" s="35"/>
      <c r="N946" s="35"/>
      <c r="O946" s="35"/>
      <c r="P946" s="35"/>
      <c r="Q946" s="43"/>
      <c r="R946" s="35"/>
      <c r="S946" s="35"/>
      <c r="T946" s="35"/>
      <c r="U946" s="138"/>
      <c r="V946" s="35"/>
      <c r="W946" s="35"/>
      <c r="X946" s="35"/>
      <c r="Y946" s="35"/>
      <c r="Z946" s="35"/>
      <c r="AA946" s="35"/>
      <c r="AB946" s="218"/>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row>
    <row r="947">
      <c r="A947" s="35"/>
      <c r="B947" s="35"/>
      <c r="C947" s="35"/>
      <c r="D947" s="35"/>
      <c r="E947" s="35"/>
      <c r="F947" s="35"/>
      <c r="G947" s="35"/>
      <c r="H947" s="35"/>
      <c r="I947" s="35"/>
      <c r="J947" s="35"/>
      <c r="K947" s="35"/>
      <c r="L947" s="35"/>
      <c r="M947" s="35"/>
      <c r="N947" s="35"/>
      <c r="O947" s="35"/>
      <c r="P947" s="35"/>
      <c r="Q947" s="43"/>
      <c r="R947" s="35"/>
      <c r="S947" s="35"/>
      <c r="T947" s="35"/>
      <c r="U947" s="138"/>
      <c r="V947" s="35"/>
      <c r="W947" s="35"/>
      <c r="X947" s="35"/>
      <c r="Y947" s="35"/>
      <c r="Z947" s="35"/>
      <c r="AA947" s="35"/>
      <c r="AB947" s="218"/>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row>
    <row r="948">
      <c r="A948" s="35"/>
      <c r="B948" s="35"/>
      <c r="C948" s="35"/>
      <c r="D948" s="35"/>
      <c r="E948" s="35"/>
      <c r="F948" s="35"/>
      <c r="G948" s="35"/>
      <c r="H948" s="35"/>
      <c r="I948" s="35"/>
      <c r="J948" s="35"/>
      <c r="K948" s="35"/>
      <c r="L948" s="35"/>
      <c r="M948" s="35"/>
      <c r="N948" s="35"/>
      <c r="O948" s="35"/>
      <c r="P948" s="35"/>
      <c r="Q948" s="43"/>
      <c r="R948" s="35"/>
      <c r="S948" s="35"/>
      <c r="T948" s="35"/>
      <c r="U948" s="138"/>
      <c r="V948" s="35"/>
      <c r="W948" s="35"/>
      <c r="X948" s="35"/>
      <c r="Y948" s="35"/>
      <c r="Z948" s="35"/>
      <c r="AA948" s="35"/>
      <c r="AB948" s="218"/>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row>
    <row r="949">
      <c r="A949" s="35"/>
      <c r="B949" s="35"/>
      <c r="C949" s="35"/>
      <c r="D949" s="35"/>
      <c r="E949" s="35"/>
      <c r="F949" s="35"/>
      <c r="G949" s="35"/>
      <c r="H949" s="35"/>
      <c r="I949" s="35"/>
      <c r="J949" s="35"/>
      <c r="K949" s="35"/>
      <c r="L949" s="35"/>
      <c r="M949" s="35"/>
      <c r="N949" s="35"/>
      <c r="O949" s="35"/>
      <c r="P949" s="35"/>
      <c r="Q949" s="43"/>
      <c r="R949" s="35"/>
      <c r="S949" s="35"/>
      <c r="T949" s="35"/>
      <c r="U949" s="138"/>
      <c r="V949" s="35"/>
      <c r="W949" s="35"/>
      <c r="X949" s="35"/>
      <c r="Y949" s="35"/>
      <c r="Z949" s="35"/>
      <c r="AA949" s="35"/>
      <c r="AB949" s="218"/>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row>
    <row r="950">
      <c r="A950" s="35"/>
      <c r="B950" s="35"/>
      <c r="C950" s="35"/>
      <c r="D950" s="35"/>
      <c r="E950" s="35"/>
      <c r="F950" s="35"/>
      <c r="G950" s="35"/>
      <c r="H950" s="35"/>
      <c r="I950" s="35"/>
      <c r="J950" s="35"/>
      <c r="K950" s="35"/>
      <c r="L950" s="35"/>
      <c r="M950" s="35"/>
      <c r="N950" s="35"/>
      <c r="O950" s="35"/>
      <c r="P950" s="35"/>
      <c r="Q950" s="43"/>
      <c r="R950" s="35"/>
      <c r="S950" s="35"/>
      <c r="T950" s="35"/>
      <c r="U950" s="138"/>
      <c r="V950" s="35"/>
      <c r="W950" s="35"/>
      <c r="X950" s="35"/>
      <c r="Y950" s="35"/>
      <c r="Z950" s="35"/>
      <c r="AA950" s="35"/>
      <c r="AB950" s="218"/>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row>
    <row r="951">
      <c r="A951" s="35"/>
      <c r="B951" s="35"/>
      <c r="C951" s="35"/>
      <c r="D951" s="35"/>
      <c r="E951" s="35"/>
      <c r="F951" s="35"/>
      <c r="G951" s="35"/>
      <c r="H951" s="35"/>
      <c r="I951" s="35"/>
      <c r="J951" s="35"/>
      <c r="K951" s="35"/>
      <c r="L951" s="35"/>
      <c r="M951" s="35"/>
      <c r="N951" s="35"/>
      <c r="O951" s="35"/>
      <c r="P951" s="35"/>
      <c r="Q951" s="43"/>
      <c r="R951" s="35"/>
      <c r="S951" s="35"/>
      <c r="T951" s="35"/>
      <c r="U951" s="138"/>
      <c r="V951" s="35"/>
      <c r="W951" s="35"/>
      <c r="X951" s="35"/>
      <c r="Y951" s="35"/>
      <c r="Z951" s="35"/>
      <c r="AA951" s="35"/>
      <c r="AB951" s="218"/>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row>
    <row r="952">
      <c r="A952" s="35"/>
      <c r="B952" s="35"/>
      <c r="C952" s="35"/>
      <c r="D952" s="35"/>
      <c r="E952" s="35"/>
      <c r="F952" s="35"/>
      <c r="G952" s="35"/>
      <c r="H952" s="35"/>
      <c r="I952" s="35"/>
      <c r="J952" s="35"/>
      <c r="K952" s="35"/>
      <c r="L952" s="35"/>
      <c r="M952" s="35"/>
      <c r="N952" s="35"/>
      <c r="O952" s="35"/>
      <c r="P952" s="35"/>
      <c r="Q952" s="43"/>
      <c r="R952" s="35"/>
      <c r="S952" s="35"/>
      <c r="T952" s="35"/>
      <c r="U952" s="138"/>
      <c r="V952" s="35"/>
      <c r="W952" s="35"/>
      <c r="X952" s="35"/>
      <c r="Y952" s="35"/>
      <c r="Z952" s="35"/>
      <c r="AA952" s="35"/>
      <c r="AB952" s="218"/>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row>
    <row r="953">
      <c r="A953" s="35"/>
      <c r="B953" s="35"/>
      <c r="C953" s="35"/>
      <c r="D953" s="35"/>
      <c r="E953" s="35"/>
      <c r="F953" s="35"/>
      <c r="G953" s="35"/>
      <c r="H953" s="35"/>
      <c r="I953" s="35"/>
      <c r="J953" s="35"/>
      <c r="K953" s="35"/>
      <c r="L953" s="35"/>
      <c r="M953" s="35"/>
      <c r="N953" s="35"/>
      <c r="O953" s="35"/>
      <c r="P953" s="35"/>
      <c r="Q953" s="43"/>
      <c r="R953" s="35"/>
      <c r="S953" s="35"/>
      <c r="T953" s="35"/>
      <c r="U953" s="138"/>
      <c r="V953" s="35"/>
      <c r="W953" s="35"/>
      <c r="X953" s="35"/>
      <c r="Y953" s="35"/>
      <c r="Z953" s="35"/>
      <c r="AA953" s="35"/>
      <c r="AB953" s="218"/>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row>
    <row r="954">
      <c r="A954" s="35"/>
      <c r="B954" s="35"/>
      <c r="C954" s="35"/>
      <c r="D954" s="35"/>
      <c r="E954" s="35"/>
      <c r="F954" s="35"/>
      <c r="G954" s="35"/>
      <c r="H954" s="35"/>
      <c r="I954" s="35"/>
      <c r="J954" s="35"/>
      <c r="K954" s="35"/>
      <c r="L954" s="35"/>
      <c r="M954" s="35"/>
      <c r="N954" s="35"/>
      <c r="O954" s="35"/>
      <c r="P954" s="35"/>
      <c r="Q954" s="43"/>
      <c r="R954" s="35"/>
      <c r="S954" s="35"/>
      <c r="T954" s="35"/>
      <c r="U954" s="138"/>
      <c r="V954" s="35"/>
      <c r="W954" s="35"/>
      <c r="X954" s="35"/>
      <c r="Y954" s="35"/>
      <c r="Z954" s="35"/>
      <c r="AA954" s="35"/>
      <c r="AB954" s="218"/>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row>
    <row r="955">
      <c r="A955" s="35"/>
      <c r="B955" s="35"/>
      <c r="C955" s="35"/>
      <c r="D955" s="35"/>
      <c r="E955" s="35"/>
      <c r="F955" s="35"/>
      <c r="G955" s="35"/>
      <c r="H955" s="35"/>
      <c r="I955" s="35"/>
      <c r="J955" s="35"/>
      <c r="K955" s="35"/>
      <c r="L955" s="35"/>
      <c r="M955" s="35"/>
      <c r="N955" s="35"/>
      <c r="O955" s="35"/>
      <c r="P955" s="35"/>
      <c r="Q955" s="43"/>
      <c r="R955" s="35"/>
      <c r="S955" s="35"/>
      <c r="T955" s="35"/>
      <c r="U955" s="138"/>
      <c r="V955" s="35"/>
      <c r="W955" s="35"/>
      <c r="X955" s="35"/>
      <c r="Y955" s="35"/>
      <c r="Z955" s="35"/>
      <c r="AA955" s="35"/>
      <c r="AB955" s="218"/>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row>
    <row r="956">
      <c r="A956" s="35"/>
      <c r="B956" s="35"/>
      <c r="C956" s="35"/>
      <c r="D956" s="35"/>
      <c r="E956" s="35"/>
      <c r="F956" s="35"/>
      <c r="G956" s="35"/>
      <c r="H956" s="35"/>
      <c r="I956" s="35"/>
      <c r="J956" s="35"/>
      <c r="K956" s="35"/>
      <c r="L956" s="35"/>
      <c r="M956" s="35"/>
      <c r="N956" s="35"/>
      <c r="O956" s="35"/>
      <c r="P956" s="35"/>
      <c r="Q956" s="43"/>
      <c r="R956" s="35"/>
      <c r="S956" s="35"/>
      <c r="T956" s="35"/>
      <c r="U956" s="138"/>
      <c r="V956" s="35"/>
      <c r="W956" s="35"/>
      <c r="X956" s="35"/>
      <c r="Y956" s="35"/>
      <c r="Z956" s="35"/>
      <c r="AA956" s="35"/>
      <c r="AB956" s="218"/>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row>
    <row r="957">
      <c r="A957" s="35"/>
      <c r="B957" s="35"/>
      <c r="C957" s="35"/>
      <c r="D957" s="35"/>
      <c r="E957" s="35"/>
      <c r="F957" s="35"/>
      <c r="G957" s="35"/>
      <c r="H957" s="35"/>
      <c r="I957" s="35"/>
      <c r="J957" s="35"/>
      <c r="K957" s="35"/>
      <c r="L957" s="35"/>
      <c r="M957" s="35"/>
      <c r="N957" s="35"/>
      <c r="O957" s="35"/>
      <c r="P957" s="35"/>
      <c r="Q957" s="43"/>
      <c r="R957" s="35"/>
      <c r="S957" s="35"/>
      <c r="T957" s="35"/>
      <c r="U957" s="138"/>
      <c r="V957" s="35"/>
      <c r="W957" s="35"/>
      <c r="X957" s="35"/>
      <c r="Y957" s="35"/>
      <c r="Z957" s="35"/>
      <c r="AA957" s="35"/>
      <c r="AB957" s="218"/>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row>
    <row r="958">
      <c r="A958" s="35"/>
      <c r="B958" s="35"/>
      <c r="C958" s="35"/>
      <c r="D958" s="35"/>
      <c r="E958" s="35"/>
      <c r="F958" s="35"/>
      <c r="G958" s="35"/>
      <c r="H958" s="35"/>
      <c r="I958" s="35"/>
      <c r="J958" s="35"/>
      <c r="K958" s="35"/>
      <c r="L958" s="35"/>
      <c r="M958" s="35"/>
      <c r="N958" s="35"/>
      <c r="O958" s="35"/>
      <c r="P958" s="35"/>
      <c r="Q958" s="43"/>
      <c r="R958" s="35"/>
      <c r="S958" s="35"/>
      <c r="T958" s="35"/>
      <c r="U958" s="138"/>
      <c r="V958" s="35"/>
      <c r="W958" s="35"/>
      <c r="X958" s="35"/>
      <c r="Y958" s="35"/>
      <c r="Z958" s="35"/>
      <c r="AA958" s="35"/>
      <c r="AB958" s="218"/>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row>
    <row r="959">
      <c r="A959" s="35"/>
      <c r="B959" s="35"/>
      <c r="C959" s="35"/>
      <c r="D959" s="35"/>
      <c r="E959" s="35"/>
      <c r="F959" s="35"/>
      <c r="G959" s="35"/>
      <c r="H959" s="35"/>
      <c r="I959" s="35"/>
      <c r="J959" s="35"/>
      <c r="K959" s="35"/>
      <c r="L959" s="35"/>
      <c r="M959" s="35"/>
      <c r="N959" s="35"/>
      <c r="O959" s="35"/>
      <c r="P959" s="35"/>
      <c r="Q959" s="43"/>
      <c r="R959" s="35"/>
      <c r="S959" s="35"/>
      <c r="T959" s="35"/>
      <c r="U959" s="138"/>
      <c r="V959" s="35"/>
      <c r="W959" s="35"/>
      <c r="X959" s="35"/>
      <c r="Y959" s="35"/>
      <c r="Z959" s="35"/>
      <c r="AA959" s="35"/>
      <c r="AB959" s="218"/>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row>
    <row r="960">
      <c r="A960" s="35"/>
      <c r="B960" s="35"/>
      <c r="C960" s="35"/>
      <c r="D960" s="35"/>
      <c r="E960" s="35"/>
      <c r="F960" s="35"/>
      <c r="G960" s="35"/>
      <c r="H960" s="35"/>
      <c r="I960" s="35"/>
      <c r="J960" s="35"/>
      <c r="K960" s="35"/>
      <c r="L960" s="35"/>
      <c r="M960" s="35"/>
      <c r="N960" s="35"/>
      <c r="O960" s="35"/>
      <c r="P960" s="35"/>
      <c r="Q960" s="43"/>
      <c r="R960" s="35"/>
      <c r="S960" s="35"/>
      <c r="T960" s="35"/>
      <c r="U960" s="138"/>
      <c r="V960" s="35"/>
      <c r="W960" s="35"/>
      <c r="X960" s="35"/>
      <c r="Y960" s="35"/>
      <c r="Z960" s="35"/>
      <c r="AA960" s="35"/>
      <c r="AB960" s="218"/>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row>
    <row r="961">
      <c r="A961" s="35"/>
      <c r="B961" s="35"/>
      <c r="C961" s="35"/>
      <c r="D961" s="35"/>
      <c r="E961" s="35"/>
      <c r="F961" s="35"/>
      <c r="G961" s="35"/>
      <c r="H961" s="35"/>
      <c r="I961" s="35"/>
      <c r="J961" s="35"/>
      <c r="K961" s="35"/>
      <c r="L961" s="35"/>
      <c r="M961" s="35"/>
      <c r="N961" s="35"/>
      <c r="O961" s="35"/>
      <c r="P961" s="35"/>
      <c r="Q961" s="43"/>
      <c r="R961" s="35"/>
      <c r="S961" s="35"/>
      <c r="T961" s="35"/>
      <c r="U961" s="138"/>
      <c r="V961" s="35"/>
      <c r="W961" s="35"/>
      <c r="X961" s="35"/>
      <c r="Y961" s="35"/>
      <c r="Z961" s="35"/>
      <c r="AA961" s="35"/>
      <c r="AB961" s="218"/>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row>
    <row r="962">
      <c r="A962" s="35"/>
      <c r="B962" s="35"/>
      <c r="C962" s="35"/>
      <c r="D962" s="35"/>
      <c r="E962" s="35"/>
      <c r="F962" s="35"/>
      <c r="G962" s="35"/>
      <c r="H962" s="35"/>
      <c r="I962" s="35"/>
      <c r="J962" s="35"/>
      <c r="K962" s="35"/>
      <c r="L962" s="35"/>
      <c r="M962" s="35"/>
      <c r="N962" s="35"/>
      <c r="O962" s="35"/>
      <c r="P962" s="35"/>
      <c r="Q962" s="43"/>
      <c r="R962" s="35"/>
      <c r="S962" s="35"/>
      <c r="T962" s="35"/>
      <c r="U962" s="138"/>
      <c r="V962" s="35"/>
      <c r="W962" s="35"/>
      <c r="X962" s="35"/>
      <c r="Y962" s="35"/>
      <c r="Z962" s="35"/>
      <c r="AA962" s="35"/>
      <c r="AB962" s="218"/>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row>
    <row r="963">
      <c r="A963" s="35"/>
      <c r="B963" s="35"/>
      <c r="C963" s="35"/>
      <c r="D963" s="35"/>
      <c r="E963" s="35"/>
      <c r="F963" s="35"/>
      <c r="G963" s="35"/>
      <c r="H963" s="35"/>
      <c r="I963" s="35"/>
      <c r="J963" s="35"/>
      <c r="K963" s="35"/>
      <c r="L963" s="35"/>
      <c r="M963" s="35"/>
      <c r="N963" s="35"/>
      <c r="O963" s="35"/>
      <c r="P963" s="35"/>
      <c r="Q963" s="43"/>
      <c r="R963" s="35"/>
      <c r="S963" s="35"/>
      <c r="T963" s="35"/>
      <c r="U963" s="138"/>
      <c r="V963" s="35"/>
      <c r="W963" s="35"/>
      <c r="X963" s="35"/>
      <c r="Y963" s="35"/>
      <c r="Z963" s="35"/>
      <c r="AA963" s="35"/>
      <c r="AB963" s="218"/>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row>
    <row r="964">
      <c r="A964" s="35"/>
      <c r="B964" s="35"/>
      <c r="C964" s="35"/>
      <c r="D964" s="35"/>
      <c r="E964" s="35"/>
      <c r="F964" s="35"/>
      <c r="G964" s="35"/>
      <c r="H964" s="35"/>
      <c r="I964" s="35"/>
      <c r="J964" s="35"/>
      <c r="K964" s="35"/>
      <c r="L964" s="35"/>
      <c r="M964" s="35"/>
      <c r="N964" s="35"/>
      <c r="O964" s="35"/>
      <c r="P964" s="35"/>
      <c r="Q964" s="43"/>
      <c r="R964" s="35"/>
      <c r="S964" s="35"/>
      <c r="T964" s="35"/>
      <c r="U964" s="138"/>
      <c r="V964" s="35"/>
      <c r="W964" s="35"/>
      <c r="X964" s="35"/>
      <c r="Y964" s="35"/>
      <c r="Z964" s="35"/>
      <c r="AA964" s="35"/>
      <c r="AB964" s="218"/>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row>
    <row r="965">
      <c r="A965" s="35"/>
      <c r="B965" s="35"/>
      <c r="C965" s="35"/>
      <c r="D965" s="35"/>
      <c r="E965" s="35"/>
      <c r="F965" s="35"/>
      <c r="G965" s="35"/>
      <c r="H965" s="35"/>
      <c r="I965" s="35"/>
      <c r="J965" s="35"/>
      <c r="K965" s="35"/>
      <c r="L965" s="35"/>
      <c r="M965" s="35"/>
      <c r="N965" s="35"/>
      <c r="O965" s="35"/>
      <c r="P965" s="35"/>
      <c r="Q965" s="43"/>
      <c r="R965" s="35"/>
      <c r="S965" s="35"/>
      <c r="T965" s="35"/>
      <c r="U965" s="138"/>
      <c r="V965" s="35"/>
      <c r="W965" s="35"/>
      <c r="X965" s="35"/>
      <c r="Y965" s="35"/>
      <c r="Z965" s="35"/>
      <c r="AA965" s="35"/>
      <c r="AB965" s="218"/>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row>
    <row r="966">
      <c r="A966" s="35"/>
      <c r="B966" s="35"/>
      <c r="C966" s="35"/>
      <c r="D966" s="35"/>
      <c r="E966" s="35"/>
      <c r="F966" s="35"/>
      <c r="G966" s="35"/>
      <c r="H966" s="35"/>
      <c r="I966" s="35"/>
      <c r="J966" s="35"/>
      <c r="K966" s="35"/>
      <c r="L966" s="35"/>
      <c r="M966" s="35"/>
      <c r="N966" s="35"/>
      <c r="O966" s="35"/>
      <c r="P966" s="35"/>
      <c r="Q966" s="43"/>
      <c r="R966" s="35"/>
      <c r="S966" s="35"/>
      <c r="T966" s="35"/>
      <c r="U966" s="138"/>
      <c r="V966" s="35"/>
      <c r="W966" s="35"/>
      <c r="X966" s="35"/>
      <c r="Y966" s="35"/>
      <c r="Z966" s="35"/>
      <c r="AA966" s="35"/>
      <c r="AB966" s="218"/>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row>
    <row r="967">
      <c r="A967" s="35"/>
      <c r="B967" s="35"/>
      <c r="C967" s="35"/>
      <c r="D967" s="35"/>
      <c r="E967" s="35"/>
      <c r="F967" s="35"/>
      <c r="G967" s="35"/>
      <c r="H967" s="35"/>
      <c r="I967" s="35"/>
      <c r="J967" s="35"/>
      <c r="K967" s="35"/>
      <c r="L967" s="35"/>
      <c r="M967" s="35"/>
      <c r="N967" s="35"/>
      <c r="O967" s="35"/>
      <c r="P967" s="35"/>
      <c r="Q967" s="43"/>
      <c r="R967" s="35"/>
      <c r="S967" s="35"/>
      <c r="T967" s="35"/>
      <c r="U967" s="138"/>
      <c r="V967" s="35"/>
      <c r="W967" s="35"/>
      <c r="X967" s="35"/>
      <c r="Y967" s="35"/>
      <c r="Z967" s="35"/>
      <c r="AA967" s="35"/>
      <c r="AB967" s="218"/>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row>
    <row r="968">
      <c r="A968" s="35"/>
      <c r="B968" s="35"/>
      <c r="C968" s="35"/>
      <c r="D968" s="35"/>
      <c r="E968" s="35"/>
      <c r="F968" s="35"/>
      <c r="G968" s="35"/>
      <c r="H968" s="35"/>
      <c r="I968" s="35"/>
      <c r="J968" s="35"/>
      <c r="K968" s="35"/>
      <c r="L968" s="35"/>
      <c r="M968" s="35"/>
      <c r="N968" s="35"/>
      <c r="O968" s="35"/>
      <c r="P968" s="35"/>
      <c r="Q968" s="43"/>
      <c r="R968" s="35"/>
      <c r="S968" s="35"/>
      <c r="T968" s="35"/>
      <c r="U968" s="138"/>
      <c r="V968" s="35"/>
      <c r="W968" s="35"/>
      <c r="X968" s="35"/>
      <c r="Y968" s="35"/>
      <c r="Z968" s="35"/>
      <c r="AA968" s="35"/>
      <c r="AB968" s="218"/>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row>
    <row r="969">
      <c r="A969" s="35"/>
      <c r="B969" s="35"/>
      <c r="C969" s="35"/>
      <c r="D969" s="35"/>
      <c r="E969" s="35"/>
      <c r="F969" s="35"/>
      <c r="G969" s="35"/>
      <c r="H969" s="35"/>
      <c r="I969" s="35"/>
      <c r="J969" s="35"/>
      <c r="K969" s="35"/>
      <c r="L969" s="35"/>
      <c r="M969" s="35"/>
      <c r="N969" s="35"/>
      <c r="O969" s="35"/>
      <c r="P969" s="35"/>
      <c r="Q969" s="43"/>
      <c r="R969" s="35"/>
      <c r="S969" s="35"/>
      <c r="T969" s="35"/>
      <c r="U969" s="138"/>
      <c r="V969" s="35"/>
      <c r="W969" s="35"/>
      <c r="X969" s="35"/>
      <c r="Y969" s="35"/>
      <c r="Z969" s="35"/>
      <c r="AA969" s="35"/>
      <c r="AB969" s="218"/>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row>
    <row r="970">
      <c r="A970" s="35"/>
      <c r="B970" s="35"/>
      <c r="C970" s="35"/>
      <c r="D970" s="35"/>
      <c r="E970" s="35"/>
      <c r="F970" s="35"/>
      <c r="G970" s="35"/>
      <c r="H970" s="35"/>
      <c r="I970" s="35"/>
      <c r="J970" s="35"/>
      <c r="K970" s="35"/>
      <c r="L970" s="35"/>
      <c r="M970" s="35"/>
      <c r="N970" s="35"/>
      <c r="O970" s="35"/>
      <c r="P970" s="35"/>
      <c r="Q970" s="43"/>
      <c r="R970" s="35"/>
      <c r="S970" s="35"/>
      <c r="T970" s="35"/>
      <c r="U970" s="138"/>
      <c r="V970" s="35"/>
      <c r="W970" s="35"/>
      <c r="X970" s="35"/>
      <c r="Y970" s="35"/>
      <c r="Z970" s="35"/>
      <c r="AA970" s="35"/>
      <c r="AB970" s="218"/>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row>
    <row r="971">
      <c r="A971" s="35"/>
      <c r="B971" s="35"/>
      <c r="C971" s="35"/>
      <c r="D971" s="35"/>
      <c r="E971" s="35"/>
      <c r="F971" s="35"/>
      <c r="G971" s="35"/>
      <c r="H971" s="35"/>
      <c r="I971" s="35"/>
      <c r="J971" s="35"/>
      <c r="K971" s="35"/>
      <c r="L971" s="35"/>
      <c r="M971" s="35"/>
      <c r="N971" s="35"/>
      <c r="O971" s="35"/>
      <c r="P971" s="35"/>
      <c r="Q971" s="43"/>
      <c r="R971" s="35"/>
      <c r="S971" s="35"/>
      <c r="T971" s="35"/>
      <c r="U971" s="138"/>
      <c r="V971" s="35"/>
      <c r="W971" s="35"/>
      <c r="X971" s="35"/>
      <c r="Y971" s="35"/>
      <c r="Z971" s="35"/>
      <c r="AA971" s="35"/>
      <c r="AB971" s="218"/>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row>
    <row r="972">
      <c r="A972" s="35"/>
      <c r="B972" s="35"/>
      <c r="C972" s="35"/>
      <c r="D972" s="35"/>
      <c r="E972" s="35"/>
      <c r="F972" s="35"/>
      <c r="G972" s="35"/>
      <c r="H972" s="35"/>
      <c r="I972" s="35"/>
      <c r="J972" s="35"/>
      <c r="K972" s="35"/>
      <c r="L972" s="35"/>
      <c r="M972" s="35"/>
      <c r="N972" s="35"/>
      <c r="O972" s="35"/>
      <c r="P972" s="35"/>
      <c r="Q972" s="43"/>
      <c r="R972" s="35"/>
      <c r="S972" s="35"/>
      <c r="T972" s="35"/>
      <c r="U972" s="138"/>
      <c r="V972" s="35"/>
      <c r="W972" s="35"/>
      <c r="X972" s="35"/>
      <c r="Y972" s="35"/>
      <c r="Z972" s="35"/>
      <c r="AA972" s="35"/>
      <c r="AB972" s="218"/>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row>
    <row r="973">
      <c r="A973" s="35"/>
      <c r="B973" s="35"/>
      <c r="C973" s="35"/>
      <c r="D973" s="35"/>
      <c r="E973" s="35"/>
      <c r="F973" s="35"/>
      <c r="G973" s="35"/>
      <c r="H973" s="35"/>
      <c r="I973" s="35"/>
      <c r="J973" s="35"/>
      <c r="K973" s="35"/>
      <c r="L973" s="35"/>
      <c r="M973" s="35"/>
      <c r="N973" s="35"/>
      <c r="O973" s="35"/>
      <c r="P973" s="35"/>
      <c r="Q973" s="43"/>
      <c r="R973" s="35"/>
      <c r="S973" s="35"/>
      <c r="T973" s="35"/>
      <c r="U973" s="138"/>
      <c r="V973" s="35"/>
      <c r="W973" s="35"/>
      <c r="X973" s="35"/>
      <c r="Y973" s="35"/>
      <c r="Z973" s="35"/>
      <c r="AA973" s="35"/>
      <c r="AB973" s="218"/>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row>
    <row r="974">
      <c r="A974" s="35"/>
      <c r="B974" s="35"/>
      <c r="C974" s="35"/>
      <c r="D974" s="35"/>
      <c r="E974" s="35"/>
      <c r="F974" s="35"/>
      <c r="G974" s="35"/>
      <c r="H974" s="35"/>
      <c r="I974" s="35"/>
      <c r="J974" s="35"/>
      <c r="K974" s="35"/>
      <c r="L974" s="35"/>
      <c r="M974" s="35"/>
      <c r="N974" s="35"/>
      <c r="O974" s="35"/>
      <c r="P974" s="35"/>
      <c r="Q974" s="43"/>
      <c r="R974" s="35"/>
      <c r="S974" s="35"/>
      <c r="T974" s="35"/>
      <c r="U974" s="138"/>
      <c r="V974" s="35"/>
      <c r="W974" s="35"/>
      <c r="X974" s="35"/>
      <c r="Y974" s="35"/>
      <c r="Z974" s="35"/>
      <c r="AA974" s="35"/>
      <c r="AB974" s="218"/>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row>
    <row r="975">
      <c r="A975" s="35"/>
      <c r="B975" s="35"/>
      <c r="C975" s="35"/>
      <c r="D975" s="35"/>
      <c r="E975" s="35"/>
      <c r="F975" s="35"/>
      <c r="G975" s="35"/>
      <c r="H975" s="35"/>
      <c r="I975" s="35"/>
      <c r="J975" s="35"/>
      <c r="K975" s="35"/>
      <c r="L975" s="35"/>
      <c r="M975" s="35"/>
      <c r="N975" s="35"/>
      <c r="O975" s="35"/>
      <c r="P975" s="35"/>
      <c r="Q975" s="43"/>
      <c r="R975" s="35"/>
      <c r="S975" s="35"/>
      <c r="T975" s="35"/>
      <c r="U975" s="138"/>
      <c r="V975" s="35"/>
      <c r="W975" s="35"/>
      <c r="X975" s="35"/>
      <c r="Y975" s="35"/>
      <c r="Z975" s="35"/>
      <c r="AA975" s="35"/>
      <c r="AB975" s="218"/>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row>
    <row r="976">
      <c r="A976" s="35"/>
      <c r="B976" s="35"/>
      <c r="C976" s="35"/>
      <c r="D976" s="35"/>
      <c r="E976" s="35"/>
      <c r="F976" s="35"/>
      <c r="G976" s="35"/>
      <c r="H976" s="35"/>
      <c r="I976" s="35"/>
      <c r="J976" s="35"/>
      <c r="K976" s="35"/>
      <c r="L976" s="35"/>
      <c r="M976" s="35"/>
      <c r="N976" s="35"/>
      <c r="O976" s="35"/>
      <c r="P976" s="35"/>
      <c r="Q976" s="43"/>
      <c r="R976" s="35"/>
      <c r="S976" s="35"/>
      <c r="T976" s="35"/>
      <c r="U976" s="138"/>
      <c r="V976" s="35"/>
      <c r="W976" s="35"/>
      <c r="X976" s="35"/>
      <c r="Y976" s="35"/>
      <c r="Z976" s="35"/>
      <c r="AA976" s="35"/>
      <c r="AB976" s="218"/>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row>
    <row r="977">
      <c r="A977" s="35"/>
      <c r="B977" s="35"/>
      <c r="C977" s="35"/>
      <c r="D977" s="35"/>
      <c r="E977" s="35"/>
      <c r="F977" s="35"/>
      <c r="G977" s="35"/>
      <c r="H977" s="35"/>
      <c r="I977" s="35"/>
      <c r="J977" s="35"/>
      <c r="K977" s="35"/>
      <c r="L977" s="35"/>
      <c r="M977" s="35"/>
      <c r="N977" s="35"/>
      <c r="O977" s="35"/>
      <c r="P977" s="35"/>
      <c r="Q977" s="43"/>
      <c r="R977" s="35"/>
      <c r="S977" s="35"/>
      <c r="T977" s="35"/>
      <c r="U977" s="138"/>
      <c r="V977" s="35"/>
      <c r="W977" s="35"/>
      <c r="X977" s="35"/>
      <c r="Y977" s="35"/>
      <c r="Z977" s="35"/>
      <c r="AA977" s="35"/>
      <c r="AB977" s="218"/>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row>
    <row r="978">
      <c r="A978" s="35"/>
      <c r="B978" s="35"/>
      <c r="C978" s="35"/>
      <c r="D978" s="35"/>
      <c r="E978" s="35"/>
      <c r="F978" s="35"/>
      <c r="G978" s="35"/>
      <c r="H978" s="35"/>
      <c r="I978" s="35"/>
      <c r="J978" s="35"/>
      <c r="K978" s="35"/>
      <c r="L978" s="35"/>
      <c r="M978" s="35"/>
      <c r="N978" s="35"/>
      <c r="O978" s="35"/>
      <c r="P978" s="35"/>
      <c r="Q978" s="43"/>
      <c r="R978" s="35"/>
      <c r="S978" s="35"/>
      <c r="T978" s="35"/>
      <c r="U978" s="138"/>
      <c r="V978" s="35"/>
      <c r="W978" s="35"/>
      <c r="X978" s="35"/>
      <c r="Y978" s="35"/>
      <c r="Z978" s="35"/>
      <c r="AA978" s="35"/>
      <c r="AB978" s="218"/>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row>
    <row r="979">
      <c r="A979" s="35"/>
      <c r="B979" s="35"/>
      <c r="C979" s="35"/>
      <c r="D979" s="35"/>
      <c r="E979" s="35"/>
      <c r="F979" s="35"/>
      <c r="G979" s="35"/>
      <c r="H979" s="35"/>
      <c r="I979" s="35"/>
      <c r="J979" s="35"/>
      <c r="K979" s="35"/>
      <c r="L979" s="35"/>
      <c r="M979" s="35"/>
      <c r="N979" s="35"/>
      <c r="O979" s="35"/>
      <c r="P979" s="35"/>
      <c r="Q979" s="43"/>
      <c r="R979" s="35"/>
      <c r="S979" s="35"/>
      <c r="T979" s="35"/>
      <c r="U979" s="138"/>
      <c r="V979" s="35"/>
      <c r="W979" s="35"/>
      <c r="X979" s="35"/>
      <c r="Y979" s="35"/>
      <c r="Z979" s="35"/>
      <c r="AA979" s="35"/>
      <c r="AB979" s="218"/>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row>
    <row r="980">
      <c r="A980" s="35"/>
      <c r="B980" s="35"/>
      <c r="C980" s="35"/>
      <c r="D980" s="35"/>
      <c r="E980" s="35"/>
      <c r="F980" s="35"/>
      <c r="G980" s="35"/>
      <c r="H980" s="35"/>
      <c r="I980" s="35"/>
      <c r="J980" s="35"/>
      <c r="K980" s="35"/>
      <c r="L980" s="35"/>
      <c r="M980" s="35"/>
      <c r="N980" s="35"/>
      <c r="O980" s="35"/>
      <c r="P980" s="35"/>
      <c r="Q980" s="43"/>
      <c r="R980" s="35"/>
      <c r="S980" s="35"/>
      <c r="T980" s="35"/>
      <c r="U980" s="138"/>
      <c r="V980" s="35"/>
      <c r="W980" s="35"/>
      <c r="X980" s="35"/>
      <c r="Y980" s="35"/>
      <c r="Z980" s="35"/>
      <c r="AA980" s="35"/>
      <c r="AB980" s="218"/>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row>
    <row r="981">
      <c r="A981" s="35"/>
      <c r="B981" s="35"/>
      <c r="C981" s="35"/>
      <c r="D981" s="35"/>
      <c r="E981" s="35"/>
      <c r="F981" s="35"/>
      <c r="G981" s="35"/>
      <c r="H981" s="35"/>
      <c r="I981" s="35"/>
      <c r="J981" s="35"/>
      <c r="K981" s="35"/>
      <c r="L981" s="35"/>
      <c r="M981" s="35"/>
      <c r="N981" s="35"/>
      <c r="O981" s="35"/>
      <c r="P981" s="35"/>
      <c r="Q981" s="43"/>
      <c r="R981" s="35"/>
      <c r="S981" s="35"/>
      <c r="T981" s="35"/>
      <c r="U981" s="138"/>
      <c r="V981" s="35"/>
      <c r="W981" s="35"/>
      <c r="X981" s="35"/>
      <c r="Y981" s="35"/>
      <c r="Z981" s="35"/>
      <c r="AA981" s="35"/>
      <c r="AB981" s="218"/>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row>
    <row r="982">
      <c r="A982" s="35"/>
      <c r="B982" s="35"/>
      <c r="C982" s="35"/>
      <c r="D982" s="35"/>
      <c r="E982" s="35"/>
      <c r="F982" s="35"/>
      <c r="G982" s="35"/>
      <c r="H982" s="35"/>
      <c r="I982" s="35"/>
      <c r="J982" s="35"/>
      <c r="K982" s="35"/>
      <c r="L982" s="35"/>
      <c r="M982" s="35"/>
      <c r="N982" s="35"/>
      <c r="O982" s="35"/>
      <c r="P982" s="35"/>
      <c r="Q982" s="43"/>
      <c r="R982" s="35"/>
      <c r="S982" s="35"/>
      <c r="T982" s="35"/>
      <c r="U982" s="138"/>
      <c r="V982" s="35"/>
      <c r="W982" s="35"/>
      <c r="X982" s="35"/>
      <c r="Y982" s="35"/>
      <c r="Z982" s="35"/>
      <c r="AA982" s="35"/>
      <c r="AB982" s="218"/>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row>
    <row r="983">
      <c r="A983" s="35"/>
      <c r="B983" s="35"/>
      <c r="C983" s="35"/>
      <c r="D983" s="35"/>
      <c r="E983" s="35"/>
      <c r="F983" s="35"/>
      <c r="G983" s="35"/>
      <c r="H983" s="35"/>
      <c r="I983" s="35"/>
      <c r="J983" s="35"/>
      <c r="K983" s="35"/>
      <c r="L983" s="35"/>
      <c r="M983" s="35"/>
      <c r="N983" s="35"/>
      <c r="O983" s="35"/>
      <c r="P983" s="35"/>
      <c r="Q983" s="43"/>
      <c r="R983" s="35"/>
      <c r="S983" s="35"/>
      <c r="T983" s="35"/>
      <c r="U983" s="138"/>
      <c r="V983" s="35"/>
      <c r="W983" s="35"/>
      <c r="X983" s="35"/>
      <c r="Y983" s="35"/>
      <c r="Z983" s="35"/>
      <c r="AA983" s="35"/>
      <c r="AB983" s="218"/>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row>
    <row r="984">
      <c r="A984" s="35"/>
      <c r="B984" s="35"/>
      <c r="C984" s="35"/>
      <c r="D984" s="35"/>
      <c r="E984" s="35"/>
      <c r="F984" s="35"/>
      <c r="G984" s="35"/>
      <c r="H984" s="35"/>
      <c r="I984" s="35"/>
      <c r="J984" s="35"/>
      <c r="K984" s="35"/>
      <c r="L984" s="35"/>
      <c r="M984" s="35"/>
      <c r="N984" s="35"/>
      <c r="O984" s="35"/>
      <c r="P984" s="35"/>
      <c r="Q984" s="43"/>
      <c r="R984" s="35"/>
      <c r="S984" s="35"/>
      <c r="T984" s="35"/>
      <c r="U984" s="138"/>
      <c r="V984" s="35"/>
      <c r="W984" s="35"/>
      <c r="X984" s="35"/>
      <c r="Y984" s="35"/>
      <c r="Z984" s="35"/>
      <c r="AA984" s="35"/>
      <c r="AB984" s="218"/>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row>
    <row r="985">
      <c r="A985" s="35"/>
      <c r="B985" s="35"/>
      <c r="C985" s="35"/>
      <c r="D985" s="35"/>
      <c r="E985" s="35"/>
      <c r="F985" s="35"/>
      <c r="G985" s="35"/>
      <c r="H985" s="35"/>
      <c r="I985" s="35"/>
      <c r="J985" s="35"/>
      <c r="K985" s="35"/>
      <c r="L985" s="35"/>
      <c r="M985" s="35"/>
      <c r="N985" s="35"/>
      <c r="O985" s="35"/>
      <c r="P985" s="35"/>
      <c r="Q985" s="43"/>
      <c r="R985" s="35"/>
      <c r="S985" s="35"/>
      <c r="T985" s="35"/>
      <c r="U985" s="138"/>
      <c r="V985" s="35"/>
      <c r="W985" s="35"/>
      <c r="X985" s="35"/>
      <c r="Y985" s="35"/>
      <c r="Z985" s="35"/>
      <c r="AA985" s="35"/>
      <c r="AB985" s="218"/>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row>
    <row r="986">
      <c r="A986" s="35"/>
      <c r="B986" s="35"/>
      <c r="C986" s="35"/>
      <c r="D986" s="35"/>
      <c r="E986" s="35"/>
      <c r="F986" s="35"/>
      <c r="G986" s="35"/>
      <c r="H986" s="35"/>
      <c r="I986" s="35"/>
      <c r="J986" s="35"/>
      <c r="K986" s="35"/>
      <c r="L986" s="35"/>
      <c r="M986" s="35"/>
      <c r="N986" s="35"/>
      <c r="O986" s="35"/>
      <c r="P986" s="35"/>
      <c r="Q986" s="43"/>
      <c r="R986" s="35"/>
      <c r="S986" s="35"/>
      <c r="T986" s="35"/>
      <c r="U986" s="138"/>
      <c r="V986" s="35"/>
      <c r="W986" s="35"/>
      <c r="X986" s="35"/>
      <c r="Y986" s="35"/>
      <c r="Z986" s="35"/>
      <c r="AA986" s="35"/>
      <c r="AB986" s="218"/>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row>
    <row r="987">
      <c r="A987" s="35"/>
      <c r="B987" s="35"/>
      <c r="C987" s="35"/>
      <c r="D987" s="35"/>
      <c r="E987" s="35"/>
      <c r="F987" s="35"/>
      <c r="G987" s="35"/>
      <c r="H987" s="35"/>
      <c r="I987" s="35"/>
      <c r="J987" s="35"/>
      <c r="K987" s="35"/>
      <c r="L987" s="35"/>
      <c r="M987" s="35"/>
      <c r="N987" s="35"/>
      <c r="O987" s="35"/>
      <c r="P987" s="35"/>
      <c r="Q987" s="43"/>
      <c r="R987" s="35"/>
      <c r="S987" s="35"/>
      <c r="T987" s="35"/>
      <c r="U987" s="138"/>
      <c r="V987" s="35"/>
      <c r="W987" s="35"/>
      <c r="X987" s="35"/>
      <c r="Y987" s="35"/>
      <c r="Z987" s="35"/>
      <c r="AA987" s="35"/>
      <c r="AB987" s="218"/>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row>
    <row r="988">
      <c r="A988" s="35"/>
      <c r="B988" s="35"/>
      <c r="C988" s="35"/>
      <c r="D988" s="35"/>
      <c r="E988" s="35"/>
      <c r="F988" s="35"/>
      <c r="G988" s="35"/>
      <c r="H988" s="35"/>
      <c r="I988" s="35"/>
      <c r="J988" s="35"/>
      <c r="K988" s="35"/>
      <c r="L988" s="35"/>
      <c r="M988" s="35"/>
      <c r="N988" s="35"/>
      <c r="O988" s="35"/>
      <c r="P988" s="35"/>
      <c r="Q988" s="43"/>
      <c r="R988" s="35"/>
      <c r="S988" s="35"/>
      <c r="T988" s="35"/>
      <c r="U988" s="138"/>
      <c r="V988" s="35"/>
      <c r="W988" s="35"/>
      <c r="X988" s="35"/>
      <c r="Y988" s="35"/>
      <c r="Z988" s="35"/>
      <c r="AA988" s="35"/>
      <c r="AB988" s="218"/>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row>
    <row r="989">
      <c r="A989" s="35"/>
      <c r="B989" s="35"/>
      <c r="C989" s="35"/>
      <c r="D989" s="35"/>
      <c r="E989" s="35"/>
      <c r="F989" s="35"/>
      <c r="G989" s="35"/>
      <c r="H989" s="35"/>
      <c r="I989" s="35"/>
      <c r="J989" s="35"/>
      <c r="K989" s="35"/>
      <c r="L989" s="35"/>
      <c r="M989" s="35"/>
      <c r="N989" s="35"/>
      <c r="O989" s="35"/>
      <c r="P989" s="35"/>
      <c r="Q989" s="43"/>
      <c r="R989" s="35"/>
      <c r="S989" s="35"/>
      <c r="T989" s="35"/>
      <c r="U989" s="138"/>
      <c r="V989" s="35"/>
      <c r="W989" s="35"/>
      <c r="X989" s="35"/>
      <c r="Y989" s="35"/>
      <c r="Z989" s="35"/>
      <c r="AA989" s="35"/>
      <c r="AB989" s="218"/>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row>
    <row r="990">
      <c r="A990" s="35"/>
      <c r="B990" s="35"/>
      <c r="C990" s="35"/>
      <c r="D990" s="35"/>
      <c r="E990" s="35"/>
      <c r="F990" s="35"/>
      <c r="G990" s="35"/>
      <c r="H990" s="35"/>
      <c r="I990" s="35"/>
      <c r="J990" s="35"/>
      <c r="K990" s="35"/>
      <c r="L990" s="35"/>
      <c r="M990" s="35"/>
      <c r="N990" s="35"/>
      <c r="O990" s="35"/>
      <c r="P990" s="35"/>
      <c r="Q990" s="43"/>
      <c r="R990" s="35"/>
      <c r="S990" s="35"/>
      <c r="T990" s="35"/>
      <c r="U990" s="138"/>
      <c r="V990" s="35"/>
      <c r="W990" s="35"/>
      <c r="X990" s="35"/>
      <c r="Y990" s="35"/>
      <c r="Z990" s="35"/>
      <c r="AA990" s="35"/>
      <c r="AB990" s="218"/>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row>
    <row r="991">
      <c r="A991" s="35"/>
      <c r="B991" s="35"/>
      <c r="C991" s="35"/>
      <c r="D991" s="35"/>
      <c r="E991" s="35"/>
      <c r="F991" s="35"/>
      <c r="G991" s="35"/>
      <c r="H991" s="35"/>
      <c r="I991" s="35"/>
      <c r="J991" s="35"/>
      <c r="K991" s="35"/>
      <c r="L991" s="35"/>
      <c r="M991" s="35"/>
      <c r="N991" s="35"/>
      <c r="O991" s="35"/>
      <c r="P991" s="35"/>
      <c r="Q991" s="43"/>
      <c r="R991" s="35"/>
      <c r="S991" s="35"/>
      <c r="T991" s="35"/>
      <c r="U991" s="138"/>
      <c r="V991" s="35"/>
      <c r="W991" s="35"/>
      <c r="X991" s="35"/>
      <c r="Y991" s="35"/>
      <c r="Z991" s="35"/>
      <c r="AA991" s="35"/>
      <c r="AB991" s="218"/>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row>
    <row r="992">
      <c r="A992" s="35"/>
      <c r="B992" s="35"/>
      <c r="C992" s="35"/>
      <c r="D992" s="35"/>
      <c r="E992" s="35"/>
      <c r="F992" s="35"/>
      <c r="G992" s="35"/>
      <c r="H992" s="35"/>
      <c r="I992" s="35"/>
      <c r="J992" s="35"/>
      <c r="K992" s="35"/>
      <c r="L992" s="35"/>
      <c r="M992" s="35"/>
      <c r="N992" s="35"/>
      <c r="O992" s="35"/>
      <c r="P992" s="35"/>
      <c r="Q992" s="43"/>
      <c r="R992" s="35"/>
      <c r="S992" s="35"/>
      <c r="T992" s="35"/>
      <c r="U992" s="138"/>
      <c r="V992" s="35"/>
      <c r="W992" s="35"/>
      <c r="X992" s="35"/>
      <c r="Y992" s="35"/>
      <c r="Z992" s="35"/>
      <c r="AA992" s="35"/>
      <c r="AB992" s="218"/>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row>
    <row r="993">
      <c r="A993" s="35"/>
      <c r="B993" s="35"/>
      <c r="C993" s="35"/>
      <c r="D993" s="35"/>
      <c r="E993" s="35"/>
      <c r="F993" s="35"/>
      <c r="G993" s="35"/>
      <c r="H993" s="35"/>
      <c r="I993" s="35"/>
      <c r="J993" s="35"/>
      <c r="K993" s="35"/>
      <c r="L993" s="35"/>
      <c r="M993" s="35"/>
      <c r="N993" s="35"/>
      <c r="O993" s="35"/>
      <c r="P993" s="35"/>
      <c r="Q993" s="43"/>
      <c r="R993" s="35"/>
      <c r="S993" s="35"/>
      <c r="T993" s="35"/>
      <c r="U993" s="138"/>
      <c r="V993" s="35"/>
      <c r="W993" s="35"/>
      <c r="X993" s="35"/>
      <c r="Y993" s="35"/>
      <c r="Z993" s="35"/>
      <c r="AA993" s="35"/>
      <c r="AB993" s="218"/>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row>
    <row r="994">
      <c r="A994" s="35"/>
      <c r="B994" s="35"/>
      <c r="C994" s="35"/>
      <c r="D994" s="35"/>
      <c r="E994" s="35"/>
      <c r="F994" s="35"/>
      <c r="G994" s="35"/>
      <c r="H994" s="35"/>
      <c r="I994" s="35"/>
      <c r="J994" s="35"/>
      <c r="K994" s="35"/>
      <c r="L994" s="35"/>
      <c r="M994" s="35"/>
      <c r="N994" s="35"/>
      <c r="O994" s="35"/>
      <c r="P994" s="35"/>
      <c r="Q994" s="43"/>
      <c r="R994" s="35"/>
      <c r="S994" s="35"/>
      <c r="T994" s="35"/>
      <c r="U994" s="138"/>
      <c r="V994" s="35"/>
      <c r="W994" s="35"/>
      <c r="X994" s="35"/>
      <c r="Y994" s="35"/>
      <c r="Z994" s="35"/>
      <c r="AA994" s="35"/>
      <c r="AB994" s="218"/>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row>
    <row r="995">
      <c r="A995" s="35"/>
      <c r="B995" s="35"/>
      <c r="C995" s="35"/>
      <c r="D995" s="35"/>
      <c r="E995" s="35"/>
      <c r="F995" s="35"/>
      <c r="G995" s="35"/>
      <c r="H995" s="35"/>
      <c r="I995" s="35"/>
      <c r="J995" s="35"/>
      <c r="K995" s="35"/>
      <c r="L995" s="35"/>
      <c r="M995" s="35"/>
      <c r="N995" s="35"/>
      <c r="O995" s="35"/>
      <c r="P995" s="35"/>
      <c r="Q995" s="43"/>
      <c r="R995" s="35"/>
      <c r="S995" s="35"/>
      <c r="T995" s="35"/>
      <c r="U995" s="138"/>
      <c r="V995" s="35"/>
      <c r="W995" s="35"/>
      <c r="X995" s="35"/>
      <c r="Y995" s="35"/>
      <c r="Z995" s="35"/>
      <c r="AA995" s="35"/>
      <c r="AB995" s="218"/>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row>
    <row r="996">
      <c r="A996" s="35"/>
      <c r="B996" s="35"/>
      <c r="C996" s="35"/>
      <c r="D996" s="35"/>
      <c r="E996" s="35"/>
      <c r="F996" s="35"/>
      <c r="G996" s="35"/>
      <c r="H996" s="35"/>
      <c r="I996" s="35"/>
      <c r="J996" s="35"/>
      <c r="K996" s="35"/>
      <c r="L996" s="35"/>
      <c r="M996" s="35"/>
      <c r="N996" s="35"/>
      <c r="O996" s="35"/>
      <c r="P996" s="35"/>
      <c r="Q996" s="43"/>
      <c r="R996" s="35"/>
      <c r="S996" s="35"/>
      <c r="T996" s="35"/>
      <c r="U996" s="138"/>
      <c r="V996" s="35"/>
      <c r="W996" s="35"/>
      <c r="X996" s="35"/>
      <c r="Y996" s="35"/>
      <c r="Z996" s="35"/>
      <c r="AA996" s="35"/>
      <c r="AB996" s="218"/>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row>
    <row r="997">
      <c r="A997" s="35"/>
      <c r="B997" s="35"/>
      <c r="C997" s="35"/>
      <c r="D997" s="35"/>
      <c r="E997" s="35"/>
      <c r="F997" s="35"/>
      <c r="G997" s="35"/>
      <c r="H997" s="35"/>
      <c r="I997" s="35"/>
      <c r="J997" s="35"/>
      <c r="K997" s="35"/>
      <c r="L997" s="35"/>
      <c r="M997" s="35"/>
      <c r="N997" s="35"/>
      <c r="O997" s="35"/>
      <c r="P997" s="35"/>
      <c r="Q997" s="43"/>
      <c r="R997" s="35"/>
      <c r="S997" s="35"/>
      <c r="T997" s="35"/>
      <c r="U997" s="138"/>
      <c r="V997" s="35"/>
      <c r="W997" s="35"/>
      <c r="X997" s="35"/>
      <c r="Y997" s="35"/>
      <c r="Z997" s="35"/>
      <c r="AA997" s="35"/>
      <c r="AB997" s="218"/>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row>
    <row r="998">
      <c r="A998" s="35"/>
      <c r="B998" s="35"/>
      <c r="C998" s="35"/>
      <c r="D998" s="35"/>
      <c r="E998" s="35"/>
      <c r="F998" s="35"/>
      <c r="G998" s="35"/>
      <c r="H998" s="35"/>
      <c r="I998" s="35"/>
      <c r="J998" s="35"/>
      <c r="K998" s="35"/>
      <c r="L998" s="35"/>
      <c r="M998" s="35"/>
      <c r="N998" s="35"/>
      <c r="O998" s="35"/>
      <c r="P998" s="35"/>
      <c r="Q998" s="43"/>
      <c r="R998" s="35"/>
      <c r="S998" s="35"/>
      <c r="T998" s="35"/>
      <c r="U998" s="138"/>
      <c r="V998" s="35"/>
      <c r="W998" s="35"/>
      <c r="X998" s="35"/>
      <c r="Y998" s="35"/>
      <c r="Z998" s="35"/>
      <c r="AA998" s="35"/>
      <c r="AB998" s="218"/>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row>
  </sheetData>
  <autoFilter ref="$A$1:$AF$344">
    <filterColumn colId="4">
      <filters>
        <filter val="Human Resources Intern"/>
      </filters>
    </filterColumn>
    <filterColumn colId="28">
      <filters blank="1">
        <filter val="Passed"/>
        <filter val="Waiting list"/>
      </filters>
    </filterColumn>
  </autoFilter>
  <conditionalFormatting sqref="C1:C343 C345:C998">
    <cfRule type="expression" dxfId="6" priority="1">
      <formula>COUNTIF(C:C, C1) &gt; 1</formula>
    </cfRule>
  </conditionalFormatting>
  <dataValidations>
    <dataValidation type="list" allowBlank="1" showErrorMessage="1" sqref="AE2:AE315 AE317 AE320:AE322 AE324 AE326 AE329:AE330 AE334:AE341 AE343:AE344">
      <formula1>"Test,Chờ test,Test Review,Passed,Failed,Withdraw"</formula1>
    </dataValidation>
    <dataValidation type="list" allowBlank="1" showErrorMessage="1" sqref="AC2:AC315 AC317:AC344">
      <formula1>"Failed,Waiting list,Passed"</formula1>
    </dataValidation>
  </dataValidations>
  <hyperlinks>
    <hyperlink r:id="rId1" ref="AB5"/>
    <hyperlink r:id="rId2" ref="AB6"/>
    <hyperlink r:id="rId3" ref="AB7"/>
    <hyperlink r:id="rId4" ref="AB8"/>
    <hyperlink r:id="rId5" ref="AB12"/>
    <hyperlink r:id="rId6" ref="AB14"/>
    <hyperlink r:id="rId7" ref="AB15"/>
    <hyperlink r:id="rId8" ref="AB16"/>
    <hyperlink r:id="rId9" ref="AB26"/>
    <hyperlink r:id="rId10" ref="AB28"/>
    <hyperlink r:id="rId11" ref="AB31"/>
    <hyperlink r:id="rId12" ref="AB32"/>
    <hyperlink r:id="rId13" ref="AB35"/>
    <hyperlink r:id="rId14" ref="AB37"/>
    <hyperlink r:id="rId15" ref="AB40"/>
    <hyperlink r:id="rId16" ref="AB45"/>
    <hyperlink r:id="rId17" ref="AB47"/>
    <hyperlink r:id="rId18" ref="AB50"/>
    <hyperlink r:id="rId19" ref="AB51"/>
    <hyperlink r:id="rId20" ref="AB53"/>
    <hyperlink r:id="rId21" ref="AB54"/>
    <hyperlink r:id="rId22" ref="AB55"/>
    <hyperlink r:id="rId23" ref="AB64"/>
    <hyperlink r:id="rId24" ref="AB66"/>
    <hyperlink r:id="rId25" ref="AB67"/>
    <hyperlink r:id="rId26" ref="AB70"/>
    <hyperlink r:id="rId27" ref="AB71"/>
    <hyperlink r:id="rId28" ref="AB72"/>
    <hyperlink r:id="rId29" ref="AB74"/>
    <hyperlink r:id="rId30" ref="AB75"/>
    <hyperlink r:id="rId31" ref="AB77"/>
    <hyperlink r:id="rId32" ref="AB85"/>
    <hyperlink r:id="rId33" ref="AB86"/>
    <hyperlink r:id="rId34" ref="AB87"/>
    <hyperlink r:id="rId35" ref="AB88"/>
    <hyperlink r:id="rId36" ref="AB89"/>
    <hyperlink r:id="rId37" ref="AB91"/>
    <hyperlink r:id="rId38" ref="AB95"/>
    <hyperlink r:id="rId39" ref="AB96"/>
    <hyperlink r:id="rId40" ref="AB97"/>
    <hyperlink r:id="rId41" ref="AB99"/>
    <hyperlink r:id="rId42" ref="Q104"/>
    <hyperlink r:id="rId43" ref="AB109"/>
    <hyperlink r:id="rId44" ref="Q110"/>
    <hyperlink r:id="rId45" ref="R110"/>
    <hyperlink r:id="rId46" ref="AB116"/>
    <hyperlink r:id="rId47" ref="AB118"/>
    <hyperlink r:id="rId48" ref="AB119"/>
    <hyperlink r:id="rId49" ref="AB121"/>
    <hyperlink r:id="rId50" ref="AB122"/>
    <hyperlink r:id="rId51" ref="AB123"/>
    <hyperlink r:id="rId52" ref="AB124"/>
    <hyperlink r:id="rId53" ref="AB125"/>
    <hyperlink r:id="rId54" ref="AB129"/>
    <hyperlink r:id="rId55" ref="AB131"/>
    <hyperlink r:id="rId56" ref="AB132"/>
    <hyperlink r:id="rId57" ref="AB137"/>
    <hyperlink r:id="rId58" ref="AB147"/>
    <hyperlink r:id="rId59" ref="AB150"/>
    <hyperlink r:id="rId60" ref="AB152"/>
    <hyperlink r:id="rId61" ref="AB153"/>
    <hyperlink r:id="rId62" ref="AB154"/>
    <hyperlink r:id="rId63" ref="AB155"/>
    <hyperlink r:id="rId64" ref="AB156"/>
    <hyperlink r:id="rId65" ref="AB157"/>
    <hyperlink r:id="rId66" ref="AB158"/>
    <hyperlink r:id="rId67" ref="R159"/>
    <hyperlink r:id="rId68" ref="AB161"/>
    <hyperlink r:id="rId69" ref="AB162"/>
    <hyperlink r:id="rId70" ref="AB163"/>
    <hyperlink r:id="rId71" ref="AB165"/>
    <hyperlink r:id="rId72" ref="AB166"/>
    <hyperlink r:id="rId73" ref="AB168"/>
    <hyperlink r:id="rId74" ref="AB169"/>
    <hyperlink r:id="rId75" ref="AB172"/>
    <hyperlink r:id="rId76" ref="AB173"/>
    <hyperlink r:id="rId77" ref="AB174"/>
    <hyperlink r:id="rId78" ref="AB176"/>
    <hyperlink r:id="rId79" ref="AB177"/>
    <hyperlink r:id="rId80" ref="AB178"/>
    <hyperlink r:id="rId81" ref="AB179"/>
    <hyperlink r:id="rId82" ref="AB180"/>
    <hyperlink r:id="rId83" ref="AB182"/>
    <hyperlink r:id="rId84" ref="Q184"/>
    <hyperlink r:id="rId85" ref="AB187"/>
    <hyperlink r:id="rId86" ref="AB188"/>
    <hyperlink r:id="rId87" ref="AB189"/>
    <hyperlink r:id="rId88" ref="AB193"/>
    <hyperlink r:id="rId89" ref="AB195"/>
    <hyperlink r:id="rId90" ref="AB198"/>
    <hyperlink r:id="rId91" ref="AB199"/>
    <hyperlink r:id="rId92" ref="AB203"/>
    <hyperlink r:id="rId93" ref="AB205"/>
    <hyperlink r:id="rId94" ref="AB207"/>
    <hyperlink r:id="rId95" ref="G208"/>
    <hyperlink r:id="rId96" ref="AB214"/>
    <hyperlink r:id="rId97" ref="AB216"/>
    <hyperlink r:id="rId98" ref="AB219"/>
    <hyperlink r:id="rId99" ref="AB224"/>
    <hyperlink r:id="rId100" ref="AB226"/>
    <hyperlink r:id="rId101" ref="AB228"/>
    <hyperlink r:id="rId102" ref="AB232"/>
    <hyperlink r:id="rId103" ref="AB233"/>
    <hyperlink r:id="rId104" ref="AB237"/>
    <hyperlink r:id="rId105" ref="AB243"/>
    <hyperlink r:id="rId106" ref="AB245"/>
    <hyperlink r:id="rId107" ref="AB251"/>
    <hyperlink r:id="rId108" ref="AB260"/>
    <hyperlink r:id="rId109" ref="AB262"/>
    <hyperlink r:id="rId110" ref="AB264"/>
    <hyperlink r:id="rId111" ref="AB265"/>
    <hyperlink r:id="rId112" ref="AB266"/>
    <hyperlink r:id="rId113" ref="R269"/>
    <hyperlink r:id="rId114" ref="AB272"/>
    <hyperlink r:id="rId115" ref="AB273"/>
    <hyperlink r:id="rId116" ref="AB276"/>
    <hyperlink r:id="rId117" ref="AB277"/>
    <hyperlink r:id="rId118" ref="AB288"/>
    <hyperlink r:id="rId119" ref="AB289"/>
    <hyperlink r:id="rId120" ref="AB291"/>
    <hyperlink r:id="rId121" ref="AB292"/>
    <hyperlink r:id="rId122" ref="AB294"/>
    <hyperlink r:id="rId123" ref="AB299"/>
    <hyperlink r:id="rId124" ref="AB306"/>
    <hyperlink r:id="rId125" ref="AB308"/>
    <hyperlink r:id="rId126" ref="AB309"/>
    <hyperlink r:id="rId127" ref="AB311"/>
    <hyperlink r:id="rId128" ref="AB312"/>
    <hyperlink r:id="rId129" ref="AB313"/>
    <hyperlink r:id="rId130" ref="AB317"/>
    <hyperlink r:id="rId131" ref="AB320"/>
    <hyperlink r:id="rId132" ref="AB321"/>
    <hyperlink r:id="rId133" ref="AB322"/>
    <hyperlink r:id="rId134" ref="AB324"/>
    <hyperlink r:id="rId135" ref="AB326"/>
    <hyperlink r:id="rId136" ref="AB329"/>
    <hyperlink r:id="rId137" ref="AB330"/>
    <hyperlink r:id="rId138" ref="AB334"/>
    <hyperlink r:id="rId139" ref="AB335"/>
    <hyperlink r:id="rId140" ref="AB336"/>
    <hyperlink r:id="rId141" ref="AB337"/>
    <hyperlink r:id="rId142" ref="AB338"/>
    <hyperlink r:id="rId143" ref="AB339"/>
    <hyperlink r:id="rId144" ref="AB340"/>
    <hyperlink r:id="rId145" ref="AB341"/>
    <hyperlink r:id="rId146" ref="AB344"/>
  </hyperlinks>
  <drawing r:id="rId1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7" max="8" width="17.25"/>
  </cols>
  <sheetData>
    <row r="1">
      <c r="A1" s="36" t="s">
        <v>6484</v>
      </c>
      <c r="B1" s="36" t="s">
        <v>6368</v>
      </c>
      <c r="C1" s="36"/>
      <c r="D1" s="36"/>
      <c r="E1" s="36"/>
      <c r="F1" s="36"/>
    </row>
    <row r="2">
      <c r="A2" s="36" t="s">
        <v>6351</v>
      </c>
      <c r="B2" s="36"/>
      <c r="C2" s="36" t="s">
        <v>6376</v>
      </c>
      <c r="D2" s="36" t="s">
        <v>6377</v>
      </c>
      <c r="E2" s="36" t="s">
        <v>6388</v>
      </c>
      <c r="F2" s="36" t="s">
        <v>6338</v>
      </c>
    </row>
    <row r="3">
      <c r="A3" s="36"/>
      <c r="B3" s="36">
        <v>0.0</v>
      </c>
      <c r="C3" s="36"/>
      <c r="D3" s="36"/>
      <c r="E3" s="36"/>
      <c r="F3" s="36">
        <v>0.0</v>
      </c>
    </row>
    <row r="4">
      <c r="A4" s="36" t="s">
        <v>62</v>
      </c>
      <c r="B4" s="36"/>
      <c r="C4" s="36">
        <v>58.0</v>
      </c>
      <c r="D4" s="36">
        <v>27.0</v>
      </c>
      <c r="E4" s="36"/>
      <c r="F4" s="36">
        <v>84.0</v>
      </c>
    </row>
    <row r="5">
      <c r="A5" s="36" t="s">
        <v>82</v>
      </c>
      <c r="B5" s="36"/>
      <c r="C5" s="36">
        <v>50.0</v>
      </c>
      <c r="D5" s="36">
        <v>18.0</v>
      </c>
      <c r="E5" s="36"/>
      <c r="F5" s="36">
        <v>68.0</v>
      </c>
    </row>
    <row r="6">
      <c r="A6" s="36" t="s">
        <v>99</v>
      </c>
      <c r="B6" s="36"/>
      <c r="C6" s="36">
        <v>28.0</v>
      </c>
      <c r="D6" s="36">
        <v>32.0</v>
      </c>
      <c r="E6" s="36">
        <v>1.0</v>
      </c>
      <c r="F6" s="36">
        <v>61.0</v>
      </c>
    </row>
    <row r="7">
      <c r="A7" s="36" t="s">
        <v>127</v>
      </c>
      <c r="B7" s="36"/>
      <c r="C7" s="36">
        <v>17.0</v>
      </c>
      <c r="D7" s="36">
        <v>8.0</v>
      </c>
      <c r="E7" s="36">
        <v>3.0</v>
      </c>
      <c r="F7" s="36">
        <v>28.0</v>
      </c>
    </row>
    <row r="8">
      <c r="A8" s="36" t="s">
        <v>774</v>
      </c>
      <c r="B8" s="36"/>
      <c r="C8" s="36">
        <v>5.0</v>
      </c>
      <c r="D8" s="36">
        <v>9.0</v>
      </c>
      <c r="E8" s="36"/>
      <c r="F8" s="36">
        <v>14.0</v>
      </c>
    </row>
    <row r="9">
      <c r="A9" s="36" t="s">
        <v>633</v>
      </c>
      <c r="B9" s="36"/>
      <c r="C9" s="36">
        <v>7.0</v>
      </c>
      <c r="D9" s="36">
        <v>10.0</v>
      </c>
      <c r="E9" s="36"/>
      <c r="F9" s="36">
        <v>17.0</v>
      </c>
    </row>
    <row r="10">
      <c r="A10" s="36" t="s">
        <v>61</v>
      </c>
      <c r="B10" s="36"/>
      <c r="C10" s="36">
        <v>29.0</v>
      </c>
      <c r="D10" s="36">
        <v>25.0</v>
      </c>
      <c r="E10" s="36">
        <v>11.0</v>
      </c>
      <c r="F10" s="36">
        <v>65.0</v>
      </c>
      <c r="H10" s="44" t="s">
        <v>6485</v>
      </c>
      <c r="I10" s="125">
        <f>D10/F10</f>
        <v>0.3846153846</v>
      </c>
    </row>
    <row r="11">
      <c r="A11" s="36" t="s">
        <v>6338</v>
      </c>
      <c r="B11" s="36">
        <v>0.0</v>
      </c>
      <c r="C11" s="36">
        <v>194.0</v>
      </c>
      <c r="D11" s="36">
        <v>129.0</v>
      </c>
      <c r="E11" s="36">
        <v>15.0</v>
      </c>
      <c r="F11" s="36">
        <v>337.0</v>
      </c>
    </row>
    <row r="13">
      <c r="A13" s="36" t="s">
        <v>6484</v>
      </c>
      <c r="B13" s="36" t="s">
        <v>6486</v>
      </c>
      <c r="C13" s="36"/>
      <c r="D13" s="36"/>
      <c r="E13" s="36"/>
      <c r="F13" s="36"/>
    </row>
    <row r="14">
      <c r="A14" s="36" t="s">
        <v>6351</v>
      </c>
      <c r="B14" s="36"/>
      <c r="C14" s="36" t="s">
        <v>6487</v>
      </c>
      <c r="D14" s="36" t="s">
        <v>76</v>
      </c>
      <c r="E14" s="36" t="s">
        <v>93</v>
      </c>
      <c r="F14" s="36" t="s">
        <v>6338</v>
      </c>
    </row>
    <row r="15">
      <c r="A15" s="36" t="s">
        <v>62</v>
      </c>
      <c r="B15" s="36"/>
      <c r="C15" s="36">
        <v>1.0</v>
      </c>
      <c r="D15" s="36"/>
      <c r="E15" s="36">
        <v>26.0</v>
      </c>
      <c r="F15" s="36">
        <v>27.0</v>
      </c>
    </row>
    <row r="16">
      <c r="A16" s="36" t="s">
        <v>82</v>
      </c>
      <c r="B16" s="36"/>
      <c r="C16" s="36"/>
      <c r="D16" s="36"/>
      <c r="E16" s="36">
        <v>18.0</v>
      </c>
      <c r="F16" s="36">
        <v>18.0</v>
      </c>
    </row>
    <row r="17">
      <c r="A17" s="36" t="s">
        <v>99</v>
      </c>
      <c r="B17" s="36">
        <v>15.0</v>
      </c>
      <c r="C17" s="36"/>
      <c r="D17" s="36">
        <v>17.0</v>
      </c>
      <c r="E17" s="36"/>
      <c r="F17" s="36">
        <v>32.0</v>
      </c>
    </row>
    <row r="18">
      <c r="A18" s="36" t="s">
        <v>127</v>
      </c>
      <c r="B18" s="36"/>
      <c r="C18" s="36"/>
      <c r="D18" s="36"/>
      <c r="E18" s="36">
        <v>8.0</v>
      </c>
      <c r="F18" s="36">
        <v>8.0</v>
      </c>
    </row>
    <row r="19">
      <c r="A19" s="36" t="s">
        <v>774</v>
      </c>
      <c r="B19" s="36"/>
      <c r="C19" s="36"/>
      <c r="D19" s="36">
        <v>9.0</v>
      </c>
      <c r="E19" s="36"/>
      <c r="F19" s="36">
        <v>9.0</v>
      </c>
    </row>
    <row r="20">
      <c r="A20" s="36" t="s">
        <v>633</v>
      </c>
      <c r="B20" s="36"/>
      <c r="C20" s="36"/>
      <c r="D20" s="36">
        <v>6.0</v>
      </c>
      <c r="E20" s="36">
        <v>4.0</v>
      </c>
      <c r="F20" s="36">
        <v>10.0</v>
      </c>
    </row>
    <row r="21">
      <c r="A21" s="36" t="s">
        <v>61</v>
      </c>
      <c r="B21" s="36"/>
      <c r="C21" s="36">
        <v>1.0</v>
      </c>
      <c r="D21" s="36"/>
      <c r="E21" s="36">
        <v>24.0</v>
      </c>
      <c r="F21" s="36">
        <v>25.0</v>
      </c>
    </row>
    <row r="22">
      <c r="A22" s="36" t="s">
        <v>6338</v>
      </c>
      <c r="B22" s="36">
        <v>15.0</v>
      </c>
      <c r="C22" s="36">
        <v>2.0</v>
      </c>
      <c r="D22" s="36">
        <v>32.0</v>
      </c>
      <c r="E22" s="36">
        <v>80.0</v>
      </c>
      <c r="F22" s="36">
        <v>129.0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5.75"/>
    <col customWidth="1" min="2" max="2" width="16.13"/>
    <col customWidth="1" min="3" max="3" width="16.63"/>
    <col customWidth="1" min="4" max="4" width="17.13"/>
    <col customWidth="1" min="5" max="5" width="27.38"/>
    <col customWidth="1" min="6" max="6" width="27.88"/>
    <col customWidth="1" min="7" max="7" width="26.25"/>
    <col customWidth="1" min="8" max="8" width="26.38"/>
    <col customWidth="1" min="9" max="9" width="48.88"/>
    <col customWidth="1" min="10" max="10" width="39.5"/>
    <col customWidth="1" min="11" max="11" width="26.63"/>
    <col customWidth="1" min="12" max="12" width="38.75"/>
    <col customWidth="1" min="17" max="17" width="39.0"/>
    <col customWidth="1" min="18" max="18" width="36.75"/>
    <col customWidth="1" min="21" max="21" width="32.63"/>
    <col customWidth="1" min="22" max="22" width="20.63"/>
    <col customWidth="1" min="23" max="23" width="34.75"/>
    <col customWidth="1" min="24" max="24" width="25.38"/>
    <col customWidth="1" min="28" max="28" width="16.75"/>
    <col customWidth="1" min="29" max="29" width="20.5"/>
    <col customWidth="1" min="30" max="30" width="20.25"/>
    <col customWidth="1" min="31" max="31" width="17.5"/>
    <col customWidth="1" min="32" max="32" width="28.25"/>
  </cols>
  <sheetData>
    <row r="1" ht="22.5" customHeight="1">
      <c r="A1" s="227" t="s">
        <v>6347</v>
      </c>
      <c r="B1" s="227" t="s">
        <v>6348</v>
      </c>
      <c r="C1" s="227" t="s">
        <v>6349</v>
      </c>
      <c r="D1" s="227" t="s">
        <v>6350</v>
      </c>
      <c r="E1" s="227" t="s">
        <v>6351</v>
      </c>
      <c r="F1" s="227" t="s">
        <v>6352</v>
      </c>
      <c r="G1" s="227" t="s">
        <v>6353</v>
      </c>
      <c r="H1" s="227" t="s">
        <v>6354</v>
      </c>
      <c r="I1" s="227" t="s">
        <v>6355</v>
      </c>
      <c r="J1" s="227" t="s">
        <v>6356</v>
      </c>
      <c r="K1" s="227" t="s">
        <v>6357</v>
      </c>
      <c r="L1" s="227" t="s">
        <v>6358</v>
      </c>
      <c r="M1" s="227" t="s">
        <v>6359</v>
      </c>
      <c r="N1" s="227" t="s">
        <v>6360</v>
      </c>
      <c r="O1" s="227" t="s">
        <v>6361</v>
      </c>
      <c r="P1" s="227" t="s">
        <v>6362</v>
      </c>
      <c r="Q1" s="227" t="s">
        <v>6363</v>
      </c>
      <c r="R1" s="227" t="s">
        <v>6364</v>
      </c>
      <c r="S1" s="227" t="s">
        <v>6365</v>
      </c>
      <c r="T1" s="227" t="s">
        <v>6366</v>
      </c>
      <c r="U1" s="228" t="s">
        <v>53</v>
      </c>
      <c r="V1" s="228" t="s">
        <v>54</v>
      </c>
      <c r="W1" s="228" t="s">
        <v>55</v>
      </c>
      <c r="X1" s="227" t="s">
        <v>6367</v>
      </c>
      <c r="Y1" s="228" t="s">
        <v>56</v>
      </c>
      <c r="Z1" s="228" t="s">
        <v>57</v>
      </c>
      <c r="AA1" s="227" t="s">
        <v>2</v>
      </c>
      <c r="AB1" s="227" t="s">
        <v>4</v>
      </c>
      <c r="AC1" s="227" t="s">
        <v>6368</v>
      </c>
      <c r="AD1" s="227" t="s">
        <v>6369</v>
      </c>
      <c r="AE1" s="229" t="s">
        <v>6488</v>
      </c>
      <c r="AF1" s="230" t="s">
        <v>6486</v>
      </c>
    </row>
    <row r="2" ht="23.25" hidden="1" customHeight="1">
      <c r="A2" s="29" t="s">
        <v>4326</v>
      </c>
      <c r="B2" s="30">
        <v>37980.0</v>
      </c>
      <c r="C2" s="29" t="s">
        <v>4327</v>
      </c>
      <c r="D2" s="31" t="s">
        <v>4328</v>
      </c>
      <c r="E2" s="29" t="s">
        <v>774</v>
      </c>
      <c r="G2" s="29" t="s">
        <v>4329</v>
      </c>
      <c r="H2" s="29" t="s">
        <v>4330</v>
      </c>
      <c r="I2" s="29" t="s">
        <v>2281</v>
      </c>
      <c r="K2" s="29" t="s">
        <v>67</v>
      </c>
      <c r="L2" s="29" t="s">
        <v>1348</v>
      </c>
      <c r="M2" s="33">
        <v>46341.0</v>
      </c>
      <c r="N2" s="31" t="s">
        <v>4331</v>
      </c>
      <c r="O2" s="32" t="str">
        <f>HYPERLINK("https://api.typeform.com/responses/files/071f03bed2692d94bc4feba9742bfa849803525871850928619ff80b90b44448/Transcript___Game_User_Acquisition_Intern___Nguyễn_Thị_Tuyết_Nữ.pdf")</f>
        <v>https://api.typeform.com/responses/files/071f03bed2692d94bc4feba9742bfa849803525871850928619ff80b90b44448/Transcript___Game_User_Acquisition_Intern___Nguyễn_Thị_Tuyết_Nữ.pdf</v>
      </c>
      <c r="P2" s="29" t="b">
        <v>0</v>
      </c>
      <c r="Q2" s="29" t="s">
        <v>4332</v>
      </c>
      <c r="R2" s="29" t="s">
        <v>401</v>
      </c>
      <c r="S2" s="29" t="s">
        <v>72</v>
      </c>
      <c r="T2" s="29" t="s">
        <v>72</v>
      </c>
      <c r="U2" s="29" t="s">
        <v>73</v>
      </c>
      <c r="W2" s="29" t="s">
        <v>4333</v>
      </c>
      <c r="X2" s="231" t="str">
        <f>HYPERLINK("https://api.typeform.com/responses/files/49914017047ecf29aa38c89cd9c8474bb0e21155ab3d986d3d29cf806dc7ad56/CV___Game_User_Acquisition_Intern___Nguyễn_Thị_Tuyết_Nữ.pdf")</f>
        <v>https://api.typeform.com/responses/files/49914017047ecf29aa38c89cd9c8474bb0e21155ab3d986d3d29cf806dc7ad56/CV___Game_User_Acquisition_Intern___Nguyễn_Thị_Tuyết_Nữ.pdf</v>
      </c>
      <c r="Y2" s="34">
        <v>46143.57796296296</v>
      </c>
      <c r="Z2" s="29" t="s">
        <v>4334</v>
      </c>
      <c r="AA2" s="6">
        <v>3.0</v>
      </c>
      <c r="AB2" s="6"/>
      <c r="AC2" s="28" t="s">
        <v>6377</v>
      </c>
      <c r="AD2" s="20"/>
      <c r="AE2" s="28" t="s">
        <v>6379</v>
      </c>
      <c r="AF2" s="6" t="str">
        <f t="shared" ref="AF2:AF23" si="1">IFERROR(
  IFS(
    AND(OR(AE2="Test",AE2="Chờ test",AE2="Test Review",AE2="Passed",AE2="Failed"), OR(E2="Game User Acquisition Intern",E2="Game Design Intern")), "Nhiên",
    AND(OR(AE2="Test",AE2="Chờ test",AE2="Test Review",AE2="Passed",AE2="Failed"), E2&lt;&gt;"Human Resources Intern", NOT(OR(E2="Game User Acquisition Intern",E2="Game Design Intern"))), "Quỳnh",
    AND(OR(AE2="Test",AE2="Chờ test",AE2="Test Review",AE2="Passed",AE2="Failed"), E2="Human Resources Intern"), "Chờ assign"
  ),
"")</f>
        <v>Nhiên</v>
      </c>
    </row>
    <row r="3" ht="23.25" hidden="1" customHeight="1">
      <c r="A3" s="29" t="s">
        <v>4335</v>
      </c>
      <c r="B3" s="30">
        <v>38230.0</v>
      </c>
      <c r="C3" s="29" t="s">
        <v>4336</v>
      </c>
      <c r="D3" s="31" t="s">
        <v>4337</v>
      </c>
      <c r="E3" s="29" t="s">
        <v>62</v>
      </c>
      <c r="F3" s="29" t="s">
        <v>82</v>
      </c>
      <c r="G3" s="29" t="s">
        <v>4338</v>
      </c>
      <c r="H3" s="29" t="s">
        <v>4339</v>
      </c>
      <c r="I3" s="29" t="s">
        <v>65</v>
      </c>
      <c r="J3" s="29" t="s">
        <v>4340</v>
      </c>
      <c r="K3" s="29" t="s">
        <v>67</v>
      </c>
      <c r="L3" s="29" t="s">
        <v>132</v>
      </c>
      <c r="M3" s="33">
        <v>46235.0</v>
      </c>
      <c r="N3" s="31" t="s">
        <v>4341</v>
      </c>
      <c r="O3" s="32" t="str">
        <f>HYPERLINK("https://api.typeform.com/responses/files/6b6e0fc8783520ea4d22a0096f9c81bba61338472b147f0f58574118c1d88b86/Transcript___AI_Engineering_Intern___Le_Duc_Long.pdf")</f>
        <v>https://api.typeform.com/responses/files/6b6e0fc8783520ea4d22a0096f9c81bba61338472b147f0f58574118c1d88b86/Transcript___AI_Engineering_Intern___Le_Duc_Long.pdf</v>
      </c>
      <c r="P3" s="29" t="b">
        <v>1</v>
      </c>
      <c r="Q3" s="29" t="s">
        <v>4342</v>
      </c>
      <c r="R3" s="29" t="s">
        <v>4343</v>
      </c>
      <c r="S3" s="29" t="s">
        <v>72</v>
      </c>
      <c r="T3" s="29" t="s">
        <v>72</v>
      </c>
      <c r="U3" s="29" t="s">
        <v>90</v>
      </c>
      <c r="X3" s="231" t="str">
        <f>HYPERLINK("https://api.typeform.com/responses/files/ba7d85aa3096688023c9b20963039d62768d888c85f5daddb4090c306569f32a/CV___AI_Engineering_Intern___Le_Duc_Long.pdf")</f>
        <v>https://api.typeform.com/responses/files/ba7d85aa3096688023c9b20963039d62768d888c85f5daddb4090c306569f32a/CV___AI_Engineering_Intern___Le_Duc_Long.pdf</v>
      </c>
      <c r="Y3" s="34">
        <v>46143.59289351852</v>
      </c>
      <c r="Z3" s="29" t="s">
        <v>4344</v>
      </c>
      <c r="AA3" s="6">
        <v>3.0</v>
      </c>
      <c r="AB3" s="6"/>
      <c r="AC3" s="28"/>
      <c r="AD3" s="20"/>
      <c r="AE3" s="28"/>
      <c r="AF3" s="6" t="str">
        <f t="shared" si="1"/>
        <v/>
      </c>
    </row>
    <row r="4" ht="23.25" hidden="1" customHeight="1">
      <c r="A4" s="29" t="s">
        <v>4345</v>
      </c>
      <c r="B4" s="30">
        <v>38002.0</v>
      </c>
      <c r="C4" s="29" t="s">
        <v>4346</v>
      </c>
      <c r="D4" s="31" t="s">
        <v>4347</v>
      </c>
      <c r="E4" s="29" t="s">
        <v>61</v>
      </c>
      <c r="G4" s="29" t="s">
        <v>4348</v>
      </c>
      <c r="H4" s="29" t="s">
        <v>4349</v>
      </c>
      <c r="I4" s="29" t="s">
        <v>65</v>
      </c>
      <c r="J4" s="29" t="s">
        <v>4350</v>
      </c>
      <c r="K4" s="29" t="s">
        <v>67</v>
      </c>
      <c r="L4" s="29" t="s">
        <v>2491</v>
      </c>
      <c r="M4" s="33">
        <v>46421.0</v>
      </c>
      <c r="N4" s="31" t="s">
        <v>159</v>
      </c>
      <c r="O4" s="32" t="str">
        <f>HYPERLINK("https://api.typeform.com/responses/files/b76bbc604592c37edc225107e70ee5d206ca569e37a1d8432fb9bc2537513069/Transcript___Unity_Development_Intern___Huỳnh_Thị_Kim_Ngọc.docx")</f>
        <v>https://api.typeform.com/responses/files/b76bbc604592c37edc225107e70ee5d206ca569e37a1d8432fb9bc2537513069/Transcript___Unity_Development_Intern___Huỳnh_Thị_Kim_Ngọc.docx</v>
      </c>
      <c r="P4" s="29" t="b">
        <v>1</v>
      </c>
      <c r="Q4" s="29" t="s">
        <v>4351</v>
      </c>
      <c r="R4" s="29" t="s">
        <v>4352</v>
      </c>
      <c r="S4" s="29" t="s">
        <v>72</v>
      </c>
      <c r="T4" s="29" t="s">
        <v>72</v>
      </c>
      <c r="U4" s="29" t="s">
        <v>90</v>
      </c>
      <c r="W4" s="29" t="s">
        <v>4353</v>
      </c>
      <c r="X4" s="231" t="str">
        <f>HYPERLINK("https://api.typeform.com/responses/files/36fd2c809b26d4e6b489a8575399ff4e76c3e59258dd6c0e910acc5d8b79819a/CV_Unity_Development_Intern_Huỳnh_Thị_Kim_Ngọc.pdf")</f>
        <v>https://api.typeform.com/responses/files/36fd2c809b26d4e6b489a8575399ff4e76c3e59258dd6c0e910acc5d8b79819a/CV_Unity_Development_Intern_Huỳnh_Thị_Kim_Ngọc.pdf</v>
      </c>
      <c r="Y4" s="34">
        <v>46143.628113425926</v>
      </c>
      <c r="Z4" s="29" t="s">
        <v>4354</v>
      </c>
      <c r="AA4" s="6">
        <v>3.0</v>
      </c>
      <c r="AB4" s="6" t="s">
        <v>109</v>
      </c>
      <c r="AC4" s="28" t="s">
        <v>6376</v>
      </c>
      <c r="AD4" s="7" t="s">
        <v>6557</v>
      </c>
      <c r="AE4" s="28"/>
      <c r="AF4" s="6" t="str">
        <f t="shared" si="1"/>
        <v/>
      </c>
    </row>
    <row r="5" ht="23.25" hidden="1" customHeight="1">
      <c r="A5" s="29" t="s">
        <v>4355</v>
      </c>
      <c r="B5" s="30">
        <v>37917.0</v>
      </c>
      <c r="C5" s="29" t="s">
        <v>4356</v>
      </c>
      <c r="D5" s="31" t="s">
        <v>4357</v>
      </c>
      <c r="E5" s="29" t="s">
        <v>62</v>
      </c>
      <c r="F5" s="29" t="s">
        <v>61</v>
      </c>
      <c r="G5" s="29" t="s">
        <v>4358</v>
      </c>
      <c r="H5" s="29" t="s">
        <v>4359</v>
      </c>
      <c r="I5" s="29" t="s">
        <v>277</v>
      </c>
      <c r="K5" s="29" t="s">
        <v>103</v>
      </c>
      <c r="L5" s="29" t="s">
        <v>104</v>
      </c>
      <c r="M5" s="33">
        <v>46117.0</v>
      </c>
      <c r="N5" s="31" t="s">
        <v>696</v>
      </c>
      <c r="O5" s="32" t="str">
        <f>HYPERLINK("https://api.typeform.com/responses/files/028601f8448ef4f630cbd02ca787bc68e7c0c0b67d1db87674628bcf27fe90dd/bangdiem.pdf")</f>
        <v>https://api.typeform.com/responses/files/028601f8448ef4f630cbd02ca787bc68e7c0c0b67d1db87674628bcf27fe90dd/bangdiem.pdf</v>
      </c>
      <c r="P5" s="29" t="b">
        <v>1</v>
      </c>
      <c r="Q5" s="29" t="s">
        <v>4360</v>
      </c>
      <c r="R5" s="29" t="s">
        <v>4361</v>
      </c>
      <c r="S5" s="29" t="s">
        <v>72</v>
      </c>
      <c r="T5" s="29" t="s">
        <v>72</v>
      </c>
      <c r="U5" s="29" t="s">
        <v>73</v>
      </c>
      <c r="X5" s="231" t="str">
        <f>HYPERLINK("https://api.typeform.com/responses/files/1abd3ff6c86bb06949d67c3d2903fa37b028d8796a9941af006dba69c93dcc4a/CV___AI_ENGINEER___HOÀNG_HUY_TỚI.pdf")</f>
        <v>https://api.typeform.com/responses/files/1abd3ff6c86bb06949d67c3d2903fa37b028d8796a9941af006dba69c93dcc4a/CV___AI_ENGINEER___HOÀNG_HUY_TỚI.pdf</v>
      </c>
      <c r="Y5" s="34">
        <v>46143.678090277775</v>
      </c>
      <c r="Z5" s="29" t="s">
        <v>4362</v>
      </c>
      <c r="AA5" s="6">
        <v>3.0</v>
      </c>
      <c r="AB5" s="6"/>
      <c r="AC5" s="28"/>
      <c r="AD5" s="20"/>
      <c r="AE5" s="28"/>
      <c r="AF5" s="6" t="str">
        <f t="shared" si="1"/>
        <v/>
      </c>
    </row>
    <row r="6" ht="23.25" hidden="1" customHeight="1">
      <c r="A6" s="29" t="s">
        <v>4363</v>
      </c>
      <c r="B6" s="30">
        <v>38513.0</v>
      </c>
      <c r="C6" s="29" t="s">
        <v>4364</v>
      </c>
      <c r="D6" s="31" t="s">
        <v>4365</v>
      </c>
      <c r="E6" s="29" t="s">
        <v>82</v>
      </c>
      <c r="F6" s="29" t="s">
        <v>62</v>
      </c>
      <c r="G6" s="29" t="s">
        <v>4366</v>
      </c>
      <c r="H6" s="29" t="s">
        <v>4367</v>
      </c>
      <c r="I6" s="29" t="s">
        <v>842</v>
      </c>
      <c r="K6" s="29" t="s">
        <v>219</v>
      </c>
      <c r="L6" s="29" t="s">
        <v>4368</v>
      </c>
      <c r="M6" s="33">
        <v>46447.0</v>
      </c>
      <c r="N6" s="31" t="s">
        <v>881</v>
      </c>
      <c r="O6" s="32" t="str">
        <f>HYPERLINK("https://api.typeform.com/responses/files/93b878e83a3d33af0689914fc7678ee190675ecd526f89669378a9ab09358807/Transcript___Data_Analysis_Intern___Đỗ_Nguyễn_Khoa_Duy.pdf")</f>
        <v>https://api.typeform.com/responses/files/93b878e83a3d33af0689914fc7678ee190675ecd526f89669378a9ab09358807/Transcript___Data_Analysis_Intern___Đỗ_Nguyễn_Khoa_Duy.pdf</v>
      </c>
      <c r="P6" s="29" t="b">
        <v>0</v>
      </c>
      <c r="Q6" s="29" t="s">
        <v>4369</v>
      </c>
      <c r="R6" s="29" t="s">
        <v>4369</v>
      </c>
      <c r="S6" s="29" t="s">
        <v>72</v>
      </c>
      <c r="T6" s="29" t="s">
        <v>72</v>
      </c>
      <c r="U6" s="29" t="s">
        <v>73</v>
      </c>
      <c r="W6" s="29" t="s">
        <v>4370</v>
      </c>
      <c r="X6" s="231" t="str">
        <f>HYPERLINK("https://api.typeform.com/responses/files/baa29c84a12d250db6d69b432a9edcf991b2ef6371e92de9f276eff4f54256ef/CV___Data_Analysis_Intern___Đỗ_Nguyễn_Khoa_Duy.pdf")</f>
        <v>https://api.typeform.com/responses/files/baa29c84a12d250db6d69b432a9edcf991b2ef6371e92de9f276eff4f54256ef/CV___Data_Analysis_Intern___Đỗ_Nguyễn_Khoa_Duy.pdf</v>
      </c>
      <c r="Y6" s="34">
        <v>46144.030694444446</v>
      </c>
      <c r="Z6" s="29" t="s">
        <v>4371</v>
      </c>
      <c r="AA6" s="6">
        <v>3.0</v>
      </c>
      <c r="AB6" s="6" t="s">
        <v>109</v>
      </c>
      <c r="AC6" s="28" t="s">
        <v>6376</v>
      </c>
      <c r="AD6" s="20"/>
      <c r="AE6" s="28" t="s">
        <v>6403</v>
      </c>
      <c r="AF6" s="6" t="str">
        <f t="shared" si="1"/>
        <v>Quỳnh</v>
      </c>
    </row>
    <row r="7" ht="23.25" hidden="1" customHeight="1">
      <c r="A7" s="29" t="s">
        <v>4372</v>
      </c>
      <c r="B7" s="30">
        <v>38331.0</v>
      </c>
      <c r="C7" s="29" t="s">
        <v>4373</v>
      </c>
      <c r="D7" s="31" t="s">
        <v>4374</v>
      </c>
      <c r="E7" s="29" t="s">
        <v>61</v>
      </c>
      <c r="F7" s="29" t="s">
        <v>127</v>
      </c>
      <c r="G7" s="29" t="s">
        <v>4375</v>
      </c>
      <c r="H7" s="29" t="s">
        <v>4376</v>
      </c>
      <c r="I7" s="29" t="s">
        <v>65</v>
      </c>
      <c r="J7" s="29" t="s">
        <v>961</v>
      </c>
      <c r="K7" s="29" t="s">
        <v>103</v>
      </c>
      <c r="L7" s="29" t="s">
        <v>4377</v>
      </c>
      <c r="M7" s="33">
        <v>46086.0</v>
      </c>
      <c r="N7" s="31" t="s">
        <v>890</v>
      </c>
      <c r="O7" s="32" t="str">
        <f>HYPERLINK("https://api.typeform.com/responses/files/f721d468bfc862d0092fd219b7fd0c70682d4423a105e6bfbac23bf877ece142/Transcript___Unity_Development_Intern___Hồ_Nhật_Tiến.pdf")</f>
        <v>https://api.typeform.com/responses/files/f721d468bfc862d0092fd219b7fd0c70682d4423a105e6bfbac23bf877ece142/Transcript___Unity_Development_Intern___Hồ_Nhật_Tiến.pdf</v>
      </c>
      <c r="P7" s="29" t="b">
        <v>1</v>
      </c>
      <c r="Q7" s="29" t="s">
        <v>4378</v>
      </c>
      <c r="R7" s="29" t="s">
        <v>4379</v>
      </c>
      <c r="S7" s="29" t="s">
        <v>72</v>
      </c>
      <c r="T7" s="29" t="s">
        <v>72</v>
      </c>
      <c r="U7" s="29" t="s">
        <v>4380</v>
      </c>
      <c r="X7" s="231" t="str">
        <f>HYPERLINK("https://api.typeform.com/responses/files/c1bd34278f9d207f06282b1cad2ec24171686e60036405ad5282a013c3ca7280/CV___Unity_Development_Intern___Hồ_Nhật_Tiến.pdf")</f>
        <v>https://api.typeform.com/responses/files/c1bd34278f9d207f06282b1cad2ec24171686e60036405ad5282a013c3ca7280/CV___Unity_Development_Intern___Hồ_Nhật_Tiến.pdf</v>
      </c>
      <c r="Y7" s="34">
        <v>46144.069074074076</v>
      </c>
      <c r="Z7" s="29" t="s">
        <v>4381</v>
      </c>
      <c r="AA7" s="6">
        <v>3.0</v>
      </c>
      <c r="AB7" s="6" t="s">
        <v>109</v>
      </c>
      <c r="AC7" s="28" t="s">
        <v>6377</v>
      </c>
      <c r="AD7" s="20"/>
      <c r="AE7" s="28" t="s">
        <v>6403</v>
      </c>
      <c r="AF7" s="6" t="str">
        <f t="shared" si="1"/>
        <v>Quỳnh</v>
      </c>
    </row>
    <row r="8" ht="23.25" hidden="1" customHeight="1">
      <c r="A8" s="29" t="s">
        <v>4382</v>
      </c>
      <c r="B8" s="30">
        <v>38600.0</v>
      </c>
      <c r="C8" s="29" t="s">
        <v>4383</v>
      </c>
      <c r="D8" s="31" t="s">
        <v>4384</v>
      </c>
      <c r="E8" s="29" t="s">
        <v>62</v>
      </c>
      <c r="F8" s="29" t="s">
        <v>82</v>
      </c>
      <c r="G8" s="29" t="s">
        <v>4385</v>
      </c>
      <c r="H8" s="29" t="s">
        <v>4386</v>
      </c>
      <c r="I8" s="29" t="s">
        <v>326</v>
      </c>
      <c r="K8" s="29" t="s">
        <v>219</v>
      </c>
      <c r="L8" s="29" t="s">
        <v>4387</v>
      </c>
      <c r="M8" s="33">
        <v>46569.0</v>
      </c>
      <c r="N8" s="31" t="s">
        <v>1291</v>
      </c>
      <c r="O8" s="32" t="str">
        <f>HYPERLINK("https://api.typeform.com/responses/files/9a4db6219821113a693bfef6df7574f1585272f6765fc2a82a71fa9fe72145ce/Transcript___AI_Engineer_Intern___Châu_Văn_Minh_Khoa.pdf")</f>
        <v>https://api.typeform.com/responses/files/9a4db6219821113a693bfef6df7574f1585272f6765fc2a82a71fa9fe72145ce/Transcript___AI_Engineer_Intern___Châu_Văn_Minh_Khoa.pdf</v>
      </c>
      <c r="P8" s="29" t="b">
        <v>1</v>
      </c>
      <c r="Q8" s="29" t="s">
        <v>4388</v>
      </c>
      <c r="R8" s="29" t="s">
        <v>4389</v>
      </c>
      <c r="S8" s="29" t="s">
        <v>72</v>
      </c>
      <c r="T8" s="29" t="s">
        <v>72</v>
      </c>
      <c r="U8" s="29" t="s">
        <v>269</v>
      </c>
      <c r="W8" s="29" t="s">
        <v>4390</v>
      </c>
      <c r="X8" s="231" t="str">
        <f>HYPERLINK("https://api.typeform.com/responses/files/54f3de6e685d334bab5ffd155e35e0cca7fdb91e2e338893a157633f40a18698/CV___AI_Engineer_Intern___Châu_Văn_Minh_Khoa.pdf")</f>
        <v>https://api.typeform.com/responses/files/54f3de6e685d334bab5ffd155e35e0cca7fdb91e2e338893a157633f40a18698/CV___AI_Engineer_Intern___Châu_Văn_Minh_Khoa.pdf</v>
      </c>
      <c r="Y8" s="34">
        <v>46144.136030092595</v>
      </c>
      <c r="Z8" s="29" t="s">
        <v>4391</v>
      </c>
      <c r="AA8" s="6">
        <v>3.0</v>
      </c>
      <c r="AB8" s="6"/>
      <c r="AC8" s="28"/>
      <c r="AD8" s="20"/>
      <c r="AE8" s="28"/>
      <c r="AF8" s="6" t="str">
        <f t="shared" si="1"/>
        <v/>
      </c>
    </row>
    <row r="9" ht="23.25" hidden="1" customHeight="1">
      <c r="A9" s="29" t="s">
        <v>4392</v>
      </c>
      <c r="B9" s="30">
        <v>38231.0</v>
      </c>
      <c r="C9" s="29" t="s">
        <v>4393</v>
      </c>
      <c r="D9" s="31" t="s">
        <v>4394</v>
      </c>
      <c r="E9" s="29" t="s">
        <v>62</v>
      </c>
      <c r="F9" s="29" t="s">
        <v>82</v>
      </c>
      <c r="G9" s="29" t="s">
        <v>4395</v>
      </c>
      <c r="H9" s="29" t="s">
        <v>4396</v>
      </c>
      <c r="I9" s="29" t="s">
        <v>326</v>
      </c>
      <c r="K9" s="29" t="s">
        <v>67</v>
      </c>
      <c r="L9" s="29" t="s">
        <v>4397</v>
      </c>
      <c r="M9" s="33">
        <v>46157.0</v>
      </c>
      <c r="N9" s="31" t="s">
        <v>233</v>
      </c>
      <c r="O9" s="32" t="str">
        <f>HYPERLINK("https://api.typeform.com/responses/files/43893d85106c80e9519ef9020246bf47aaae8a17eb83ca599881bfd69db9fd1c/Transcript___AI_Engineer_Intern___Trần_Đắc_Thịnh.csv")</f>
        <v>https://api.typeform.com/responses/files/43893d85106c80e9519ef9020246bf47aaae8a17eb83ca599881bfd69db9fd1c/Transcript___AI_Engineer_Intern___Trần_Đắc_Thịnh.csv</v>
      </c>
      <c r="P9" s="29" t="b">
        <v>0</v>
      </c>
      <c r="Q9" s="29" t="s">
        <v>1660</v>
      </c>
      <c r="R9" s="29" t="s">
        <v>4398</v>
      </c>
      <c r="S9" s="29" t="s">
        <v>72</v>
      </c>
      <c r="T9" s="29" t="s">
        <v>72</v>
      </c>
      <c r="U9" s="29" t="s">
        <v>2556</v>
      </c>
      <c r="W9" s="29" t="s">
        <v>4399</v>
      </c>
      <c r="X9" s="231" t="str">
        <f>HYPERLINK("https://api.typeform.com/responses/files/598bf7fff1505d81b481e8cebf485eb50f425e8fe38a822666ecd595a6b8d33b/CV___AI_Engineer_Intern___Trần_Đắc_Thịnh.pdf")</f>
        <v>https://api.typeform.com/responses/files/598bf7fff1505d81b481e8cebf485eb50f425e8fe38a822666ecd595a6b8d33b/CV___AI_Engineer_Intern___Trần_Đắc_Thịnh.pdf</v>
      </c>
      <c r="Y9" s="34">
        <v>46144.178564814814</v>
      </c>
      <c r="Z9" s="29" t="s">
        <v>4400</v>
      </c>
      <c r="AA9" s="6">
        <v>3.0</v>
      </c>
      <c r="AB9" s="6"/>
      <c r="AC9" s="28"/>
      <c r="AD9" s="20"/>
      <c r="AE9" s="28"/>
      <c r="AF9" s="6" t="str">
        <f t="shared" si="1"/>
        <v/>
      </c>
    </row>
    <row r="10" ht="23.25" hidden="1" customHeight="1">
      <c r="A10" s="29" t="s">
        <v>4401</v>
      </c>
      <c r="B10" s="30">
        <v>38638.0</v>
      </c>
      <c r="C10" s="29" t="s">
        <v>4402</v>
      </c>
      <c r="D10" s="31" t="s">
        <v>4403</v>
      </c>
      <c r="E10" s="29" t="s">
        <v>82</v>
      </c>
      <c r="F10" s="29" t="s">
        <v>62</v>
      </c>
      <c r="G10" s="29" t="s">
        <v>4404</v>
      </c>
      <c r="H10" s="29" t="s">
        <v>4405</v>
      </c>
      <c r="I10" s="29" t="s">
        <v>715</v>
      </c>
      <c r="K10" s="29" t="s">
        <v>219</v>
      </c>
      <c r="L10" s="29" t="s">
        <v>4406</v>
      </c>
      <c r="M10" s="33">
        <v>46478.0</v>
      </c>
      <c r="N10" s="31" t="s">
        <v>4407</v>
      </c>
      <c r="O10" s="32" t="str">
        <f>HYPERLINK("https://api.typeform.com/responses/files/d4743bf1a7f55cb96b27ca04dca21383c53b7e37814e667fbb94d00cb37f337f/Transcript___Data_Analysis_Intern___Nguyễn_Trần_Thị_Phi_Yến.pdf")</f>
        <v>https://api.typeform.com/responses/files/d4743bf1a7f55cb96b27ca04dca21383c53b7e37814e667fbb94d00cb37f337f/Transcript___Data_Analysis_Intern___Nguyễn_Trần_Thị_Phi_Yến.pdf</v>
      </c>
      <c r="P10" s="29" t="b">
        <v>0</v>
      </c>
      <c r="Q10" s="29" t="s">
        <v>4408</v>
      </c>
      <c r="R10" s="29" t="s">
        <v>4408</v>
      </c>
      <c r="S10" s="29" t="s">
        <v>72</v>
      </c>
      <c r="T10" s="29" t="s">
        <v>72</v>
      </c>
      <c r="U10" s="29" t="s">
        <v>4409</v>
      </c>
      <c r="W10" s="29" t="s">
        <v>4410</v>
      </c>
      <c r="X10" s="231" t="str">
        <f>HYPERLINK("https://api.typeform.com/responses/files/7a981ae5d63ba9c61f91645d10d9538c291fa29d5994973b545448b9c104ef06/CV_Data_Analysis_Intern_Nguyễn_Trần_Thị_Phi_Yến.pdf")</f>
        <v>https://api.typeform.com/responses/files/7a981ae5d63ba9c61f91645d10d9538c291fa29d5994973b545448b9c104ef06/CV_Data_Analysis_Intern_Nguyễn_Trần_Thị_Phi_Yến.pdf</v>
      </c>
      <c r="Y10" s="34">
        <v>46144.21053240741</v>
      </c>
      <c r="Z10" s="29" t="s">
        <v>4411</v>
      </c>
      <c r="AA10" s="6">
        <v>3.0</v>
      </c>
      <c r="AB10" s="6" t="s">
        <v>109</v>
      </c>
      <c r="AC10" s="28" t="s">
        <v>6376</v>
      </c>
      <c r="AD10" s="7" t="s">
        <v>6558</v>
      </c>
      <c r="AE10" s="28"/>
      <c r="AF10" s="6" t="str">
        <f t="shared" si="1"/>
        <v/>
      </c>
    </row>
    <row r="11" ht="23.25" hidden="1" customHeight="1">
      <c r="A11" s="29" t="s">
        <v>4412</v>
      </c>
      <c r="B11" s="30">
        <v>38499.0</v>
      </c>
      <c r="C11" s="29" t="s">
        <v>4413</v>
      </c>
      <c r="D11" s="31" t="s">
        <v>4414</v>
      </c>
      <c r="E11" s="29" t="s">
        <v>62</v>
      </c>
      <c r="F11" s="29" t="s">
        <v>82</v>
      </c>
      <c r="G11" s="29" t="s">
        <v>4415</v>
      </c>
      <c r="H11" s="29" t="s">
        <v>4416</v>
      </c>
      <c r="I11" s="29" t="s">
        <v>85</v>
      </c>
      <c r="K11" s="29" t="s">
        <v>219</v>
      </c>
      <c r="L11" s="29" t="s">
        <v>399</v>
      </c>
      <c r="M11" s="33">
        <v>46388.0</v>
      </c>
      <c r="N11" s="31" t="s">
        <v>4417</v>
      </c>
      <c r="O11" s="32" t="str">
        <f>HYPERLINK("https://api.typeform.com/responses/files/53bd736f24133ecbfe55bcef55721b350e95872cb2fdbf83a5fb8c74f9896fd7/inbound3265838176833139098.pdf")</f>
        <v>https://api.typeform.com/responses/files/53bd736f24133ecbfe55bcef55721b350e95872cb2fdbf83a5fb8c74f9896fd7/inbound3265838176833139098.pdf</v>
      </c>
      <c r="P11" s="29" t="b">
        <v>1</v>
      </c>
      <c r="Q11" s="29" t="s">
        <v>4418</v>
      </c>
      <c r="R11" s="29" t="s">
        <v>4419</v>
      </c>
      <c r="S11" s="29" t="s">
        <v>72</v>
      </c>
      <c r="T11" s="29" t="s">
        <v>72</v>
      </c>
      <c r="U11" s="29" t="s">
        <v>90</v>
      </c>
      <c r="W11" s="29" t="s">
        <v>4420</v>
      </c>
      <c r="X11" s="231" t="str">
        <f>HYPERLINK("https://api.typeform.com/responses/files/315cf7de4d558a41e23ecd15e899d4d5821448597bb2aee87602937b113dfbe0/inbound1309049399635309885.pdf")</f>
        <v>https://api.typeform.com/responses/files/315cf7de4d558a41e23ecd15e899d4d5821448597bb2aee87602937b113dfbe0/inbound1309049399635309885.pdf</v>
      </c>
      <c r="Y11" s="34">
        <v>46144.23979166667</v>
      </c>
      <c r="Z11" s="29" t="s">
        <v>4421</v>
      </c>
      <c r="AA11" s="6">
        <v>3.0</v>
      </c>
      <c r="AB11" s="6"/>
      <c r="AC11" s="28"/>
      <c r="AD11" s="20"/>
      <c r="AE11" s="28"/>
      <c r="AF11" s="6" t="str">
        <f t="shared" si="1"/>
        <v/>
      </c>
    </row>
    <row r="12" ht="23.25" hidden="1" customHeight="1">
      <c r="A12" s="29" t="s">
        <v>4422</v>
      </c>
      <c r="B12" s="30">
        <v>38027.0</v>
      </c>
      <c r="C12" s="29" t="s">
        <v>4423</v>
      </c>
      <c r="D12" s="31" t="s">
        <v>4424</v>
      </c>
      <c r="E12" s="29" t="s">
        <v>61</v>
      </c>
      <c r="F12" s="29" t="s">
        <v>99</v>
      </c>
      <c r="G12" s="29" t="s">
        <v>4425</v>
      </c>
      <c r="H12" s="29" t="s">
        <v>4426</v>
      </c>
      <c r="I12" s="29" t="s">
        <v>715</v>
      </c>
      <c r="K12" s="29" t="s">
        <v>67</v>
      </c>
      <c r="L12" s="29" t="s">
        <v>4427</v>
      </c>
      <c r="M12" s="33">
        <v>46204.0</v>
      </c>
      <c r="N12" s="31" t="s">
        <v>1260</v>
      </c>
      <c r="O12" s="32" t="str">
        <f>HYPERLINK("https://api.typeform.com/responses/files/d16c9b37fda3e2e915afbd1f013f07ab831be8b30cfc7f39fd8b0651be895fd9/Transcript___Unity_Developer_Intern___Lê_Ngọc_Hiền.pdf")</f>
        <v>https://api.typeform.com/responses/files/d16c9b37fda3e2e915afbd1f013f07ab831be8b30cfc7f39fd8b0651be895fd9/Transcript___Unity_Developer_Intern___Lê_Ngọc_Hiền.pdf</v>
      </c>
      <c r="P12" s="29" t="b">
        <v>1</v>
      </c>
      <c r="Q12" s="29" t="s">
        <v>4428</v>
      </c>
      <c r="R12" s="29" t="s">
        <v>4429</v>
      </c>
      <c r="S12" s="29" t="s">
        <v>72</v>
      </c>
      <c r="T12" s="29" t="s">
        <v>72</v>
      </c>
      <c r="U12" s="29" t="s">
        <v>73</v>
      </c>
      <c r="W12" s="29" t="s">
        <v>4430</v>
      </c>
      <c r="X12" s="231" t="str">
        <f>HYPERLINK("https://api.typeform.com/responses/files/1170efcc3fcb712c516112ab5bcd2e95c9f7d07fedc76f1599fb1aa2250527de/CV___Unity_Developer_Intern___Lê_Ngọc_Hiền.pdf")</f>
        <v>https://api.typeform.com/responses/files/1170efcc3fcb712c516112ab5bcd2e95c9f7d07fedc76f1599fb1aa2250527de/CV___Unity_Developer_Intern___Lê_Ngọc_Hiền.pdf</v>
      </c>
      <c r="Y12" s="34">
        <v>46144.25300925926</v>
      </c>
      <c r="Z12" s="29" t="s">
        <v>4431</v>
      </c>
      <c r="AA12" s="6">
        <v>3.0</v>
      </c>
      <c r="AB12" s="6" t="s">
        <v>109</v>
      </c>
      <c r="AC12" s="28" t="s">
        <v>6377</v>
      </c>
      <c r="AD12" s="20"/>
      <c r="AE12" s="28" t="s">
        <v>6403</v>
      </c>
      <c r="AF12" s="6" t="str">
        <f t="shared" si="1"/>
        <v>Quỳnh</v>
      </c>
    </row>
    <row r="13" ht="23.25" hidden="1" customHeight="1">
      <c r="A13" s="29" t="s">
        <v>4432</v>
      </c>
      <c r="B13" s="30">
        <v>38267.0</v>
      </c>
      <c r="C13" s="29" t="s">
        <v>4433</v>
      </c>
      <c r="D13" s="31" t="s">
        <v>4434</v>
      </c>
      <c r="E13" s="29" t="s">
        <v>127</v>
      </c>
      <c r="F13" s="29" t="s">
        <v>99</v>
      </c>
      <c r="G13" s="29" t="s">
        <v>4435</v>
      </c>
      <c r="H13" s="29" t="s">
        <v>4436</v>
      </c>
      <c r="I13" s="29" t="s">
        <v>338</v>
      </c>
      <c r="K13" s="29" t="s">
        <v>67</v>
      </c>
      <c r="L13" s="29" t="s">
        <v>4437</v>
      </c>
      <c r="M13" s="33">
        <v>46249.0</v>
      </c>
      <c r="N13" s="31" t="s">
        <v>159</v>
      </c>
      <c r="O13" s="32" t="str">
        <f>HYPERLINK("https://api.typeform.com/responses/files/62829f228de3a21ecc9b22eec1f45cf483cd6b652eb73832509a7ed517f75011/Transcript___QA_Intern___Trần_Đắc_Phú.pdf")</f>
        <v>https://api.typeform.com/responses/files/62829f228de3a21ecc9b22eec1f45cf483cd6b652eb73832509a7ed517f75011/Transcript___QA_Intern___Trần_Đắc_Phú.pdf</v>
      </c>
      <c r="P13" s="29" t="b">
        <v>0</v>
      </c>
      <c r="Q13" s="29" t="s">
        <v>222</v>
      </c>
      <c r="R13" s="29" t="s">
        <v>4438</v>
      </c>
      <c r="S13" s="29" t="s">
        <v>72</v>
      </c>
      <c r="T13" s="29" t="s">
        <v>72</v>
      </c>
      <c r="U13" s="29" t="s">
        <v>174</v>
      </c>
      <c r="W13" s="29" t="s">
        <v>4439</v>
      </c>
      <c r="X13" s="231" t="str">
        <f>HYPERLINK("https://api.typeform.com/responses/files/195d776be624d5a03c73c0607494e2e8b8e666e55ab2dc27e9179e75745e90e8/Tester_Intern___Trần_Đắc_Phú.pdf")</f>
        <v>https://api.typeform.com/responses/files/195d776be624d5a03c73c0607494e2e8b8e666e55ab2dc27e9179e75745e90e8/Tester_Intern___Trần_Đắc_Phú.pdf</v>
      </c>
      <c r="Y13" s="34">
        <v>46144.280960648146</v>
      </c>
      <c r="Z13" s="29" t="s">
        <v>4440</v>
      </c>
      <c r="AA13" s="6">
        <v>3.0</v>
      </c>
      <c r="AB13" s="6" t="s">
        <v>109</v>
      </c>
      <c r="AC13" s="28" t="s">
        <v>6376</v>
      </c>
      <c r="AD13" s="20"/>
      <c r="AE13" s="28"/>
      <c r="AF13" s="6" t="str">
        <f t="shared" si="1"/>
        <v/>
      </c>
    </row>
    <row r="14" ht="23.25" hidden="1" customHeight="1">
      <c r="A14" s="29" t="s">
        <v>4441</v>
      </c>
      <c r="B14" s="30">
        <v>38464.0</v>
      </c>
      <c r="C14" s="29" t="s">
        <v>4442</v>
      </c>
      <c r="D14" s="31" t="s">
        <v>4443</v>
      </c>
      <c r="E14" s="29" t="s">
        <v>62</v>
      </c>
      <c r="F14" s="29" t="s">
        <v>127</v>
      </c>
      <c r="G14" s="29" t="s">
        <v>4444</v>
      </c>
      <c r="H14" s="29" t="s">
        <v>4445</v>
      </c>
      <c r="I14" s="29" t="s">
        <v>1610</v>
      </c>
      <c r="K14" s="29" t="s">
        <v>219</v>
      </c>
      <c r="L14" s="29" t="s">
        <v>399</v>
      </c>
      <c r="M14" s="33">
        <v>46690.0</v>
      </c>
      <c r="N14" s="31" t="s">
        <v>4446</v>
      </c>
      <c r="O14" s="32" t="str">
        <f>HYPERLINK("https://api.typeform.com/responses/files/4d8c500e8689b4ed5792c4c28e7095c05abcf3c2a89b8d8feabe97cbba999c36/Transcript___AI_Engineer_Intern___Nguyễn_Lưu_Anh_Huy.pdf")</f>
        <v>https://api.typeform.com/responses/files/4d8c500e8689b4ed5792c4c28e7095c05abcf3c2a89b8d8feabe97cbba999c36/Transcript___AI_Engineer_Intern___Nguyễn_Lưu_Anh_Huy.pdf</v>
      </c>
      <c r="P14" s="29" t="b">
        <v>0</v>
      </c>
      <c r="Q14" s="29" t="s">
        <v>4447</v>
      </c>
      <c r="R14" s="29" t="s">
        <v>4448</v>
      </c>
      <c r="S14" s="29" t="s">
        <v>72</v>
      </c>
      <c r="T14" s="29" t="s">
        <v>72</v>
      </c>
      <c r="U14" s="29" t="s">
        <v>4449</v>
      </c>
      <c r="W14" s="29" t="s">
        <v>4450</v>
      </c>
      <c r="X14" s="231" t="str">
        <f>HYPERLINK("https://api.typeform.com/responses/files/eb78bbcb879d3d889122844608515d4a2416074df9cab858a0d809e39777b880/CV_AI_Engineer_Intern_NguyenLuuAnhHuy.pdf")</f>
        <v>https://api.typeform.com/responses/files/eb78bbcb879d3d889122844608515d4a2416074df9cab858a0d809e39777b880/CV_AI_Engineer_Intern_NguyenLuuAnhHuy.pdf</v>
      </c>
      <c r="Y14" s="34">
        <v>46144.33094907407</v>
      </c>
      <c r="Z14" s="29" t="s">
        <v>4451</v>
      </c>
      <c r="AA14" s="6">
        <v>3.0</v>
      </c>
      <c r="AB14" s="6"/>
      <c r="AC14" s="28"/>
      <c r="AD14" s="20"/>
      <c r="AE14" s="28"/>
      <c r="AF14" s="6" t="str">
        <f t="shared" si="1"/>
        <v/>
      </c>
    </row>
    <row r="15" ht="23.25" hidden="1" customHeight="1">
      <c r="A15" s="29" t="s">
        <v>4462</v>
      </c>
      <c r="B15" s="30">
        <v>38001.0</v>
      </c>
      <c r="C15" s="29" t="s">
        <v>4463</v>
      </c>
      <c r="D15" s="31" t="s">
        <v>4464</v>
      </c>
      <c r="E15" s="29" t="s">
        <v>82</v>
      </c>
      <c r="F15" s="29" t="s">
        <v>62</v>
      </c>
      <c r="G15" s="29" t="s">
        <v>4465</v>
      </c>
      <c r="H15" s="29" t="s">
        <v>4466</v>
      </c>
      <c r="I15" s="29" t="s">
        <v>468</v>
      </c>
      <c r="J15" s="29" t="s">
        <v>4467</v>
      </c>
      <c r="K15" s="29" t="s">
        <v>67</v>
      </c>
      <c r="L15" s="29" t="s">
        <v>384</v>
      </c>
      <c r="M15" s="33">
        <v>46188.0</v>
      </c>
      <c r="N15" s="29" t="s">
        <v>4468</v>
      </c>
      <c r="O15" s="32" t="str">
        <f>HYPERLINK("https://api.typeform.com/responses/files/5340795c077b015a0fd499bdec5e67e2b71d397df44e476a5bbf18982a2187b3/Transcript__Data_Analysis_Intern___Lê_Hà_Chức.pdf")</f>
        <v>https://api.typeform.com/responses/files/5340795c077b015a0fd499bdec5e67e2b71d397df44e476a5bbf18982a2187b3/Transcript__Data_Analysis_Intern___Lê_Hà_Chức.pdf</v>
      </c>
      <c r="P15" s="29" t="b">
        <v>1</v>
      </c>
      <c r="Q15" s="29" t="s">
        <v>4469</v>
      </c>
      <c r="R15" s="29" t="s">
        <v>4470</v>
      </c>
      <c r="S15" s="29" t="s">
        <v>72</v>
      </c>
      <c r="T15" s="29" t="s">
        <v>72</v>
      </c>
      <c r="U15" s="29" t="s">
        <v>236</v>
      </c>
      <c r="W15" s="29" t="s">
        <v>4471</v>
      </c>
      <c r="X15" s="231" t="str">
        <f>HYPERLINK("https://api.typeform.com/responses/files/70cd037dde0faddec65e66b115fd4c52f36ec2683713d84e941927e588aee8b8/CV___Data_Analysis_Intern___Lê_Hà_Chức.pdf")</f>
        <v>https://api.typeform.com/responses/files/70cd037dde0faddec65e66b115fd4c52f36ec2683713d84e941927e588aee8b8/CV___Data_Analysis_Intern___Lê_Hà_Chức.pdf</v>
      </c>
      <c r="Y15" s="34">
        <v>46144.38946759259</v>
      </c>
      <c r="Z15" s="29" t="s">
        <v>4472</v>
      </c>
      <c r="AA15" s="6">
        <v>3.0</v>
      </c>
      <c r="AB15" s="6" t="s">
        <v>109</v>
      </c>
      <c r="AC15" s="28" t="s">
        <v>6377</v>
      </c>
      <c r="AD15" s="20"/>
      <c r="AE15" s="28" t="s">
        <v>6403</v>
      </c>
      <c r="AF15" s="6" t="str">
        <f t="shared" si="1"/>
        <v>Quỳnh</v>
      </c>
    </row>
    <row r="16" ht="23.25" hidden="1" customHeight="1">
      <c r="A16" s="29" t="s">
        <v>4473</v>
      </c>
      <c r="B16" s="30">
        <v>38129.0</v>
      </c>
      <c r="C16" s="29" t="s">
        <v>4474</v>
      </c>
      <c r="D16" s="31" t="s">
        <v>4475</v>
      </c>
      <c r="E16" s="29" t="s">
        <v>127</v>
      </c>
      <c r="F16" s="29" t="s">
        <v>82</v>
      </c>
      <c r="G16" s="29" t="s">
        <v>4476</v>
      </c>
      <c r="H16" s="29" t="s">
        <v>4477</v>
      </c>
      <c r="I16" s="29" t="s">
        <v>1610</v>
      </c>
      <c r="K16" s="29" t="s">
        <v>67</v>
      </c>
      <c r="L16" s="29" t="s">
        <v>132</v>
      </c>
      <c r="M16" s="33">
        <v>46295.0</v>
      </c>
      <c r="N16" s="31" t="s">
        <v>4478</v>
      </c>
      <c r="O16" s="32" t="str">
        <f>HYPERLINK("https://api.typeform.com/responses/files/1596ccb3042e229395fd56e66ea5ed5952b63cb397a6e67c3bdd3f7cc6cbedd2/Transcript___Game_QA_intern___Võ_Đức_Thiện.jpg")</f>
        <v>https://api.typeform.com/responses/files/1596ccb3042e229395fd56e66ea5ed5952b63cb397a6e67c3bdd3f7cc6cbedd2/Transcript___Game_QA_intern___Võ_Đức_Thiện.jpg</v>
      </c>
      <c r="P16" s="29" t="b">
        <v>1</v>
      </c>
      <c r="Q16" s="29" t="s">
        <v>4479</v>
      </c>
      <c r="R16" s="29" t="s">
        <v>4480</v>
      </c>
      <c r="S16" s="29" t="s">
        <v>72</v>
      </c>
      <c r="T16" s="29" t="s">
        <v>72</v>
      </c>
      <c r="U16" s="29" t="s">
        <v>4409</v>
      </c>
      <c r="W16" s="29" t="s">
        <v>4481</v>
      </c>
      <c r="X16" s="231" t="str">
        <f>HYPERLINK("https://api.typeform.com/responses/files/df1a631ed1ed2bd64f68db108c10a176af597082f621f24162b520f4e1c5884b/CV___Game_QA_Intern___Võ_Đức_Thiện.pdf")</f>
        <v>https://api.typeform.com/responses/files/df1a631ed1ed2bd64f68db108c10a176af597082f621f24162b520f4e1c5884b/CV___Game_QA_Intern___Võ_Đức_Thiện.pdf</v>
      </c>
      <c r="Y16" s="34">
        <v>46144.43609953704</v>
      </c>
      <c r="Z16" s="29" t="s">
        <v>4482</v>
      </c>
      <c r="AA16" s="6">
        <v>3.0</v>
      </c>
      <c r="AB16" s="6" t="s">
        <v>109</v>
      </c>
      <c r="AC16" s="28" t="s">
        <v>6376</v>
      </c>
      <c r="AD16" s="20"/>
      <c r="AE16" s="28"/>
      <c r="AF16" s="6" t="str">
        <f t="shared" si="1"/>
        <v/>
      </c>
    </row>
    <row r="17" ht="23.25" hidden="1" customHeight="1">
      <c r="A17" s="29" t="s">
        <v>4483</v>
      </c>
      <c r="B17" s="30">
        <v>38581.0</v>
      </c>
      <c r="C17" s="29" t="s">
        <v>4484</v>
      </c>
      <c r="D17" s="31" t="s">
        <v>4485</v>
      </c>
      <c r="E17" s="29" t="s">
        <v>62</v>
      </c>
      <c r="F17" s="29" t="s">
        <v>82</v>
      </c>
      <c r="G17" s="29" t="s">
        <v>4486</v>
      </c>
      <c r="H17" s="29" t="s">
        <v>4487</v>
      </c>
      <c r="I17" s="29" t="s">
        <v>277</v>
      </c>
      <c r="K17" s="29" t="s">
        <v>219</v>
      </c>
      <c r="L17" s="29" t="s">
        <v>384</v>
      </c>
      <c r="M17" s="33">
        <v>46753.0</v>
      </c>
      <c r="N17" s="31" t="s">
        <v>591</v>
      </c>
      <c r="O17" s="32" t="str">
        <f>HYPERLINK("https://api.typeform.com/responses/files/1c2e34aa6219bffa2a388b09f76827f82979414eaffd05a05c002c4ac772d9a0/Transcript_AI_Engineer_TrinhQuangHien.pdf")</f>
        <v>https://api.typeform.com/responses/files/1c2e34aa6219bffa2a388b09f76827f82979414eaffd05a05c002c4ac772d9a0/Transcript_AI_Engineer_TrinhQuangHien.pdf</v>
      </c>
      <c r="P17" s="29" t="b">
        <v>1</v>
      </c>
      <c r="Q17" s="29" t="s">
        <v>4488</v>
      </c>
      <c r="R17" s="29" t="s">
        <v>4489</v>
      </c>
      <c r="S17" s="29" t="s">
        <v>72</v>
      </c>
      <c r="T17" s="29" t="s">
        <v>72</v>
      </c>
      <c r="U17" s="29" t="s">
        <v>90</v>
      </c>
      <c r="W17" s="29" t="s">
        <v>4490</v>
      </c>
      <c r="X17" s="231" t="str">
        <f>HYPERLINK("https://api.typeform.com/responses/files/04df42fb1cdcc323c15613104ebaf5ba5a3c374019fb576142db67e9decb6276/CV_AI_Engineer_TrinhQuangHien.pdf")</f>
        <v>https://api.typeform.com/responses/files/04df42fb1cdcc323c15613104ebaf5ba5a3c374019fb576142db67e9decb6276/CV_AI_Engineer_TrinhQuangHien.pdf</v>
      </c>
      <c r="Y17" s="34">
        <v>46144.45118055555</v>
      </c>
      <c r="Z17" s="29" t="s">
        <v>4491</v>
      </c>
      <c r="AA17" s="6">
        <v>3.0</v>
      </c>
      <c r="AB17" s="6"/>
      <c r="AC17" s="28"/>
      <c r="AD17" s="20"/>
      <c r="AE17" s="28"/>
      <c r="AF17" s="6" t="str">
        <f t="shared" si="1"/>
        <v/>
      </c>
    </row>
    <row r="18" ht="23.25" hidden="1" customHeight="1">
      <c r="A18" s="29" t="s">
        <v>4492</v>
      </c>
      <c r="B18" s="30">
        <v>38298.0</v>
      </c>
      <c r="C18" s="29" t="s">
        <v>4493</v>
      </c>
      <c r="D18" s="31" t="s">
        <v>4494</v>
      </c>
      <c r="E18" s="29" t="s">
        <v>62</v>
      </c>
      <c r="F18" s="29" t="s">
        <v>82</v>
      </c>
      <c r="G18" s="29" t="s">
        <v>4495</v>
      </c>
      <c r="H18" s="29" t="s">
        <v>4496</v>
      </c>
      <c r="I18" s="29" t="s">
        <v>65</v>
      </c>
      <c r="J18" s="29" t="s">
        <v>4497</v>
      </c>
      <c r="K18" s="29" t="s">
        <v>219</v>
      </c>
      <c r="L18" s="29" t="s">
        <v>399</v>
      </c>
      <c r="M18" s="33">
        <v>46376.0</v>
      </c>
      <c r="N18" s="31" t="s">
        <v>4498</v>
      </c>
      <c r="O18" s="32" t="str">
        <f>HYPERLINK("https://api.typeform.com/responses/files/7749f84a525a8fd90dd0f5d5e7fb87ce29c521003dd7c40b37acae2b02eff955/transcript_AI_engineer_intern___Lê_Thành_Đạt.pdf")</f>
        <v>https://api.typeform.com/responses/files/7749f84a525a8fd90dd0f5d5e7fb87ce29c521003dd7c40b37acae2b02eff955/transcript_AI_engineer_intern___Lê_Thành_Đạt.pdf</v>
      </c>
      <c r="P18" s="29" t="b">
        <v>1</v>
      </c>
      <c r="Q18" s="29" t="s">
        <v>4499</v>
      </c>
      <c r="R18" s="29" t="s">
        <v>4500</v>
      </c>
      <c r="S18" s="29" t="s">
        <v>72</v>
      </c>
      <c r="T18" s="29" t="s">
        <v>72</v>
      </c>
      <c r="U18" s="29" t="s">
        <v>2389</v>
      </c>
      <c r="X18" s="231" t="str">
        <f>HYPERLINK("https://api.typeform.com/responses/files/a7461935db8dceda3d841164b1b806da142c5ba3995f77373f1650f7ddbe3082/CV_AI_engineer_intern____Lê_Thành_Đạt.pdf")</f>
        <v>https://api.typeform.com/responses/files/a7461935db8dceda3d841164b1b806da142c5ba3995f77373f1650f7ddbe3082/CV_AI_engineer_intern____Lê_Thành_Đạt.pdf</v>
      </c>
      <c r="Y18" s="34">
        <v>46144.47314814815</v>
      </c>
      <c r="Z18" s="29" t="s">
        <v>4501</v>
      </c>
      <c r="AA18" s="6">
        <v>3.0</v>
      </c>
      <c r="AB18" s="6"/>
      <c r="AC18" s="28"/>
      <c r="AD18" s="20"/>
      <c r="AE18" s="28"/>
      <c r="AF18" s="6" t="str">
        <f t="shared" si="1"/>
        <v/>
      </c>
    </row>
    <row r="19" ht="23.25" hidden="1" customHeight="1">
      <c r="A19" s="29" t="s">
        <v>4502</v>
      </c>
      <c r="B19" s="30">
        <v>37682.0</v>
      </c>
      <c r="C19" s="29" t="s">
        <v>4503</v>
      </c>
      <c r="D19" s="31" t="s">
        <v>4504</v>
      </c>
      <c r="E19" s="29" t="s">
        <v>62</v>
      </c>
      <c r="F19" s="29" t="s">
        <v>82</v>
      </c>
      <c r="G19" s="29" t="s">
        <v>4505</v>
      </c>
      <c r="H19" s="29" t="s">
        <v>4506</v>
      </c>
      <c r="I19" s="29" t="s">
        <v>277</v>
      </c>
      <c r="K19" s="29" t="s">
        <v>103</v>
      </c>
      <c r="L19" s="29" t="s">
        <v>2491</v>
      </c>
      <c r="M19" s="33">
        <v>46356.0</v>
      </c>
      <c r="N19" s="31" t="s">
        <v>118</v>
      </c>
      <c r="O19" s="32" t="str">
        <f>HYPERLINK("https://api.typeform.com/responses/files/a21bfa0911264874bcc95e8673eb35e45c014943bcdfd07f08e2cb8250cb976d/Bảng_Điểm___Lê_Nguyễn_Trung_Vĩnh.pdf")</f>
        <v>https://api.typeform.com/responses/files/a21bfa0911264874bcc95e8673eb35e45c014943bcdfd07f08e2cb8250cb976d/Bảng_Điểm___Lê_Nguyễn_Trung_Vĩnh.pdf</v>
      </c>
      <c r="P19" s="29" t="b">
        <v>0</v>
      </c>
      <c r="Q19" s="29" t="s">
        <v>4507</v>
      </c>
      <c r="R19" s="29" t="s">
        <v>4508</v>
      </c>
      <c r="S19" s="29" t="s">
        <v>72</v>
      </c>
      <c r="T19" s="29" t="s">
        <v>72</v>
      </c>
      <c r="U19" s="29" t="s">
        <v>224</v>
      </c>
      <c r="W19" s="29" t="s">
        <v>4509</v>
      </c>
      <c r="X19" s="231" t="str">
        <f>HYPERLINK("https://api.typeform.com/responses/files/39d5a438fd6ba8cec9597aff3e8efb70bc76fd248d204e7372ec070d40ba8ae6/CV_AI_Engineer_intern_Lê_Nguyễn_Trung_Vĩnh.pdf")</f>
        <v>https://api.typeform.com/responses/files/39d5a438fd6ba8cec9597aff3e8efb70bc76fd248d204e7372ec070d40ba8ae6/CV_AI_Engineer_intern_Lê_Nguyễn_Trung_Vĩnh.pdf</v>
      </c>
      <c r="Y19" s="34">
        <v>46144.49351851852</v>
      </c>
      <c r="Z19" s="29" t="s">
        <v>4510</v>
      </c>
      <c r="AA19" s="6">
        <v>3.0</v>
      </c>
      <c r="AB19" s="6"/>
      <c r="AC19" s="28"/>
      <c r="AD19" s="20"/>
      <c r="AE19" s="28"/>
      <c r="AF19" s="6" t="str">
        <f t="shared" si="1"/>
        <v/>
      </c>
    </row>
    <row r="20" ht="23.25" hidden="1" customHeight="1">
      <c r="A20" s="29" t="s">
        <v>4511</v>
      </c>
      <c r="B20" s="30">
        <v>38219.0</v>
      </c>
      <c r="C20" s="29" t="s">
        <v>4512</v>
      </c>
      <c r="D20" s="31" t="s">
        <v>4513</v>
      </c>
      <c r="E20" s="29" t="s">
        <v>774</v>
      </c>
      <c r="F20" s="29" t="s">
        <v>633</v>
      </c>
      <c r="G20" s="29" t="s">
        <v>4514</v>
      </c>
      <c r="H20" s="29" t="s">
        <v>4515</v>
      </c>
      <c r="I20" s="29" t="s">
        <v>1610</v>
      </c>
      <c r="K20" s="29" t="s">
        <v>67</v>
      </c>
      <c r="L20" s="29" t="s">
        <v>1348</v>
      </c>
      <c r="M20" s="33">
        <v>46356.0</v>
      </c>
      <c r="N20" s="31" t="s">
        <v>2731</v>
      </c>
      <c r="O20" s="32" t="str">
        <f>HYPERLINK("https://api.typeform.com/responses/files/d9b12fd863cc5fe6ff34a93d7088c893f2fbaa67d0ca2c5d30d9ee89725cf5c0/Transcript___Game_UA_Marketing_Intern___Nguyễn_Huỳnh_Hạnh_Nguyên.png")</f>
        <v>https://api.typeform.com/responses/files/d9b12fd863cc5fe6ff34a93d7088c893f2fbaa67d0ca2c5d30d9ee89725cf5c0/Transcript___Game_UA_Marketing_Intern___Nguyễn_Huỳnh_Hạnh_Nguyên.png</v>
      </c>
      <c r="P20" s="29" t="b">
        <v>0</v>
      </c>
      <c r="Q20" s="29" t="s">
        <v>222</v>
      </c>
      <c r="R20" s="29" t="s">
        <v>4516</v>
      </c>
      <c r="S20" s="29" t="s">
        <v>72</v>
      </c>
      <c r="T20" s="29" t="s">
        <v>72</v>
      </c>
      <c r="U20" s="29" t="s">
        <v>4517</v>
      </c>
      <c r="X20" s="231" t="str">
        <f>HYPERLINK("https://api.typeform.com/responses/files/eb4b39b34d24d4ffe2cd72889bab27fbbb8daf96a3210a288ced15ad9d287cc9/CV___Game_UA_Marketing_Intern___Nguyễn_Huỳnh_Hạnh_Nguyên.pdf")</f>
        <v>https://api.typeform.com/responses/files/eb4b39b34d24d4ffe2cd72889bab27fbbb8daf96a3210a288ced15ad9d287cc9/CV___Game_UA_Marketing_Intern___Nguyễn_Huỳnh_Hạnh_Nguyên.pdf</v>
      </c>
      <c r="Y20" s="34">
        <v>46144.502071759256</v>
      </c>
      <c r="Z20" s="29" t="s">
        <v>4518</v>
      </c>
      <c r="AA20" s="6">
        <v>3.0</v>
      </c>
      <c r="AB20" s="6"/>
      <c r="AC20" s="28" t="s">
        <v>6388</v>
      </c>
      <c r="AD20" s="7" t="s">
        <v>6559</v>
      </c>
      <c r="AE20" s="28"/>
      <c r="AF20" s="6" t="str">
        <f t="shared" si="1"/>
        <v/>
      </c>
    </row>
    <row r="21" ht="23.25" hidden="1" customHeight="1">
      <c r="A21" s="29" t="s">
        <v>4519</v>
      </c>
      <c r="B21" s="30">
        <v>38100.0</v>
      </c>
      <c r="C21" s="29" t="s">
        <v>4520</v>
      </c>
      <c r="D21" s="31" t="s">
        <v>4521</v>
      </c>
      <c r="E21" s="29" t="s">
        <v>82</v>
      </c>
      <c r="F21" s="29" t="s">
        <v>127</v>
      </c>
      <c r="G21" s="29" t="s">
        <v>4522</v>
      </c>
      <c r="H21" s="29" t="s">
        <v>4523</v>
      </c>
      <c r="I21" s="29" t="s">
        <v>842</v>
      </c>
      <c r="K21" s="29" t="s">
        <v>67</v>
      </c>
      <c r="L21" s="29" t="s">
        <v>4524</v>
      </c>
      <c r="M21" s="33">
        <v>46275.0</v>
      </c>
      <c r="N21" s="31" t="s">
        <v>3670</v>
      </c>
      <c r="O21" s="32" t="str">
        <f>HYPERLINK("https://api.typeform.com/responses/files/774926f6fabc26ff8ad4125fa46d6cc1f0477b2fd7e124bccb2acb47372bcdff/Transcript___Data_Analysis_Intern___Nguyễn_Bùi_Duy_Anh.pdf")</f>
        <v>https://api.typeform.com/responses/files/774926f6fabc26ff8ad4125fa46d6cc1f0477b2fd7e124bccb2acb47372bcdff/Transcript___Data_Analysis_Intern___Nguyễn_Bùi_Duy_Anh.pdf</v>
      </c>
      <c r="P21" s="29" t="b">
        <v>0</v>
      </c>
      <c r="Q21" s="29" t="s">
        <v>4525</v>
      </c>
      <c r="R21" s="29" t="s">
        <v>4526</v>
      </c>
      <c r="S21" s="29" t="s">
        <v>72</v>
      </c>
      <c r="T21" s="29" t="s">
        <v>72</v>
      </c>
      <c r="U21" s="29" t="s">
        <v>90</v>
      </c>
      <c r="X21" s="231" t="str">
        <f>HYPERLINK("https://api.typeform.com/responses/files/27fc615d25dd2fef1aac03d2a95f2d40b1cc1c3c41b0b2d65b28ca66ebecbfac/CV__Data_Analyst_Intern___NGUYỄN_BÙI_DUY_ANH.pdf")</f>
        <v>https://api.typeform.com/responses/files/27fc615d25dd2fef1aac03d2a95f2d40b1cc1c3c41b0b2d65b28ca66ebecbfac/CV__Data_Analyst_Intern___NGUYỄN_BÙI_DUY_ANH.pdf</v>
      </c>
      <c r="Y21" s="34">
        <v>46144.50377314815</v>
      </c>
      <c r="Z21" s="29" t="s">
        <v>4527</v>
      </c>
      <c r="AA21" s="6">
        <v>3.0</v>
      </c>
      <c r="AB21" s="6" t="s">
        <v>109</v>
      </c>
      <c r="AC21" s="28" t="s">
        <v>6376</v>
      </c>
      <c r="AD21" s="20"/>
      <c r="AE21" s="28"/>
      <c r="AF21" s="6" t="str">
        <f t="shared" si="1"/>
        <v/>
      </c>
    </row>
    <row r="22" ht="23.25" hidden="1" customHeight="1">
      <c r="A22" s="232" t="s">
        <v>4528</v>
      </c>
      <c r="B22" s="233">
        <v>36873.0</v>
      </c>
      <c r="C22" s="232" t="s">
        <v>4529</v>
      </c>
      <c r="D22" s="234" t="s">
        <v>4530</v>
      </c>
      <c r="E22" s="232" t="s">
        <v>774</v>
      </c>
      <c r="F22" s="232" t="s">
        <v>633</v>
      </c>
      <c r="G22" s="232" t="s">
        <v>4531</v>
      </c>
      <c r="H22" s="232" t="s">
        <v>4532</v>
      </c>
      <c r="I22" s="232" t="s">
        <v>65</v>
      </c>
      <c r="J22" s="232" t="s">
        <v>4533</v>
      </c>
      <c r="K22" s="232" t="s">
        <v>4534</v>
      </c>
      <c r="L22" s="232" t="s">
        <v>4535</v>
      </c>
      <c r="M22" s="235">
        <v>45689.0</v>
      </c>
      <c r="N22" s="234" t="s">
        <v>696</v>
      </c>
      <c r="O22" s="236" t="str">
        <f>HYPERLINK("https://api.typeform.com/responses/files/e6943449492dc8829cb6a03786a834a81fbc2d666cfd36e6d20ec510290b634b/Transcript___Game_User_Acquisition_Intern___Tsằn_Cá_Thành.jpg")</f>
        <v>https://api.typeform.com/responses/files/e6943449492dc8829cb6a03786a834a81fbc2d666cfd36e6d20ec510290b634b/Transcript___Game_User_Acquisition_Intern___Tsằn_Cá_Thành.jpg</v>
      </c>
      <c r="P22" s="232" t="b">
        <v>0</v>
      </c>
      <c r="Q22" s="232" t="s">
        <v>300</v>
      </c>
      <c r="R22" s="232" t="s">
        <v>4536</v>
      </c>
      <c r="S22" s="232" t="s">
        <v>72</v>
      </c>
      <c r="T22" s="232" t="s">
        <v>72</v>
      </c>
      <c r="U22" s="232" t="s">
        <v>90</v>
      </c>
      <c r="V22" s="232"/>
      <c r="W22" s="232" t="s">
        <v>4537</v>
      </c>
      <c r="X22" s="236" t="str">
        <f>HYPERLINK("https://api.typeform.com/responses/files/b4c0985982e707ebb0d43a98f1f23288b8bda30166559828143b88d218db1bc8/CV___Game_User_Acquisition_Intern___Tsằn_Cá_Thành.pdf")</f>
        <v>https://api.typeform.com/responses/files/b4c0985982e707ebb0d43a98f1f23288b8bda30166559828143b88d218db1bc8/CV___Game_User_Acquisition_Intern___Tsằn_Cá_Thành.pdf</v>
      </c>
      <c r="Y22" s="237">
        <v>46144.55358796296</v>
      </c>
      <c r="Z22" s="232" t="s">
        <v>4538</v>
      </c>
      <c r="AA22" s="238">
        <v>3.0</v>
      </c>
      <c r="AB22" s="238"/>
      <c r="AC22" s="239" t="s">
        <v>6376</v>
      </c>
      <c r="AD22" s="240"/>
      <c r="AE22" s="239"/>
      <c r="AF22" s="238" t="str">
        <f t="shared" si="1"/>
        <v/>
      </c>
    </row>
    <row r="23" ht="23.25" hidden="1" customHeight="1">
      <c r="A23" s="29" t="s">
        <v>4539</v>
      </c>
      <c r="B23" s="30">
        <v>37902.0</v>
      </c>
      <c r="C23" s="29" t="s">
        <v>4540</v>
      </c>
      <c r="D23" s="31" t="s">
        <v>4541</v>
      </c>
      <c r="E23" s="29" t="s">
        <v>62</v>
      </c>
      <c r="F23" s="29" t="s">
        <v>774</v>
      </c>
      <c r="G23" s="29" t="s">
        <v>4542</v>
      </c>
      <c r="H23" s="29" t="s">
        <v>4543</v>
      </c>
      <c r="I23" s="29" t="s">
        <v>65</v>
      </c>
      <c r="J23" s="29" t="s">
        <v>4544</v>
      </c>
      <c r="K23" s="29" t="s">
        <v>4545</v>
      </c>
      <c r="L23" s="29" t="s">
        <v>941</v>
      </c>
      <c r="M23" s="33">
        <v>46358.0</v>
      </c>
      <c r="N23" s="31" t="s">
        <v>147</v>
      </c>
      <c r="O23" s="32" t="str">
        <f>HYPERLINK("https://api.typeform.com/responses/files/2256e2708716e336a1f97890491f40a286a5fac83624743f30406f4bfbf861e8/Transcript_AI_Engineer_LamTanPhat.pdf")</f>
        <v>https://api.typeform.com/responses/files/2256e2708716e336a1f97890491f40a286a5fac83624743f30406f4bfbf861e8/Transcript_AI_Engineer_LamTanPhat.pdf</v>
      </c>
      <c r="P23" s="29" t="b">
        <v>1</v>
      </c>
      <c r="Q23" s="29" t="s">
        <v>4546</v>
      </c>
      <c r="R23" s="29" t="s">
        <v>4547</v>
      </c>
      <c r="S23" s="29" t="s">
        <v>72</v>
      </c>
      <c r="T23" s="29" t="s">
        <v>72</v>
      </c>
      <c r="U23" s="29" t="s">
        <v>236</v>
      </c>
      <c r="X23" s="231" t="str">
        <f>HYPERLINK("https://api.typeform.com/responses/files/6dea104a8cc5703b9b4be5e3a8548b51f8f1f42f443dddb72adb14b6c23b55ea/CV_AI_Engineer_LamTanPhat.pdf")</f>
        <v>https://api.typeform.com/responses/files/6dea104a8cc5703b9b4be5e3a8548b51f8f1f42f443dddb72adb14b6c23b55ea/CV_AI_Engineer_LamTanPhat.pdf</v>
      </c>
      <c r="Y23" s="34">
        <v>46144.62401620371</v>
      </c>
      <c r="Z23" s="29" t="s">
        <v>4548</v>
      </c>
      <c r="AA23" s="6">
        <v>3.0</v>
      </c>
      <c r="AB23" s="6"/>
      <c r="AC23" s="28"/>
      <c r="AD23" s="20"/>
      <c r="AE23" s="28"/>
      <c r="AF23" s="6" t="str">
        <f t="shared" si="1"/>
        <v/>
      </c>
    </row>
    <row r="24" ht="23.25" customHeight="1">
      <c r="A24" s="29" t="s">
        <v>4549</v>
      </c>
      <c r="B24" s="30">
        <v>38026.0</v>
      </c>
      <c r="C24" s="29" t="s">
        <v>4550</v>
      </c>
      <c r="D24" s="31" t="s">
        <v>4551</v>
      </c>
      <c r="E24" s="29" t="s">
        <v>633</v>
      </c>
      <c r="F24" s="29" t="s">
        <v>82</v>
      </c>
      <c r="G24" s="29" t="s">
        <v>4552</v>
      </c>
      <c r="H24" s="29" t="s">
        <v>4553</v>
      </c>
      <c r="I24" s="29" t="s">
        <v>715</v>
      </c>
      <c r="K24" s="29" t="s">
        <v>219</v>
      </c>
      <c r="L24" s="29" t="s">
        <v>4554</v>
      </c>
      <c r="M24" s="33">
        <v>46692.0</v>
      </c>
      <c r="N24" s="31" t="s">
        <v>2192</v>
      </c>
      <c r="O24" s="32" t="str">
        <f>HYPERLINK("https://api.typeform.com/responses/files/09feca279a19b10d7942f6b7692a72b1848532903a4a725ef544ad7ca248ca14/Transcript___Human_Resources_Intern___Nguyễn_Đăng_Khoa.pdf")</f>
        <v>https://api.typeform.com/responses/files/09feca279a19b10d7942f6b7692a72b1848532903a4a725ef544ad7ca248ca14/Transcript___Human_Resources_Intern___Nguyễn_Đăng_Khoa.pdf</v>
      </c>
      <c r="P24" s="29" t="b">
        <v>1</v>
      </c>
      <c r="Q24" s="29" t="s">
        <v>4555</v>
      </c>
      <c r="R24" s="29" t="s">
        <v>4556</v>
      </c>
      <c r="S24" s="29" t="s">
        <v>72</v>
      </c>
      <c r="T24" s="29" t="s">
        <v>72</v>
      </c>
      <c r="U24" s="29" t="s">
        <v>73</v>
      </c>
      <c r="W24" s="29" t="s">
        <v>4557</v>
      </c>
      <c r="X24" s="231" t="str">
        <f>HYPERLINK("https://api.typeform.com/responses/files/733c3956134e89abffbea94ae45dd1cd8869d175f6fabac5a10f038f6183a95f/CV___Human_Resources_Intern___Nguyễn_Đăng_Khoa.pdf")</f>
        <v>https://api.typeform.com/responses/files/733c3956134e89abffbea94ae45dd1cd8869d175f6fabac5a10f038f6183a95f/CV___Human_Resources_Intern___Nguyễn_Đăng_Khoa.pdf</v>
      </c>
      <c r="Y24" s="34">
        <v>46144.631423611114</v>
      </c>
      <c r="Z24" s="29" t="s">
        <v>4558</v>
      </c>
      <c r="AA24" s="6">
        <v>3.0</v>
      </c>
      <c r="AB24" s="6" t="s">
        <v>109</v>
      </c>
      <c r="AC24" s="28" t="s">
        <v>6377</v>
      </c>
      <c r="AD24" s="20"/>
      <c r="AE24" s="28" t="s">
        <v>6403</v>
      </c>
      <c r="AF24" s="6" t="s">
        <v>76</v>
      </c>
    </row>
    <row r="25" ht="23.25" hidden="1" customHeight="1">
      <c r="A25" s="29" t="s">
        <v>4559</v>
      </c>
      <c r="B25" s="30">
        <v>38090.0</v>
      </c>
      <c r="C25" s="29" t="s">
        <v>4560</v>
      </c>
      <c r="D25" s="31" t="s">
        <v>4561</v>
      </c>
      <c r="E25" s="29" t="s">
        <v>62</v>
      </c>
      <c r="F25" s="29" t="s">
        <v>62</v>
      </c>
      <c r="G25" s="29" t="s">
        <v>4562</v>
      </c>
      <c r="H25" s="29" t="s">
        <v>4563</v>
      </c>
      <c r="I25" s="29" t="s">
        <v>85</v>
      </c>
      <c r="K25" s="29" t="s">
        <v>103</v>
      </c>
      <c r="L25" s="29" t="s">
        <v>930</v>
      </c>
      <c r="M25" s="33">
        <v>46183.0</v>
      </c>
      <c r="N25" s="31" t="s">
        <v>2690</v>
      </c>
      <c r="O25" s="32" t="str">
        <f>HYPERLINK("https://api.typeform.com/responses/files/c149e8d416ccda3927f2850ee781a1296329f647374f48a2ed29568294c4828a/Transcript___AI_Engineering_Intern___Trương_Phúc_Trường.pdf")</f>
        <v>https://api.typeform.com/responses/files/c149e8d416ccda3927f2850ee781a1296329f647374f48a2ed29568294c4828a/Transcript___AI_Engineering_Intern___Trương_Phúc_Trường.pdf</v>
      </c>
      <c r="P25" s="29" t="b">
        <v>1</v>
      </c>
      <c r="Q25" s="29" t="s">
        <v>4564</v>
      </c>
      <c r="R25" s="29" t="s">
        <v>4565</v>
      </c>
      <c r="S25" s="29" t="s">
        <v>72</v>
      </c>
      <c r="T25" s="29" t="s">
        <v>72</v>
      </c>
      <c r="U25" s="29" t="s">
        <v>3845</v>
      </c>
      <c r="W25" s="29" t="s">
        <v>4566</v>
      </c>
      <c r="X25" s="231" t="str">
        <f>HYPERLINK("https://api.typeform.com/responses/files/f9dfd0ff2de73437ec21e3332068709473cb826b8bcea1ef160387c3a193af49/CV___AI_Engineering_Intern___Trương_Phúc_Trường.pdf")</f>
        <v>https://api.typeform.com/responses/files/f9dfd0ff2de73437ec21e3332068709473cb826b8bcea1ef160387c3a193af49/CV___AI_Engineering_Intern___Trương_Phúc_Trường.pdf</v>
      </c>
      <c r="Y25" s="34">
        <v>46144.673993055556</v>
      </c>
      <c r="Z25" s="29" t="s">
        <v>4567</v>
      </c>
      <c r="AA25" s="6">
        <v>3.0</v>
      </c>
      <c r="AB25" s="6"/>
      <c r="AC25" s="28"/>
      <c r="AD25" s="20"/>
      <c r="AE25" s="28"/>
      <c r="AF25" s="6" t="str">
        <f t="shared" ref="AF25:AF36" si="2">IFERROR(
  IFS(
    AND(OR(AE25="Test",AE25="Chờ test",AE25="Test Review",AE25="Passed",AE25="Failed"), OR(E25="Game User Acquisition Intern",E25="Game Design Intern")), "Nhiên",
    AND(OR(AE25="Test",AE25="Chờ test",AE25="Test Review",AE25="Passed",AE25="Failed"), E25&lt;&gt;"Human Resources Intern", NOT(OR(E25="Game User Acquisition Intern",E25="Game Design Intern"))), "Quỳnh",
    AND(OR(AE25="Test",AE25="Chờ test",AE25="Test Review",AE25="Passed",AE25="Failed"), E25="Human Resources Intern"), "Chờ assign"
  ),
"")</f>
        <v/>
      </c>
    </row>
    <row r="26" ht="23.25" hidden="1" customHeight="1">
      <c r="A26" s="29" t="s">
        <v>4568</v>
      </c>
      <c r="B26" s="30">
        <v>38028.0</v>
      </c>
      <c r="C26" s="29" t="s">
        <v>4569</v>
      </c>
      <c r="D26" s="31" t="s">
        <v>4570</v>
      </c>
      <c r="E26" s="29" t="s">
        <v>127</v>
      </c>
      <c r="F26" s="29" t="s">
        <v>82</v>
      </c>
      <c r="G26" s="29" t="s">
        <v>4571</v>
      </c>
      <c r="H26" s="29" t="s">
        <v>4572</v>
      </c>
      <c r="I26" s="29" t="s">
        <v>1610</v>
      </c>
      <c r="K26" s="29" t="s">
        <v>67</v>
      </c>
      <c r="L26" s="29" t="s">
        <v>624</v>
      </c>
      <c r="M26" s="33">
        <v>46259.0</v>
      </c>
      <c r="N26" s="31" t="s">
        <v>2052</v>
      </c>
      <c r="O26" s="32" t="str">
        <f>HYPERLINK("https://api.typeform.com/responses/files/6c8ef2f9e223df6cafeb5ad47c117b3cf554b89a6ddd289e733d20291bc5fecb/Transcript____Game_Quality_Assurance_Intern___Lê_Minh_Kiệt.pdf")</f>
        <v>https://api.typeform.com/responses/files/6c8ef2f9e223df6cafeb5ad47c117b3cf554b89a6ddd289e733d20291bc5fecb/Transcript____Game_Quality_Assurance_Intern___Lê_Minh_Kiệt.pdf</v>
      </c>
      <c r="P26" s="29" t="b">
        <v>1</v>
      </c>
      <c r="Q26" s="29" t="s">
        <v>4573</v>
      </c>
      <c r="R26" s="29" t="s">
        <v>4574</v>
      </c>
      <c r="S26" s="29" t="s">
        <v>72</v>
      </c>
      <c r="T26" s="29" t="s">
        <v>72</v>
      </c>
      <c r="U26" s="29" t="s">
        <v>73</v>
      </c>
      <c r="W26" s="29" t="s">
        <v>4575</v>
      </c>
      <c r="X26" s="231" t="str">
        <f>HYPERLINK("https://api.typeform.com/responses/files/2edac3aad6512b75c0bf2ba6c8c8494f21690316ecbd0f2b0e88714f6acebe9d/CV___Game_Quality_Assurance_Intern___Lê_Minh_Kiệt.pdf")</f>
        <v>https://api.typeform.com/responses/files/2edac3aad6512b75c0bf2ba6c8c8494f21690316ecbd0f2b0e88714f6acebe9d/CV___Game_Quality_Assurance_Intern___Lê_Minh_Kiệt.pdf</v>
      </c>
      <c r="Y26" s="34">
        <v>46144.67699074074</v>
      </c>
      <c r="Z26" s="29" t="s">
        <v>4576</v>
      </c>
      <c r="AA26" s="6">
        <v>3.0</v>
      </c>
      <c r="AB26" s="6" t="s">
        <v>109</v>
      </c>
      <c r="AC26" s="28" t="s">
        <v>6377</v>
      </c>
      <c r="AD26" s="20"/>
      <c r="AE26" s="28" t="s">
        <v>6379</v>
      </c>
      <c r="AF26" s="6" t="str">
        <f t="shared" si="2"/>
        <v>Quỳnh</v>
      </c>
    </row>
    <row r="27" ht="23.25" hidden="1" customHeight="1">
      <c r="A27" s="29" t="s">
        <v>4577</v>
      </c>
      <c r="B27" s="30">
        <v>37725.0</v>
      </c>
      <c r="C27" s="29" t="s">
        <v>4578</v>
      </c>
      <c r="D27" s="31" t="s">
        <v>4579</v>
      </c>
      <c r="E27" s="29" t="s">
        <v>62</v>
      </c>
      <c r="F27" s="29" t="s">
        <v>82</v>
      </c>
      <c r="G27" s="29" t="s">
        <v>4580</v>
      </c>
      <c r="H27" s="29" t="s">
        <v>4581</v>
      </c>
      <c r="I27" s="29" t="s">
        <v>468</v>
      </c>
      <c r="K27" s="29" t="s">
        <v>67</v>
      </c>
      <c r="L27" s="29" t="s">
        <v>384</v>
      </c>
      <c r="M27" s="33">
        <v>46266.0</v>
      </c>
      <c r="N27" s="31" t="s">
        <v>2740</v>
      </c>
      <c r="O27" s="32" t="str">
        <f>HYPERLINK("https://api.typeform.com/responses/files/912d7957abdd03dbcb35596a2ca29d1d826e3c8be5f89d070d7da644009a5898/Transcript___AI_Engineer_Intern___Nguyễn_Quyết_Giang_Sơn.pdf")</f>
        <v>https://api.typeform.com/responses/files/912d7957abdd03dbcb35596a2ca29d1d826e3c8be5f89d070d7da644009a5898/Transcript___AI_Engineer_Intern___Nguyễn_Quyết_Giang_Sơn.pdf</v>
      </c>
      <c r="P27" s="29" t="b">
        <v>1</v>
      </c>
      <c r="Q27" s="29" t="s">
        <v>4582</v>
      </c>
      <c r="R27" s="29" t="s">
        <v>4583</v>
      </c>
      <c r="S27" s="29" t="s">
        <v>72</v>
      </c>
      <c r="T27" s="29" t="s">
        <v>72</v>
      </c>
      <c r="U27" s="29" t="s">
        <v>4584</v>
      </c>
      <c r="W27" s="29" t="s">
        <v>4585</v>
      </c>
      <c r="X27" s="231" t="str">
        <f>HYPERLINK("https://api.typeform.com/responses/files/26f468b285c291f4ced752d15db8834fe19ae11d79c62b925595bfb1c92c62fe/CV_AI_Engineer_Intern_Nguyễn_Quyết_Giang_Sơn.pdf")</f>
        <v>https://api.typeform.com/responses/files/26f468b285c291f4ced752d15db8834fe19ae11d79c62b925595bfb1c92c62fe/CV_AI_Engineer_Intern_Nguyễn_Quyết_Giang_Sơn.pdf</v>
      </c>
      <c r="Y27" s="34">
        <v>46144.72194444444</v>
      </c>
      <c r="Z27" s="29" t="s">
        <v>4586</v>
      </c>
      <c r="AA27" s="6">
        <v>3.0</v>
      </c>
      <c r="AB27" s="6"/>
      <c r="AC27" s="28"/>
      <c r="AD27" s="20"/>
      <c r="AE27" s="28"/>
      <c r="AF27" s="6" t="str">
        <f t="shared" si="2"/>
        <v/>
      </c>
    </row>
    <row r="28" ht="23.25" hidden="1" customHeight="1">
      <c r="A28" s="29" t="s">
        <v>4587</v>
      </c>
      <c r="B28" s="30">
        <v>38140.0</v>
      </c>
      <c r="C28" s="29" t="s">
        <v>4588</v>
      </c>
      <c r="D28" s="31" t="s">
        <v>4589</v>
      </c>
      <c r="E28" s="29" t="s">
        <v>62</v>
      </c>
      <c r="F28" s="29" t="s">
        <v>62</v>
      </c>
      <c r="G28" s="29" t="s">
        <v>4590</v>
      </c>
      <c r="H28" s="29" t="s">
        <v>4591</v>
      </c>
      <c r="I28" s="29" t="s">
        <v>144</v>
      </c>
      <c r="K28" s="29" t="s">
        <v>103</v>
      </c>
      <c r="L28" s="29" t="s">
        <v>2612</v>
      </c>
      <c r="M28" s="33">
        <v>45796.0</v>
      </c>
      <c r="N28" s="31" t="s">
        <v>1648</v>
      </c>
      <c r="O28" s="32" t="str">
        <f>HYPERLINK("https://api.typeform.com/responses/files/df8e31909d72e0171c01784533d78451e85058e5f2b4d3a819c3d05af73eae50/Transcript___Intern_AI_Engineer___Dương_Quốc_Thành.pdf")</f>
        <v>https://api.typeform.com/responses/files/df8e31909d72e0171c01784533d78451e85058e5f2b4d3a819c3d05af73eae50/Transcript___Intern_AI_Engineer___Dương_Quốc_Thành.pdf</v>
      </c>
      <c r="P28" s="29" t="b">
        <v>0</v>
      </c>
      <c r="Q28" s="29" t="s">
        <v>4592</v>
      </c>
      <c r="R28" s="29" t="s">
        <v>4593</v>
      </c>
      <c r="S28" s="29" t="s">
        <v>72</v>
      </c>
      <c r="T28" s="29" t="s">
        <v>72</v>
      </c>
      <c r="U28" s="29" t="s">
        <v>73</v>
      </c>
      <c r="W28" s="29" t="s">
        <v>4594</v>
      </c>
      <c r="X28" s="231" t="str">
        <f>HYPERLINK("https://api.typeform.com/responses/files/c3c91791f5aa19e5db1391d16489e4eadcb408e6e53e3a7b6e831de03e0bdee1/DUONG_QUOC_THANH.pdf")</f>
        <v>https://api.typeform.com/responses/files/c3c91791f5aa19e5db1391d16489e4eadcb408e6e53e3a7b6e831de03e0bdee1/DUONG_QUOC_THANH.pdf</v>
      </c>
      <c r="Y28" s="34">
        <v>46144.737974537034</v>
      </c>
      <c r="Z28" s="29" t="s">
        <v>4595</v>
      </c>
      <c r="AA28" s="6">
        <v>3.0</v>
      </c>
      <c r="AB28" s="6"/>
      <c r="AC28" s="28"/>
      <c r="AD28" s="20"/>
      <c r="AE28" s="28"/>
      <c r="AF28" s="6" t="str">
        <f t="shared" si="2"/>
        <v/>
      </c>
    </row>
    <row r="29" ht="23.25" hidden="1" customHeight="1">
      <c r="A29" s="29" t="s">
        <v>4596</v>
      </c>
      <c r="B29" s="30">
        <v>38318.0</v>
      </c>
      <c r="C29" s="29" t="s">
        <v>4597</v>
      </c>
      <c r="D29" s="31" t="s">
        <v>4598</v>
      </c>
      <c r="E29" s="29" t="s">
        <v>82</v>
      </c>
      <c r="F29" s="29" t="s">
        <v>62</v>
      </c>
      <c r="G29" s="29" t="s">
        <v>4599</v>
      </c>
      <c r="H29" s="29" t="s">
        <v>4600</v>
      </c>
      <c r="I29" s="29" t="s">
        <v>2293</v>
      </c>
      <c r="K29" s="29" t="s">
        <v>67</v>
      </c>
      <c r="L29" s="29" t="s">
        <v>4601</v>
      </c>
      <c r="M29" s="33">
        <v>46357.0</v>
      </c>
      <c r="N29" s="31" t="s">
        <v>780</v>
      </c>
      <c r="O29" s="32" t="str">
        <f>HYPERLINK("https://api.typeform.com/responses/files/4364f1dda4072cfc3f49ba9686af362e58efe89c526a9678e5975bed2289fcca/Transcript___Data_Analysis_Intern___Nguyễn_Hoàng_Trang.pdf")</f>
        <v>https://api.typeform.com/responses/files/4364f1dda4072cfc3f49ba9686af362e58efe89c526a9678e5975bed2289fcca/Transcript___Data_Analysis_Intern___Nguyễn_Hoàng_Trang.pdf</v>
      </c>
      <c r="P29" s="29" t="b">
        <v>0</v>
      </c>
      <c r="Q29" s="29" t="s">
        <v>4602</v>
      </c>
      <c r="R29" s="29" t="s">
        <v>4603</v>
      </c>
      <c r="S29" s="29" t="s">
        <v>72</v>
      </c>
      <c r="T29" s="29" t="s">
        <v>72</v>
      </c>
      <c r="U29" s="29" t="s">
        <v>544</v>
      </c>
      <c r="W29" s="29" t="s">
        <v>4604</v>
      </c>
      <c r="X29" s="231" t="str">
        <f>HYPERLINK("https://api.typeform.com/responses/files/f2c5a3c72630d714d9aef96527c4d564efb0a8569b7889cd73b62cb2945eb113/CV___Data_Analysis_Intern___Nguyễn_Hoàng_Trang.pdf")</f>
        <v>https://api.typeform.com/responses/files/f2c5a3c72630d714d9aef96527c4d564efb0a8569b7889cd73b62cb2945eb113/CV___Data_Analysis_Intern___Nguyễn_Hoàng_Trang.pdf</v>
      </c>
      <c r="Y29" s="34">
        <v>46144.753958333335</v>
      </c>
      <c r="Z29" s="29" t="s">
        <v>4605</v>
      </c>
      <c r="AA29" s="6">
        <v>3.0</v>
      </c>
      <c r="AB29" s="6" t="s">
        <v>109</v>
      </c>
      <c r="AC29" s="28" t="s">
        <v>6376</v>
      </c>
      <c r="AD29" s="20"/>
      <c r="AE29" s="28"/>
      <c r="AF29" s="6" t="str">
        <f t="shared" si="2"/>
        <v/>
      </c>
    </row>
    <row r="30" ht="23.25" hidden="1" customHeight="1">
      <c r="A30" s="29" t="s">
        <v>4606</v>
      </c>
      <c r="B30" s="30">
        <v>39076.0</v>
      </c>
      <c r="C30" s="29" t="s">
        <v>4607</v>
      </c>
      <c r="D30" s="31" t="s">
        <v>4608</v>
      </c>
      <c r="E30" s="29" t="s">
        <v>61</v>
      </c>
      <c r="F30" s="29" t="s">
        <v>99</v>
      </c>
      <c r="G30" s="29" t="s">
        <v>4609</v>
      </c>
      <c r="H30" s="29" t="s">
        <v>4610</v>
      </c>
      <c r="I30" s="29" t="s">
        <v>65</v>
      </c>
      <c r="J30" s="29" t="s">
        <v>4611</v>
      </c>
      <c r="K30" s="29" t="s">
        <v>169</v>
      </c>
      <c r="L30" s="29" t="s">
        <v>457</v>
      </c>
      <c r="M30" s="33">
        <v>46258.0</v>
      </c>
      <c r="N30" s="31" t="s">
        <v>1382</v>
      </c>
      <c r="O30" s="32" t="str">
        <f>HYPERLINK("https://api.typeform.com/responses/files/758c1a490cc226b12017262bca96effcff1e938bf83f0cb670bad69e961e10fa/Transcript___Unity_Development_Intern___Phan_Nguyễn_Trung_Hiếu.pdf")</f>
        <v>https://api.typeform.com/responses/files/758c1a490cc226b12017262bca96effcff1e938bf83f0cb670bad69e961e10fa/Transcript___Unity_Development_Intern___Phan_Nguyễn_Trung_Hiếu.pdf</v>
      </c>
      <c r="P30" s="29" t="b">
        <v>1</v>
      </c>
      <c r="Q30" s="29" t="s">
        <v>4612</v>
      </c>
      <c r="R30" s="29" t="s">
        <v>4613</v>
      </c>
      <c r="S30" s="29" t="s">
        <v>72</v>
      </c>
      <c r="T30" s="29" t="s">
        <v>72</v>
      </c>
      <c r="U30" s="29" t="s">
        <v>73</v>
      </c>
      <c r="W30" s="29" t="s">
        <v>4614</v>
      </c>
      <c r="X30" s="231" t="str">
        <f>HYPERLINK("https://api.typeform.com/responses/files/49f91eb06244faac76355306436875548c23774bd3d0413e73efec01fd80f2b3/CV___Unity_Developoment_Intern___Phan_Nguyễn_Trung_Hiếu.pdf")</f>
        <v>https://api.typeform.com/responses/files/49f91eb06244faac76355306436875548c23774bd3d0413e73efec01fd80f2b3/CV___Unity_Developoment_Intern___Phan_Nguyễn_Trung_Hiếu.pdf</v>
      </c>
      <c r="Y30" s="34">
        <v>46144.872395833336</v>
      </c>
      <c r="Z30" s="29" t="s">
        <v>4615</v>
      </c>
      <c r="AA30" s="6">
        <v>3.0</v>
      </c>
      <c r="AB30" s="6" t="s">
        <v>109</v>
      </c>
      <c r="AC30" s="28" t="s">
        <v>6376</v>
      </c>
      <c r="AD30" s="20"/>
      <c r="AE30" s="28"/>
      <c r="AF30" s="6" t="str">
        <f t="shared" si="2"/>
        <v/>
      </c>
    </row>
    <row r="31" ht="23.25" hidden="1" customHeight="1">
      <c r="A31" s="29" t="s">
        <v>4629</v>
      </c>
      <c r="B31" s="30">
        <v>39000.0</v>
      </c>
      <c r="C31" s="29" t="s">
        <v>4630</v>
      </c>
      <c r="D31" s="31" t="s">
        <v>4631</v>
      </c>
      <c r="E31" s="29" t="s">
        <v>61</v>
      </c>
      <c r="F31" s="29" t="s">
        <v>99</v>
      </c>
      <c r="G31" s="29" t="s">
        <v>4632</v>
      </c>
      <c r="H31" s="29" t="s">
        <v>4633</v>
      </c>
      <c r="I31" s="29" t="s">
        <v>65</v>
      </c>
      <c r="J31" s="29" t="s">
        <v>4634</v>
      </c>
      <c r="K31" s="29" t="s">
        <v>169</v>
      </c>
      <c r="L31" s="29" t="s">
        <v>256</v>
      </c>
      <c r="M31" s="33">
        <v>46257.0</v>
      </c>
      <c r="N31" s="31" t="s">
        <v>105</v>
      </c>
      <c r="O31" s="32" t="str">
        <f>HYPERLINK("https://api.typeform.com/responses/files/39213c9b95324f5766f8bf3990b8d3bf9b34d5ef35f3eb7ba37a1ffb99962905/Transcript___Unity_Development_Intern___Võ_Nhân_Hồng_Phúc.pdf")</f>
        <v>https://api.typeform.com/responses/files/39213c9b95324f5766f8bf3990b8d3bf9b34d5ef35f3eb7ba37a1ffb99962905/Transcript___Unity_Development_Intern___Võ_Nhân_Hồng_Phúc.pdf</v>
      </c>
      <c r="P31" s="29" t="b">
        <v>1</v>
      </c>
      <c r="Q31" s="29" t="s">
        <v>4635</v>
      </c>
      <c r="R31" s="29" t="s">
        <v>4636</v>
      </c>
      <c r="S31" s="29" t="s">
        <v>72</v>
      </c>
      <c r="T31" s="29" t="s">
        <v>72</v>
      </c>
      <c r="U31" s="29" t="s">
        <v>73</v>
      </c>
      <c r="W31" s="29" t="s">
        <v>4637</v>
      </c>
      <c r="X31" s="231" t="str">
        <f>HYPERLINK("https://api.typeform.com/responses/files/09abc917cc345711c23c64d0f309705db51c9704b80974532a4b2f1c1fe2d422/CV___Unity_Development_Intern___Võ_Nhân_Hồng_Phúc.pdf")</f>
        <v>https://api.typeform.com/responses/files/09abc917cc345711c23c64d0f309705db51c9704b80974532a4b2f1c1fe2d422/CV___Unity_Development_Intern___Võ_Nhân_Hồng_Phúc.pdf</v>
      </c>
      <c r="Y31" s="34">
        <v>46145.07575231481</v>
      </c>
      <c r="Z31" s="29" t="s">
        <v>4638</v>
      </c>
      <c r="AA31" s="6">
        <v>3.0</v>
      </c>
      <c r="AB31" s="6" t="s">
        <v>109</v>
      </c>
      <c r="AC31" s="28" t="s">
        <v>6376</v>
      </c>
      <c r="AD31" s="20"/>
      <c r="AE31" s="28"/>
      <c r="AF31" s="6" t="str">
        <f t="shared" si="2"/>
        <v/>
      </c>
    </row>
    <row r="32" ht="23.25" hidden="1" customHeight="1">
      <c r="A32" s="29" t="s">
        <v>4639</v>
      </c>
      <c r="B32" s="30">
        <v>38604.0</v>
      </c>
      <c r="C32" s="29" t="s">
        <v>4640</v>
      </c>
      <c r="D32" s="31" t="s">
        <v>4641</v>
      </c>
      <c r="E32" s="29" t="s">
        <v>61</v>
      </c>
      <c r="F32" s="29" t="s">
        <v>99</v>
      </c>
      <c r="G32" s="29" t="s">
        <v>4642</v>
      </c>
      <c r="H32" s="29" t="s">
        <v>4643</v>
      </c>
      <c r="I32" s="29" t="s">
        <v>85</v>
      </c>
      <c r="K32" s="29" t="s">
        <v>219</v>
      </c>
      <c r="L32" s="29" t="s">
        <v>104</v>
      </c>
      <c r="M32" s="33">
        <v>46529.0</v>
      </c>
      <c r="N32" s="31" t="s">
        <v>4644</v>
      </c>
      <c r="O32" s="32" t="str">
        <f>HYPERLINK("https://api.typeform.com/responses/files/4f9bff26974978f4da865f488b2d20de222b061d1dc1923f81727a60a648921d/Transcript___Unity_Development_Intern___Lê_Bá_Đoàn.png")</f>
        <v>https://api.typeform.com/responses/files/4f9bff26974978f4da865f488b2d20de222b061d1dc1923f81727a60a648921d/Transcript___Unity_Development_Intern___Lê_Bá_Đoàn.png</v>
      </c>
      <c r="P32" s="29" t="b">
        <v>1</v>
      </c>
      <c r="Q32" s="29" t="s">
        <v>4645</v>
      </c>
      <c r="R32" s="29" t="s">
        <v>4646</v>
      </c>
      <c r="S32" s="29" t="s">
        <v>72</v>
      </c>
      <c r="T32" s="29" t="s">
        <v>72</v>
      </c>
      <c r="U32" s="29" t="s">
        <v>4647</v>
      </c>
      <c r="X32" s="231" t="str">
        <f>HYPERLINK("https://api.typeform.com/responses/files/9453de0038fae9f3c23a0dbd21106c09fae8de0872e7348f893607ed95dd1fc4/CV___Unity_Development_Intern___Lê_Bá_Đoàn.pdf")</f>
        <v>https://api.typeform.com/responses/files/9453de0038fae9f3c23a0dbd21106c09fae8de0872e7348f893607ed95dd1fc4/CV___Unity_Development_Intern___Lê_Bá_Đoàn.pdf</v>
      </c>
      <c r="Y32" s="34">
        <v>46145.24592592593</v>
      </c>
      <c r="Z32" s="29" t="s">
        <v>4648</v>
      </c>
      <c r="AA32" s="6">
        <v>3.0</v>
      </c>
      <c r="AB32" s="6" t="s">
        <v>109</v>
      </c>
      <c r="AC32" s="28" t="s">
        <v>6377</v>
      </c>
      <c r="AD32" s="20"/>
      <c r="AE32" s="28" t="s">
        <v>6403</v>
      </c>
      <c r="AF32" s="6" t="str">
        <f t="shared" si="2"/>
        <v>Quỳnh</v>
      </c>
    </row>
    <row r="33" ht="23.25" hidden="1" customHeight="1">
      <c r="A33" s="29" t="s">
        <v>4649</v>
      </c>
      <c r="B33" s="30">
        <v>38608.0</v>
      </c>
      <c r="C33" s="29" t="s">
        <v>4650</v>
      </c>
      <c r="D33" s="31" t="s">
        <v>4651</v>
      </c>
      <c r="E33" s="29" t="s">
        <v>61</v>
      </c>
      <c r="F33" s="29" t="s">
        <v>61</v>
      </c>
      <c r="G33" s="29" t="s">
        <v>4652</v>
      </c>
      <c r="H33" s="29" t="s">
        <v>4653</v>
      </c>
      <c r="I33" s="29" t="s">
        <v>326</v>
      </c>
      <c r="K33" s="29" t="s">
        <v>219</v>
      </c>
      <c r="L33" s="29" t="s">
        <v>4654</v>
      </c>
      <c r="M33" s="33">
        <v>46478.0</v>
      </c>
      <c r="N33" s="31" t="s">
        <v>4655</v>
      </c>
      <c r="O33" s="32" t="str">
        <f>HYPERLINK("https://api.typeform.com/responses/files/1c0f3d35a3b7fead480b8865579f16844380a75e729069c4ce9062c76ede13c2/BangDiem_PhanNgung.pdf")</f>
        <v>https://api.typeform.com/responses/files/1c0f3d35a3b7fead480b8865579f16844380a75e729069c4ce9062c76ede13c2/BangDiem_PhanNgung.pdf</v>
      </c>
      <c r="P33" s="29" t="b">
        <v>1</v>
      </c>
      <c r="Q33" s="29" t="s">
        <v>4656</v>
      </c>
      <c r="R33" s="29" t="s">
        <v>4657</v>
      </c>
      <c r="S33" s="29" t="s">
        <v>72</v>
      </c>
      <c r="T33" s="29" t="s">
        <v>72</v>
      </c>
      <c r="U33" s="29" t="s">
        <v>3962</v>
      </c>
      <c r="X33" s="231" t="str">
        <f>HYPERLINK("https://api.typeform.com/responses/files/9fd9c71e2c405501a9ca7db55acdac25f74be27f5b576d9df1dcab98e1edf875/CV_Game_Developer.pdf")</f>
        <v>https://api.typeform.com/responses/files/9fd9c71e2c405501a9ca7db55acdac25f74be27f5b576d9df1dcab98e1edf875/CV_Game_Developer.pdf</v>
      </c>
      <c r="Y33" s="34">
        <v>46145.25019675926</v>
      </c>
      <c r="Z33" s="29" t="s">
        <v>4658</v>
      </c>
      <c r="AA33" s="6">
        <v>3.0</v>
      </c>
      <c r="AB33" s="6" t="s">
        <v>109</v>
      </c>
      <c r="AC33" s="28" t="s">
        <v>6376</v>
      </c>
      <c r="AD33" s="20"/>
      <c r="AE33" s="28"/>
      <c r="AF33" s="6" t="str">
        <f t="shared" si="2"/>
        <v/>
      </c>
    </row>
    <row r="34" ht="23.25" hidden="1" customHeight="1">
      <c r="A34" s="29" t="s">
        <v>4659</v>
      </c>
      <c r="B34" s="30">
        <v>38270.0</v>
      </c>
      <c r="C34" s="29" t="s">
        <v>4660</v>
      </c>
      <c r="D34" s="31" t="s">
        <v>4661</v>
      </c>
      <c r="E34" s="29" t="s">
        <v>61</v>
      </c>
      <c r="F34" s="29" t="s">
        <v>62</v>
      </c>
      <c r="G34" s="29" t="s">
        <v>4662</v>
      </c>
      <c r="H34" s="29" t="s">
        <v>4663</v>
      </c>
      <c r="I34" s="29" t="s">
        <v>715</v>
      </c>
      <c r="K34" s="29" t="s">
        <v>67</v>
      </c>
      <c r="L34" s="29" t="s">
        <v>399</v>
      </c>
      <c r="M34" s="33">
        <v>46326.0</v>
      </c>
      <c r="N34" s="31" t="s">
        <v>3058</v>
      </c>
      <c r="O34" s="32" t="str">
        <f>HYPERLINK("https://api.typeform.com/responses/files/22c4a2ea78abb0508d6342d9a929d8c82dfa180bc16006a89ce1ae9ed168338a/Transcript___Unity_Development_Intern___Nguyễn_Trường_Thịnh.pdf")</f>
        <v>https://api.typeform.com/responses/files/22c4a2ea78abb0508d6342d9a929d8c82dfa180bc16006a89ce1ae9ed168338a/Transcript___Unity_Development_Intern___Nguyễn_Trường_Thịnh.pdf</v>
      </c>
      <c r="P34" s="29" t="b">
        <v>1</v>
      </c>
      <c r="Q34" s="29" t="s">
        <v>4664</v>
      </c>
      <c r="R34" s="29" t="s">
        <v>4665</v>
      </c>
      <c r="S34" s="29" t="s">
        <v>72</v>
      </c>
      <c r="T34" s="29" t="s">
        <v>72</v>
      </c>
      <c r="U34" s="29" t="s">
        <v>403</v>
      </c>
      <c r="V34" s="29" t="s">
        <v>4666</v>
      </c>
      <c r="W34" s="29" t="s">
        <v>4667</v>
      </c>
      <c r="X34" s="231" t="str">
        <f>HYPERLINK("https://api.typeform.com/responses/files/bb3adb52395ec57b759f916096fa6e1b15eead3c56c0bed20042196a683e7afd/CV___Unity_Development_Intern___Nguyễn_Trường_Thịnh.pdf")</f>
        <v>https://api.typeform.com/responses/files/bb3adb52395ec57b759f916096fa6e1b15eead3c56c0bed20042196a683e7afd/CV___Unity_Development_Intern___Nguyễn_Trường_Thịnh.pdf</v>
      </c>
      <c r="Y34" s="34">
        <v>46145.27960648148</v>
      </c>
      <c r="Z34" s="29" t="s">
        <v>4668</v>
      </c>
      <c r="AA34" s="6">
        <v>3.0</v>
      </c>
      <c r="AB34" s="6" t="s">
        <v>109</v>
      </c>
      <c r="AC34" s="28" t="s">
        <v>6377</v>
      </c>
      <c r="AD34" s="20"/>
      <c r="AE34" s="28" t="s">
        <v>6403</v>
      </c>
      <c r="AF34" s="6" t="str">
        <f t="shared" si="2"/>
        <v>Quỳnh</v>
      </c>
    </row>
    <row r="35" ht="23.25" hidden="1" customHeight="1">
      <c r="A35" s="29" t="s">
        <v>4669</v>
      </c>
      <c r="B35" s="30">
        <v>37990.0</v>
      </c>
      <c r="C35" s="29" t="s">
        <v>4670</v>
      </c>
      <c r="D35" s="31" t="s">
        <v>4671</v>
      </c>
      <c r="E35" s="29" t="s">
        <v>82</v>
      </c>
      <c r="F35" s="29" t="s">
        <v>99</v>
      </c>
      <c r="G35" s="29" t="s">
        <v>4672</v>
      </c>
      <c r="H35" s="29" t="s">
        <v>4673</v>
      </c>
      <c r="I35" s="29" t="s">
        <v>85</v>
      </c>
      <c r="K35" s="29" t="s">
        <v>103</v>
      </c>
      <c r="L35" s="29" t="s">
        <v>4674</v>
      </c>
      <c r="M35" s="33">
        <v>46111.0</v>
      </c>
      <c r="N35" s="31" t="s">
        <v>1648</v>
      </c>
      <c r="O35" s="32" t="str">
        <f>HYPERLINK("https://api.typeform.com/responses/files/b07db60d9bb807e53d820f8eb78537a0dcb25718486629bcee7299fe98d16048/Transcript___Data_Analysis_Intern___Nguyễn_Hoài_Như.jpg")</f>
        <v>https://api.typeform.com/responses/files/b07db60d9bb807e53d820f8eb78537a0dcb25718486629bcee7299fe98d16048/Transcript___Data_Analysis_Intern___Nguyễn_Hoài_Như.jpg</v>
      </c>
      <c r="P35" s="29" t="b">
        <v>1</v>
      </c>
      <c r="Q35" s="29" t="s">
        <v>4675</v>
      </c>
      <c r="R35" s="29" t="s">
        <v>4676</v>
      </c>
      <c r="S35" s="29" t="s">
        <v>72</v>
      </c>
      <c r="T35" s="29" t="s">
        <v>72</v>
      </c>
      <c r="U35" s="29" t="s">
        <v>594</v>
      </c>
      <c r="W35" s="29" t="s">
        <v>4677</v>
      </c>
      <c r="X35" s="231" t="str">
        <f>HYPERLINK("https://api.typeform.com/responses/files/c71924919374272610d7d2610268177b2759aa8ffc1931d04d8dfed322a40094/NguyenHoaiNhu_DA.pdf")</f>
        <v>https://api.typeform.com/responses/files/c71924919374272610d7d2610268177b2759aa8ffc1931d04d8dfed322a40094/NguyenHoaiNhu_DA.pdf</v>
      </c>
      <c r="Y35" s="34">
        <v>46145.326944444445</v>
      </c>
      <c r="Z35" s="29" t="s">
        <v>4678</v>
      </c>
      <c r="AA35" s="6">
        <v>3.0</v>
      </c>
      <c r="AB35" s="6" t="s">
        <v>109</v>
      </c>
      <c r="AC35" s="28" t="s">
        <v>6376</v>
      </c>
      <c r="AD35" s="20"/>
      <c r="AE35" s="28"/>
      <c r="AF35" s="6" t="str">
        <f t="shared" si="2"/>
        <v/>
      </c>
    </row>
    <row r="36" ht="23.25" hidden="1" customHeight="1">
      <c r="A36" s="29" t="s">
        <v>4679</v>
      </c>
      <c r="B36" s="30">
        <v>38105.0</v>
      </c>
      <c r="C36" s="29" t="s">
        <v>4680</v>
      </c>
      <c r="D36" s="31" t="s">
        <v>4681</v>
      </c>
      <c r="E36" s="29" t="s">
        <v>62</v>
      </c>
      <c r="F36" s="29" t="s">
        <v>82</v>
      </c>
      <c r="G36" s="29" t="s">
        <v>4682</v>
      </c>
      <c r="H36" s="29" t="s">
        <v>4683</v>
      </c>
      <c r="I36" s="29" t="s">
        <v>715</v>
      </c>
      <c r="K36" s="29" t="s">
        <v>67</v>
      </c>
      <c r="L36" s="29" t="s">
        <v>399</v>
      </c>
      <c r="M36" s="33">
        <v>46497.0</v>
      </c>
      <c r="N36" s="29" t="s">
        <v>4684</v>
      </c>
      <c r="O36" s="32" t="str">
        <f>HYPERLINK("https://api.typeform.com/responses/files/358b36f9b007c77ffa1a78785c19ed036a89ab75d7406bf4dac83d80d58a6e4a/Transcript___AI_Engineer_Intern__Nguyễn_Xuân_Lộc.pdf")</f>
        <v>https://api.typeform.com/responses/files/358b36f9b007c77ffa1a78785c19ed036a89ab75d7406bf4dac83d80d58a6e4a/Transcript___AI_Engineer_Intern__Nguyễn_Xuân_Lộc.pdf</v>
      </c>
      <c r="P36" s="29" t="b">
        <v>1</v>
      </c>
      <c r="Q36" s="29" t="s">
        <v>4685</v>
      </c>
      <c r="R36" s="29" t="s">
        <v>4686</v>
      </c>
      <c r="S36" s="29" t="s">
        <v>72</v>
      </c>
      <c r="T36" s="29" t="s">
        <v>72</v>
      </c>
      <c r="U36" s="29" t="s">
        <v>2992</v>
      </c>
      <c r="X36" s="231" t="str">
        <f>HYPERLINK("https://api.typeform.com/responses/files/6b15a7d08d86fa2a249b1b96a350db3809bd582ebb5cdbcef8efe435cadf80a5/CV___AI_Engineer_Intern__Nguyễn_Xuân_Lộc.pdf")</f>
        <v>https://api.typeform.com/responses/files/6b15a7d08d86fa2a249b1b96a350db3809bd582ebb5cdbcef8efe435cadf80a5/CV___AI_Engineer_Intern__Nguyễn_Xuân_Lộc.pdf</v>
      </c>
      <c r="Y36" s="34">
        <v>46145.39199074074</v>
      </c>
      <c r="Z36" s="29" t="s">
        <v>4687</v>
      </c>
      <c r="AA36" s="6">
        <v>3.0</v>
      </c>
      <c r="AB36" s="6"/>
      <c r="AC36" s="28"/>
      <c r="AD36" s="20"/>
      <c r="AE36" s="28"/>
      <c r="AF36" s="6" t="str">
        <f t="shared" si="2"/>
        <v/>
      </c>
    </row>
    <row r="37" ht="23.25" customHeight="1">
      <c r="A37" s="29" t="s">
        <v>4688</v>
      </c>
      <c r="B37" s="30">
        <v>38315.0</v>
      </c>
      <c r="C37" s="29" t="s">
        <v>4689</v>
      </c>
      <c r="D37" s="31" t="s">
        <v>4690</v>
      </c>
      <c r="E37" s="29" t="s">
        <v>633</v>
      </c>
      <c r="F37" s="29" t="s">
        <v>774</v>
      </c>
      <c r="G37" s="29" t="s">
        <v>4691</v>
      </c>
      <c r="H37" s="29" t="s">
        <v>4692</v>
      </c>
      <c r="I37" s="29" t="s">
        <v>842</v>
      </c>
      <c r="K37" s="29" t="s">
        <v>103</v>
      </c>
      <c r="L37" s="29" t="s">
        <v>4693</v>
      </c>
      <c r="M37" s="33">
        <v>46194.0</v>
      </c>
      <c r="N37" s="31" t="s">
        <v>171</v>
      </c>
      <c r="O37" s="32" t="str">
        <f>HYPERLINK("https://api.typeform.com/responses/files/44820028c9f6bdf417245027bcb6476bf529a29f4e3e6b007a75cfb2883ba47f/KetQuaHT_31221025382__2_.pdf")</f>
        <v>https://api.typeform.com/responses/files/44820028c9f6bdf417245027bcb6476bf529a29f4e3e6b007a75cfb2883ba47f/KetQuaHT_31221025382__2_.pdf</v>
      </c>
      <c r="P37" s="29" t="b">
        <v>1</v>
      </c>
      <c r="Q37" s="29" t="s">
        <v>4694</v>
      </c>
      <c r="R37" s="29" t="s">
        <v>4695</v>
      </c>
      <c r="S37" s="29" t="s">
        <v>72</v>
      </c>
      <c r="T37" s="29" t="s">
        <v>72</v>
      </c>
      <c r="U37" s="29" t="s">
        <v>90</v>
      </c>
      <c r="W37" s="29" t="s">
        <v>4410</v>
      </c>
      <c r="X37" s="231" t="str">
        <f>HYPERLINK("https://api.typeform.com/responses/files/f33ef764686e83ed00fb7dcdaa9522169848fa7f264ad7e38116f937a73973cd/_CV__4_.pdf")</f>
        <v>https://api.typeform.com/responses/files/f33ef764686e83ed00fb7dcdaa9522169848fa7f264ad7e38116f937a73973cd/_CV__4_.pdf</v>
      </c>
      <c r="Y37" s="34">
        <v>46145.40728009259</v>
      </c>
      <c r="Z37" s="29" t="s">
        <v>4696</v>
      </c>
      <c r="AA37" s="6">
        <v>3.0</v>
      </c>
      <c r="AB37" s="6" t="s">
        <v>109</v>
      </c>
      <c r="AC37" s="28" t="s">
        <v>6377</v>
      </c>
      <c r="AD37" s="20"/>
      <c r="AE37" s="28" t="s">
        <v>6397</v>
      </c>
      <c r="AF37" s="6" t="s">
        <v>93</v>
      </c>
    </row>
    <row r="38" ht="23.25" hidden="1" customHeight="1">
      <c r="A38" s="29" t="s">
        <v>4697</v>
      </c>
      <c r="B38" s="30">
        <v>38336.0</v>
      </c>
      <c r="C38" s="29" t="s">
        <v>4698</v>
      </c>
      <c r="D38" s="31" t="s">
        <v>4699</v>
      </c>
      <c r="E38" s="29" t="s">
        <v>62</v>
      </c>
      <c r="F38" s="29" t="s">
        <v>82</v>
      </c>
      <c r="G38" s="29" t="s">
        <v>4700</v>
      </c>
      <c r="H38" s="29" t="s">
        <v>4701</v>
      </c>
      <c r="I38" s="29" t="s">
        <v>326</v>
      </c>
      <c r="K38" s="29" t="s">
        <v>67</v>
      </c>
      <c r="L38" s="29" t="s">
        <v>86</v>
      </c>
      <c r="M38" s="33">
        <v>46295.0</v>
      </c>
      <c r="N38" s="31" t="s">
        <v>4702</v>
      </c>
      <c r="O38" s="32" t="str">
        <f>HYPERLINK("https://api.typeform.com/responses/files/98ff7aece6dd374e9744269b5028f93c9ba2b01a80a6ad882ccb8839cb511174/Transcript___AI_Engineer_Intern___Lê_Quốc_Vương.png")</f>
        <v>https://api.typeform.com/responses/files/98ff7aece6dd374e9744269b5028f93c9ba2b01a80a6ad882ccb8839cb511174/Transcript___AI_Engineer_Intern___Lê_Quốc_Vương.png</v>
      </c>
      <c r="P38" s="29" t="b">
        <v>0</v>
      </c>
      <c r="Q38" s="29" t="s">
        <v>4703</v>
      </c>
      <c r="R38" s="29" t="s">
        <v>4703</v>
      </c>
      <c r="S38" s="29" t="s">
        <v>72</v>
      </c>
      <c r="T38" s="29" t="s">
        <v>72</v>
      </c>
      <c r="U38" s="29" t="s">
        <v>3962</v>
      </c>
      <c r="W38" s="29" t="s">
        <v>4704</v>
      </c>
      <c r="X38" s="231" t="str">
        <f>HYPERLINK("https://api.typeform.com/responses/files/0ae56c22399ad94e48f9485330c4c72f9ee53f61763946ec02b1ca2a2b3c7701/CV___AI_Engineer_Intern___Lê_Quốc_Vương.pdf")</f>
        <v>https://api.typeform.com/responses/files/0ae56c22399ad94e48f9485330c4c72f9ee53f61763946ec02b1ca2a2b3c7701/CV___AI_Engineer_Intern___Lê_Quốc_Vương.pdf</v>
      </c>
      <c r="Y38" s="34">
        <v>46145.41071759259</v>
      </c>
      <c r="Z38" s="29" t="s">
        <v>4705</v>
      </c>
      <c r="AA38" s="6">
        <v>3.0</v>
      </c>
      <c r="AB38" s="6"/>
      <c r="AC38" s="28"/>
      <c r="AD38" s="20"/>
      <c r="AE38" s="28"/>
      <c r="AF38" s="6" t="str">
        <f t="shared" ref="AF38:AF50" si="3">IFERROR(
  IFS(
    AND(OR(AE38="Test",AE38="Chờ test",AE38="Test Review",AE38="Passed",AE38="Failed"), OR(E38="Game User Acquisition Intern",E38="Game Design Intern")), "Nhiên",
    AND(OR(AE38="Test",AE38="Chờ test",AE38="Test Review",AE38="Passed",AE38="Failed"), E38&lt;&gt;"Human Resources Intern", NOT(OR(E38="Game User Acquisition Intern",E38="Game Design Intern"))), "Quỳnh",
    AND(OR(AE38="Test",AE38="Chờ test",AE38="Test Review",AE38="Passed",AE38="Failed"), E38="Human Resources Intern"), "Chờ assign"
  ),
"")</f>
        <v/>
      </c>
    </row>
    <row r="39" ht="23.25" hidden="1" customHeight="1">
      <c r="A39" s="29" t="s">
        <v>4706</v>
      </c>
      <c r="B39" s="30">
        <v>38430.0</v>
      </c>
      <c r="C39" s="29" t="s">
        <v>4707</v>
      </c>
      <c r="D39" s="31" t="s">
        <v>4708</v>
      </c>
      <c r="E39" s="29" t="s">
        <v>82</v>
      </c>
      <c r="F39" s="29" t="s">
        <v>62</v>
      </c>
      <c r="G39" s="29" t="s">
        <v>4709</v>
      </c>
      <c r="H39" s="29" t="s">
        <v>4710</v>
      </c>
      <c r="I39" s="29" t="s">
        <v>85</v>
      </c>
      <c r="K39" s="29" t="s">
        <v>219</v>
      </c>
      <c r="L39" s="29" t="s">
        <v>384</v>
      </c>
      <c r="M39" s="33">
        <v>46553.0</v>
      </c>
      <c r="N39" s="31" t="s">
        <v>2132</v>
      </c>
      <c r="O39" s="32" t="str">
        <f>HYPERLINK("https://api.typeform.com/responses/files/088cc9336580f806e0eeb40331e930bea5fb0206e2ca5c6296ac6e5b1d4daf88/Transcrip___Data_Analysis___Bui_Tran_Thy_Thy.jpeg")</f>
        <v>https://api.typeform.com/responses/files/088cc9336580f806e0eeb40331e930bea5fb0206e2ca5c6296ac6e5b1d4daf88/Transcrip___Data_Analysis___Bui_Tran_Thy_Thy.jpeg</v>
      </c>
      <c r="P39" s="29" t="b">
        <v>1</v>
      </c>
      <c r="Q39" s="29" t="s">
        <v>4711</v>
      </c>
      <c r="R39" s="29" t="s">
        <v>4712</v>
      </c>
      <c r="S39" s="29" t="s">
        <v>72</v>
      </c>
      <c r="T39" s="29" t="s">
        <v>72</v>
      </c>
      <c r="U39" s="29" t="s">
        <v>269</v>
      </c>
      <c r="X39" s="231" t="str">
        <f>HYPERLINK("https://api.typeform.com/responses/files/93e15828f1137c97e70da051e3415706f6572123d168f86f3f9e50296186dad6/CV___Data_Analysis_Intern___Bui_Tran_Thy_Thy.pdf.pdf")</f>
        <v>https://api.typeform.com/responses/files/93e15828f1137c97e70da051e3415706f6572123d168f86f3f9e50296186dad6/CV___Data_Analysis_Intern___Bui_Tran_Thy_Thy.pdf.pdf</v>
      </c>
      <c r="Y39" s="34">
        <v>46145.44472222222</v>
      </c>
      <c r="Z39" s="29" t="s">
        <v>4713</v>
      </c>
      <c r="AA39" s="6">
        <v>3.0</v>
      </c>
      <c r="AB39" s="6" t="s">
        <v>109</v>
      </c>
      <c r="AC39" s="28" t="s">
        <v>6377</v>
      </c>
      <c r="AD39" s="20"/>
      <c r="AE39" s="28" t="s">
        <v>6403</v>
      </c>
      <c r="AF39" s="6" t="str">
        <f t="shared" si="3"/>
        <v>Quỳnh</v>
      </c>
    </row>
    <row r="40" ht="23.25" hidden="1" customHeight="1">
      <c r="A40" s="29" t="s">
        <v>4714</v>
      </c>
      <c r="B40" s="30">
        <v>38147.0</v>
      </c>
      <c r="C40" s="29" t="s">
        <v>4715</v>
      </c>
      <c r="D40" s="31" t="s">
        <v>4716</v>
      </c>
      <c r="E40" s="29" t="s">
        <v>127</v>
      </c>
      <c r="F40" s="29" t="s">
        <v>774</v>
      </c>
      <c r="G40" s="29" t="s">
        <v>4717</v>
      </c>
      <c r="H40" s="29" t="s">
        <v>4718</v>
      </c>
      <c r="I40" s="29" t="s">
        <v>130</v>
      </c>
      <c r="J40" s="29" t="s">
        <v>3332</v>
      </c>
      <c r="K40" s="29" t="s">
        <v>67</v>
      </c>
      <c r="L40" s="29" t="s">
        <v>4719</v>
      </c>
      <c r="M40" s="33">
        <v>46461.0</v>
      </c>
      <c r="N40" s="31" t="s">
        <v>4720</v>
      </c>
      <c r="O40" s="32" t="str">
        <f>HYPERLINK("https://api.typeform.com/responses/files/541d1584601fced3213298d2ae9f6b4bd28c61286febc42cdc358f782ff62621/Transcript___Game_Quality_Assurance_Intern___Nguyễn_Hoàn_Báu.pdf")</f>
        <v>https://api.typeform.com/responses/files/541d1584601fced3213298d2ae9f6b4bd28c61286febc42cdc358f782ff62621/Transcript___Game_Quality_Assurance_Intern___Nguyễn_Hoàn_Báu.pdf</v>
      </c>
      <c r="P40" s="29" t="b">
        <v>1</v>
      </c>
      <c r="Q40" s="29" t="s">
        <v>4721</v>
      </c>
      <c r="R40" s="29" t="s">
        <v>4722</v>
      </c>
      <c r="S40" s="29" t="s">
        <v>72</v>
      </c>
      <c r="T40" s="29" t="s">
        <v>72</v>
      </c>
      <c r="U40" s="29" t="s">
        <v>73</v>
      </c>
      <c r="W40" s="29" t="s">
        <v>4723</v>
      </c>
      <c r="X40" s="231" t="str">
        <f>HYPERLINK("https://api.typeform.com/responses/files/ae90e1003bdac1eb3b4e3f797551239e2c9375abc4788acf009235f81dc108a3/CV___Game_Quality_Assurance_Intern___Nguyễn_Hoàn_Báu.pdf")</f>
        <v>https://api.typeform.com/responses/files/ae90e1003bdac1eb3b4e3f797551239e2c9375abc4788acf009235f81dc108a3/CV___Game_Quality_Assurance_Intern___Nguyễn_Hoàn_Báu.pdf</v>
      </c>
      <c r="Y40" s="34">
        <v>46145.46387731482</v>
      </c>
      <c r="Z40" s="29" t="s">
        <v>4724</v>
      </c>
      <c r="AA40" s="6">
        <v>3.0</v>
      </c>
      <c r="AB40" s="6" t="s">
        <v>109</v>
      </c>
      <c r="AC40" s="28" t="s">
        <v>6377</v>
      </c>
      <c r="AD40" s="20"/>
      <c r="AE40" s="28" t="s">
        <v>6379</v>
      </c>
      <c r="AF40" s="6" t="str">
        <f t="shared" si="3"/>
        <v>Quỳnh</v>
      </c>
    </row>
    <row r="41" ht="23.25" hidden="1" customHeight="1">
      <c r="A41" s="29" t="s">
        <v>4725</v>
      </c>
      <c r="B41" s="30">
        <v>38288.0</v>
      </c>
      <c r="C41" s="29" t="s">
        <v>4726</v>
      </c>
      <c r="D41" s="31" t="s">
        <v>4727</v>
      </c>
      <c r="E41" s="29" t="s">
        <v>127</v>
      </c>
      <c r="F41" s="29" t="s">
        <v>82</v>
      </c>
      <c r="G41" s="29" t="s">
        <v>4728</v>
      </c>
      <c r="H41" s="29" t="s">
        <v>4729</v>
      </c>
      <c r="I41" s="29" t="s">
        <v>65</v>
      </c>
      <c r="J41" s="29" t="s">
        <v>4730</v>
      </c>
      <c r="K41" s="29" t="s">
        <v>67</v>
      </c>
      <c r="L41" s="29" t="s">
        <v>909</v>
      </c>
      <c r="M41" s="33">
        <v>46346.0</v>
      </c>
      <c r="N41" s="31" t="s">
        <v>1686</v>
      </c>
      <c r="O41" s="32" t="str">
        <f>HYPERLINK("https://api.typeform.com/responses/files/187c29f5a2c0e49e623e8d9369175a58df9f98585fa5426d5e9e9f613f11cae6/Transcript___Game_Quality_Assurance_Intern____Lương_Nguyễn_Xuân_Minh.xls")</f>
        <v>https://api.typeform.com/responses/files/187c29f5a2c0e49e623e8d9369175a58df9f98585fa5426d5e9e9f613f11cae6/Transcript___Game_Quality_Assurance_Intern____Lương_Nguyễn_Xuân_Minh.xls</v>
      </c>
      <c r="P41" s="29" t="b">
        <v>1</v>
      </c>
      <c r="Q41" s="29" t="s">
        <v>4731</v>
      </c>
      <c r="R41" s="29" t="s">
        <v>4732</v>
      </c>
      <c r="S41" s="29" t="s">
        <v>72</v>
      </c>
      <c r="T41" s="29" t="s">
        <v>72</v>
      </c>
      <c r="U41" s="29" t="s">
        <v>4584</v>
      </c>
      <c r="W41" s="29" t="s">
        <v>4733</v>
      </c>
      <c r="X41" s="231" t="str">
        <f>HYPERLINK("https://api.typeform.com/responses/files/fa2f2fe597b606856a24edee90ab7828fe258e98ca6100c33aeb77dc8efac84a/CV___Game_Quality_Assurance_Intern___Lương_Nguyễn_Xuân_Minh.pdf")</f>
        <v>https://api.typeform.com/responses/files/fa2f2fe597b606856a24edee90ab7828fe258e98ca6100c33aeb77dc8efac84a/CV___Game_Quality_Assurance_Intern___Lương_Nguyễn_Xuân_Minh.pdf</v>
      </c>
      <c r="Y41" s="34">
        <v>46145.47363425926</v>
      </c>
      <c r="Z41" s="29" t="s">
        <v>4734</v>
      </c>
      <c r="AA41" s="6">
        <v>3.0</v>
      </c>
      <c r="AB41" s="6" t="s">
        <v>109</v>
      </c>
      <c r="AC41" s="28" t="s">
        <v>6377</v>
      </c>
      <c r="AD41" s="20"/>
      <c r="AE41" s="28" t="s">
        <v>6379</v>
      </c>
      <c r="AF41" s="6" t="str">
        <f t="shared" si="3"/>
        <v>Quỳnh</v>
      </c>
    </row>
    <row r="42" ht="23.25" hidden="1" customHeight="1">
      <c r="A42" s="29" t="s">
        <v>4735</v>
      </c>
      <c r="B42" s="30">
        <v>38520.0</v>
      </c>
      <c r="C42" s="29" t="s">
        <v>4736</v>
      </c>
      <c r="D42" s="31" t="s">
        <v>4737</v>
      </c>
      <c r="E42" s="29" t="s">
        <v>62</v>
      </c>
      <c r="F42" s="29" t="s">
        <v>82</v>
      </c>
      <c r="G42" s="29" t="s">
        <v>4738</v>
      </c>
      <c r="H42" s="29" t="s">
        <v>4739</v>
      </c>
      <c r="I42" s="29" t="s">
        <v>4740</v>
      </c>
      <c r="K42" s="29" t="s">
        <v>219</v>
      </c>
      <c r="L42" s="29" t="s">
        <v>4741</v>
      </c>
      <c r="M42" s="33">
        <v>46477.0</v>
      </c>
      <c r="N42" s="31" t="s">
        <v>542</v>
      </c>
      <c r="O42" s="32" t="str">
        <f>HYPERLINK("https://api.typeform.com/responses/files/525ec51b1f10724d272e43de8e82cdaf4d4a85a5efe6acf341e392821e4cf83f/Transcript___AI_Engineering_Intern___Bui_Le_Hong_Tam.pdf")</f>
        <v>https://api.typeform.com/responses/files/525ec51b1f10724d272e43de8e82cdaf4d4a85a5efe6acf341e392821e4cf83f/Transcript___AI_Engineering_Intern___Bui_Le_Hong_Tam.pdf</v>
      </c>
      <c r="P42" s="29" t="b">
        <v>1</v>
      </c>
      <c r="Q42" s="29" t="s">
        <v>4742</v>
      </c>
      <c r="R42" s="29" t="s">
        <v>4743</v>
      </c>
      <c r="S42" s="29" t="s">
        <v>72</v>
      </c>
      <c r="T42" s="29" t="s">
        <v>72</v>
      </c>
      <c r="U42" s="29" t="s">
        <v>3845</v>
      </c>
      <c r="W42" s="29" t="s">
        <v>4744</v>
      </c>
      <c r="X42" s="231" t="str">
        <f>HYPERLINK("https://api.typeform.com/responses/files/8dad546721a18f38e185fc120e8b47c794e8ea6807ee46be68f2cfbb138deb8e/CV___AI_Engineering_Intern___Bui_Le_Hong_Tam.pdf")</f>
        <v>https://api.typeform.com/responses/files/8dad546721a18f38e185fc120e8b47c794e8ea6807ee46be68f2cfbb138deb8e/CV___AI_Engineering_Intern___Bui_Le_Hong_Tam.pdf</v>
      </c>
      <c r="Y42" s="34">
        <v>46145.49181712963</v>
      </c>
      <c r="Z42" s="29" t="s">
        <v>4745</v>
      </c>
      <c r="AA42" s="6">
        <v>3.0</v>
      </c>
      <c r="AB42" s="6"/>
      <c r="AC42" s="28"/>
      <c r="AD42" s="20"/>
      <c r="AE42" s="28"/>
      <c r="AF42" s="6" t="str">
        <f t="shared" si="3"/>
        <v/>
      </c>
    </row>
    <row r="43" ht="23.25" hidden="1" customHeight="1">
      <c r="A43" s="29" t="s">
        <v>4746</v>
      </c>
      <c r="B43" s="30">
        <v>38670.0</v>
      </c>
      <c r="C43" s="29" t="s">
        <v>4747</v>
      </c>
      <c r="D43" s="31" t="s">
        <v>4748</v>
      </c>
      <c r="E43" s="29" t="s">
        <v>633</v>
      </c>
      <c r="F43" s="29" t="s">
        <v>633</v>
      </c>
      <c r="G43" s="29" t="s">
        <v>4749</v>
      </c>
      <c r="H43" s="29" t="s">
        <v>4750</v>
      </c>
      <c r="I43" s="29" t="s">
        <v>1311</v>
      </c>
      <c r="K43" s="29" t="s">
        <v>219</v>
      </c>
      <c r="L43" s="29" t="s">
        <v>1312</v>
      </c>
      <c r="M43" s="33">
        <v>46497.0</v>
      </c>
      <c r="N43" s="31" t="s">
        <v>1321</v>
      </c>
      <c r="O43" s="32" t="str">
        <f>HYPERLINK("https://api.typeform.com/responses/files/588db81f5f70215a45e2d446cbed458407cd0792ee932f78d6fd49866fa2847c/Transcript___Human_Resources_Intern___Lê_Hoàng_Châu_Anh.jpeg")</f>
        <v>https://api.typeform.com/responses/files/588db81f5f70215a45e2d446cbed458407cd0792ee932f78d6fd49866fa2847c/Transcript___Human_Resources_Intern___Lê_Hoàng_Châu_Anh.jpeg</v>
      </c>
      <c r="P43" s="29" t="b">
        <v>0</v>
      </c>
      <c r="Q43" s="29" t="s">
        <v>4751</v>
      </c>
      <c r="R43" s="29" t="s">
        <v>4752</v>
      </c>
      <c r="S43" s="29" t="s">
        <v>72</v>
      </c>
      <c r="T43" s="29" t="s">
        <v>72</v>
      </c>
      <c r="U43" s="29" t="s">
        <v>4224</v>
      </c>
      <c r="W43" s="29" t="s">
        <v>4753</v>
      </c>
      <c r="X43" s="231" t="str">
        <f>HYPERLINK("https://api.typeform.com/responses/files/c88611e940d4999dfde026fe25da80e40325a4af726e41513da868d497d763b8/Lê_Hoàng_Châu_Anh_HR_Intern.pdf")</f>
        <v>https://api.typeform.com/responses/files/c88611e940d4999dfde026fe25da80e40325a4af726e41513da868d497d763b8/Lê_Hoàng_Châu_Anh_HR_Intern.pdf</v>
      </c>
      <c r="Y43" s="34">
        <v>46145.49927083333</v>
      </c>
      <c r="Z43" s="29" t="s">
        <v>4754</v>
      </c>
      <c r="AA43" s="6">
        <v>3.0</v>
      </c>
      <c r="AB43" s="6" t="s">
        <v>109</v>
      </c>
      <c r="AC43" s="28" t="s">
        <v>6376</v>
      </c>
      <c r="AD43" s="20"/>
      <c r="AE43" s="28"/>
      <c r="AF43" s="6" t="str">
        <f t="shared" si="3"/>
        <v/>
      </c>
    </row>
    <row r="44" ht="23.25" hidden="1" customHeight="1">
      <c r="A44" s="29" t="s">
        <v>4755</v>
      </c>
      <c r="B44" s="30">
        <v>37321.0</v>
      </c>
      <c r="C44" s="29" t="s">
        <v>4756</v>
      </c>
      <c r="D44" s="31" t="s">
        <v>4757</v>
      </c>
      <c r="E44" s="29" t="s">
        <v>127</v>
      </c>
      <c r="F44" s="29" t="s">
        <v>127</v>
      </c>
      <c r="G44" s="29" t="s">
        <v>4758</v>
      </c>
      <c r="H44" s="29" t="s">
        <v>4759</v>
      </c>
      <c r="I44" s="29" t="s">
        <v>65</v>
      </c>
      <c r="J44" s="29" t="s">
        <v>131</v>
      </c>
      <c r="K44" s="29" t="s">
        <v>103</v>
      </c>
      <c r="L44" s="29" t="s">
        <v>551</v>
      </c>
      <c r="M44" s="33">
        <v>46095.0</v>
      </c>
      <c r="N44" s="31" t="s">
        <v>717</v>
      </c>
      <c r="O44" s="32" t="str">
        <f>HYPERLINK("https://api.typeform.com/responses/files/e82e64af8d6fc023d4e87d7c48efd40e3a1f670df055d0f19fb0c5387ed6890d/Transcript__GAME_QUALITY_ASSURANCE_INTERN_Truong_Tan_Phat.pdf")</f>
        <v>https://api.typeform.com/responses/files/e82e64af8d6fc023d4e87d7c48efd40e3a1f670df055d0f19fb0c5387ed6890d/Transcript__GAME_QUALITY_ASSURANCE_INTERN_Truong_Tan_Phat.pdf</v>
      </c>
      <c r="P44" s="29" t="b">
        <v>1</v>
      </c>
      <c r="Q44" s="29" t="s">
        <v>4760</v>
      </c>
      <c r="R44" s="29" t="s">
        <v>4761</v>
      </c>
      <c r="S44" s="29" t="s">
        <v>72</v>
      </c>
      <c r="T44" s="29" t="s">
        <v>72</v>
      </c>
      <c r="U44" s="29" t="s">
        <v>73</v>
      </c>
      <c r="W44" s="29" t="s">
        <v>4762</v>
      </c>
      <c r="X44" s="231" t="str">
        <f>HYPERLINK("https://api.typeform.com/responses/files/ec58cbf54a095043261e6b6a2b686e9453245c746106bf3472ee64cf34e01c2b/CV_GAME_QUALITY_ASSURANCE_INTERN_Truong_Tan_Phat.pdf")</f>
        <v>https://api.typeform.com/responses/files/ec58cbf54a095043261e6b6a2b686e9453245c746106bf3472ee64cf34e01c2b/CV_GAME_QUALITY_ASSURANCE_INTERN_Truong_Tan_Phat.pdf</v>
      </c>
      <c r="Y44" s="34">
        <v>46145.5871412037</v>
      </c>
      <c r="Z44" s="29" t="s">
        <v>4763</v>
      </c>
      <c r="AA44" s="6">
        <v>3.0</v>
      </c>
      <c r="AB44" s="6" t="s">
        <v>109</v>
      </c>
      <c r="AC44" s="28" t="s">
        <v>6377</v>
      </c>
      <c r="AD44" s="20"/>
      <c r="AE44" s="28" t="s">
        <v>6379</v>
      </c>
      <c r="AF44" s="6" t="str">
        <f t="shared" si="3"/>
        <v>Quỳnh</v>
      </c>
    </row>
    <row r="45" ht="23.25" hidden="1" customHeight="1">
      <c r="A45" s="29" t="s">
        <v>4764</v>
      </c>
      <c r="B45" s="30">
        <v>37345.0</v>
      </c>
      <c r="C45" s="29" t="s">
        <v>4765</v>
      </c>
      <c r="D45" s="31" t="s">
        <v>4766</v>
      </c>
      <c r="E45" s="29" t="s">
        <v>127</v>
      </c>
      <c r="F45" s="29" t="s">
        <v>774</v>
      </c>
      <c r="G45" s="29" t="s">
        <v>4767</v>
      </c>
      <c r="H45" s="29" t="s">
        <v>4768</v>
      </c>
      <c r="I45" s="29" t="s">
        <v>65</v>
      </c>
      <c r="J45" s="29" t="s">
        <v>4769</v>
      </c>
      <c r="K45" s="29" t="s">
        <v>67</v>
      </c>
      <c r="L45" s="29" t="s">
        <v>551</v>
      </c>
      <c r="M45" s="33">
        <v>46376.0</v>
      </c>
      <c r="N45" s="31" t="s">
        <v>780</v>
      </c>
      <c r="O45" s="32" t="str">
        <f>HYPERLINK("https://api.typeform.com/responses/files/77ecfada525d5c8262205a1159d680484861e75ce5fbceed8def8d469958965b/Transcript__Game_QA_Intern__Nguyễn_Lâm_Đức_Hòa.zip")</f>
        <v>https://api.typeform.com/responses/files/77ecfada525d5c8262205a1159d680484861e75ce5fbceed8def8d469958965b/Transcript__Game_QA_Intern__Nguyễn_Lâm_Đức_Hòa.zip</v>
      </c>
      <c r="P45" s="29" t="b">
        <v>0</v>
      </c>
      <c r="Q45" s="29" t="s">
        <v>4770</v>
      </c>
      <c r="R45" s="29" t="s">
        <v>268</v>
      </c>
      <c r="S45" s="29" t="s">
        <v>72</v>
      </c>
      <c r="T45" s="29" t="s">
        <v>72</v>
      </c>
      <c r="U45" s="29" t="s">
        <v>73</v>
      </c>
      <c r="W45" s="29" t="s">
        <v>4771</v>
      </c>
      <c r="X45" s="231" t="str">
        <f>HYPERLINK("https://api.typeform.com/responses/files/d73d8300e4723fe929f6278482ae632f0d3676e837c8f186805e7ec42c73aa54/CV___Game_QA_Intern___Nguyễn_Lâm_Đức_Hòa.pdf")</f>
        <v>https://api.typeform.com/responses/files/d73d8300e4723fe929f6278482ae632f0d3676e837c8f186805e7ec42c73aa54/CV___Game_QA_Intern___Nguyễn_Lâm_Đức_Hòa.pdf</v>
      </c>
      <c r="Y45" s="34">
        <v>46145.60136574074</v>
      </c>
      <c r="Z45" s="29" t="s">
        <v>4772</v>
      </c>
      <c r="AA45" s="6">
        <v>3.0</v>
      </c>
      <c r="AB45" s="6" t="s">
        <v>109</v>
      </c>
      <c r="AC45" s="28" t="s">
        <v>6376</v>
      </c>
      <c r="AD45" s="20"/>
      <c r="AE45" s="28"/>
      <c r="AF45" s="6" t="str">
        <f t="shared" si="3"/>
        <v/>
      </c>
    </row>
    <row r="46" ht="23.25" hidden="1" customHeight="1">
      <c r="A46" s="29" t="s">
        <v>4773</v>
      </c>
      <c r="B46" s="30">
        <v>37989.0</v>
      </c>
      <c r="C46" s="29" t="s">
        <v>4774</v>
      </c>
      <c r="D46" s="31" t="s">
        <v>4775</v>
      </c>
      <c r="E46" s="29" t="s">
        <v>62</v>
      </c>
      <c r="F46" s="29" t="s">
        <v>82</v>
      </c>
      <c r="G46" s="29" t="s">
        <v>4776</v>
      </c>
      <c r="H46" s="29" t="s">
        <v>4777</v>
      </c>
      <c r="I46" s="29" t="s">
        <v>326</v>
      </c>
      <c r="K46" s="29" t="s">
        <v>67</v>
      </c>
      <c r="L46" s="29" t="s">
        <v>930</v>
      </c>
      <c r="M46" s="33">
        <v>46387.0</v>
      </c>
      <c r="N46" s="31" t="s">
        <v>1696</v>
      </c>
      <c r="O46" s="32" t="str">
        <f>HYPERLINK("https://api.typeform.com/responses/files/5deb68dacaa9ef49f4b4a1a840e69e3530756b722aa4717964adce82fb0ef323/Transcript___AI_Engineering_Intern___Nguyễn_Trần_Gia.pdf")</f>
        <v>https://api.typeform.com/responses/files/5deb68dacaa9ef49f4b4a1a840e69e3530756b722aa4717964adce82fb0ef323/Transcript___AI_Engineering_Intern___Nguyễn_Trần_Gia.pdf</v>
      </c>
      <c r="P46" s="29" t="b">
        <v>1</v>
      </c>
      <c r="Q46" s="29" t="s">
        <v>4778</v>
      </c>
      <c r="R46" s="29" t="s">
        <v>4779</v>
      </c>
      <c r="S46" s="29" t="s">
        <v>72</v>
      </c>
      <c r="T46" s="29" t="s">
        <v>72</v>
      </c>
      <c r="U46" s="29" t="s">
        <v>647</v>
      </c>
      <c r="W46" s="29" t="s">
        <v>3547</v>
      </c>
      <c r="X46" s="231" t="str">
        <f>HYPERLINK("https://api.typeform.com/responses/files/6c4b1d01ef218d99a660f7b3278feeabc84201f6544485472ba81adf5616179d/CV___AI_Engineering_Intern___Nguyễn_Trần_Gia.pdf")</f>
        <v>https://api.typeform.com/responses/files/6c4b1d01ef218d99a660f7b3278feeabc84201f6544485472ba81adf5616179d/CV___AI_Engineering_Intern___Nguyễn_Trần_Gia.pdf</v>
      </c>
      <c r="Y46" s="34">
        <v>46145.62652777778</v>
      </c>
      <c r="Z46" s="29" t="s">
        <v>4780</v>
      </c>
      <c r="AA46" s="6">
        <v>3.0</v>
      </c>
      <c r="AB46" s="6"/>
      <c r="AC46" s="28"/>
      <c r="AD46" s="20"/>
      <c r="AE46" s="28"/>
      <c r="AF46" s="6" t="str">
        <f t="shared" si="3"/>
        <v/>
      </c>
    </row>
    <row r="47" ht="23.25" hidden="1" customHeight="1">
      <c r="A47" s="29" t="s">
        <v>4787</v>
      </c>
      <c r="B47" s="30">
        <v>38092.0</v>
      </c>
      <c r="C47" s="29" t="s">
        <v>4788</v>
      </c>
      <c r="D47" s="31" t="s">
        <v>4789</v>
      </c>
      <c r="E47" s="29" t="s">
        <v>82</v>
      </c>
      <c r="F47" s="29" t="s">
        <v>82</v>
      </c>
      <c r="G47" s="29" t="s">
        <v>4790</v>
      </c>
      <c r="H47" s="29" t="s">
        <v>4791</v>
      </c>
      <c r="I47" s="29" t="s">
        <v>3605</v>
      </c>
      <c r="K47" s="29" t="s">
        <v>67</v>
      </c>
      <c r="L47" s="29" t="s">
        <v>384</v>
      </c>
      <c r="M47" s="33">
        <v>38092.0</v>
      </c>
      <c r="N47" s="31" t="s">
        <v>4088</v>
      </c>
      <c r="O47" s="32" t="str">
        <f>HYPERLINK("https://api.typeform.com/responses/files/f1d6e40d0fc9476d27310adb0fd052cbd3cad6b3e318b89bfe52a69cbbcee9ca/Transcript___Data_Analysis_Intern___Nguyen_Tu_Nhu.pdf")</f>
        <v>https://api.typeform.com/responses/files/f1d6e40d0fc9476d27310adb0fd052cbd3cad6b3e318b89bfe52a69cbbcee9ca/Transcript___Data_Analysis_Intern___Nguyen_Tu_Nhu.pdf</v>
      </c>
      <c r="P47" s="29" t="b">
        <v>1</v>
      </c>
      <c r="Q47" s="29" t="s">
        <v>4792</v>
      </c>
      <c r="R47" s="29" t="s">
        <v>4793</v>
      </c>
      <c r="S47" s="29" t="s">
        <v>72</v>
      </c>
      <c r="T47" s="29" t="s">
        <v>72</v>
      </c>
      <c r="U47" s="29" t="s">
        <v>73</v>
      </c>
      <c r="W47" s="29" t="s">
        <v>4794</v>
      </c>
      <c r="X47" s="231" t="str">
        <f>HYPERLINK("https://api.typeform.com/responses/files/16bdc7249d28a3381aeca137e5bb10ff3b36b1e363c3bca24a48c1e890086028/NguyenTuNhu_Resume.pdf")</f>
        <v>https://api.typeform.com/responses/files/16bdc7249d28a3381aeca137e5bb10ff3b36b1e363c3bca24a48c1e890086028/NguyenTuNhu_Resume.pdf</v>
      </c>
      <c r="Y47" s="34">
        <v>46145.643275462964</v>
      </c>
      <c r="Z47" s="29" t="s">
        <v>4795</v>
      </c>
      <c r="AA47" s="6">
        <v>3.0</v>
      </c>
      <c r="AB47" s="6" t="s">
        <v>109</v>
      </c>
      <c r="AC47" s="28" t="s">
        <v>6377</v>
      </c>
      <c r="AD47" s="20"/>
      <c r="AE47" s="28" t="s">
        <v>6403</v>
      </c>
      <c r="AF47" s="6" t="str">
        <f t="shared" si="3"/>
        <v>Quỳnh</v>
      </c>
    </row>
    <row r="48" ht="23.25" hidden="1" customHeight="1">
      <c r="A48" s="29" t="s">
        <v>4796</v>
      </c>
      <c r="B48" s="30">
        <v>37342.0</v>
      </c>
      <c r="C48" s="29" t="s">
        <v>4797</v>
      </c>
      <c r="D48" s="31" t="s">
        <v>4798</v>
      </c>
      <c r="E48" s="29" t="s">
        <v>82</v>
      </c>
      <c r="F48" s="29" t="s">
        <v>82</v>
      </c>
      <c r="G48" s="29" t="s">
        <v>4799</v>
      </c>
      <c r="H48" s="29" t="s">
        <v>4800</v>
      </c>
      <c r="I48" s="29" t="s">
        <v>2281</v>
      </c>
      <c r="K48" s="29" t="s">
        <v>67</v>
      </c>
      <c r="L48" s="29" t="s">
        <v>3895</v>
      </c>
      <c r="M48" s="33">
        <v>46376.0</v>
      </c>
      <c r="N48" s="31" t="s">
        <v>663</v>
      </c>
      <c r="O48" s="32" t="str">
        <f>HYPERLINK("https://api.typeform.com/responses/files/0214a9462cad895a3c7284483eb85bd0e53cddaa65342bfc7cee204cef1e8bbf/Transcript___Data_Analysis_Intern__Lê_Thị_Thu_Hiệp.pdf")</f>
        <v>https://api.typeform.com/responses/files/0214a9462cad895a3c7284483eb85bd0e53cddaa65342bfc7cee204cef1e8bbf/Transcript___Data_Analysis_Intern__Lê_Thị_Thu_Hiệp.pdf</v>
      </c>
      <c r="P48" s="29" t="b">
        <v>1</v>
      </c>
      <c r="Q48" s="29" t="s">
        <v>4801</v>
      </c>
      <c r="R48" s="29" t="s">
        <v>4802</v>
      </c>
      <c r="S48" s="29" t="s">
        <v>72</v>
      </c>
      <c r="T48" s="29" t="s">
        <v>72</v>
      </c>
      <c r="U48" s="29" t="s">
        <v>73</v>
      </c>
      <c r="W48" s="29" t="s">
        <v>4803</v>
      </c>
      <c r="X48" s="231" t="str">
        <f>HYPERLINK("https://api.typeform.com/responses/files/5e3f14188f4ea96c661ff3b8b862e2e13f08732eb38ab7ab630b4ad0bdd4249c/CV___Data_Analysis_Intern___Lê_Thị_Thu_Hiệp.pdf")</f>
        <v>https://api.typeform.com/responses/files/5e3f14188f4ea96c661ff3b8b862e2e13f08732eb38ab7ab630b4ad0bdd4249c/CV___Data_Analysis_Intern___Lê_Thị_Thu_Hiệp.pdf</v>
      </c>
      <c r="Y48" s="34">
        <v>46145.64709490741</v>
      </c>
      <c r="Z48" s="29" t="s">
        <v>4804</v>
      </c>
      <c r="AA48" s="6">
        <v>3.0</v>
      </c>
      <c r="AB48" s="6" t="s">
        <v>109</v>
      </c>
      <c r="AC48" s="28" t="s">
        <v>6376</v>
      </c>
      <c r="AD48" s="20"/>
      <c r="AE48" s="28"/>
      <c r="AF48" s="6" t="str">
        <f t="shared" si="3"/>
        <v/>
      </c>
    </row>
    <row r="49" ht="23.25" hidden="1" customHeight="1">
      <c r="A49" s="29" t="s">
        <v>4805</v>
      </c>
      <c r="B49" s="30">
        <v>38472.0</v>
      </c>
      <c r="C49" s="29" t="s">
        <v>4806</v>
      </c>
      <c r="D49" s="31" t="s">
        <v>4807</v>
      </c>
      <c r="E49" s="29" t="s">
        <v>62</v>
      </c>
      <c r="F49" s="29" t="s">
        <v>62</v>
      </c>
      <c r="G49" s="29" t="s">
        <v>4808</v>
      </c>
      <c r="H49" s="29" t="s">
        <v>4809</v>
      </c>
      <c r="I49" s="29" t="s">
        <v>372</v>
      </c>
      <c r="K49" s="29" t="s">
        <v>219</v>
      </c>
      <c r="L49" s="29" t="s">
        <v>570</v>
      </c>
      <c r="M49" s="33">
        <v>46741.0</v>
      </c>
      <c r="N49" s="31" t="s">
        <v>1735</v>
      </c>
      <c r="O49" s="32" t="str">
        <f>HYPERLINK("https://api.typeform.com/responses/files/e1e10d3c237d8a30d9c694b04db32d5c335bcd50acdec4e480686360078c66d1/Transcript___AI_Engineering_Intern___Nguyen_Thanh_Vinh.png")</f>
        <v>https://api.typeform.com/responses/files/e1e10d3c237d8a30d9c694b04db32d5c335bcd50acdec4e480686360078c66d1/Transcript___AI_Engineering_Intern___Nguyen_Thanh_Vinh.png</v>
      </c>
      <c r="P49" s="29" t="b">
        <v>1</v>
      </c>
      <c r="Q49" s="29" t="s">
        <v>4810</v>
      </c>
      <c r="R49" s="29" t="s">
        <v>4811</v>
      </c>
      <c r="S49" s="29" t="s">
        <v>72</v>
      </c>
      <c r="T49" s="29" t="s">
        <v>72</v>
      </c>
      <c r="U49" s="29" t="s">
        <v>2389</v>
      </c>
      <c r="W49" s="29" t="s">
        <v>4812</v>
      </c>
      <c r="X49" s="231" t="str">
        <f>HYPERLINK("https://api.typeform.com/responses/files/61186d44d17b346a6e9630618ed7e3a5f87c7b427c32c665fa3a59a9bf0fe8e1/CV___AI_Engineering_Intern___Nguyen_Thanh_Vinh.pdf")</f>
        <v>https://api.typeform.com/responses/files/61186d44d17b346a6e9630618ed7e3a5f87c7b427c32c665fa3a59a9bf0fe8e1/CV___AI_Engineering_Intern___Nguyen_Thanh_Vinh.pdf</v>
      </c>
      <c r="Y49" s="34">
        <v>46145.665671296294</v>
      </c>
      <c r="Z49" s="29" t="s">
        <v>4813</v>
      </c>
      <c r="AA49" s="6">
        <v>3.0</v>
      </c>
      <c r="AB49" s="6"/>
      <c r="AC49" s="28"/>
      <c r="AD49" s="20"/>
      <c r="AE49" s="28"/>
      <c r="AF49" s="6" t="str">
        <f t="shared" si="3"/>
        <v/>
      </c>
    </row>
    <row r="50" ht="23.25" hidden="1" customHeight="1">
      <c r="A50" s="29" t="s">
        <v>4814</v>
      </c>
      <c r="B50" s="30">
        <v>38368.0</v>
      </c>
      <c r="C50" s="29" t="s">
        <v>4815</v>
      </c>
      <c r="D50" s="31" t="s">
        <v>4816</v>
      </c>
      <c r="E50" s="29" t="s">
        <v>62</v>
      </c>
      <c r="F50" s="29" t="s">
        <v>82</v>
      </c>
      <c r="G50" s="29" t="s">
        <v>4817</v>
      </c>
      <c r="H50" s="29" t="s">
        <v>4818</v>
      </c>
      <c r="I50" s="29" t="s">
        <v>85</v>
      </c>
      <c r="K50" s="29" t="s">
        <v>219</v>
      </c>
      <c r="L50" s="29" t="s">
        <v>399</v>
      </c>
      <c r="M50" s="33">
        <v>46394.0</v>
      </c>
      <c r="N50" s="31" t="s">
        <v>3739</v>
      </c>
      <c r="O50" s="32" t="str">
        <f>HYPERLINK("https://api.typeform.com/responses/files/3fd4cf491c4d9b57a0c85babfeaf39ca08b8b47480f5357cd45dc5b83dd55e44/TRANSCRIPT.pdf")</f>
        <v>https://api.typeform.com/responses/files/3fd4cf491c4d9b57a0c85babfeaf39ca08b8b47480f5357cd45dc5b83dd55e44/TRANSCRIPT.pdf</v>
      </c>
      <c r="P50" s="29" t="b">
        <v>0</v>
      </c>
      <c r="Q50" s="29" t="s">
        <v>222</v>
      </c>
      <c r="R50" s="29" t="s">
        <v>4819</v>
      </c>
      <c r="S50" s="29" t="s">
        <v>72</v>
      </c>
      <c r="T50" s="29" t="s">
        <v>72</v>
      </c>
      <c r="U50" s="29" t="s">
        <v>3962</v>
      </c>
      <c r="W50" s="29" t="s">
        <v>4820</v>
      </c>
      <c r="X50" s="231" t="str">
        <f>HYPERLINK("https://api.typeform.com/responses/files/b3010c69da28db0c20d0353aaf30250a903167d3da4298ed937bc0c7f1749e06/NGÔ_PHƯƠNG_NAM___AI_INTERN.pdf")</f>
        <v>https://api.typeform.com/responses/files/b3010c69da28db0c20d0353aaf30250a903167d3da4298ed937bc0c7f1749e06/NGÔ_PHƯƠNG_NAM___AI_INTERN.pdf</v>
      </c>
      <c r="Y50" s="34">
        <v>46145.67224537037</v>
      </c>
      <c r="Z50" s="29" t="s">
        <v>4821</v>
      </c>
      <c r="AA50" s="6">
        <v>3.0</v>
      </c>
      <c r="AB50" s="6"/>
      <c r="AC50" s="28"/>
      <c r="AD50" s="20"/>
      <c r="AE50" s="28"/>
      <c r="AF50" s="6" t="str">
        <f t="shared" si="3"/>
        <v/>
      </c>
    </row>
    <row r="51" ht="23.25" customHeight="1">
      <c r="A51" s="104" t="s">
        <v>4822</v>
      </c>
      <c r="B51" s="105">
        <v>38696.0</v>
      </c>
      <c r="C51" s="104" t="s">
        <v>4823</v>
      </c>
      <c r="D51" s="107" t="s">
        <v>4824</v>
      </c>
      <c r="E51" s="104" t="s">
        <v>633</v>
      </c>
      <c r="F51" s="104"/>
      <c r="G51" s="104" t="s">
        <v>4825</v>
      </c>
      <c r="H51" s="104" t="s">
        <v>4826</v>
      </c>
      <c r="I51" s="104" t="s">
        <v>1311</v>
      </c>
      <c r="J51" s="104"/>
      <c r="K51" s="104" t="s">
        <v>219</v>
      </c>
      <c r="L51" s="104" t="s">
        <v>4827</v>
      </c>
      <c r="M51" s="108">
        <v>46478.0</v>
      </c>
      <c r="N51" s="107" t="s">
        <v>901</v>
      </c>
      <c r="O51" s="32" t="str">
        <f>HYPERLINK("https://api.typeform.com/responses/files/3286ab89a051861f9b89774bd82859d8162cf453b4de853bf624cba2673d6cce/Transcript___Human_Resources_Intern___Lâm_Minh_Khang.pdf")</f>
        <v>https://api.typeform.com/responses/files/3286ab89a051861f9b89774bd82859d8162cf453b4de853bf624cba2673d6cce/Transcript___Human_Resources_Intern___Lâm_Minh_Khang.pdf</v>
      </c>
      <c r="P51" s="104" t="b">
        <v>1</v>
      </c>
      <c r="Q51" s="104" t="s">
        <v>4828</v>
      </c>
      <c r="R51" s="104" t="s">
        <v>4829</v>
      </c>
      <c r="S51" s="104" t="s">
        <v>72</v>
      </c>
      <c r="T51" s="104" t="s">
        <v>72</v>
      </c>
      <c r="U51" s="104" t="s">
        <v>90</v>
      </c>
      <c r="V51" s="104"/>
      <c r="W51" s="104" t="s">
        <v>4830</v>
      </c>
      <c r="X51" s="231" t="str">
        <f>HYPERLINK("https://api.typeform.com/responses/files/64d1f9a16986abad338f3c9dcd6095398e72b7faefcdd0b9ee248a30787662a3/CV___Human_Resources_Intern___Lâm_Minh_Khang.pdf")</f>
        <v>https://api.typeform.com/responses/files/64d1f9a16986abad338f3c9dcd6095398e72b7faefcdd0b9ee248a30787662a3/CV___Human_Resources_Intern___Lâm_Minh_Khang.pdf</v>
      </c>
      <c r="Y51" s="109">
        <v>46145.6887037037</v>
      </c>
      <c r="Z51" s="104" t="s">
        <v>4831</v>
      </c>
      <c r="AA51" s="110">
        <v>3.0</v>
      </c>
      <c r="AB51" s="110" t="s">
        <v>109</v>
      </c>
      <c r="AC51" s="111" t="s">
        <v>6377</v>
      </c>
      <c r="AD51" s="241" t="s">
        <v>6560</v>
      </c>
      <c r="AE51" s="111" t="s">
        <v>6403</v>
      </c>
      <c r="AF51" s="110" t="s">
        <v>76</v>
      </c>
    </row>
    <row r="52" ht="23.25" hidden="1" customHeight="1">
      <c r="A52" s="29" t="s">
        <v>4832</v>
      </c>
      <c r="B52" s="30">
        <v>37860.0</v>
      </c>
      <c r="C52" s="29" t="s">
        <v>4833</v>
      </c>
      <c r="D52" s="31" t="s">
        <v>4834</v>
      </c>
      <c r="E52" s="29" t="s">
        <v>82</v>
      </c>
      <c r="F52" s="29" t="s">
        <v>82</v>
      </c>
      <c r="G52" s="29" t="s">
        <v>4835</v>
      </c>
      <c r="H52" s="29" t="s">
        <v>4836</v>
      </c>
      <c r="I52" s="29" t="s">
        <v>85</v>
      </c>
      <c r="K52" s="29" t="s">
        <v>103</v>
      </c>
      <c r="L52" s="29" t="s">
        <v>581</v>
      </c>
      <c r="M52" s="33">
        <v>45985.0</v>
      </c>
      <c r="N52" s="31" t="s">
        <v>663</v>
      </c>
      <c r="O52" s="32" t="str">
        <f>HYPERLINK("https://api.typeform.com/responses/files/801201fd1faff37442ca1a447173662ee647d2138376ded2fd3e1e5788ea9d46/Kết_quả_học_tập.pdf")</f>
        <v>https://api.typeform.com/responses/files/801201fd1faff37442ca1a447173662ee647d2138376ded2fd3e1e5788ea9d46/Kết_quả_học_tập.pdf</v>
      </c>
      <c r="P52" s="29" t="b">
        <v>1</v>
      </c>
      <c r="Q52" s="29" t="s">
        <v>4837</v>
      </c>
      <c r="R52" s="29" t="s">
        <v>4838</v>
      </c>
      <c r="S52" s="29" t="s">
        <v>72</v>
      </c>
      <c r="T52" s="29" t="s">
        <v>72</v>
      </c>
      <c r="U52" s="29" t="s">
        <v>269</v>
      </c>
      <c r="W52" s="29" t="s">
        <v>4839</v>
      </c>
      <c r="X52" s="231" t="str">
        <f>HYPERLINK("https://api.typeform.com/responses/files/9d20c65dbe838aa907b01f88a1cebd7dfcf72791269f9aa20846397d1957f234/CV_DA_INTERN_TRANTHIKIMANH.pdf")</f>
        <v>https://api.typeform.com/responses/files/9d20c65dbe838aa907b01f88a1cebd7dfcf72791269f9aa20846397d1957f234/CV_DA_INTERN_TRANTHIKIMANH.pdf</v>
      </c>
      <c r="Y52" s="34">
        <v>46145.68980324074</v>
      </c>
      <c r="Z52" s="29" t="s">
        <v>4840</v>
      </c>
      <c r="AA52" s="6">
        <v>3.0</v>
      </c>
      <c r="AB52" s="6" t="s">
        <v>109</v>
      </c>
      <c r="AC52" s="28" t="s">
        <v>6377</v>
      </c>
      <c r="AD52" s="20"/>
      <c r="AE52" s="28" t="s">
        <v>6403</v>
      </c>
      <c r="AF52" s="6" t="str">
        <f t="shared" ref="AF52:AF165" si="4">IFERROR(
  IFS(
    AND(OR(AE52="Test",AE52="Chờ test",AE52="Test Review",AE52="Passed",AE52="Failed"), OR(E52="Game User Acquisition Intern",E52="Game Design Intern")), "Nhiên",
    AND(OR(AE52="Test",AE52="Chờ test",AE52="Test Review",AE52="Passed",AE52="Failed"), E52&lt;&gt;"Human Resources Intern", NOT(OR(E52="Game User Acquisition Intern",E52="Game Design Intern"))), "Quỳnh",
    AND(OR(AE52="Test",AE52="Chờ test",AE52="Test Review",AE52="Passed",AE52="Failed"), E52="Human Resources Intern"), "Chờ assign"
  ),
"")</f>
        <v>Quỳnh</v>
      </c>
    </row>
    <row r="53" ht="23.25" hidden="1" customHeight="1">
      <c r="A53" s="29" t="s">
        <v>4841</v>
      </c>
      <c r="B53" s="30">
        <v>38335.0</v>
      </c>
      <c r="C53" s="29" t="s">
        <v>4842</v>
      </c>
      <c r="D53" s="31" t="s">
        <v>4843</v>
      </c>
      <c r="E53" s="29" t="s">
        <v>62</v>
      </c>
      <c r="G53" s="29" t="s">
        <v>4844</v>
      </c>
      <c r="H53" s="29" t="s">
        <v>4845</v>
      </c>
      <c r="I53" s="29" t="s">
        <v>715</v>
      </c>
      <c r="K53" s="29" t="s">
        <v>4846</v>
      </c>
      <c r="L53" s="29" t="s">
        <v>930</v>
      </c>
      <c r="M53" s="33">
        <v>38169.0</v>
      </c>
      <c r="N53" s="31" t="s">
        <v>2142</v>
      </c>
      <c r="O53" s="32" t="str">
        <f>HYPERLINK("https://api.typeform.com/responses/files/ef48f2bc97b06ef4f88084898d5c0d58cdf9d4e50b24589d5a2e85e9304c8cbc/Transcript___Võ_Hoàng_Phúc.pdf")</f>
        <v>https://api.typeform.com/responses/files/ef48f2bc97b06ef4f88084898d5c0d58cdf9d4e50b24589d5a2e85e9304c8cbc/Transcript___Võ_Hoàng_Phúc.pdf</v>
      </c>
      <c r="P53" s="29" t="b">
        <v>0</v>
      </c>
      <c r="Q53" s="29" t="s">
        <v>4847</v>
      </c>
      <c r="R53" s="29" t="s">
        <v>4848</v>
      </c>
      <c r="S53" s="29" t="s">
        <v>72</v>
      </c>
      <c r="T53" s="29" t="s">
        <v>72</v>
      </c>
      <c r="U53" s="29" t="s">
        <v>73</v>
      </c>
      <c r="W53" s="29" t="s">
        <v>4849</v>
      </c>
      <c r="X53" s="231" t="str">
        <f>HYPERLINK("https://api.typeform.com/responses/files/6513e28e1ae8bad3673a62d91bebece68c1dbf94935ab46d317a494222e47069/CV___AI_Engineering_Intern___Võ_Hoàng_Phúc.pdf")</f>
        <v>https://api.typeform.com/responses/files/6513e28e1ae8bad3673a62d91bebece68c1dbf94935ab46d317a494222e47069/CV___AI_Engineering_Intern___Võ_Hoàng_Phúc.pdf</v>
      </c>
      <c r="Y53" s="34">
        <v>46145.70825231481</v>
      </c>
      <c r="Z53" s="29" t="s">
        <v>4850</v>
      </c>
      <c r="AA53" s="6">
        <v>3.0</v>
      </c>
      <c r="AB53" s="6"/>
      <c r="AC53" s="28"/>
      <c r="AD53" s="20"/>
      <c r="AE53" s="28"/>
      <c r="AF53" s="6" t="str">
        <f t="shared" si="4"/>
        <v/>
      </c>
    </row>
    <row r="54" ht="23.25" hidden="1" customHeight="1">
      <c r="A54" s="232" t="s">
        <v>4851</v>
      </c>
      <c r="B54" s="233">
        <v>37473.0</v>
      </c>
      <c r="C54" s="232" t="s">
        <v>4852</v>
      </c>
      <c r="D54" s="234" t="s">
        <v>4853</v>
      </c>
      <c r="E54" s="232" t="s">
        <v>774</v>
      </c>
      <c r="F54" s="232" t="s">
        <v>127</v>
      </c>
      <c r="G54" s="232" t="s">
        <v>4854</v>
      </c>
      <c r="H54" s="232" t="s">
        <v>4855</v>
      </c>
      <c r="I54" s="232" t="s">
        <v>2293</v>
      </c>
      <c r="J54" s="232"/>
      <c r="K54" s="232" t="s">
        <v>103</v>
      </c>
      <c r="L54" s="232" t="s">
        <v>1496</v>
      </c>
      <c r="M54" s="235">
        <v>45412.0</v>
      </c>
      <c r="N54" s="234" t="s">
        <v>4856</v>
      </c>
      <c r="O54" s="236" t="str">
        <f>HYPERLINK("https://api.typeform.com/responses/files/8053da34a84256b30048f13730bf741a46d852829009e121bfb565c50cdfdee2/Transcript___User_Acquisition_Intern___Vũ_Đỗ_Trung.pdf")</f>
        <v>https://api.typeform.com/responses/files/8053da34a84256b30048f13730bf741a46d852829009e121bfb565c50cdfdee2/Transcript___User_Acquisition_Intern___Vũ_Đỗ_Trung.pdf</v>
      </c>
      <c r="P54" s="232" t="b">
        <v>1</v>
      </c>
      <c r="Q54" s="232" t="s">
        <v>4857</v>
      </c>
      <c r="R54" s="232" t="s">
        <v>4858</v>
      </c>
      <c r="S54" s="232" t="s">
        <v>72</v>
      </c>
      <c r="T54" s="232" t="s">
        <v>72</v>
      </c>
      <c r="U54" s="232" t="s">
        <v>90</v>
      </c>
      <c r="V54" s="232"/>
      <c r="W54" s="232" t="s">
        <v>4859</v>
      </c>
      <c r="X54" s="236" t="str">
        <f>HYPERLINK("https://api.typeform.com/responses/files/9672f307ec0f3c97dc4b5601c0c349d0ec79d17e8baf5b4ea8f00454aea53288/CV___User_Acquisition_Intern___Vũ_Đỗ_Trung_Quốc.pdf")</f>
        <v>https://api.typeform.com/responses/files/9672f307ec0f3c97dc4b5601c0c349d0ec79d17e8baf5b4ea8f00454aea53288/CV___User_Acquisition_Intern___Vũ_Đỗ_Trung_Quốc.pdf</v>
      </c>
      <c r="Y54" s="237">
        <v>46145.73704861111</v>
      </c>
      <c r="Z54" s="232" t="s">
        <v>4860</v>
      </c>
      <c r="AA54" s="238">
        <v>3.0</v>
      </c>
      <c r="AB54" s="238"/>
      <c r="AC54" s="239" t="s">
        <v>6376</v>
      </c>
      <c r="AD54" s="240"/>
      <c r="AE54" s="239"/>
      <c r="AF54" s="238" t="str">
        <f t="shared" si="4"/>
        <v/>
      </c>
    </row>
    <row r="55" ht="23.25" hidden="1" customHeight="1">
      <c r="A55" s="29" t="s">
        <v>4871</v>
      </c>
      <c r="B55" s="30">
        <v>38521.0</v>
      </c>
      <c r="C55" s="29" t="s">
        <v>4872</v>
      </c>
      <c r="D55" s="31" t="s">
        <v>4873</v>
      </c>
      <c r="E55" s="29" t="s">
        <v>774</v>
      </c>
      <c r="F55" s="29" t="s">
        <v>82</v>
      </c>
      <c r="G55" s="29" t="s">
        <v>4874</v>
      </c>
      <c r="H55" s="29" t="s">
        <v>4875</v>
      </c>
      <c r="I55" s="29" t="s">
        <v>842</v>
      </c>
      <c r="J55" s="29" t="s">
        <v>4876</v>
      </c>
      <c r="K55" s="29" t="s">
        <v>219</v>
      </c>
      <c r="L55" s="29" t="s">
        <v>1496</v>
      </c>
      <c r="M55" s="33">
        <v>46371.0</v>
      </c>
      <c r="N55" s="29" t="s">
        <v>4877</v>
      </c>
      <c r="O55" s="32" t="str">
        <f>HYPERLINK("https://api.typeform.com/responses/files/909e231eca3674fcad9e6baef8adb188894f9e940aa3818884de196195dd95ec/Transcript___Game_User_Acquisition_Intern___Phạm_Hồng_Phương_Anh.pdf")</f>
        <v>https://api.typeform.com/responses/files/909e231eca3674fcad9e6baef8adb188894f9e940aa3818884de196195dd95ec/Transcript___Game_User_Acquisition_Intern___Phạm_Hồng_Phương_Anh.pdf</v>
      </c>
      <c r="P55" s="29" t="b">
        <v>1</v>
      </c>
      <c r="Q55" s="29" t="s">
        <v>4878</v>
      </c>
      <c r="R55" s="29" t="s">
        <v>4879</v>
      </c>
      <c r="S55" s="29" t="s">
        <v>72</v>
      </c>
      <c r="T55" s="29" t="s">
        <v>72</v>
      </c>
      <c r="U55" s="29" t="s">
        <v>73</v>
      </c>
      <c r="W55" s="29" t="s">
        <v>4880</v>
      </c>
      <c r="X55" s="231" t="str">
        <f>HYPERLINK("https://api.typeform.com/responses/files/59090f2c3784f1d9d8ebc481f665c9fe21a66bf5e80e66a697b19f3a9a02e031/CV___Game_User_Acquisition_Marketing_Intern___Phạm_Hồng_Phương_Anh.pdf")</f>
        <v>https://api.typeform.com/responses/files/59090f2c3784f1d9d8ebc481f665c9fe21a66bf5e80e66a697b19f3a9a02e031/CV___Game_User_Acquisition_Marketing_Intern___Phạm_Hồng_Phương_Anh.pdf</v>
      </c>
      <c r="Y55" s="34">
        <v>46145.80258101852</v>
      </c>
      <c r="Z55" s="29" t="s">
        <v>4881</v>
      </c>
      <c r="AA55" s="6">
        <v>3.0</v>
      </c>
      <c r="AB55" s="6"/>
      <c r="AC55" s="28" t="s">
        <v>6377</v>
      </c>
      <c r="AD55" s="20"/>
      <c r="AE55" s="28" t="s">
        <v>6379</v>
      </c>
      <c r="AF55" s="6" t="str">
        <f t="shared" si="4"/>
        <v>Nhiên</v>
      </c>
    </row>
    <row r="56" ht="23.25" hidden="1" customHeight="1">
      <c r="A56" s="29" t="s">
        <v>4882</v>
      </c>
      <c r="B56" s="30">
        <v>38506.0</v>
      </c>
      <c r="C56" s="29" t="s">
        <v>4883</v>
      </c>
      <c r="D56" s="31" t="s">
        <v>4884</v>
      </c>
      <c r="E56" s="29" t="s">
        <v>82</v>
      </c>
      <c r="F56" s="29" t="s">
        <v>127</v>
      </c>
      <c r="G56" s="29" t="s">
        <v>4885</v>
      </c>
      <c r="H56" s="29" t="s">
        <v>4886</v>
      </c>
      <c r="I56" s="29" t="s">
        <v>85</v>
      </c>
      <c r="K56" s="29" t="s">
        <v>219</v>
      </c>
      <c r="L56" s="29" t="s">
        <v>220</v>
      </c>
      <c r="M56" s="33">
        <v>46568.0</v>
      </c>
      <c r="N56" s="31" t="s">
        <v>1321</v>
      </c>
      <c r="O56" s="32" t="str">
        <f>HYPERLINK("https://api.typeform.com/responses/files/2cfd42a7950c84172a6491bfd875b3e51ea5d8666a7b0d6447f5c8f3b8134582/Transcript_Data_Analysis_Intern_Lê_Nguyễn_Minh_Thư.pdf")</f>
        <v>https://api.typeform.com/responses/files/2cfd42a7950c84172a6491bfd875b3e51ea5d8666a7b0d6447f5c8f3b8134582/Transcript_Data_Analysis_Intern_Lê_Nguyễn_Minh_Thư.pdf</v>
      </c>
      <c r="P56" s="29" t="b">
        <v>1</v>
      </c>
      <c r="Q56" s="29" t="s">
        <v>4887</v>
      </c>
      <c r="R56" s="29" t="s">
        <v>4888</v>
      </c>
      <c r="S56" s="29" t="s">
        <v>72</v>
      </c>
      <c r="T56" s="29" t="s">
        <v>72</v>
      </c>
      <c r="U56" s="29" t="s">
        <v>269</v>
      </c>
      <c r="W56" s="29" t="s">
        <v>4889</v>
      </c>
      <c r="X56" s="231" t="str">
        <f>HYPERLINK("https://api.typeform.com/responses/files/d0abdb4990184ed9ea72a3454073482d292e873df3c9eec1708589060c846042/CV_Data_Analysis_Intern_Lê_Nguyễn_Minh_Thư.pdf")</f>
        <v>https://api.typeform.com/responses/files/d0abdb4990184ed9ea72a3454073482d292e873df3c9eec1708589060c846042/CV_Data_Analysis_Intern_Lê_Nguyễn_Minh_Thư.pdf</v>
      </c>
      <c r="Y56" s="34">
        <v>46146.09302083333</v>
      </c>
      <c r="Z56" s="29" t="s">
        <v>4890</v>
      </c>
      <c r="AA56" s="6">
        <v>3.0</v>
      </c>
      <c r="AB56" s="6" t="s">
        <v>109</v>
      </c>
      <c r="AC56" s="28" t="s">
        <v>6377</v>
      </c>
      <c r="AD56" s="20"/>
      <c r="AE56" s="28" t="s">
        <v>6403</v>
      </c>
      <c r="AF56" s="6" t="str">
        <f t="shared" si="4"/>
        <v>Quỳnh</v>
      </c>
    </row>
    <row r="57" ht="23.25" hidden="1" customHeight="1">
      <c r="A57" s="29" t="s">
        <v>4891</v>
      </c>
      <c r="B57" s="30">
        <v>38792.0</v>
      </c>
      <c r="C57" s="29" t="s">
        <v>4892</v>
      </c>
      <c r="D57" s="31" t="s">
        <v>4893</v>
      </c>
      <c r="E57" s="29" t="s">
        <v>127</v>
      </c>
      <c r="F57" s="29" t="s">
        <v>62</v>
      </c>
      <c r="G57" s="29" t="s">
        <v>4894</v>
      </c>
      <c r="H57" s="29" t="s">
        <v>4895</v>
      </c>
      <c r="I57" s="29" t="s">
        <v>85</v>
      </c>
      <c r="K57" s="29" t="s">
        <v>169</v>
      </c>
      <c r="L57" s="29" t="s">
        <v>612</v>
      </c>
      <c r="M57" s="33">
        <v>46516.0</v>
      </c>
      <c r="N57" s="31" t="s">
        <v>159</v>
      </c>
      <c r="O57" s="32" t="str">
        <f>HYPERLINK("https://api.typeform.com/responses/files/3e38476519cdc565ae89536dbe008d42f3f29ee4cd2824447d7ad7ffef7960b8/Transcript___Game_Quality_Assurance_Intern___Ngô_Tùng_Khải.pdf")</f>
        <v>https://api.typeform.com/responses/files/3e38476519cdc565ae89536dbe008d42f3f29ee4cd2824447d7ad7ffef7960b8/Transcript___Game_Quality_Assurance_Intern___Ngô_Tùng_Khải.pdf</v>
      </c>
      <c r="P57" s="29" t="b">
        <v>1</v>
      </c>
      <c r="Q57" s="29" t="s">
        <v>4896</v>
      </c>
      <c r="R57" s="29" t="s">
        <v>4897</v>
      </c>
      <c r="S57" s="29" t="s">
        <v>72</v>
      </c>
      <c r="T57" s="29" t="s">
        <v>4898</v>
      </c>
      <c r="U57" s="29" t="s">
        <v>4899</v>
      </c>
      <c r="W57" s="29" t="s">
        <v>4900</v>
      </c>
      <c r="X57" s="231" t="str">
        <f>HYPERLINK("https://api.typeform.com/responses/files/df556f9a6414eb09822776211207d06811d44c5408441dd575a459f51dc4ec3d/CV___Game_Quality_Assurance_Intern___Ngô_Tùng_Khải.pdf")</f>
        <v>https://api.typeform.com/responses/files/df556f9a6414eb09822776211207d06811d44c5408441dd575a459f51dc4ec3d/CV___Game_Quality_Assurance_Intern___Ngô_Tùng_Khải.pdf</v>
      </c>
      <c r="Y57" s="34">
        <v>46146.12778935185</v>
      </c>
      <c r="Z57" s="29" t="s">
        <v>4901</v>
      </c>
      <c r="AA57" s="6">
        <v>3.0</v>
      </c>
      <c r="AB57" s="6" t="s">
        <v>109</v>
      </c>
      <c r="AC57" s="28" t="s">
        <v>6376</v>
      </c>
      <c r="AD57" s="20"/>
      <c r="AE57" s="28"/>
      <c r="AF57" s="6" t="str">
        <f t="shared" si="4"/>
        <v/>
      </c>
    </row>
    <row r="58" ht="23.25" hidden="1" customHeight="1">
      <c r="A58" s="29" t="s">
        <v>4902</v>
      </c>
      <c r="B58" s="30">
        <v>38360.0</v>
      </c>
      <c r="C58" s="29" t="s">
        <v>4903</v>
      </c>
      <c r="D58" s="31" t="s">
        <v>4904</v>
      </c>
      <c r="E58" s="29" t="s">
        <v>62</v>
      </c>
      <c r="F58" s="29" t="s">
        <v>61</v>
      </c>
      <c r="G58" s="29" t="s">
        <v>4905</v>
      </c>
      <c r="H58" s="29" t="s">
        <v>4906</v>
      </c>
      <c r="I58" s="29" t="s">
        <v>85</v>
      </c>
      <c r="K58" s="29" t="s">
        <v>103</v>
      </c>
      <c r="L58" s="29" t="s">
        <v>3749</v>
      </c>
      <c r="M58" s="33">
        <v>46296.0</v>
      </c>
      <c r="N58" s="31" t="s">
        <v>159</v>
      </c>
      <c r="O58" s="32" t="str">
        <f>HYPERLINK("https://api.typeform.com/responses/files/553f0d7c5206df864427793ae1ce83cc2ae16f387b833a173683116ce7ee61c2/transcript.pdf")</f>
        <v>https://api.typeform.com/responses/files/553f0d7c5206df864427793ae1ce83cc2ae16f387b833a173683116ce7ee61c2/transcript.pdf</v>
      </c>
      <c r="P58" s="29" t="b">
        <v>1</v>
      </c>
      <c r="Q58" s="29" t="s">
        <v>4907</v>
      </c>
      <c r="R58" s="29" t="s">
        <v>4908</v>
      </c>
      <c r="S58" s="29" t="s">
        <v>72</v>
      </c>
      <c r="T58" s="29" t="s">
        <v>72</v>
      </c>
      <c r="U58" s="29" t="s">
        <v>269</v>
      </c>
      <c r="W58" s="29" t="s">
        <v>4909</v>
      </c>
      <c r="X58" s="231" t="str">
        <f>HYPERLINK("https://api.typeform.com/responses/files/dca375a32a8f97f51009606dd4d4ec655335561278e00a0b91e631c409915fa0/Nguyen_Viet_Ky_Quan___AI_Engineer_Intern.pdf")</f>
        <v>https://api.typeform.com/responses/files/dca375a32a8f97f51009606dd4d4ec655335561278e00a0b91e631c409915fa0/Nguyen_Viet_Ky_Quan___AI_Engineer_Intern.pdf</v>
      </c>
      <c r="Y58" s="34">
        <v>46146.12835648148</v>
      </c>
      <c r="Z58" s="29" t="s">
        <v>4910</v>
      </c>
      <c r="AA58" s="6">
        <v>3.0</v>
      </c>
      <c r="AB58" s="6"/>
      <c r="AC58" s="28"/>
      <c r="AD58" s="20"/>
      <c r="AE58" s="28"/>
      <c r="AF58" s="6" t="str">
        <f t="shared" si="4"/>
        <v/>
      </c>
    </row>
    <row r="59" ht="23.25" hidden="1" customHeight="1">
      <c r="A59" s="29" t="s">
        <v>4911</v>
      </c>
      <c r="B59" s="30">
        <v>38491.0</v>
      </c>
      <c r="C59" s="29" t="s">
        <v>4912</v>
      </c>
      <c r="D59" s="31" t="s">
        <v>4913</v>
      </c>
      <c r="E59" s="29" t="s">
        <v>82</v>
      </c>
      <c r="F59" s="29" t="s">
        <v>127</v>
      </c>
      <c r="G59" s="29" t="s">
        <v>4914</v>
      </c>
      <c r="H59" s="29" t="s">
        <v>4915</v>
      </c>
      <c r="I59" s="29" t="s">
        <v>715</v>
      </c>
      <c r="K59" s="29" t="s">
        <v>219</v>
      </c>
      <c r="L59" s="29" t="s">
        <v>4916</v>
      </c>
      <c r="M59" s="33">
        <v>46692.0</v>
      </c>
      <c r="N59" s="31" t="s">
        <v>4917</v>
      </c>
      <c r="O59" s="32" t="str">
        <f>HYPERLINK("https://api.typeform.com/responses/files/9f14686f2a07ad5e2626190bc0fd0cd42e2c5c5d5f8bfd34432d4eaa4ae2d6df/Transcript___Data_Analysis_Intern___Ngô_Minh_Hải_Yến.xlsx")</f>
        <v>https://api.typeform.com/responses/files/9f14686f2a07ad5e2626190bc0fd0cd42e2c5c5d5f8bfd34432d4eaa4ae2d6df/Transcript___Data_Analysis_Intern___Ngô_Minh_Hải_Yến.xlsx</v>
      </c>
      <c r="P59" s="29" t="b">
        <v>1</v>
      </c>
      <c r="Q59" s="29" t="s">
        <v>4918</v>
      </c>
      <c r="R59" s="29" t="s">
        <v>318</v>
      </c>
      <c r="S59" s="29" t="s">
        <v>72</v>
      </c>
      <c r="T59" s="29" t="s">
        <v>72</v>
      </c>
      <c r="U59" s="29" t="s">
        <v>90</v>
      </c>
      <c r="X59" s="231" t="str">
        <f>HYPERLINK("https://api.typeform.com/responses/files/403261feec660eb86bd27792281bcfd67c3a50da2d8e9db6e56f61266c90fbd3/CV_DATA_ANALYSIS_INTERN_NGÔ_MINH_HẢI_YẾN.pdf")</f>
        <v>https://api.typeform.com/responses/files/403261feec660eb86bd27792281bcfd67c3a50da2d8e9db6e56f61266c90fbd3/CV_DATA_ANALYSIS_INTERN_NGÔ_MINH_HẢI_YẾN.pdf</v>
      </c>
      <c r="Y59" s="34">
        <v>46146.13414351852</v>
      </c>
      <c r="Z59" s="29" t="s">
        <v>4919</v>
      </c>
      <c r="AA59" s="6">
        <v>3.0</v>
      </c>
      <c r="AB59" s="6" t="s">
        <v>109</v>
      </c>
      <c r="AC59" s="28" t="s">
        <v>6376</v>
      </c>
      <c r="AD59" s="20"/>
      <c r="AE59" s="28"/>
      <c r="AF59" s="6" t="str">
        <f t="shared" si="4"/>
        <v/>
      </c>
    </row>
    <row r="60" ht="23.25" hidden="1" customHeight="1">
      <c r="A60" s="29" t="s">
        <v>4920</v>
      </c>
      <c r="B60" s="30">
        <v>38388.0</v>
      </c>
      <c r="C60" s="29" t="s">
        <v>4921</v>
      </c>
      <c r="D60" s="31" t="s">
        <v>4922</v>
      </c>
      <c r="E60" s="29" t="s">
        <v>62</v>
      </c>
      <c r="F60" s="29" t="s">
        <v>82</v>
      </c>
      <c r="G60" s="29" t="s">
        <v>4923</v>
      </c>
      <c r="H60" s="29" t="s">
        <v>4924</v>
      </c>
      <c r="I60" s="29" t="s">
        <v>326</v>
      </c>
      <c r="K60" s="29" t="s">
        <v>219</v>
      </c>
      <c r="L60" s="29" t="s">
        <v>4925</v>
      </c>
      <c r="M60" s="33">
        <v>46569.0</v>
      </c>
      <c r="N60" s="31" t="s">
        <v>4926</v>
      </c>
      <c r="O60" s="32" t="str">
        <f>HYPERLINK("https://api.typeform.com/responses/files/70a8134a50e6a9cf7eabc3328a638858565f7af453ea2c2d4460dc58029512ae/Transcript___AI_Engineering_Intern___Nguyễn_Thiên_Ấn.pdf")</f>
        <v>https://api.typeform.com/responses/files/70a8134a50e6a9cf7eabc3328a638858565f7af453ea2c2d4460dc58029512ae/Transcript___AI_Engineering_Intern___Nguyễn_Thiên_Ấn.pdf</v>
      </c>
      <c r="P60" s="29" t="b">
        <v>0</v>
      </c>
      <c r="Q60" s="29" t="s">
        <v>401</v>
      </c>
      <c r="R60" s="29" t="s">
        <v>4927</v>
      </c>
      <c r="S60" s="29" t="s">
        <v>72</v>
      </c>
      <c r="T60" s="29" t="s">
        <v>72</v>
      </c>
      <c r="U60" s="29" t="s">
        <v>73</v>
      </c>
      <c r="X60" s="231" t="str">
        <f>HYPERLINK("https://api.typeform.com/responses/files/2031ced20c2a3a9ad3996fae57fd903e8620958ff99a8660b9a8d59163bc1b91/CV___AI_Engineering_Intern___Nguyễn_Thiên_Ấn.pdf")</f>
        <v>https://api.typeform.com/responses/files/2031ced20c2a3a9ad3996fae57fd903e8620958ff99a8660b9a8d59163bc1b91/CV___AI_Engineering_Intern___Nguyễn_Thiên_Ấn.pdf</v>
      </c>
      <c r="Y60" s="34">
        <v>46146.13875</v>
      </c>
      <c r="Z60" s="29" t="s">
        <v>4928</v>
      </c>
      <c r="AA60" s="6">
        <v>3.0</v>
      </c>
      <c r="AB60" s="6"/>
      <c r="AC60" s="28"/>
      <c r="AD60" s="20"/>
      <c r="AE60" s="28"/>
      <c r="AF60" s="6" t="str">
        <f t="shared" si="4"/>
        <v/>
      </c>
    </row>
    <row r="61" ht="23.25" hidden="1" customHeight="1">
      <c r="A61" s="29" t="s">
        <v>4949</v>
      </c>
      <c r="B61" s="30">
        <v>37996.0</v>
      </c>
      <c r="C61" s="29" t="s">
        <v>4950</v>
      </c>
      <c r="D61" s="31" t="s">
        <v>4951</v>
      </c>
      <c r="E61" s="29" t="s">
        <v>82</v>
      </c>
      <c r="F61" s="29" t="s">
        <v>633</v>
      </c>
      <c r="G61" s="29" t="s">
        <v>4952</v>
      </c>
      <c r="H61" s="29" t="s">
        <v>4953</v>
      </c>
      <c r="I61" s="29" t="s">
        <v>636</v>
      </c>
      <c r="K61" s="29" t="s">
        <v>103</v>
      </c>
      <c r="L61" s="29" t="s">
        <v>4954</v>
      </c>
      <c r="M61" s="33">
        <v>46295.0</v>
      </c>
      <c r="N61" s="31" t="s">
        <v>105</v>
      </c>
      <c r="O61" s="32" t="str">
        <f>HYPERLINK("https://api.typeform.com/responses/files/487cf55333aa7bfdceb8fa273428af825060fe1a827ae0df17beb2ddcc99e68c/Transcript___HR_Intern___Nguyễn_Mai_Hân.pdf")</f>
        <v>https://api.typeform.com/responses/files/487cf55333aa7bfdceb8fa273428af825060fe1a827ae0df17beb2ddcc99e68c/Transcript___HR_Intern___Nguyễn_Mai_Hân.pdf</v>
      </c>
      <c r="P61" s="29" t="b">
        <v>0</v>
      </c>
      <c r="Q61" s="29" t="s">
        <v>4955</v>
      </c>
      <c r="R61" s="29" t="s">
        <v>4956</v>
      </c>
      <c r="S61" s="29" t="s">
        <v>72</v>
      </c>
      <c r="T61" s="29" t="s">
        <v>72</v>
      </c>
      <c r="U61" s="29" t="s">
        <v>4584</v>
      </c>
      <c r="W61" s="29" t="s">
        <v>4957</v>
      </c>
      <c r="X61" s="231" t="str">
        <f>HYPERLINK("https://api.typeform.com/responses/files/96a8f7c0b92dc363b5afff07795c32ce608a5ed75d2fea0c3ba1f52976657629/CV___Human_Resources_Intern___Nguyen_Mai_Han.pdf")</f>
        <v>https://api.typeform.com/responses/files/96a8f7c0b92dc363b5afff07795c32ce608a5ed75d2fea0c3ba1f52976657629/CV___Human_Resources_Intern___Nguyen_Mai_Han.pdf</v>
      </c>
      <c r="Y61" s="34">
        <v>46146.21172453704</v>
      </c>
      <c r="Z61" s="29" t="s">
        <v>4958</v>
      </c>
      <c r="AA61" s="6">
        <v>3.0</v>
      </c>
      <c r="AB61" s="6" t="s">
        <v>109</v>
      </c>
      <c r="AC61" s="28" t="s">
        <v>6376</v>
      </c>
      <c r="AD61" s="20"/>
      <c r="AE61" s="28"/>
      <c r="AF61" s="6" t="str">
        <f t="shared" si="4"/>
        <v/>
      </c>
    </row>
    <row r="62" ht="23.25" hidden="1" customHeight="1">
      <c r="A62" s="29" t="s">
        <v>4959</v>
      </c>
      <c r="B62" s="30">
        <v>36985.0</v>
      </c>
      <c r="C62" s="29" t="s">
        <v>4960</v>
      </c>
      <c r="D62" s="31" t="s">
        <v>4961</v>
      </c>
      <c r="E62" s="29" t="s">
        <v>62</v>
      </c>
      <c r="F62" s="29" t="s">
        <v>61</v>
      </c>
      <c r="G62" s="29" t="s">
        <v>4962</v>
      </c>
      <c r="H62" s="29" t="s">
        <v>4963</v>
      </c>
      <c r="I62" s="29" t="s">
        <v>244</v>
      </c>
      <c r="J62" s="29" t="s">
        <v>4964</v>
      </c>
      <c r="K62" s="29" t="s">
        <v>4965</v>
      </c>
      <c r="L62" s="29" t="s">
        <v>4966</v>
      </c>
      <c r="M62" s="33">
        <v>46327.0</v>
      </c>
      <c r="N62" s="29" t="s">
        <v>401</v>
      </c>
      <c r="O62" s="32" t="str">
        <f>HYPERLINK("https://api.typeform.com/responses/files/83494503f956819663c34f5489a560250ee42894a7e157fc0a2eae4138a5b005/CV_AI_Intern_Unity_Intern_HaoNg.pdf")</f>
        <v>https://api.typeform.com/responses/files/83494503f956819663c34f5489a560250ee42894a7e157fc0a2eae4138a5b005/CV_AI_Intern_Unity_Intern_HaoNg.pdf</v>
      </c>
      <c r="P62" s="29" t="b">
        <v>1</v>
      </c>
      <c r="Q62" s="29" t="s">
        <v>4967</v>
      </c>
      <c r="R62" s="29" t="s">
        <v>4968</v>
      </c>
      <c r="S62" s="29" t="s">
        <v>72</v>
      </c>
      <c r="T62" s="29" t="s">
        <v>72</v>
      </c>
      <c r="U62" s="29" t="s">
        <v>4969</v>
      </c>
      <c r="W62" s="29" t="s">
        <v>4970</v>
      </c>
      <c r="X62" s="231" t="str">
        <f>HYPERLINK("https://api.typeform.com/responses/files/4b87c78838ef589e7e3c1984799d81ae4909f28c9e6d225e0f1301ca4954e7b4/CV_AI_Intern_Unity_Intern_HaoNg.pdf")</f>
        <v>https://api.typeform.com/responses/files/4b87c78838ef589e7e3c1984799d81ae4909f28c9e6d225e0f1301ca4954e7b4/CV_AI_Intern_Unity_Intern_HaoNg.pdf</v>
      </c>
      <c r="Y62" s="34">
        <v>46146.269166666665</v>
      </c>
      <c r="Z62" s="29" t="s">
        <v>4971</v>
      </c>
      <c r="AA62" s="6">
        <v>3.0</v>
      </c>
      <c r="AB62" s="6"/>
      <c r="AC62" s="28"/>
      <c r="AD62" s="20"/>
      <c r="AE62" s="28"/>
      <c r="AF62" s="6" t="str">
        <f t="shared" si="4"/>
        <v/>
      </c>
    </row>
    <row r="63" ht="23.25" hidden="1" customHeight="1">
      <c r="A63" s="29" t="s">
        <v>4972</v>
      </c>
      <c r="B63" s="30">
        <v>37760.0</v>
      </c>
      <c r="C63" s="29" t="s">
        <v>4973</v>
      </c>
      <c r="D63" s="31" t="s">
        <v>4974</v>
      </c>
      <c r="E63" s="29" t="s">
        <v>82</v>
      </c>
      <c r="F63" s="29" t="s">
        <v>774</v>
      </c>
      <c r="G63" s="29" t="s">
        <v>4975</v>
      </c>
      <c r="H63" s="29" t="s">
        <v>4976</v>
      </c>
      <c r="I63" s="29" t="s">
        <v>2581</v>
      </c>
      <c r="K63" s="29" t="s">
        <v>103</v>
      </c>
      <c r="L63" s="29" t="s">
        <v>4977</v>
      </c>
      <c r="M63" s="33">
        <v>46154.0</v>
      </c>
      <c r="N63" s="31" t="s">
        <v>663</v>
      </c>
      <c r="O63" s="32" t="str">
        <f>HYPERLINK("https://api.typeform.com/responses/files/4c5e476f86c396d9dbc1b7117122a826b90c8d3b434b78197bf5acdc33e32967/Transcript_Data_Analysis_intern_Bùi_Đặng_Quỳnh_Như.pdf")</f>
        <v>https://api.typeform.com/responses/files/4c5e476f86c396d9dbc1b7117122a826b90c8d3b434b78197bf5acdc33e32967/Transcript_Data_Analysis_intern_Bùi_Đặng_Quỳnh_Như.pdf</v>
      </c>
      <c r="P63" s="29" t="b">
        <v>1</v>
      </c>
      <c r="Q63" s="29" t="s">
        <v>4978</v>
      </c>
      <c r="R63" s="29" t="s">
        <v>4979</v>
      </c>
      <c r="S63" s="29" t="s">
        <v>72</v>
      </c>
      <c r="T63" s="29" t="s">
        <v>72</v>
      </c>
      <c r="U63" s="29" t="s">
        <v>269</v>
      </c>
      <c r="W63" s="29" t="s">
        <v>4980</v>
      </c>
      <c r="X63" s="231" t="str">
        <f>HYPERLINK("https://api.typeform.com/responses/files/29359326825c64bfb910eb5f580da14ef4f45789c88a7ab7fda46e14be598073/Bùi_Đặng_Quỳnh_Như_CV.pdf")</f>
        <v>https://api.typeform.com/responses/files/29359326825c64bfb910eb5f580da14ef4f45789c88a7ab7fda46e14be598073/Bùi_Đặng_Quỳnh_Như_CV.pdf</v>
      </c>
      <c r="Y63" s="34">
        <v>46146.27072916667</v>
      </c>
      <c r="Z63" s="29" t="s">
        <v>4981</v>
      </c>
      <c r="AA63" s="6">
        <v>3.0</v>
      </c>
      <c r="AB63" s="6" t="s">
        <v>109</v>
      </c>
      <c r="AC63" s="28" t="s">
        <v>6377</v>
      </c>
      <c r="AD63" s="20"/>
      <c r="AE63" s="28" t="s">
        <v>6403</v>
      </c>
      <c r="AF63" s="6" t="str">
        <f t="shared" si="4"/>
        <v>Quỳnh</v>
      </c>
    </row>
    <row r="64" ht="23.25" hidden="1" customHeight="1">
      <c r="A64" s="29" t="s">
        <v>4982</v>
      </c>
      <c r="B64" s="30">
        <v>36186.0</v>
      </c>
      <c r="C64" s="29" t="s">
        <v>4983</v>
      </c>
      <c r="D64" s="31" t="s">
        <v>4984</v>
      </c>
      <c r="E64" s="29" t="s">
        <v>82</v>
      </c>
      <c r="F64" s="29" t="s">
        <v>62</v>
      </c>
      <c r="G64" s="29" t="s">
        <v>4985</v>
      </c>
      <c r="H64" s="29" t="s">
        <v>4986</v>
      </c>
      <c r="I64" s="29" t="s">
        <v>85</v>
      </c>
      <c r="K64" s="29" t="s">
        <v>219</v>
      </c>
      <c r="L64" s="29" t="s">
        <v>726</v>
      </c>
      <c r="M64" s="33">
        <v>46172.0</v>
      </c>
      <c r="N64" s="31" t="s">
        <v>147</v>
      </c>
      <c r="O64" s="32" t="str">
        <f>HYPERLINK("https://api.typeform.com/responses/files/43b841da06b905ae918b8d6cbcd821d298d727794225a3e8852575736fcfeea3/Nguyễn_Đắc_Thành_Bảng_Điểm.pdf")</f>
        <v>https://api.typeform.com/responses/files/43b841da06b905ae918b8d6cbcd821d298d727794225a3e8852575736fcfeea3/Nguyễn_Đắc_Thành_Bảng_Điểm.pdf</v>
      </c>
      <c r="P64" s="29" t="b">
        <v>1</v>
      </c>
      <c r="Q64" s="29" t="s">
        <v>4987</v>
      </c>
      <c r="R64" s="29" t="s">
        <v>4988</v>
      </c>
      <c r="S64" s="29" t="s">
        <v>72</v>
      </c>
      <c r="T64" s="29" t="s">
        <v>72</v>
      </c>
      <c r="U64" s="29" t="s">
        <v>73</v>
      </c>
      <c r="X64" s="231" t="str">
        <f>HYPERLINK("https://api.typeform.com/responses/files/9e147a5f4c0ba1d2ca493fa1dc881cc87e92a3802d2f09062cc61f008246d1d9/CV_Nguyen_Dac_Thanh.pdf")</f>
        <v>https://api.typeform.com/responses/files/9e147a5f4c0ba1d2ca493fa1dc881cc87e92a3802d2f09062cc61f008246d1d9/CV_Nguyen_Dac_Thanh.pdf</v>
      </c>
      <c r="Y64" s="34">
        <v>46146.293645833335</v>
      </c>
      <c r="Z64" s="29" t="s">
        <v>4989</v>
      </c>
      <c r="AA64" s="6">
        <v>3.0</v>
      </c>
      <c r="AB64" s="6" t="s">
        <v>109</v>
      </c>
      <c r="AC64" s="28" t="s">
        <v>6377</v>
      </c>
      <c r="AD64" s="20"/>
      <c r="AE64" s="28" t="s">
        <v>6403</v>
      </c>
      <c r="AF64" s="6" t="str">
        <f t="shared" si="4"/>
        <v>Quỳnh</v>
      </c>
    </row>
    <row r="65" ht="23.25" hidden="1" customHeight="1">
      <c r="A65" s="29" t="s">
        <v>4990</v>
      </c>
      <c r="B65" s="30">
        <v>37757.0</v>
      </c>
      <c r="C65" s="29" t="s">
        <v>4991</v>
      </c>
      <c r="D65" s="31" t="s">
        <v>4992</v>
      </c>
      <c r="E65" s="29" t="s">
        <v>127</v>
      </c>
      <c r="F65" s="29" t="s">
        <v>127</v>
      </c>
      <c r="G65" s="29" t="s">
        <v>4993</v>
      </c>
      <c r="H65" s="29" t="s">
        <v>4994</v>
      </c>
      <c r="I65" s="29" t="s">
        <v>116</v>
      </c>
      <c r="K65" s="29" t="s">
        <v>103</v>
      </c>
      <c r="L65" s="29" t="s">
        <v>132</v>
      </c>
      <c r="M65" s="33">
        <v>46183.0</v>
      </c>
      <c r="N65" s="31" t="s">
        <v>159</v>
      </c>
      <c r="O65" s="32" t="str">
        <f>HYPERLINK("https://api.typeform.com/responses/files/80deefe1ea67aa0b458bacb5ad0316c21c69f1a0d6691a39ccf536e15c7e16ed/Transcript_GameQualityAssuranceIntern_DangTriNguyen.pdf")</f>
        <v>https://api.typeform.com/responses/files/80deefe1ea67aa0b458bacb5ad0316c21c69f1a0d6691a39ccf536e15c7e16ed/Transcript_GameQualityAssuranceIntern_DangTriNguyen.pdf</v>
      </c>
      <c r="P65" s="29" t="b">
        <v>0</v>
      </c>
      <c r="Q65" s="29" t="s">
        <v>4995</v>
      </c>
      <c r="R65" s="29" t="s">
        <v>1437</v>
      </c>
      <c r="S65" s="29" t="s">
        <v>72</v>
      </c>
      <c r="T65" s="29" t="s">
        <v>72</v>
      </c>
      <c r="U65" s="29" t="s">
        <v>1026</v>
      </c>
      <c r="X65" s="231" t="str">
        <f>HYPERLINK("https://api.typeform.com/responses/files/8fbc9efa2cea2727c070adf92cc9af5070d48695a6e83ff7050ce781640ec3f8/CV_GameQualityAssuranceIntern_DangTrNguyen.pdf")</f>
        <v>https://api.typeform.com/responses/files/8fbc9efa2cea2727c070adf92cc9af5070d48695a6e83ff7050ce781640ec3f8/CV_GameQualityAssuranceIntern_DangTrNguyen.pdf</v>
      </c>
      <c r="Y65" s="34">
        <v>46146.32797453704</v>
      </c>
      <c r="Z65" s="29" t="s">
        <v>4996</v>
      </c>
      <c r="AA65" s="6">
        <v>3.0</v>
      </c>
      <c r="AB65" s="6" t="s">
        <v>109</v>
      </c>
      <c r="AC65" s="28" t="s">
        <v>6376</v>
      </c>
      <c r="AD65" s="20"/>
      <c r="AE65" s="28"/>
      <c r="AF65" s="6" t="str">
        <f t="shared" si="4"/>
        <v/>
      </c>
    </row>
    <row r="66" ht="23.25" hidden="1" customHeight="1">
      <c r="A66" s="29" t="s">
        <v>4997</v>
      </c>
      <c r="B66" s="30">
        <v>38125.0</v>
      </c>
      <c r="C66" s="29" t="s">
        <v>4998</v>
      </c>
      <c r="D66" s="31" t="s">
        <v>4999</v>
      </c>
      <c r="E66" s="29" t="s">
        <v>82</v>
      </c>
      <c r="F66" s="29" t="s">
        <v>62</v>
      </c>
      <c r="G66" s="29" t="s">
        <v>5000</v>
      </c>
      <c r="H66" s="29" t="s">
        <v>5001</v>
      </c>
      <c r="I66" s="29" t="s">
        <v>1023</v>
      </c>
      <c r="K66" s="29" t="s">
        <v>67</v>
      </c>
      <c r="L66" s="29" t="s">
        <v>5002</v>
      </c>
      <c r="M66" s="33">
        <v>46346.0</v>
      </c>
      <c r="N66" s="31" t="s">
        <v>5003</v>
      </c>
      <c r="O66" s="32" t="str">
        <f>HYPERLINK("https://api.typeform.com/responses/files/59da8f9063a5a0cd26f039982e489ac470b1ce45305372dfa6d82ce474cda211/Screenshot_2026_05_04_144948.png")</f>
        <v>https://api.typeform.com/responses/files/59da8f9063a5a0cd26f039982e489ac470b1ce45305372dfa6d82ce474cda211/Screenshot_2026_05_04_144948.png</v>
      </c>
      <c r="P66" s="29" t="b">
        <v>1</v>
      </c>
      <c r="Q66" s="29" t="s">
        <v>5004</v>
      </c>
      <c r="R66" s="29" t="s">
        <v>5005</v>
      </c>
      <c r="S66" s="29" t="s">
        <v>72</v>
      </c>
      <c r="T66" s="29" t="s">
        <v>72</v>
      </c>
      <c r="U66" s="29" t="s">
        <v>73</v>
      </c>
      <c r="X66" s="231" t="str">
        <f>HYPERLINK("https://api.typeform.com/responses/files/b5a0efb36df24a43b34b38e56bb330a84da33d23a5792bbfe9fa775127482d93/CV___DuongXuanThanhTai___TTS_CNTT.pdf")</f>
        <v>https://api.typeform.com/responses/files/b5a0efb36df24a43b34b38e56bb330a84da33d23a5792bbfe9fa775127482d93/CV___DuongXuanThanhTai___TTS_CNTT.pdf</v>
      </c>
      <c r="Y66" s="34">
        <v>46146.32958333333</v>
      </c>
      <c r="Z66" s="29" t="s">
        <v>5006</v>
      </c>
      <c r="AA66" s="6">
        <v>3.0</v>
      </c>
      <c r="AB66" s="6" t="s">
        <v>109</v>
      </c>
      <c r="AC66" s="28" t="s">
        <v>6376</v>
      </c>
      <c r="AD66" s="20"/>
      <c r="AE66" s="28"/>
      <c r="AF66" s="6" t="str">
        <f t="shared" si="4"/>
        <v/>
      </c>
    </row>
    <row r="67" ht="23.25" hidden="1" customHeight="1">
      <c r="A67" s="29" t="s">
        <v>5007</v>
      </c>
      <c r="B67" s="30">
        <v>37664.0</v>
      </c>
      <c r="C67" s="29" t="s">
        <v>5008</v>
      </c>
      <c r="D67" s="31" t="s">
        <v>5009</v>
      </c>
      <c r="E67" s="29" t="s">
        <v>82</v>
      </c>
      <c r="F67" s="29" t="s">
        <v>62</v>
      </c>
      <c r="G67" s="29" t="s">
        <v>5010</v>
      </c>
      <c r="H67" s="29" t="s">
        <v>5011</v>
      </c>
      <c r="I67" s="29" t="s">
        <v>326</v>
      </c>
      <c r="K67" s="29" t="s">
        <v>103</v>
      </c>
      <c r="L67" s="29" t="s">
        <v>624</v>
      </c>
      <c r="M67" s="33">
        <v>46011.0</v>
      </c>
      <c r="N67" s="31" t="s">
        <v>4043</v>
      </c>
      <c r="O67" s="32" t="str">
        <f>HYPERLINK("https://api.typeform.com/responses/files/c178ea9c782bf3c9d9bdb73d6f275a6f77c43252fa1da54c0679d2411b5be3a5/Transcript___Data_Analysis_Intern___Nguyễn_Phú_Trọng.pdf")</f>
        <v>https://api.typeform.com/responses/files/c178ea9c782bf3c9d9bdb73d6f275a6f77c43252fa1da54c0679d2411b5be3a5/Transcript___Data_Analysis_Intern___Nguyễn_Phú_Trọng.pdf</v>
      </c>
      <c r="P67" s="29" t="b">
        <v>1</v>
      </c>
      <c r="Q67" s="29" t="s">
        <v>5012</v>
      </c>
      <c r="R67" s="29" t="s">
        <v>5013</v>
      </c>
      <c r="S67" s="29" t="s">
        <v>72</v>
      </c>
      <c r="T67" s="29" t="s">
        <v>72</v>
      </c>
      <c r="U67" s="29" t="s">
        <v>3845</v>
      </c>
      <c r="W67" s="29" t="s">
        <v>5014</v>
      </c>
      <c r="X67" s="231" t="str">
        <f>HYPERLINK("https://api.typeform.com/responses/files/77c68b428e877b174e1bd8b4944ff9a9ea754945e97e7d4922391c3f2d926452/NguyenPhuTrong_DataAnalyst.pdf")</f>
        <v>https://api.typeform.com/responses/files/77c68b428e877b174e1bd8b4944ff9a9ea754945e97e7d4922391c3f2d926452/NguyenPhuTrong_DataAnalyst.pdf</v>
      </c>
      <c r="Y67" s="34">
        <v>46146.33635416667</v>
      </c>
      <c r="Z67" s="29" t="s">
        <v>5015</v>
      </c>
      <c r="AA67" s="6">
        <v>3.0</v>
      </c>
      <c r="AB67" s="6" t="s">
        <v>109</v>
      </c>
      <c r="AC67" s="28" t="s">
        <v>6377</v>
      </c>
      <c r="AD67" s="20"/>
      <c r="AE67" s="28" t="s">
        <v>6403</v>
      </c>
      <c r="AF67" s="6" t="str">
        <f t="shared" si="4"/>
        <v>Quỳnh</v>
      </c>
    </row>
    <row r="68" ht="23.25" hidden="1" customHeight="1">
      <c r="A68" s="29" t="s">
        <v>5016</v>
      </c>
      <c r="B68" s="30">
        <v>37281.0</v>
      </c>
      <c r="C68" s="29" t="s">
        <v>5017</v>
      </c>
      <c r="D68" s="31" t="s">
        <v>5018</v>
      </c>
      <c r="E68" s="29" t="s">
        <v>774</v>
      </c>
      <c r="F68" s="29" t="s">
        <v>127</v>
      </c>
      <c r="G68" s="29" t="s">
        <v>5019</v>
      </c>
      <c r="H68" s="29" t="s">
        <v>5020</v>
      </c>
      <c r="I68" s="29" t="s">
        <v>338</v>
      </c>
      <c r="K68" s="29" t="s">
        <v>103</v>
      </c>
      <c r="L68" s="29" t="s">
        <v>5021</v>
      </c>
      <c r="M68" s="33">
        <v>46259.0</v>
      </c>
      <c r="N68" s="29" t="s">
        <v>5022</v>
      </c>
      <c r="O68" s="32" t="str">
        <f>HYPERLINK("https://api.typeform.com/responses/files/a948c7d2058f9466b65f2865f43caa37113dcf2b0f94f003ee883da081eabb43/Cổng_thông_tin_đào_tạo.pdf")</f>
        <v>https://api.typeform.com/responses/files/a948c7d2058f9466b65f2865f43caa37113dcf2b0f94f003ee883da081eabb43/Cổng_thông_tin_đào_tạo.pdf</v>
      </c>
      <c r="P68" s="29" t="b">
        <v>0</v>
      </c>
      <c r="Q68" s="29" t="s">
        <v>5023</v>
      </c>
      <c r="R68" s="29" t="s">
        <v>5024</v>
      </c>
      <c r="S68" s="29" t="s">
        <v>72</v>
      </c>
      <c r="T68" s="29" t="s">
        <v>72</v>
      </c>
      <c r="U68" s="29" t="s">
        <v>73</v>
      </c>
      <c r="W68" s="29" t="s">
        <v>5025</v>
      </c>
      <c r="X68" s="231" t="str">
        <f>HYPERLINK("https://api.typeform.com/responses/files/fd58d4928215889c40287fe0672b2c22d6274942d5eeb8b018965f1cb9c87be5/CV_Game_User_Acquisition_Intern___Nguyen_Kim_Hang.pdf")</f>
        <v>https://api.typeform.com/responses/files/fd58d4928215889c40287fe0672b2c22d6274942d5eeb8b018965f1cb9c87be5/CV_Game_User_Acquisition_Intern___Nguyen_Kim_Hang.pdf</v>
      </c>
      <c r="Y68" s="34">
        <v>46146.33672453704</v>
      </c>
      <c r="Z68" s="29" t="s">
        <v>5026</v>
      </c>
      <c r="AA68" s="6">
        <v>3.0</v>
      </c>
      <c r="AB68" s="6"/>
      <c r="AC68" s="28" t="s">
        <v>6376</v>
      </c>
      <c r="AD68" s="20"/>
      <c r="AE68" s="28"/>
      <c r="AF68" s="6" t="str">
        <f t="shared" si="4"/>
        <v/>
      </c>
    </row>
    <row r="69" ht="23.25" hidden="1" customHeight="1">
      <c r="A69" s="29" t="s">
        <v>5027</v>
      </c>
      <c r="B69" s="30">
        <v>38175.0</v>
      </c>
      <c r="C69" s="29" t="s">
        <v>5028</v>
      </c>
      <c r="D69" s="31" t="s">
        <v>5029</v>
      </c>
      <c r="E69" s="29" t="s">
        <v>62</v>
      </c>
      <c r="F69" s="29" t="s">
        <v>82</v>
      </c>
      <c r="G69" s="29" t="s">
        <v>5030</v>
      </c>
      <c r="H69" s="29" t="s">
        <v>5031</v>
      </c>
      <c r="I69" s="29" t="s">
        <v>644</v>
      </c>
      <c r="K69" s="29" t="s">
        <v>67</v>
      </c>
      <c r="L69" s="29" t="s">
        <v>384</v>
      </c>
      <c r="M69" s="33">
        <v>46295.0</v>
      </c>
      <c r="N69" s="29" t="s">
        <v>5032</v>
      </c>
      <c r="O69" s="32" t="str">
        <f>HYPERLINK("https://api.typeform.com/responses/files/b517753de5eebf68c7eea2152dbd1212364755a76d18a795e0b7b2ac56b32268/Transcript___AI_Engineering_Intern___Phạm_Thị_Cẩm_Nhung.xls")</f>
        <v>https://api.typeform.com/responses/files/b517753de5eebf68c7eea2152dbd1212364755a76d18a795e0b7b2ac56b32268/Transcript___AI_Engineering_Intern___Phạm_Thị_Cẩm_Nhung.xls</v>
      </c>
      <c r="P69" s="29" t="b">
        <v>1</v>
      </c>
      <c r="Q69" s="29" t="s">
        <v>5033</v>
      </c>
      <c r="R69" s="29" t="s">
        <v>5034</v>
      </c>
      <c r="S69" s="29" t="s">
        <v>72</v>
      </c>
      <c r="T69" s="29" t="s">
        <v>72</v>
      </c>
      <c r="U69" s="29" t="s">
        <v>73</v>
      </c>
      <c r="W69" s="29" t="s">
        <v>5035</v>
      </c>
      <c r="X69" s="231" t="str">
        <f>HYPERLINK("https://api.typeform.com/responses/files/566715ff6aaae1103279f5c2401ce8cf18ad9db0c423c691de30c896a0ff9117/CV___AI_Engineering_Intern___Phạm_Thị_Cẩm_Nhung.pdf")</f>
        <v>https://api.typeform.com/responses/files/566715ff6aaae1103279f5c2401ce8cf18ad9db0c423c691de30c896a0ff9117/CV___AI_Engineering_Intern___Phạm_Thị_Cẩm_Nhung.pdf</v>
      </c>
      <c r="Y69" s="34">
        <v>46146.34201388889</v>
      </c>
      <c r="Z69" s="29" t="s">
        <v>5036</v>
      </c>
      <c r="AA69" s="6">
        <v>3.0</v>
      </c>
      <c r="AB69" s="6"/>
      <c r="AC69" s="28"/>
      <c r="AD69" s="20"/>
      <c r="AE69" s="28"/>
      <c r="AF69" s="6" t="str">
        <f t="shared" si="4"/>
        <v/>
      </c>
    </row>
    <row r="70" ht="23.25" hidden="1" customHeight="1">
      <c r="A70" s="29" t="s">
        <v>5037</v>
      </c>
      <c r="B70" s="30">
        <v>38614.0</v>
      </c>
      <c r="C70" s="29" t="s">
        <v>5038</v>
      </c>
      <c r="D70" s="31" t="s">
        <v>5039</v>
      </c>
      <c r="E70" s="29" t="s">
        <v>633</v>
      </c>
      <c r="F70" s="29" t="s">
        <v>633</v>
      </c>
      <c r="G70" s="29" t="s">
        <v>5040</v>
      </c>
      <c r="H70" s="29" t="s">
        <v>5041</v>
      </c>
      <c r="I70" s="29" t="s">
        <v>715</v>
      </c>
      <c r="K70" s="29" t="s">
        <v>219</v>
      </c>
      <c r="L70" s="29" t="s">
        <v>5042</v>
      </c>
      <c r="M70" s="33">
        <v>46661.0</v>
      </c>
      <c r="N70" s="29" t="s">
        <v>3458</v>
      </c>
      <c r="O70" s="32" t="str">
        <f>HYPERLINK("https://api.typeform.com/responses/files/dbb3c43b15f6f92f458ca2723d5daafdc5c80a3ba1776b84a9e452aee7321cd1/Transcript___Human_Resources_Intern___Đào_Hương_Giang.docx")</f>
        <v>https://api.typeform.com/responses/files/dbb3c43b15f6f92f458ca2723d5daafdc5c80a3ba1776b84a9e452aee7321cd1/Transcript___Human_Resources_Intern___Đào_Hương_Giang.docx</v>
      </c>
      <c r="P70" s="29" t="b">
        <v>0</v>
      </c>
      <c r="Q70" s="29" t="s">
        <v>5043</v>
      </c>
      <c r="R70" s="29" t="s">
        <v>5044</v>
      </c>
      <c r="S70" s="29" t="s">
        <v>72</v>
      </c>
      <c r="T70" s="29" t="s">
        <v>72</v>
      </c>
      <c r="U70" s="29" t="s">
        <v>5045</v>
      </c>
      <c r="W70" s="29" t="s">
        <v>5046</v>
      </c>
      <c r="X70" s="231" t="str">
        <f>HYPERLINK("https://api.typeform.com/responses/files/677e90566ede899a1abb4e178b67616bed1ef3efa6cc65af8cbba446911ba168/CV___Human_Resources_Intern___Đào_Hương_Giang.pdf")</f>
        <v>https://api.typeform.com/responses/files/677e90566ede899a1abb4e178b67616bed1ef3efa6cc65af8cbba446911ba168/CV___Human_Resources_Intern___Đào_Hương_Giang.pdf</v>
      </c>
      <c r="Y70" s="34">
        <v>46146.35518518519</v>
      </c>
      <c r="Z70" s="29" t="s">
        <v>5047</v>
      </c>
      <c r="AA70" s="6">
        <v>3.0</v>
      </c>
      <c r="AB70" s="6" t="s">
        <v>109</v>
      </c>
      <c r="AC70" s="28" t="s">
        <v>6376</v>
      </c>
      <c r="AD70" s="20"/>
      <c r="AE70" s="28"/>
      <c r="AF70" s="6" t="str">
        <f t="shared" si="4"/>
        <v/>
      </c>
    </row>
    <row r="71" ht="23.25" hidden="1" customHeight="1">
      <c r="A71" s="29" t="s">
        <v>5048</v>
      </c>
      <c r="B71" s="30">
        <v>38383.0</v>
      </c>
      <c r="C71" s="29" t="s">
        <v>5049</v>
      </c>
      <c r="D71" s="31" t="s">
        <v>5050</v>
      </c>
      <c r="E71" s="29" t="s">
        <v>774</v>
      </c>
      <c r="G71" s="29" t="s">
        <v>5051</v>
      </c>
      <c r="H71" s="29" t="s">
        <v>5052</v>
      </c>
      <c r="I71" s="29" t="s">
        <v>842</v>
      </c>
      <c r="J71" s="29" t="s">
        <v>5053</v>
      </c>
      <c r="K71" s="29" t="s">
        <v>219</v>
      </c>
      <c r="L71" s="29" t="s">
        <v>5054</v>
      </c>
      <c r="M71" s="33">
        <v>46537.0</v>
      </c>
      <c r="N71" s="31" t="s">
        <v>133</v>
      </c>
      <c r="O71" s="32" t="str">
        <f>HYPERLINK("https://api.typeform.com/responses/files/dd4a72f7d3f5a1cfd3b02d96adc594ea690a4a01da30642b420e62ed7b737094/Transcript___Game_User_Acquisition_Intern__Trần_Thị_Thanh_Nga.png")</f>
        <v>https://api.typeform.com/responses/files/dd4a72f7d3f5a1cfd3b02d96adc594ea690a4a01da30642b420e62ed7b737094/Transcript___Game_User_Acquisition_Intern__Trần_Thị_Thanh_Nga.png</v>
      </c>
      <c r="P71" s="29" t="b">
        <v>1</v>
      </c>
      <c r="Q71" s="29" t="s">
        <v>5055</v>
      </c>
      <c r="R71" s="29" t="s">
        <v>5056</v>
      </c>
      <c r="S71" s="29" t="s">
        <v>72</v>
      </c>
      <c r="T71" s="29" t="s">
        <v>72</v>
      </c>
      <c r="U71" s="29" t="s">
        <v>90</v>
      </c>
      <c r="W71" s="29" t="s">
        <v>5057</v>
      </c>
      <c r="X71" s="231" t="str">
        <f>HYPERLINK("https://api.typeform.com/responses/files/5dc891333b46b5b32f92fbb98e19aebdf5fcae62e77f9a98d4363dd9d14e13ca/CV___Game_User_Acquisition_Intern___Trần_Thị_Thanh_Nga.pdf")</f>
        <v>https://api.typeform.com/responses/files/5dc891333b46b5b32f92fbb98e19aebdf5fcae62e77f9a98d4363dd9d14e13ca/CV___Game_User_Acquisition_Intern___Trần_Thị_Thanh_Nga.pdf</v>
      </c>
      <c r="Y71" s="34">
        <v>46146.382731481484</v>
      </c>
      <c r="Z71" s="29" t="s">
        <v>5058</v>
      </c>
      <c r="AA71" s="6">
        <v>3.0</v>
      </c>
      <c r="AB71" s="6"/>
      <c r="AC71" s="28" t="s">
        <v>6377</v>
      </c>
      <c r="AD71" s="20"/>
      <c r="AE71" s="28" t="s">
        <v>6379</v>
      </c>
      <c r="AF71" s="6" t="str">
        <f t="shared" si="4"/>
        <v>Nhiên</v>
      </c>
    </row>
    <row r="72" ht="23.25" hidden="1" customHeight="1">
      <c r="A72" s="29" t="s">
        <v>5059</v>
      </c>
      <c r="B72" s="30">
        <v>38646.0</v>
      </c>
      <c r="C72" s="29" t="s">
        <v>5060</v>
      </c>
      <c r="D72" s="31" t="s">
        <v>5061</v>
      </c>
      <c r="E72" s="29" t="s">
        <v>61</v>
      </c>
      <c r="F72" s="29" t="s">
        <v>99</v>
      </c>
      <c r="G72" s="29" t="s">
        <v>5062</v>
      </c>
      <c r="H72" s="29" t="s">
        <v>5063</v>
      </c>
      <c r="I72" s="29" t="s">
        <v>85</v>
      </c>
      <c r="K72" s="29" t="s">
        <v>219</v>
      </c>
      <c r="L72" s="29" t="s">
        <v>1945</v>
      </c>
      <c r="M72" s="33">
        <v>46468.0</v>
      </c>
      <c r="N72" s="31" t="s">
        <v>920</v>
      </c>
      <c r="O72" s="32" t="str">
        <f>HYPERLINK("https://api.typeform.com/responses/files/3bd2fb14c2d0df39d65763fc3f2cefc0f13a4f5de553fdb38eb2a8efe2e9a037/Transcript___Unity_Developer_Intern___Dang_Tran_Anh_Hao.pdf")</f>
        <v>https://api.typeform.com/responses/files/3bd2fb14c2d0df39d65763fc3f2cefc0f13a4f5de553fdb38eb2a8efe2e9a037/Transcript___Unity_Developer_Intern___Dang_Tran_Anh_Hao.pdf</v>
      </c>
      <c r="P72" s="29" t="b">
        <v>1</v>
      </c>
      <c r="Q72" s="29" t="s">
        <v>5064</v>
      </c>
      <c r="R72" s="29" t="s">
        <v>5065</v>
      </c>
      <c r="S72" s="29" t="s">
        <v>72</v>
      </c>
      <c r="T72" s="29" t="s">
        <v>72</v>
      </c>
      <c r="U72" s="29" t="s">
        <v>269</v>
      </c>
      <c r="X72" s="231" t="str">
        <f>HYPERLINK("https://api.typeform.com/responses/files/c5be06acd5fa8bd387a920a801a684e9a4e51832a97abeaaf6e6242f56052d69/DangTranAnhHao_CV.pdf")</f>
        <v>https://api.typeform.com/responses/files/c5be06acd5fa8bd387a920a801a684e9a4e51832a97abeaaf6e6242f56052d69/DangTranAnhHao_CV.pdf</v>
      </c>
      <c r="Y72" s="34">
        <v>46146.387511574074</v>
      </c>
      <c r="Z72" s="29" t="s">
        <v>5066</v>
      </c>
      <c r="AA72" s="6">
        <v>3.0</v>
      </c>
      <c r="AB72" s="6" t="s">
        <v>109</v>
      </c>
      <c r="AC72" s="28" t="s">
        <v>6377</v>
      </c>
      <c r="AD72" s="20"/>
      <c r="AE72" s="28" t="s">
        <v>6403</v>
      </c>
      <c r="AF72" s="6" t="str">
        <f t="shared" si="4"/>
        <v>Quỳnh</v>
      </c>
    </row>
    <row r="73" ht="23.25" hidden="1" customHeight="1">
      <c r="A73" s="29" t="s">
        <v>5067</v>
      </c>
      <c r="B73" s="30">
        <v>38565.0</v>
      </c>
      <c r="C73" s="29" t="s">
        <v>5068</v>
      </c>
      <c r="D73" s="31" t="s">
        <v>5069</v>
      </c>
      <c r="E73" s="29" t="s">
        <v>82</v>
      </c>
      <c r="F73" s="29" t="s">
        <v>62</v>
      </c>
      <c r="G73" s="29" t="s">
        <v>5070</v>
      </c>
      <c r="H73" s="29" t="s">
        <v>5071</v>
      </c>
      <c r="I73" s="29" t="s">
        <v>85</v>
      </c>
      <c r="K73" s="29" t="s">
        <v>219</v>
      </c>
      <c r="L73" s="29" t="s">
        <v>5072</v>
      </c>
      <c r="M73" s="33">
        <v>46539.0</v>
      </c>
      <c r="N73" s="31" t="s">
        <v>5073</v>
      </c>
      <c r="O73" s="32" t="str">
        <f>HYPERLINK("https://api.typeform.com/responses/files/428cd4f230694707efd3620ee5a6bdebb6ced4d70200e21c797ae5a4f1f746a9/Transcript___Data_Analysis_Intern___Phạm_Ngọc_Thiện.pdf")</f>
        <v>https://api.typeform.com/responses/files/428cd4f230694707efd3620ee5a6bdebb6ced4d70200e21c797ae5a4f1f746a9/Transcript___Data_Analysis_Intern___Phạm_Ngọc_Thiện.pdf</v>
      </c>
      <c r="P73" s="29" t="b">
        <v>1</v>
      </c>
      <c r="Q73" s="29" t="s">
        <v>5074</v>
      </c>
      <c r="R73" s="29" t="s">
        <v>5075</v>
      </c>
      <c r="S73" s="29" t="s">
        <v>72</v>
      </c>
      <c r="T73" s="29" t="s">
        <v>72</v>
      </c>
      <c r="U73" s="29" t="s">
        <v>3962</v>
      </c>
      <c r="X73" s="231" t="str">
        <f>HYPERLINK("https://api.typeform.com/responses/files/716d81538a196ca4088e2748e61c779d90698071f8ae7bdc6a77a441c91af2d0/CV___Data_Analysis_Intern___Phạm_Ngọc_Thiện.pdf")</f>
        <v>https://api.typeform.com/responses/files/716d81538a196ca4088e2748e61c779d90698071f8ae7bdc6a77a441c91af2d0/CV___Data_Analysis_Intern___Phạm_Ngọc_Thiện.pdf</v>
      </c>
      <c r="Y73" s="34">
        <v>46146.40159722222</v>
      </c>
      <c r="Z73" s="29" t="s">
        <v>5076</v>
      </c>
      <c r="AA73" s="6">
        <v>3.0</v>
      </c>
      <c r="AB73" s="6" t="s">
        <v>109</v>
      </c>
      <c r="AC73" s="28" t="s">
        <v>6377</v>
      </c>
      <c r="AD73" s="20"/>
      <c r="AE73" s="28" t="s">
        <v>6403</v>
      </c>
      <c r="AF73" s="6" t="str">
        <f t="shared" si="4"/>
        <v>Quỳnh</v>
      </c>
    </row>
    <row r="74" ht="23.25" hidden="1" customHeight="1">
      <c r="A74" s="29" t="s">
        <v>5077</v>
      </c>
      <c r="B74" s="30">
        <v>37940.0</v>
      </c>
      <c r="C74" s="29" t="s">
        <v>5078</v>
      </c>
      <c r="D74" s="31" t="s">
        <v>5079</v>
      </c>
      <c r="E74" s="29" t="s">
        <v>774</v>
      </c>
      <c r="G74" s="29" t="s">
        <v>5080</v>
      </c>
      <c r="H74" s="29" t="s">
        <v>5081</v>
      </c>
      <c r="I74" s="29" t="s">
        <v>2293</v>
      </c>
      <c r="K74" s="29" t="s">
        <v>103</v>
      </c>
      <c r="L74" s="29" t="s">
        <v>1496</v>
      </c>
      <c r="M74" s="33">
        <v>46136.0</v>
      </c>
      <c r="N74" s="31" t="s">
        <v>962</v>
      </c>
      <c r="O74" s="32" t="str">
        <f>HYPERLINK("https://api.typeform.com/responses/files/aa273803d22a48da4ee383b26263419fd511dc08c8deb3a626dac2e7a556afed/Transcript___Game_User_Acquisition_Marketing_Intern___Lê_Phạm_Hoàng_Hà.pdf")</f>
        <v>https://api.typeform.com/responses/files/aa273803d22a48da4ee383b26263419fd511dc08c8deb3a626dac2e7a556afed/Transcript___Game_User_Acquisition_Marketing_Intern___Lê_Phạm_Hoàng_Hà.pdf</v>
      </c>
      <c r="P74" s="29" t="b">
        <v>0</v>
      </c>
      <c r="Q74" s="29" t="s">
        <v>5082</v>
      </c>
      <c r="R74" s="29" t="s">
        <v>5082</v>
      </c>
      <c r="S74" s="29" t="s">
        <v>72</v>
      </c>
      <c r="T74" s="29" t="s">
        <v>72</v>
      </c>
      <c r="U74" s="29" t="s">
        <v>90</v>
      </c>
      <c r="X74" s="231" t="str">
        <f>HYPERLINK("https://api.typeform.com/responses/files/b66ffb7782469233c3159069805501af56ddcbd0eb32317bb5d11d5b99240543/CV___Game_User_Acquisition_Marketing_Intern___Lê_Phạm_Hoàng_Hà.pdf")</f>
        <v>https://api.typeform.com/responses/files/b66ffb7782469233c3159069805501af56ddcbd0eb32317bb5d11d5b99240543/CV___Game_User_Acquisition_Marketing_Intern___Lê_Phạm_Hoàng_Hà.pdf</v>
      </c>
      <c r="Y74" s="34">
        <v>46146.40494212963</v>
      </c>
      <c r="Z74" s="29" t="s">
        <v>5083</v>
      </c>
      <c r="AA74" s="6">
        <v>3.0</v>
      </c>
      <c r="AB74" s="6"/>
      <c r="AC74" s="28" t="s">
        <v>6376</v>
      </c>
      <c r="AD74" s="20"/>
      <c r="AE74" s="28"/>
      <c r="AF74" s="6" t="str">
        <f t="shared" si="4"/>
        <v/>
      </c>
    </row>
    <row r="75" ht="23.25" hidden="1" customHeight="1">
      <c r="A75" s="29" t="s">
        <v>5084</v>
      </c>
      <c r="B75" s="30">
        <v>37750.0</v>
      </c>
      <c r="C75" s="29" t="s">
        <v>5085</v>
      </c>
      <c r="D75" s="31" t="s">
        <v>5086</v>
      </c>
      <c r="E75" s="29" t="s">
        <v>774</v>
      </c>
      <c r="G75" s="29" t="s">
        <v>5087</v>
      </c>
      <c r="H75" s="29" t="s">
        <v>5088</v>
      </c>
      <c r="I75" s="29" t="s">
        <v>636</v>
      </c>
      <c r="K75" s="29" t="s">
        <v>103</v>
      </c>
      <c r="L75" s="29" t="s">
        <v>5021</v>
      </c>
      <c r="M75" s="33">
        <v>45972.0</v>
      </c>
      <c r="N75" s="31" t="s">
        <v>4088</v>
      </c>
      <c r="O75" s="32" t="str">
        <f>HYPERLINK("https://api.typeform.com/responses/files/706aede1180736e948692df286e905762d3d2f17003daed238468bee55dc48f7/Transcript___Game_User_Acquisition_Intern___Le_Bao_Ngoc.pdf")</f>
        <v>https://api.typeform.com/responses/files/706aede1180736e948692df286e905762d3d2f17003daed238468bee55dc48f7/Transcript___Game_User_Acquisition_Intern___Le_Bao_Ngoc.pdf</v>
      </c>
      <c r="P75" s="29" t="b">
        <v>1</v>
      </c>
      <c r="Q75" s="29" t="s">
        <v>5089</v>
      </c>
      <c r="R75" s="29" t="s">
        <v>5090</v>
      </c>
      <c r="S75" s="29" t="s">
        <v>72</v>
      </c>
      <c r="T75" s="29" t="s">
        <v>72</v>
      </c>
      <c r="U75" s="29" t="s">
        <v>188</v>
      </c>
      <c r="W75" s="29" t="s">
        <v>5091</v>
      </c>
      <c r="X75" s="231" t="str">
        <f>HYPERLINK("https://api.typeform.com/responses/files/1460e62047590129377fa668af87725fe2749a76f6915235977a01effcc6eed1/CV___Game_User_Acquisition_Intern___Le_Bao_Ngoc.pdf")</f>
        <v>https://api.typeform.com/responses/files/1460e62047590129377fa668af87725fe2749a76f6915235977a01effcc6eed1/CV___Game_User_Acquisition_Intern___Le_Bao_Ngoc.pdf</v>
      </c>
      <c r="Y75" s="34">
        <v>46146.440300925926</v>
      </c>
      <c r="Z75" s="29" t="s">
        <v>5092</v>
      </c>
      <c r="AA75" s="6">
        <v>3.0</v>
      </c>
      <c r="AB75" s="6"/>
      <c r="AC75" s="28" t="s">
        <v>6377</v>
      </c>
      <c r="AD75" s="20"/>
      <c r="AE75" s="28" t="s">
        <v>6379</v>
      </c>
      <c r="AF75" s="6" t="str">
        <f t="shared" si="4"/>
        <v>Nhiên</v>
      </c>
    </row>
    <row r="76" ht="23.25" hidden="1" customHeight="1">
      <c r="A76" s="29" t="s">
        <v>5093</v>
      </c>
      <c r="B76" s="30">
        <v>37815.0</v>
      </c>
      <c r="C76" s="29" t="s">
        <v>5094</v>
      </c>
      <c r="D76" s="31" t="s">
        <v>5095</v>
      </c>
      <c r="E76" s="29" t="s">
        <v>62</v>
      </c>
      <c r="F76" s="29" t="s">
        <v>61</v>
      </c>
      <c r="G76" s="29" t="s">
        <v>5096</v>
      </c>
      <c r="H76" s="29" t="s">
        <v>5097</v>
      </c>
      <c r="I76" s="29" t="s">
        <v>715</v>
      </c>
      <c r="K76" s="29" t="s">
        <v>103</v>
      </c>
      <c r="L76" s="29" t="s">
        <v>399</v>
      </c>
      <c r="M76" s="33">
        <v>45962.0</v>
      </c>
      <c r="N76" s="31" t="s">
        <v>317</v>
      </c>
      <c r="O76" s="32" t="str">
        <f>HYPERLINK("https://api.typeform.com/responses/files/a126d72d4fafebdd6899050b2e9914ab55f7160d06dc614b0168a9564dbca1f2/Transcript___AI_Engineering_Intern___Nguyễn_Tấn_Dũng.pdf")</f>
        <v>https://api.typeform.com/responses/files/a126d72d4fafebdd6899050b2e9914ab55f7160d06dc614b0168a9564dbca1f2/Transcript___AI_Engineering_Intern___Nguyễn_Tấn_Dũng.pdf</v>
      </c>
      <c r="P76" s="29" t="b">
        <v>1</v>
      </c>
      <c r="Q76" s="29" t="s">
        <v>5098</v>
      </c>
      <c r="R76" s="29" t="s">
        <v>5099</v>
      </c>
      <c r="S76" s="29" t="s">
        <v>72</v>
      </c>
      <c r="T76" s="29" t="s">
        <v>72</v>
      </c>
      <c r="U76" s="29" t="s">
        <v>3962</v>
      </c>
      <c r="X76" s="231" t="str">
        <f>HYPERLINK("https://api.typeform.com/responses/files/f429150985dd6104a43d69730227d87178dbed6fcf610ec658af53d3bf0a8b94/CV___AI_Engineering_Intern___Nguyễn_Tấn_Dũng.pdf")</f>
        <v>https://api.typeform.com/responses/files/f429150985dd6104a43d69730227d87178dbed6fcf610ec658af53d3bf0a8b94/CV___AI_Engineering_Intern___Nguyễn_Tấn_Dũng.pdf</v>
      </c>
      <c r="Y76" s="34">
        <v>46146.54681712963</v>
      </c>
      <c r="Z76" s="29" t="s">
        <v>5100</v>
      </c>
      <c r="AA76" s="6">
        <v>3.0</v>
      </c>
      <c r="AB76" s="6"/>
      <c r="AC76" s="28"/>
      <c r="AD76" s="20"/>
      <c r="AE76" s="28"/>
      <c r="AF76" s="6" t="str">
        <f t="shared" si="4"/>
        <v/>
      </c>
    </row>
    <row r="77" ht="23.25" hidden="1" customHeight="1">
      <c r="A77" s="29" t="s">
        <v>5101</v>
      </c>
      <c r="B77" s="30">
        <v>38415.0</v>
      </c>
      <c r="C77" s="29" t="s">
        <v>5102</v>
      </c>
      <c r="D77" s="31" t="s">
        <v>5103</v>
      </c>
      <c r="E77" s="29" t="s">
        <v>62</v>
      </c>
      <c r="F77" s="29" t="s">
        <v>82</v>
      </c>
      <c r="G77" s="29" t="s">
        <v>5104</v>
      </c>
      <c r="H77" s="29" t="s">
        <v>5105</v>
      </c>
      <c r="I77" s="29" t="s">
        <v>85</v>
      </c>
      <c r="K77" s="29" t="s">
        <v>219</v>
      </c>
      <c r="L77" s="29" t="s">
        <v>399</v>
      </c>
      <c r="M77" s="33">
        <v>46539.0</v>
      </c>
      <c r="N77" s="31" t="s">
        <v>5106</v>
      </c>
      <c r="O77" s="32" t="str">
        <f>HYPERLINK("https://api.typeform.com/responses/files/59393cbf2ee841798cef03929fe08465f3e49f142a48aa32ad4deb8822a3bb66/GIP_2026___Bảng_Điểm___Lê_Quang_Long.png")</f>
        <v>https://api.typeform.com/responses/files/59393cbf2ee841798cef03929fe08465f3e49f142a48aa32ad4deb8822a3bb66/GIP_2026___Bảng_Điểm___Lê_Quang_Long.png</v>
      </c>
      <c r="P77" s="29" t="b">
        <v>1</v>
      </c>
      <c r="Q77" s="29" t="s">
        <v>5107</v>
      </c>
      <c r="R77" s="29" t="s">
        <v>5108</v>
      </c>
      <c r="S77" s="29" t="s">
        <v>72</v>
      </c>
      <c r="T77" s="29" t="s">
        <v>72</v>
      </c>
      <c r="U77" s="29" t="s">
        <v>269</v>
      </c>
      <c r="W77" s="29" t="s">
        <v>5109</v>
      </c>
      <c r="X77" s="231" t="str">
        <f>HYPERLINK("https://api.typeform.com/responses/files/3fa14a8dc662c72d513759000bc9e619b8803717d08800b7f3bd1c57a822ece7/CV_–_Le_Quang_Long.pdf")</f>
        <v>https://api.typeform.com/responses/files/3fa14a8dc662c72d513759000bc9e619b8803717d08800b7f3bd1c57a822ece7/CV_–_Le_Quang_Long.pdf</v>
      </c>
      <c r="Y77" s="34">
        <v>46146.61761574074</v>
      </c>
      <c r="Z77" s="29" t="s">
        <v>5110</v>
      </c>
      <c r="AA77" s="6">
        <v>3.0</v>
      </c>
      <c r="AB77" s="6"/>
      <c r="AC77" s="28"/>
      <c r="AD77" s="20"/>
      <c r="AE77" s="28"/>
      <c r="AF77" s="6" t="str">
        <f t="shared" si="4"/>
        <v/>
      </c>
    </row>
    <row r="78" ht="23.25" hidden="1" customHeight="1">
      <c r="A78" s="29" t="s">
        <v>5111</v>
      </c>
      <c r="B78" s="30">
        <v>38261.0</v>
      </c>
      <c r="C78" s="29" t="s">
        <v>5112</v>
      </c>
      <c r="D78" s="31" t="s">
        <v>5113</v>
      </c>
      <c r="E78" s="29" t="s">
        <v>82</v>
      </c>
      <c r="F78" s="29" t="s">
        <v>62</v>
      </c>
      <c r="G78" s="29" t="s">
        <v>5114</v>
      </c>
      <c r="H78" s="29" t="s">
        <v>5115</v>
      </c>
      <c r="I78" s="29" t="s">
        <v>277</v>
      </c>
      <c r="K78" s="29" t="s">
        <v>67</v>
      </c>
      <c r="L78" s="29" t="s">
        <v>737</v>
      </c>
      <c r="M78" s="33">
        <v>46447.0</v>
      </c>
      <c r="N78" s="31" t="s">
        <v>413</v>
      </c>
      <c r="O78" s="32" t="str">
        <f>HYPERLINK("https://api.typeform.com/responses/files/3efa15241b1e42aaec33b2130eaee7e34704418f4be0cc01a2de547901d22e18/Transcript___Data_Analysis_Intern___Nguyễn_Phạm_Chí_Bảo.pdf")</f>
        <v>https://api.typeform.com/responses/files/3efa15241b1e42aaec33b2130eaee7e34704418f4be0cc01a2de547901d22e18/Transcript___Data_Analysis_Intern___Nguyễn_Phạm_Chí_Bảo.pdf</v>
      </c>
      <c r="P78" s="29" t="b">
        <v>1</v>
      </c>
      <c r="Q78" s="29" t="s">
        <v>5116</v>
      </c>
      <c r="R78" s="29" t="s">
        <v>5117</v>
      </c>
      <c r="S78" s="29" t="s">
        <v>72</v>
      </c>
      <c r="T78" s="29" t="s">
        <v>72</v>
      </c>
      <c r="U78" s="29" t="s">
        <v>236</v>
      </c>
      <c r="W78" s="29" t="s">
        <v>5118</v>
      </c>
      <c r="X78" s="231" t="str">
        <f>HYPERLINK("https://api.typeform.com/responses/files/890a7775089239383c5dfd41ba89d49a185c9f82afeaabb459f4970a1dd871e9/CV___Data_Analysis_Intern___Nguyễn_Phạm_Chí_Bảo.pdf")</f>
        <v>https://api.typeform.com/responses/files/890a7775089239383c5dfd41ba89d49a185c9f82afeaabb459f4970a1dd871e9/CV___Data_Analysis_Intern___Nguyễn_Phạm_Chí_Bảo.pdf</v>
      </c>
      <c r="Y78" s="34">
        <v>46146.676666666666</v>
      </c>
      <c r="Z78" s="29" t="s">
        <v>5119</v>
      </c>
      <c r="AA78" s="6">
        <v>3.0</v>
      </c>
      <c r="AB78" s="6" t="s">
        <v>109</v>
      </c>
      <c r="AC78" s="28" t="s">
        <v>6377</v>
      </c>
      <c r="AD78" s="20"/>
      <c r="AE78" s="28" t="s">
        <v>6403</v>
      </c>
      <c r="AF78" s="6" t="str">
        <f t="shared" si="4"/>
        <v>Quỳnh</v>
      </c>
    </row>
    <row r="79" ht="23.25" hidden="1" customHeight="1">
      <c r="A79" s="29" t="s">
        <v>5120</v>
      </c>
      <c r="B79" s="30">
        <v>38623.0</v>
      </c>
      <c r="C79" s="29" t="s">
        <v>5121</v>
      </c>
      <c r="D79" s="31" t="s">
        <v>5122</v>
      </c>
      <c r="E79" s="29" t="s">
        <v>62</v>
      </c>
      <c r="G79" s="29" t="s">
        <v>5123</v>
      </c>
      <c r="H79" s="29" t="s">
        <v>5124</v>
      </c>
      <c r="I79" s="29" t="s">
        <v>468</v>
      </c>
      <c r="K79" s="29" t="s">
        <v>219</v>
      </c>
      <c r="L79" s="29" t="s">
        <v>624</v>
      </c>
      <c r="M79" s="33">
        <v>46478.0</v>
      </c>
      <c r="N79" s="29" t="s">
        <v>5125</v>
      </c>
      <c r="O79" s="32" t="str">
        <f>HYPERLINK("https://api.typeform.com/responses/files/7f6b4ca5e7ec1a6e664dc1c602ae52ea4b5c90f91edf1d22d18e54daecf79dae/Transcript___AI_Engineering_Intern___Trần_Ngọc_Biên.pdf")</f>
        <v>https://api.typeform.com/responses/files/7f6b4ca5e7ec1a6e664dc1c602ae52ea4b5c90f91edf1d22d18e54daecf79dae/Transcript___AI_Engineering_Intern___Trần_Ngọc_Biên.pdf</v>
      </c>
      <c r="P79" s="29" t="b">
        <v>1</v>
      </c>
      <c r="Q79" s="29" t="s">
        <v>5126</v>
      </c>
      <c r="R79" s="29" t="s">
        <v>5127</v>
      </c>
      <c r="S79" s="29" t="s">
        <v>72</v>
      </c>
      <c r="T79" s="29" t="s">
        <v>72</v>
      </c>
      <c r="U79" s="29" t="s">
        <v>73</v>
      </c>
      <c r="W79" s="29" t="s">
        <v>5128</v>
      </c>
      <c r="X79" s="231" t="str">
        <f>HYPERLINK("https://api.typeform.com/responses/files/499da9e9d0e9eca1475551b6e69620d84553a26d233305ee6786bb3bd539d500/CV___AI_Engineering_Intern___Trần_Ngọc_Biên.pdf")</f>
        <v>https://api.typeform.com/responses/files/499da9e9d0e9eca1475551b6e69620d84553a26d233305ee6786bb3bd539d500/CV___AI_Engineering_Intern___Trần_Ngọc_Biên.pdf</v>
      </c>
      <c r="Y79" s="34">
        <v>46146.68136574074</v>
      </c>
      <c r="Z79" s="29" t="s">
        <v>5129</v>
      </c>
      <c r="AA79" s="6">
        <v>3.0</v>
      </c>
      <c r="AB79" s="6"/>
      <c r="AC79" s="28"/>
      <c r="AD79" s="20"/>
      <c r="AE79" s="28"/>
      <c r="AF79" s="6" t="str">
        <f t="shared" si="4"/>
        <v/>
      </c>
    </row>
    <row r="80" ht="23.25" hidden="1" customHeight="1">
      <c r="A80" s="29" t="s">
        <v>5130</v>
      </c>
      <c r="B80" s="30">
        <v>38596.0</v>
      </c>
      <c r="C80" s="29" t="s">
        <v>5131</v>
      </c>
      <c r="D80" s="31" t="s">
        <v>5132</v>
      </c>
      <c r="E80" s="29" t="s">
        <v>774</v>
      </c>
      <c r="F80" s="29" t="s">
        <v>633</v>
      </c>
      <c r="G80" s="29" t="s">
        <v>5133</v>
      </c>
      <c r="H80" s="29" t="s">
        <v>5134</v>
      </c>
      <c r="I80" s="29" t="s">
        <v>842</v>
      </c>
      <c r="K80" s="29" t="s">
        <v>219</v>
      </c>
      <c r="L80" s="29" t="s">
        <v>1348</v>
      </c>
      <c r="M80" s="33">
        <v>46600.0</v>
      </c>
      <c r="N80" s="31" t="s">
        <v>2720</v>
      </c>
      <c r="O80" s="32" t="str">
        <f>HYPERLINK("https://api.typeform.com/responses/files/06477aaba885eb2765ef53346e0650823d361a9d689871f964ffc81c50760037/Transcript___Game_User_Acquisition_Intern___Nguyễn_Phan_Bình_Nguyên.xlsx")</f>
        <v>https://api.typeform.com/responses/files/06477aaba885eb2765ef53346e0650823d361a9d689871f964ffc81c50760037/Transcript___Game_User_Acquisition_Intern___Nguyễn_Phan_Bình_Nguyên.xlsx</v>
      </c>
      <c r="P80" s="29" t="b">
        <v>1</v>
      </c>
      <c r="Q80" s="29" t="s">
        <v>5135</v>
      </c>
      <c r="R80" s="29" t="s">
        <v>5136</v>
      </c>
      <c r="S80" s="29" t="s">
        <v>72</v>
      </c>
      <c r="T80" s="29" t="s">
        <v>72</v>
      </c>
      <c r="U80" s="29" t="s">
        <v>1026</v>
      </c>
      <c r="W80" s="29" t="s">
        <v>5137</v>
      </c>
      <c r="X80" s="231" t="str">
        <f>HYPERLINK("https://api.typeform.com/responses/files/99a73b03048faf44d2443f1feef8ce143efc695349327f7521ed5dd2694f8de7/CV___Game_User_Acquisition_Intern___Nguyễn_Phan_Bình_Nguyên.pdf")</f>
        <v>https://api.typeform.com/responses/files/99a73b03048faf44d2443f1feef8ce143efc695349327f7521ed5dd2694f8de7/CV___Game_User_Acquisition_Intern___Nguyễn_Phan_Bình_Nguyên.pdf</v>
      </c>
      <c r="Y80" s="34">
        <v>46146.68716435185</v>
      </c>
      <c r="Z80" s="29" t="s">
        <v>5138</v>
      </c>
      <c r="AA80" s="6">
        <v>3.0</v>
      </c>
      <c r="AB80" s="6"/>
      <c r="AC80" s="28" t="s">
        <v>6377</v>
      </c>
      <c r="AD80" s="20"/>
      <c r="AE80" s="28" t="s">
        <v>6379</v>
      </c>
      <c r="AF80" s="6" t="str">
        <f t="shared" si="4"/>
        <v>Nhiên</v>
      </c>
    </row>
    <row r="81" ht="23.25" hidden="1" customHeight="1">
      <c r="A81" s="29" t="s">
        <v>5139</v>
      </c>
      <c r="B81" s="30">
        <v>38343.0</v>
      </c>
      <c r="C81" s="29" t="s">
        <v>5140</v>
      </c>
      <c r="D81" s="31" t="s">
        <v>5141</v>
      </c>
      <c r="E81" s="29" t="s">
        <v>61</v>
      </c>
      <c r="F81" s="29" t="s">
        <v>99</v>
      </c>
      <c r="G81" s="29" t="s">
        <v>5142</v>
      </c>
      <c r="H81" s="29" t="s">
        <v>5143</v>
      </c>
      <c r="I81" s="29" t="s">
        <v>144</v>
      </c>
      <c r="J81" s="29" t="s">
        <v>3078</v>
      </c>
      <c r="K81" s="29" t="s">
        <v>5144</v>
      </c>
      <c r="L81" s="29" t="s">
        <v>5145</v>
      </c>
      <c r="M81" s="33">
        <v>46185.0</v>
      </c>
      <c r="N81" s="31" t="s">
        <v>483</v>
      </c>
      <c r="O81" s="32" t="str">
        <f>HYPERLINK("https://api.typeform.com/responses/files/e6bcf2a4f2a80fa60dca0eb77d67f72766bb6154cdc83ef65af746ccebfe89c5/Transcript___Unity_Developer_Intern___Lê_Tấn_Lợi.pdf")</f>
        <v>https://api.typeform.com/responses/files/e6bcf2a4f2a80fa60dca0eb77d67f72766bb6154cdc83ef65af746ccebfe89c5/Transcript___Unity_Developer_Intern___Lê_Tấn_Lợi.pdf</v>
      </c>
      <c r="P81" s="29" t="b">
        <v>1</v>
      </c>
      <c r="Q81" s="29" t="s">
        <v>5146</v>
      </c>
      <c r="R81" s="29" t="s">
        <v>5147</v>
      </c>
      <c r="S81" s="29" t="s">
        <v>72</v>
      </c>
      <c r="T81" s="29" t="s">
        <v>72</v>
      </c>
      <c r="U81" s="29" t="s">
        <v>73</v>
      </c>
      <c r="W81" s="29" t="s">
        <v>5148</v>
      </c>
      <c r="X81" s="231" t="str">
        <f>HYPERLINK("https://api.typeform.com/responses/files/01af29048b22c30ac97f181eea7f0a327c3950fc9cc6a2a73d2652f88bc57ac2/CV___Unity_Developer_Intern___Lê_Tấn_Lợi.pdf")</f>
        <v>https://api.typeform.com/responses/files/01af29048b22c30ac97f181eea7f0a327c3950fc9cc6a2a73d2652f88bc57ac2/CV___Unity_Developer_Intern___Lê_Tấn_Lợi.pdf</v>
      </c>
      <c r="Y81" s="34">
        <v>46146.69751157407</v>
      </c>
      <c r="Z81" s="29" t="s">
        <v>5149</v>
      </c>
      <c r="AA81" s="6">
        <v>3.0</v>
      </c>
      <c r="AB81" s="6" t="s">
        <v>109</v>
      </c>
      <c r="AC81" s="28" t="s">
        <v>6376</v>
      </c>
      <c r="AD81" s="20"/>
      <c r="AE81" s="28"/>
      <c r="AF81" s="6" t="str">
        <f t="shared" si="4"/>
        <v/>
      </c>
    </row>
    <row r="82" ht="23.25" hidden="1" customHeight="1">
      <c r="A82" s="29" t="s">
        <v>5150</v>
      </c>
      <c r="B82" s="30">
        <v>37802.0</v>
      </c>
      <c r="C82" s="29" t="s">
        <v>5151</v>
      </c>
      <c r="D82" s="31" t="s">
        <v>5152</v>
      </c>
      <c r="E82" s="29" t="s">
        <v>82</v>
      </c>
      <c r="F82" s="29" t="s">
        <v>774</v>
      </c>
      <c r="G82" s="29" t="s">
        <v>5153</v>
      </c>
      <c r="H82" s="29" t="s">
        <v>5154</v>
      </c>
      <c r="I82" s="29" t="s">
        <v>842</v>
      </c>
      <c r="K82" s="29" t="s">
        <v>103</v>
      </c>
      <c r="L82" s="29" t="s">
        <v>5155</v>
      </c>
      <c r="M82" s="33">
        <v>46279.0</v>
      </c>
      <c r="N82" s="31" t="s">
        <v>2210</v>
      </c>
      <c r="O82" s="32" t="str">
        <f>HYPERLINK("https://api.typeform.com/responses/files/75b7c67d2d6df081eeef792a475e73f07de218170ea53b4b34ba3d934793fdde/Transcript___Data_Analysis_Intern___Ho_Nguyen_Thanh_Trung.pdf")</f>
        <v>https://api.typeform.com/responses/files/75b7c67d2d6df081eeef792a475e73f07de218170ea53b4b34ba3d934793fdde/Transcript___Data_Analysis_Intern___Ho_Nguyen_Thanh_Trung.pdf</v>
      </c>
      <c r="P82" s="29" t="b">
        <v>1</v>
      </c>
      <c r="Q82" s="29" t="s">
        <v>5156</v>
      </c>
      <c r="R82" s="29" t="s">
        <v>5157</v>
      </c>
      <c r="S82" s="29" t="s">
        <v>72</v>
      </c>
      <c r="T82" s="29" t="s">
        <v>72</v>
      </c>
      <c r="U82" s="29" t="s">
        <v>5158</v>
      </c>
      <c r="W82" s="29" t="s">
        <v>5159</v>
      </c>
      <c r="X82" s="231" t="str">
        <f>HYPERLINK("https://api.typeform.com/responses/files/6fe4884982b96405938630441b0f998b17e78aba052ebf457f26703c0f6fd1c2/Ho_Nguyen_Thanh_Trung_SunRiser_RISER2026.pdf")</f>
        <v>https://api.typeform.com/responses/files/6fe4884982b96405938630441b0f998b17e78aba052ebf457f26703c0f6fd1c2/Ho_Nguyen_Thanh_Trung_SunRiser_RISER2026.pdf</v>
      </c>
      <c r="Y82" s="34">
        <v>46146.73224537037</v>
      </c>
      <c r="Z82" s="29" t="s">
        <v>5160</v>
      </c>
      <c r="AA82" s="6">
        <v>3.0</v>
      </c>
      <c r="AB82" s="6" t="s">
        <v>109</v>
      </c>
      <c r="AC82" s="28" t="s">
        <v>6376</v>
      </c>
      <c r="AD82" s="20"/>
      <c r="AE82" s="28"/>
      <c r="AF82" s="6" t="str">
        <f t="shared" si="4"/>
        <v/>
      </c>
    </row>
    <row r="83" ht="23.25" hidden="1" customHeight="1">
      <c r="A83" s="29" t="s">
        <v>5172</v>
      </c>
      <c r="B83" s="30">
        <v>38485.0</v>
      </c>
      <c r="C83" s="29" t="s">
        <v>5173</v>
      </c>
      <c r="D83" s="31" t="s">
        <v>5174</v>
      </c>
      <c r="E83" s="29" t="s">
        <v>61</v>
      </c>
      <c r="G83" s="29" t="s">
        <v>5175</v>
      </c>
      <c r="H83" s="29" t="s">
        <v>5176</v>
      </c>
      <c r="I83" s="29" t="s">
        <v>85</v>
      </c>
      <c r="K83" s="29" t="s">
        <v>219</v>
      </c>
      <c r="L83" s="29" t="s">
        <v>5177</v>
      </c>
      <c r="M83" s="33">
        <v>46388.0</v>
      </c>
      <c r="N83" s="31" t="s">
        <v>942</v>
      </c>
      <c r="O83" s="32" t="str">
        <f>HYPERLINK("https://api.typeform.com/responses/files/46569e5b363222ec741401dcd012c730b0d5788add1a6839b7949d2997dc808a/Transcript___Unity_Development_Intern___Đặng_Hiểu_Hòa.pdf")</f>
        <v>https://api.typeform.com/responses/files/46569e5b363222ec741401dcd012c730b0d5788add1a6839b7949d2997dc808a/Transcript___Unity_Development_Intern___Đặng_Hiểu_Hòa.pdf</v>
      </c>
      <c r="P83" s="29" t="b">
        <v>1</v>
      </c>
      <c r="Q83" s="29" t="s">
        <v>5178</v>
      </c>
      <c r="R83" s="29" t="s">
        <v>5179</v>
      </c>
      <c r="S83" s="29" t="s">
        <v>72</v>
      </c>
      <c r="T83" s="29" t="s">
        <v>72</v>
      </c>
      <c r="U83" s="29" t="s">
        <v>269</v>
      </c>
      <c r="W83" s="29" t="s">
        <v>5180</v>
      </c>
      <c r="X83" s="231" t="str">
        <f>HYPERLINK("https://api.typeform.com/responses/files/39c5fea6d646586ea51f980c21da8fc789e83e1239a0f1c42f84fb8717e4bace/CV___Unity_Development_Intern___Đặng_Hiểu_Hòa.pdf")</f>
        <v>https://api.typeform.com/responses/files/39c5fea6d646586ea51f980c21da8fc789e83e1239a0f1c42f84fb8717e4bace/CV___Unity_Development_Intern___Đặng_Hiểu_Hòa.pdf</v>
      </c>
      <c r="Y83" s="34">
        <v>46147.085023148145</v>
      </c>
      <c r="Z83" s="29" t="s">
        <v>5181</v>
      </c>
      <c r="AA83" s="6">
        <v>3.0</v>
      </c>
      <c r="AB83" s="6" t="s">
        <v>109</v>
      </c>
      <c r="AC83" s="28" t="s">
        <v>6377</v>
      </c>
      <c r="AD83" s="20"/>
      <c r="AE83" s="28" t="s">
        <v>6403</v>
      </c>
      <c r="AF83" s="6" t="str">
        <f t="shared" si="4"/>
        <v>Quỳnh</v>
      </c>
    </row>
    <row r="84" ht="23.25" hidden="1" customHeight="1">
      <c r="A84" s="29" t="s">
        <v>5182</v>
      </c>
      <c r="B84" s="30">
        <v>38056.0</v>
      </c>
      <c r="C84" s="29" t="s">
        <v>5183</v>
      </c>
      <c r="D84" s="31" t="s">
        <v>5184</v>
      </c>
      <c r="E84" s="29" t="s">
        <v>82</v>
      </c>
      <c r="F84" s="29" t="s">
        <v>62</v>
      </c>
      <c r="G84" s="29" t="s">
        <v>5185</v>
      </c>
      <c r="H84" s="29" t="s">
        <v>5186</v>
      </c>
      <c r="I84" s="29" t="s">
        <v>5187</v>
      </c>
      <c r="K84" s="29" t="s">
        <v>103</v>
      </c>
      <c r="L84" s="29" t="s">
        <v>132</v>
      </c>
      <c r="M84" s="33">
        <v>46015.0</v>
      </c>
      <c r="N84" s="29" t="s">
        <v>5188</v>
      </c>
      <c r="O84" s="32" t="str">
        <f>HYPERLINK("https://api.typeform.com/responses/files/c076fc532536caabab09349a1b462df778a01d6e64163d646a1d9e3cfa94259b/BẢNG_GHI_KẾT_QUẢ_HỌC_TẬP.pdf")</f>
        <v>https://api.typeform.com/responses/files/c076fc532536caabab09349a1b462df778a01d6e64163d646a1d9e3cfa94259b/BẢNG_GHI_KẾT_QUẢ_HỌC_TẬP.pdf</v>
      </c>
      <c r="P84" s="29" t="b">
        <v>1</v>
      </c>
      <c r="Q84" s="29" t="s">
        <v>5189</v>
      </c>
      <c r="R84" s="29" t="s">
        <v>5190</v>
      </c>
      <c r="S84" s="29" t="s">
        <v>72</v>
      </c>
      <c r="T84" s="29" t="s">
        <v>72</v>
      </c>
      <c r="U84" s="29" t="s">
        <v>73</v>
      </c>
      <c r="W84" s="29" t="s">
        <v>5191</v>
      </c>
      <c r="X84" s="231" t="str">
        <f>HYPERLINK("https://api.typeform.com/responses/files/ec4d7e5f6dda3d75de42344e779991bf97984fdc127889f5c81e10426b29cfac/cv_Le_Tan_Xuan_Khang_Data_Analyst.pdf")</f>
        <v>https://api.typeform.com/responses/files/ec4d7e5f6dda3d75de42344e779991bf97984fdc127889f5c81e10426b29cfac/cv_Le_Tan_Xuan_Khang_Data_Analyst.pdf</v>
      </c>
      <c r="Y84" s="34">
        <v>46147.11966435185</v>
      </c>
      <c r="Z84" s="29" t="s">
        <v>5192</v>
      </c>
      <c r="AA84" s="6">
        <v>3.0</v>
      </c>
      <c r="AB84" s="6" t="s">
        <v>109</v>
      </c>
      <c r="AC84" s="28" t="s">
        <v>6376</v>
      </c>
      <c r="AD84" s="20"/>
      <c r="AE84" s="28"/>
      <c r="AF84" s="6" t="str">
        <f t="shared" si="4"/>
        <v/>
      </c>
    </row>
    <row r="85" ht="23.25" hidden="1" customHeight="1">
      <c r="A85" s="29" t="s">
        <v>5203</v>
      </c>
      <c r="B85" s="30">
        <v>38586.0</v>
      </c>
      <c r="C85" s="29" t="s">
        <v>5204</v>
      </c>
      <c r="D85" s="31" t="s">
        <v>5205</v>
      </c>
      <c r="E85" s="29" t="s">
        <v>61</v>
      </c>
      <c r="F85" s="29" t="s">
        <v>127</v>
      </c>
      <c r="G85" s="29" t="s">
        <v>5206</v>
      </c>
      <c r="H85" s="29" t="s">
        <v>5207</v>
      </c>
      <c r="I85" s="29" t="s">
        <v>85</v>
      </c>
      <c r="K85" s="29" t="s">
        <v>219</v>
      </c>
      <c r="L85" s="29" t="s">
        <v>684</v>
      </c>
      <c r="M85" s="33">
        <v>46568.0</v>
      </c>
      <c r="N85" s="31" t="s">
        <v>4043</v>
      </c>
      <c r="O85" s="32" t="str">
        <f>HYPERLINK("https://api.typeform.com/responses/files/d5a9838637599da9dc2f0e4d6a8bf7630638450d873c140c198148054fe2ff57/Transcript___Unity_Development_Intern___Trương_Quốc_Bảo.pdf")</f>
        <v>https://api.typeform.com/responses/files/d5a9838637599da9dc2f0e4d6a8bf7630638450d873c140c198148054fe2ff57/Transcript___Unity_Development_Intern___Trương_Quốc_Bảo.pdf</v>
      </c>
      <c r="P85" s="29" t="b">
        <v>1</v>
      </c>
      <c r="Q85" s="29" t="s">
        <v>5208</v>
      </c>
      <c r="R85" s="29" t="s">
        <v>5179</v>
      </c>
      <c r="S85" s="29" t="s">
        <v>72</v>
      </c>
      <c r="T85" s="29" t="s">
        <v>72</v>
      </c>
      <c r="U85" s="29" t="s">
        <v>269</v>
      </c>
      <c r="W85" s="29" t="s">
        <v>5209</v>
      </c>
      <c r="X85" s="231" t="str">
        <f>HYPERLINK("https://api.typeform.com/responses/files/6bf594917c6821514f626cce6aa67a2662feb872b59036484f4f5b6198d505b8/CV___Unity_Development_Intern___Trương_Quốc_Bảo.pdf")</f>
        <v>https://api.typeform.com/responses/files/6bf594917c6821514f626cce6aa67a2662feb872b59036484f4f5b6198d505b8/CV___Unity_Development_Intern___Trương_Quốc_Bảo.pdf</v>
      </c>
      <c r="Y85" s="34">
        <v>46147.1478125</v>
      </c>
      <c r="Z85" s="29" t="s">
        <v>5210</v>
      </c>
      <c r="AA85" s="6">
        <v>3.0</v>
      </c>
      <c r="AB85" s="6" t="s">
        <v>109</v>
      </c>
      <c r="AC85" s="28" t="s">
        <v>6376</v>
      </c>
      <c r="AD85" s="20"/>
      <c r="AE85" s="28"/>
      <c r="AF85" s="6" t="str">
        <f t="shared" si="4"/>
        <v/>
      </c>
    </row>
    <row r="86" ht="23.25" hidden="1" customHeight="1">
      <c r="A86" s="29" t="s">
        <v>5211</v>
      </c>
      <c r="B86" s="30">
        <v>38999.0</v>
      </c>
      <c r="C86" s="29" t="s">
        <v>5212</v>
      </c>
      <c r="D86" s="31" t="s">
        <v>5213</v>
      </c>
      <c r="E86" s="29" t="s">
        <v>82</v>
      </c>
      <c r="F86" s="29" t="s">
        <v>127</v>
      </c>
      <c r="G86" s="29" t="s">
        <v>5214</v>
      </c>
      <c r="H86" s="29" t="s">
        <v>5215</v>
      </c>
      <c r="I86" s="29" t="s">
        <v>85</v>
      </c>
      <c r="K86" s="29" t="s">
        <v>169</v>
      </c>
      <c r="L86" s="29" t="s">
        <v>220</v>
      </c>
      <c r="M86" s="33">
        <v>46905.0</v>
      </c>
      <c r="N86" s="31" t="s">
        <v>171</v>
      </c>
      <c r="O86" s="32" t="str">
        <f>HYPERLINK("https://api.typeform.com/responses/files/ca7bbfbeff0abade7c72ede2fde86f112f2e6abd369443370c4e286ebacaf1c6/Transcript___Data_Analysis_Intern___Lai_Mộc_Huy.pdf")</f>
        <v>https://api.typeform.com/responses/files/ca7bbfbeff0abade7c72ede2fde86f112f2e6abd369443370c4e286ebacaf1c6/Transcript___Data_Analysis_Intern___Lai_Mộc_Huy.pdf</v>
      </c>
      <c r="P86" s="29" t="b">
        <v>1</v>
      </c>
      <c r="Q86" s="29" t="s">
        <v>5216</v>
      </c>
      <c r="R86" s="29" t="s">
        <v>5217</v>
      </c>
      <c r="S86" s="29" t="s">
        <v>72</v>
      </c>
      <c r="T86" s="29" t="s">
        <v>5218</v>
      </c>
      <c r="U86" s="29" t="s">
        <v>2389</v>
      </c>
      <c r="W86" s="29" t="s">
        <v>5219</v>
      </c>
      <c r="X86" s="231" t="str">
        <f>HYPERLINK("https://api.typeform.com/responses/files/0c0381696fcb62be8e224f2a97cd412f0f1e107d0dc3d97a6c6ca08d005420b5/CV___Data_Analysis_Intern___Lai_Mộc_Huy.pdf")</f>
        <v>https://api.typeform.com/responses/files/0c0381696fcb62be8e224f2a97cd412f0f1e107d0dc3d97a6c6ca08d005420b5/CV___Data_Analysis_Intern___Lai_Mộc_Huy.pdf</v>
      </c>
      <c r="Y86" s="34">
        <v>46147.15568287037</v>
      </c>
      <c r="Z86" s="29" t="s">
        <v>5220</v>
      </c>
      <c r="AA86" s="6">
        <v>3.0</v>
      </c>
      <c r="AB86" s="6" t="s">
        <v>109</v>
      </c>
      <c r="AC86" s="28" t="s">
        <v>6377</v>
      </c>
      <c r="AD86" s="20"/>
      <c r="AE86" s="28" t="s">
        <v>6403</v>
      </c>
      <c r="AF86" s="6" t="str">
        <f t="shared" si="4"/>
        <v>Quỳnh</v>
      </c>
    </row>
    <row r="87" ht="23.25" hidden="1" customHeight="1">
      <c r="A87" s="29" t="s">
        <v>5221</v>
      </c>
      <c r="B87" s="30">
        <v>38209.0</v>
      </c>
      <c r="C87" s="29" t="s">
        <v>5222</v>
      </c>
      <c r="D87" s="31" t="s">
        <v>5223</v>
      </c>
      <c r="E87" s="29" t="s">
        <v>61</v>
      </c>
      <c r="F87" s="29" t="s">
        <v>99</v>
      </c>
      <c r="G87" s="29" t="s">
        <v>5224</v>
      </c>
      <c r="H87" s="29" t="s">
        <v>5225</v>
      </c>
      <c r="I87" s="29" t="s">
        <v>65</v>
      </c>
      <c r="J87" s="29" t="s">
        <v>961</v>
      </c>
      <c r="K87" s="29" t="s">
        <v>103</v>
      </c>
      <c r="L87" s="29" t="s">
        <v>446</v>
      </c>
      <c r="M87" s="33">
        <v>46086.0</v>
      </c>
      <c r="N87" s="31" t="s">
        <v>696</v>
      </c>
      <c r="O87" s="32" t="str">
        <f>HYPERLINK("https://api.typeform.com/responses/files/616cf8979a8b9a3b71d29169d61e70de244446f68b624c29c7f3dc465061eaee/Transcript___Unity_Developer_Intern___Nguyễn_Duy_Tân.jpg")</f>
        <v>https://api.typeform.com/responses/files/616cf8979a8b9a3b71d29169d61e70de244446f68b624c29c7f3dc465061eaee/Transcript___Unity_Developer_Intern___Nguyễn_Duy_Tân.jpg</v>
      </c>
      <c r="P87" s="29" t="b">
        <v>1</v>
      </c>
      <c r="Q87" s="29" t="s">
        <v>5226</v>
      </c>
      <c r="R87" s="29" t="s">
        <v>5227</v>
      </c>
      <c r="S87" s="29" t="s">
        <v>72</v>
      </c>
      <c r="T87" s="29" t="s">
        <v>72</v>
      </c>
      <c r="U87" s="29" t="s">
        <v>90</v>
      </c>
      <c r="W87" s="29" t="s">
        <v>5228</v>
      </c>
      <c r="X87" s="231" t="str">
        <f>HYPERLINK("https://api.typeform.com/responses/files/373d7134fdc673263e7dcb7f4499475c13d3f44538fd8a705015e9a0a5799e30/Nguyen_Duy_Tan_—_Game_Developer_CV.pdf")</f>
        <v>https://api.typeform.com/responses/files/373d7134fdc673263e7dcb7f4499475c13d3f44538fd8a705015e9a0a5799e30/Nguyen_Duy_Tan_—_Game_Developer_CV.pdf</v>
      </c>
      <c r="Y87" s="34">
        <v>46147.16318287037</v>
      </c>
      <c r="Z87" s="29" t="s">
        <v>5229</v>
      </c>
      <c r="AA87" s="6">
        <v>3.0</v>
      </c>
      <c r="AB87" s="6" t="s">
        <v>109</v>
      </c>
      <c r="AC87" s="28" t="s">
        <v>6377</v>
      </c>
      <c r="AD87" s="20"/>
      <c r="AE87" s="28" t="s">
        <v>6403</v>
      </c>
      <c r="AF87" s="6" t="str">
        <f t="shared" si="4"/>
        <v>Quỳnh</v>
      </c>
    </row>
    <row r="88" ht="23.25" hidden="1" customHeight="1">
      <c r="A88" s="29" t="s">
        <v>5230</v>
      </c>
      <c r="B88" s="30">
        <v>38367.0</v>
      </c>
      <c r="C88" s="29" t="s">
        <v>5231</v>
      </c>
      <c r="D88" s="31" t="s">
        <v>5232</v>
      </c>
      <c r="E88" s="29" t="s">
        <v>82</v>
      </c>
      <c r="F88" s="29" t="s">
        <v>62</v>
      </c>
      <c r="G88" s="29" t="s">
        <v>5233</v>
      </c>
      <c r="H88" s="29" t="s">
        <v>5234</v>
      </c>
      <c r="I88" s="29" t="s">
        <v>715</v>
      </c>
      <c r="K88" s="29" t="s">
        <v>219</v>
      </c>
      <c r="L88" s="29" t="s">
        <v>399</v>
      </c>
      <c r="M88" s="33">
        <v>46691.0</v>
      </c>
      <c r="N88" s="31" t="s">
        <v>890</v>
      </c>
      <c r="O88" s="32" t="str">
        <f>HYPERLINK("https://api.typeform.com/responses/files/9afb34ae32c6376f25541059ddf7e1e7a7fc4fa2bb2e26bdd3e28fb5352e79fc/Transcript___Data_Analysis_Intern___Kiều_Tấn_Anh_Minh.pdf")</f>
        <v>https://api.typeform.com/responses/files/9afb34ae32c6376f25541059ddf7e1e7a7fc4fa2bb2e26bdd3e28fb5352e79fc/Transcript___Data_Analysis_Intern___Kiều_Tấn_Anh_Minh.pdf</v>
      </c>
      <c r="P88" s="29" t="b">
        <v>1</v>
      </c>
      <c r="Q88" s="29" t="s">
        <v>5235</v>
      </c>
      <c r="R88" s="29" t="s">
        <v>5236</v>
      </c>
      <c r="S88" s="29" t="s">
        <v>72</v>
      </c>
      <c r="T88" s="29" t="s">
        <v>72</v>
      </c>
      <c r="U88" s="29" t="s">
        <v>2992</v>
      </c>
      <c r="W88" s="29" t="s">
        <v>5237</v>
      </c>
      <c r="X88" s="231" t="str">
        <f>HYPERLINK("https://api.typeform.com/responses/files/7e9751df3682769dc199f9023a485a3fcef8919dd13092c44d5be08f0947d3b2/CV___Data_Analyst_Intern___Kiều_Tấn_Anh_Minh.pdf")</f>
        <v>https://api.typeform.com/responses/files/7e9751df3682769dc199f9023a485a3fcef8919dd13092c44d5be08f0947d3b2/CV___Data_Analyst_Intern___Kiều_Tấn_Anh_Minh.pdf</v>
      </c>
      <c r="Y88" s="34">
        <v>46147.18829861111</v>
      </c>
      <c r="Z88" s="29" t="s">
        <v>5238</v>
      </c>
      <c r="AA88" s="6">
        <v>3.0</v>
      </c>
      <c r="AB88" s="6" t="s">
        <v>109</v>
      </c>
      <c r="AC88" s="28" t="s">
        <v>6377</v>
      </c>
      <c r="AD88" s="20"/>
      <c r="AE88" s="28" t="s">
        <v>6403</v>
      </c>
      <c r="AF88" s="6" t="str">
        <f t="shared" si="4"/>
        <v>Quỳnh</v>
      </c>
    </row>
    <row r="89" ht="23.25" hidden="1" customHeight="1">
      <c r="A89" s="29" t="s">
        <v>5239</v>
      </c>
      <c r="B89" s="30">
        <v>38557.0</v>
      </c>
      <c r="C89" s="29" t="s">
        <v>5240</v>
      </c>
      <c r="D89" s="31" t="s">
        <v>5241</v>
      </c>
      <c r="E89" s="29" t="s">
        <v>62</v>
      </c>
      <c r="F89" s="29" t="s">
        <v>82</v>
      </c>
      <c r="G89" s="29" t="s">
        <v>5242</v>
      </c>
      <c r="H89" s="29" t="s">
        <v>5243</v>
      </c>
      <c r="I89" s="29" t="s">
        <v>715</v>
      </c>
      <c r="K89" s="29" t="s">
        <v>219</v>
      </c>
      <c r="L89" s="29" t="s">
        <v>5244</v>
      </c>
      <c r="M89" s="33">
        <v>46701.0</v>
      </c>
      <c r="N89" s="31" t="s">
        <v>5245</v>
      </c>
      <c r="O89" s="32" t="str">
        <f>HYPERLINK("https://api.typeform.com/responses/files/1bbf76f8c7dc42c330710182cb31236643cdaca709f36b13962e92cb8be6d50a/Transcript___AI_Engineer_Intern____Nguyễn_Trần_Đức_Hoàng.pdf")</f>
        <v>https://api.typeform.com/responses/files/1bbf76f8c7dc42c330710182cb31236643cdaca709f36b13962e92cb8be6d50a/Transcript___AI_Engineer_Intern____Nguyễn_Trần_Đức_Hoàng.pdf</v>
      </c>
      <c r="P89" s="29" t="b">
        <v>1</v>
      </c>
      <c r="Q89" s="29" t="s">
        <v>5246</v>
      </c>
      <c r="R89" s="29" t="s">
        <v>5247</v>
      </c>
      <c r="S89" s="29" t="s">
        <v>72</v>
      </c>
      <c r="T89" s="29" t="s">
        <v>72</v>
      </c>
      <c r="U89" s="29" t="s">
        <v>5248</v>
      </c>
      <c r="W89" s="29" t="s">
        <v>5249</v>
      </c>
      <c r="X89" s="231" t="str">
        <f>HYPERLINK("https://api.typeform.com/responses/files/6f916413114a829d44187d2597682a7e5bc4651c4fd3156918dbead78d7558ea/CV___AI_Engineer_Intern___Nguyễn_Trần_Đức_Hoàng.pdf")</f>
        <v>https://api.typeform.com/responses/files/6f916413114a829d44187d2597682a7e5bc4651c4fd3156918dbead78d7558ea/CV___AI_Engineer_Intern___Nguyễn_Trần_Đức_Hoàng.pdf</v>
      </c>
      <c r="Y89" s="34">
        <v>46147.23097222222</v>
      </c>
      <c r="Z89" s="29" t="s">
        <v>5250</v>
      </c>
      <c r="AA89" s="6">
        <v>3.0</v>
      </c>
      <c r="AB89" s="6"/>
      <c r="AC89" s="28"/>
      <c r="AD89" s="20"/>
      <c r="AE89" s="28"/>
      <c r="AF89" s="6" t="str">
        <f t="shared" si="4"/>
        <v/>
      </c>
    </row>
    <row r="90" ht="23.25" hidden="1" customHeight="1">
      <c r="A90" s="29" t="s">
        <v>5251</v>
      </c>
      <c r="B90" s="30">
        <v>38252.0</v>
      </c>
      <c r="C90" s="29" t="s">
        <v>5252</v>
      </c>
      <c r="D90" s="31" t="s">
        <v>5253</v>
      </c>
      <c r="E90" s="29" t="s">
        <v>774</v>
      </c>
      <c r="F90" s="29" t="s">
        <v>633</v>
      </c>
      <c r="G90" s="29" t="s">
        <v>5254</v>
      </c>
      <c r="H90" s="29" t="s">
        <v>5255</v>
      </c>
      <c r="I90" s="29" t="s">
        <v>65</v>
      </c>
      <c r="J90" s="29" t="s">
        <v>5256</v>
      </c>
      <c r="K90" s="29" t="s">
        <v>67</v>
      </c>
      <c r="L90" s="29" t="s">
        <v>1090</v>
      </c>
      <c r="M90" s="33">
        <v>46387.0</v>
      </c>
      <c r="N90" s="31" t="s">
        <v>5257</v>
      </c>
      <c r="O90" s="32" t="str">
        <f>HYPERLINK("https://api.typeform.com/responses/files/211c8456dc1fe3b2ba28b91efa7d534ff9b37a0b97cd00c07f98ca486b97fd60/Transcript___Game_User_Acquisition_Intern___Ngo_Anh_Kiet.xls")</f>
        <v>https://api.typeform.com/responses/files/211c8456dc1fe3b2ba28b91efa7d534ff9b37a0b97cd00c07f98ca486b97fd60/Transcript___Game_User_Acquisition_Intern___Ngo_Anh_Kiet.xls</v>
      </c>
      <c r="P90" s="29" t="b">
        <v>1</v>
      </c>
      <c r="Q90" s="29" t="s">
        <v>5258</v>
      </c>
      <c r="R90" s="29" t="s">
        <v>5259</v>
      </c>
      <c r="S90" s="29" t="s">
        <v>72</v>
      </c>
      <c r="T90" s="29" t="s">
        <v>72</v>
      </c>
      <c r="U90" s="29" t="s">
        <v>73</v>
      </c>
      <c r="W90" s="29" t="s">
        <v>5260</v>
      </c>
      <c r="X90" s="231" t="str">
        <f>HYPERLINK("https://api.typeform.com/responses/files/d2ab98ffe9d2d93a600dc6afdbc08e28ba81ad513c2709257a1082a1138d7a54/CV___Game_User_Acquisition_Intern___Ngo_Anh_Kiet.pdf")</f>
        <v>https://api.typeform.com/responses/files/d2ab98ffe9d2d93a600dc6afdbc08e28ba81ad513c2709257a1082a1138d7a54/CV___Game_User_Acquisition_Intern___Ngo_Anh_Kiet.pdf</v>
      </c>
      <c r="Y90" s="34">
        <v>46147.24462962963</v>
      </c>
      <c r="Z90" s="29" t="s">
        <v>5261</v>
      </c>
      <c r="AA90" s="6">
        <v>3.0</v>
      </c>
      <c r="AB90" s="6"/>
      <c r="AC90" s="28" t="s">
        <v>6377</v>
      </c>
      <c r="AD90" s="20"/>
      <c r="AE90" s="28" t="s">
        <v>6379</v>
      </c>
      <c r="AF90" s="6" t="str">
        <f t="shared" si="4"/>
        <v>Nhiên</v>
      </c>
    </row>
    <row r="91" ht="23.25" hidden="1" customHeight="1">
      <c r="A91" s="29" t="s">
        <v>5262</v>
      </c>
      <c r="B91" s="30">
        <v>37761.0</v>
      </c>
      <c r="C91" s="29" t="s">
        <v>5263</v>
      </c>
      <c r="D91" s="31" t="s">
        <v>5264</v>
      </c>
      <c r="E91" s="29" t="s">
        <v>82</v>
      </c>
      <c r="F91" s="29" t="s">
        <v>127</v>
      </c>
      <c r="G91" s="29" t="s">
        <v>5265</v>
      </c>
      <c r="H91" s="29" t="s">
        <v>5266</v>
      </c>
      <c r="I91" s="29" t="s">
        <v>636</v>
      </c>
      <c r="K91" s="29" t="s">
        <v>67</v>
      </c>
      <c r="L91" s="29" t="s">
        <v>5267</v>
      </c>
      <c r="M91" s="33">
        <v>46266.0</v>
      </c>
      <c r="N91" s="31" t="s">
        <v>171</v>
      </c>
      <c r="O91" s="32" t="str">
        <f>HYPERLINK("https://api.typeform.com/responses/files/7a8c76b7c0ca0db8306180bdb2372528ef57c4e1c28659a10b7efe008b558aa9/Transcript___Data_Analysis_Intern___Nguyễn_Mai_Xuân_Linh.pdf")</f>
        <v>https://api.typeform.com/responses/files/7a8c76b7c0ca0db8306180bdb2372528ef57c4e1c28659a10b7efe008b558aa9/Transcript___Data_Analysis_Intern___Nguyễn_Mai_Xuân_Linh.pdf</v>
      </c>
      <c r="P91" s="29" t="b">
        <v>1</v>
      </c>
      <c r="Q91" s="29" t="s">
        <v>5268</v>
      </c>
      <c r="R91" s="29" t="s">
        <v>5269</v>
      </c>
      <c r="S91" s="29" t="s">
        <v>72</v>
      </c>
      <c r="T91" s="29" t="s">
        <v>72</v>
      </c>
      <c r="U91" s="29" t="s">
        <v>73</v>
      </c>
      <c r="W91" s="29" t="s">
        <v>5270</v>
      </c>
      <c r="X91" s="231" t="str">
        <f>HYPERLINK("https://api.typeform.com/responses/files/4b0642d9437fc9d075b8688995786e153b13a6fca6fd4dc9bc3e42baeb012e1a/CV___Data_Analysis_Intern___Nguyễn_Mai_Xuân_Linh.pdf")</f>
        <v>https://api.typeform.com/responses/files/4b0642d9437fc9d075b8688995786e153b13a6fca6fd4dc9bc3e42baeb012e1a/CV___Data_Analysis_Intern___Nguyễn_Mai_Xuân_Linh.pdf</v>
      </c>
      <c r="Y91" s="34">
        <v>46147.27378472222</v>
      </c>
      <c r="Z91" s="29" t="s">
        <v>5271</v>
      </c>
      <c r="AA91" s="6">
        <v>3.0</v>
      </c>
      <c r="AB91" s="6" t="s">
        <v>109</v>
      </c>
      <c r="AC91" s="28" t="s">
        <v>6376</v>
      </c>
      <c r="AD91" s="20"/>
      <c r="AE91" s="28"/>
      <c r="AF91" s="6" t="str">
        <f t="shared" si="4"/>
        <v/>
      </c>
    </row>
    <row r="92" ht="23.25" hidden="1" customHeight="1">
      <c r="A92" s="29" t="s">
        <v>5279</v>
      </c>
      <c r="B92" s="30">
        <v>37893.0</v>
      </c>
      <c r="C92" s="29" t="s">
        <v>5280</v>
      </c>
      <c r="D92" s="31" t="s">
        <v>5281</v>
      </c>
      <c r="E92" s="29" t="s">
        <v>82</v>
      </c>
      <c r="F92" s="29" t="s">
        <v>62</v>
      </c>
      <c r="G92" s="29" t="s">
        <v>5282</v>
      </c>
      <c r="H92" s="29" t="s">
        <v>5283</v>
      </c>
      <c r="I92" s="29" t="s">
        <v>5284</v>
      </c>
      <c r="K92" s="29" t="s">
        <v>67</v>
      </c>
      <c r="L92" s="29" t="s">
        <v>5285</v>
      </c>
      <c r="M92" s="33">
        <v>46265.0</v>
      </c>
      <c r="N92" s="31" t="s">
        <v>458</v>
      </c>
      <c r="O92" s="32" t="str">
        <f>HYPERLINK("https://api.typeform.com/responses/files/4147b5c80fe85c7ded38ed1effdddbaa1b835a581e1139ba367380de705ad243/Transcript___Data_Analysis_Intern___Huỳnh_Thị_Kim_Quỳnh.pdf")</f>
        <v>https://api.typeform.com/responses/files/4147b5c80fe85c7ded38ed1effdddbaa1b835a581e1139ba367380de705ad243/Transcript___Data_Analysis_Intern___Huỳnh_Thị_Kim_Quỳnh.pdf</v>
      </c>
      <c r="P92" s="29" t="b">
        <v>0</v>
      </c>
      <c r="Q92" s="29" t="s">
        <v>5286</v>
      </c>
      <c r="R92" s="29" t="s">
        <v>5287</v>
      </c>
      <c r="S92" s="29" t="s">
        <v>72</v>
      </c>
      <c r="T92" s="29" t="s">
        <v>72</v>
      </c>
      <c r="U92" s="29" t="s">
        <v>2389</v>
      </c>
      <c r="W92" s="29" t="s">
        <v>5288</v>
      </c>
      <c r="X92" s="231" t="str">
        <f>HYPERLINK("https://api.typeform.com/responses/files/3b997507ab7c4ad043f5b77d70727f2a4f64dbebf9bde7759fd02df6554c7ec8/CV___Data_Analysis_Intern___Huỳnh_Thị_Kim_Quỳnh.pdf")</f>
        <v>https://api.typeform.com/responses/files/3b997507ab7c4ad043f5b77d70727f2a4f64dbebf9bde7759fd02df6554c7ec8/CV___Data_Analysis_Intern___Huỳnh_Thị_Kim_Quỳnh.pdf</v>
      </c>
      <c r="Y92" s="34">
        <v>46147.29837962963</v>
      </c>
      <c r="Z92" s="29" t="s">
        <v>5289</v>
      </c>
      <c r="AA92" s="6">
        <v>3.0</v>
      </c>
      <c r="AB92" s="6" t="s">
        <v>109</v>
      </c>
      <c r="AC92" s="28" t="s">
        <v>6376</v>
      </c>
      <c r="AD92" s="20"/>
      <c r="AE92" s="28"/>
      <c r="AF92" s="6" t="str">
        <f t="shared" si="4"/>
        <v/>
      </c>
    </row>
    <row r="93" ht="23.25" hidden="1" customHeight="1">
      <c r="A93" s="29" t="s">
        <v>5290</v>
      </c>
      <c r="B93" s="30">
        <v>38294.0</v>
      </c>
      <c r="C93" s="29" t="s">
        <v>5291</v>
      </c>
      <c r="D93" s="31" t="s">
        <v>5292</v>
      </c>
      <c r="E93" s="29" t="s">
        <v>82</v>
      </c>
      <c r="F93" s="29" t="s">
        <v>127</v>
      </c>
      <c r="G93" s="29" t="s">
        <v>5293</v>
      </c>
      <c r="H93" s="29" t="s">
        <v>5294</v>
      </c>
      <c r="I93" s="29" t="s">
        <v>85</v>
      </c>
      <c r="K93" s="29" t="s">
        <v>67</v>
      </c>
      <c r="L93" s="29" t="s">
        <v>298</v>
      </c>
      <c r="M93" s="33">
        <v>46185.0</v>
      </c>
      <c r="N93" s="31" t="s">
        <v>159</v>
      </c>
      <c r="O93" s="32" t="str">
        <f>HYPERLINK("https://api.typeform.com/responses/files/cb681879e5dcf59cc31ba3de2e8ada7170d9362f330b929e72d7169322d1f212/Transcript___Data_Analysis_Intern___Phạm_Trần_Dạ_Thảo.pdf")</f>
        <v>https://api.typeform.com/responses/files/cb681879e5dcf59cc31ba3de2e8ada7170d9362f330b929e72d7169322d1f212/Transcript___Data_Analysis_Intern___Phạm_Trần_Dạ_Thảo.pdf</v>
      </c>
      <c r="P93" s="29" t="b">
        <v>1</v>
      </c>
      <c r="Q93" s="29" t="s">
        <v>5295</v>
      </c>
      <c r="R93" s="29" t="s">
        <v>5296</v>
      </c>
      <c r="S93" s="29" t="s">
        <v>72</v>
      </c>
      <c r="T93" s="29" t="s">
        <v>72</v>
      </c>
      <c r="U93" s="29" t="s">
        <v>1061</v>
      </c>
      <c r="X93" s="231" t="str">
        <f>HYPERLINK("https://api.typeform.com/responses/files/b704cae463df92948526f9952dc07492509d212da7c343a5116a1ccb9d206b9c/CV___Data_Analysis_Intern___Phạm_Trần_Dạ_Thảo.pdf")</f>
        <v>https://api.typeform.com/responses/files/b704cae463df92948526f9952dc07492509d212da7c343a5116a1ccb9d206b9c/CV___Data_Analysis_Intern___Phạm_Trần_Dạ_Thảo.pdf</v>
      </c>
      <c r="Y93" s="34">
        <v>46147.302881944444</v>
      </c>
      <c r="Z93" s="29" t="s">
        <v>5297</v>
      </c>
      <c r="AA93" s="6">
        <v>3.0</v>
      </c>
      <c r="AB93" s="6" t="s">
        <v>109</v>
      </c>
      <c r="AC93" s="28" t="s">
        <v>6377</v>
      </c>
      <c r="AD93" s="20"/>
      <c r="AE93" s="28" t="s">
        <v>6403</v>
      </c>
      <c r="AF93" s="6" t="str">
        <f t="shared" si="4"/>
        <v>Quỳnh</v>
      </c>
    </row>
    <row r="94" ht="23.25" hidden="1" customHeight="1">
      <c r="A94" s="29" t="s">
        <v>5298</v>
      </c>
      <c r="B94" s="30">
        <v>38119.0</v>
      </c>
      <c r="C94" s="29" t="s">
        <v>5299</v>
      </c>
      <c r="D94" s="31" t="s">
        <v>5300</v>
      </c>
      <c r="E94" s="29" t="s">
        <v>774</v>
      </c>
      <c r="G94" s="29" t="s">
        <v>5301</v>
      </c>
      <c r="H94" s="29" t="s">
        <v>5302</v>
      </c>
      <c r="I94" s="29" t="s">
        <v>842</v>
      </c>
      <c r="K94" s="29" t="s">
        <v>103</v>
      </c>
      <c r="L94" s="29" t="s">
        <v>5054</v>
      </c>
      <c r="M94" s="33">
        <v>46102.0</v>
      </c>
      <c r="N94" s="31" t="s">
        <v>2142</v>
      </c>
      <c r="O94" s="32" t="str">
        <f>HYPERLINK("https://api.typeform.com/responses/files/8fabb3b898d3bf6ea6362df1b045d16c7e1a124db81ad85860e5d648dbdaf2af/Academic_Transcript___Game_User_Acquisition_Intern__Hoàng_Thị_Thanh_Tâm.pdf")</f>
        <v>https://api.typeform.com/responses/files/8fabb3b898d3bf6ea6362df1b045d16c7e1a124db81ad85860e5d648dbdaf2af/Academic_Transcript___Game_User_Acquisition_Intern__Hoàng_Thị_Thanh_Tâm.pdf</v>
      </c>
      <c r="P94" s="29" t="b">
        <v>1</v>
      </c>
      <c r="Q94" s="29" t="s">
        <v>5303</v>
      </c>
      <c r="R94" s="29" t="s">
        <v>5304</v>
      </c>
      <c r="S94" s="29" t="s">
        <v>72</v>
      </c>
      <c r="T94" s="29" t="s">
        <v>72</v>
      </c>
      <c r="U94" s="29" t="s">
        <v>90</v>
      </c>
      <c r="W94" s="29" t="s">
        <v>5305</v>
      </c>
      <c r="X94" s="231" t="str">
        <f>HYPERLINK("https://api.typeform.com/responses/files/559b3ac86a8d257553623fea7e7f50963d57ebd2afcb6a0fd546eedbbd1e2556/CV___Game_User_Acquisition_Intern___Hoàng_Thị_Thanh_Tâm.pdf")</f>
        <v>https://api.typeform.com/responses/files/559b3ac86a8d257553623fea7e7f50963d57ebd2afcb6a0fd546eedbbd1e2556/CV___Game_User_Acquisition_Intern___Hoàng_Thị_Thanh_Tâm.pdf</v>
      </c>
      <c r="Y94" s="34">
        <v>46147.33844907407</v>
      </c>
      <c r="Z94" s="29" t="s">
        <v>5306</v>
      </c>
      <c r="AA94" s="6">
        <v>3.0</v>
      </c>
      <c r="AB94" s="6"/>
      <c r="AC94" s="28" t="s">
        <v>6377</v>
      </c>
      <c r="AD94" s="20"/>
      <c r="AE94" s="28" t="s">
        <v>6379</v>
      </c>
      <c r="AF94" s="6" t="str">
        <f t="shared" si="4"/>
        <v>Nhiên</v>
      </c>
    </row>
    <row r="95" ht="23.25" hidden="1" customHeight="1">
      <c r="A95" s="29" t="s">
        <v>5307</v>
      </c>
      <c r="B95" s="30">
        <v>38100.0</v>
      </c>
      <c r="C95" s="29" t="s">
        <v>5308</v>
      </c>
      <c r="D95" s="31" t="s">
        <v>5309</v>
      </c>
      <c r="E95" s="29" t="s">
        <v>62</v>
      </c>
      <c r="F95" s="29" t="s">
        <v>62</v>
      </c>
      <c r="G95" s="29" t="s">
        <v>5310</v>
      </c>
      <c r="H95" s="29" t="s">
        <v>5311</v>
      </c>
      <c r="I95" s="29" t="s">
        <v>277</v>
      </c>
      <c r="K95" s="29" t="s">
        <v>67</v>
      </c>
      <c r="L95" s="29" t="s">
        <v>384</v>
      </c>
      <c r="M95" s="33">
        <v>46387.0</v>
      </c>
      <c r="N95" s="31" t="s">
        <v>317</v>
      </c>
      <c r="O95" s="32" t="str">
        <f>HYPERLINK("https://api.typeform.com/responses/files/dc769002a9ebba631b9cb3537c94afffac83a4ada43a5fab32fb58b80945ba45/Transcript___AI_Enginneer_Intern___NgoTruongDinh.pdf")</f>
        <v>https://api.typeform.com/responses/files/dc769002a9ebba631b9cb3537c94afffac83a4ada43a5fab32fb58b80945ba45/Transcript___AI_Enginneer_Intern___NgoTruongDinh.pdf</v>
      </c>
      <c r="P95" s="29" t="b">
        <v>0</v>
      </c>
      <c r="Q95" s="29" t="s">
        <v>222</v>
      </c>
      <c r="R95" s="29" t="s">
        <v>5312</v>
      </c>
      <c r="S95" s="29" t="s">
        <v>72</v>
      </c>
      <c r="T95" s="29" t="s">
        <v>72</v>
      </c>
      <c r="U95" s="29" t="s">
        <v>73</v>
      </c>
      <c r="W95" s="29" t="s">
        <v>5313</v>
      </c>
      <c r="X95" s="231" t="str">
        <f>HYPERLINK("https://api.typeform.com/responses/files/af0a0f83dff2ac56e4f4605ef2a85264edeba2ed7f7f114d46b859a25cdee821/CV_AI_Engineer_Intern_NgoTruongDinh.pdf")</f>
        <v>https://api.typeform.com/responses/files/af0a0f83dff2ac56e4f4605ef2a85264edeba2ed7f7f114d46b859a25cdee821/CV_AI_Engineer_Intern_NgoTruongDinh.pdf</v>
      </c>
      <c r="Y95" s="34">
        <v>46147.35258101852</v>
      </c>
      <c r="Z95" s="29" t="s">
        <v>5314</v>
      </c>
      <c r="AA95" s="6">
        <v>3.0</v>
      </c>
      <c r="AB95" s="6"/>
      <c r="AC95" s="28"/>
      <c r="AD95" s="20"/>
      <c r="AE95" s="28"/>
      <c r="AF95" s="6" t="str">
        <f t="shared" si="4"/>
        <v/>
      </c>
    </row>
    <row r="96" ht="23.25" hidden="1" customHeight="1">
      <c r="A96" s="29" t="s">
        <v>5315</v>
      </c>
      <c r="B96" s="30">
        <v>37955.0</v>
      </c>
      <c r="C96" s="29" t="s">
        <v>5316</v>
      </c>
      <c r="D96" s="31" t="s">
        <v>5317</v>
      </c>
      <c r="E96" s="29" t="s">
        <v>62</v>
      </c>
      <c r="F96" s="29" t="s">
        <v>82</v>
      </c>
      <c r="G96" s="29" t="s">
        <v>5318</v>
      </c>
      <c r="H96" s="29" t="s">
        <v>5319</v>
      </c>
      <c r="I96" s="29" t="s">
        <v>277</v>
      </c>
      <c r="K96" s="29" t="s">
        <v>67</v>
      </c>
      <c r="L96" s="29" t="s">
        <v>2491</v>
      </c>
      <c r="M96" s="33">
        <v>46420.0</v>
      </c>
      <c r="N96" s="31" t="s">
        <v>5320</v>
      </c>
      <c r="O96" s="32" t="str">
        <f>HYPERLINK("https://api.typeform.com/responses/files/9ca8ec91e8da44c99d7d30d0fa0b27120c49b3a95b24f2662d1da8c673088f07/Kết_quả_học_tập.pdf")</f>
        <v>https://api.typeform.com/responses/files/9ca8ec91e8da44c99d7d30d0fa0b27120c49b3a95b24f2662d1da8c673088f07/Kết_quả_học_tập.pdf</v>
      </c>
      <c r="P96" s="29" t="b">
        <v>1</v>
      </c>
      <c r="Q96" s="29" t="s">
        <v>5321</v>
      </c>
      <c r="R96" s="29" t="s">
        <v>5322</v>
      </c>
      <c r="S96" s="29" t="s">
        <v>72</v>
      </c>
      <c r="T96" s="29" t="s">
        <v>72</v>
      </c>
      <c r="U96" s="29" t="s">
        <v>90</v>
      </c>
      <c r="W96" s="29" t="s">
        <v>5323</v>
      </c>
      <c r="X96" s="231" t="str">
        <f>HYPERLINK("https://api.typeform.com/responses/files/911d49cc3aea621e04dbd748580da61cd998f5a393215b8b4d37afe74eeefc2f/AI_ENGINEER_INTERN_NGUYENTHIVIEN.pdf")</f>
        <v>https://api.typeform.com/responses/files/911d49cc3aea621e04dbd748580da61cd998f5a393215b8b4d37afe74eeefc2f/AI_ENGINEER_INTERN_NGUYENTHIVIEN.pdf</v>
      </c>
      <c r="Y96" s="34">
        <v>46147.3640625</v>
      </c>
      <c r="Z96" s="29" t="s">
        <v>5324</v>
      </c>
      <c r="AA96" s="6">
        <v>3.0</v>
      </c>
      <c r="AB96" s="6"/>
      <c r="AC96" s="28"/>
      <c r="AD96" s="20"/>
      <c r="AE96" s="28"/>
      <c r="AF96" s="6" t="str">
        <f t="shared" si="4"/>
        <v/>
      </c>
    </row>
    <row r="97" ht="23.25" hidden="1" customHeight="1">
      <c r="A97" s="29" t="s">
        <v>5325</v>
      </c>
      <c r="B97" s="30">
        <v>38497.0</v>
      </c>
      <c r="C97" s="29" t="s">
        <v>5326</v>
      </c>
      <c r="D97" s="31" t="s">
        <v>5327</v>
      </c>
      <c r="E97" s="29" t="s">
        <v>61</v>
      </c>
      <c r="F97" s="29" t="s">
        <v>61</v>
      </c>
      <c r="G97" s="29" t="s">
        <v>5328</v>
      </c>
      <c r="H97" s="29" t="s">
        <v>5329</v>
      </c>
      <c r="I97" s="29" t="s">
        <v>715</v>
      </c>
      <c r="K97" s="29" t="s">
        <v>219</v>
      </c>
      <c r="L97" s="29" t="s">
        <v>5330</v>
      </c>
      <c r="M97" s="33">
        <v>46691.0</v>
      </c>
      <c r="N97" s="31" t="s">
        <v>5331</v>
      </c>
      <c r="O97" s="32" t="str">
        <f>HYPERLINK("https://api.typeform.com/responses/files/a6824022f886125990700fa993e38ff0dadb5245f98610ebb0c6857e9067e374/Transcript___Unity_Development_Intern___Nguyễn_Duy_Nhất.pdf")</f>
        <v>https://api.typeform.com/responses/files/a6824022f886125990700fa993e38ff0dadb5245f98610ebb0c6857e9067e374/Transcript___Unity_Development_Intern___Nguyễn_Duy_Nhất.pdf</v>
      </c>
      <c r="P97" s="29" t="b">
        <v>1</v>
      </c>
      <c r="Q97" s="29" t="s">
        <v>5332</v>
      </c>
      <c r="R97" s="29" t="s">
        <v>5333</v>
      </c>
      <c r="S97" s="29" t="s">
        <v>72</v>
      </c>
      <c r="T97" s="29" t="s">
        <v>72</v>
      </c>
      <c r="U97" s="29" t="s">
        <v>2389</v>
      </c>
      <c r="X97" s="231" t="str">
        <f>HYPERLINK("https://api.typeform.com/responses/files/4c8b50ee651aaca322beb884fae3be258e3e9e6be49e212838aadf0447c57a29/CV___Unity_Development_Intern___Nguyễn_Duy_Nhất.pdf")</f>
        <v>https://api.typeform.com/responses/files/4c8b50ee651aaca322beb884fae3be258e3e9e6be49e212838aadf0447c57a29/CV___Unity_Development_Intern___Nguyễn_Duy_Nhất.pdf</v>
      </c>
      <c r="Y97" s="34">
        <v>46147.36788194445</v>
      </c>
      <c r="Z97" s="29" t="s">
        <v>5334</v>
      </c>
      <c r="AA97" s="6">
        <v>3.0</v>
      </c>
      <c r="AB97" s="6" t="s">
        <v>109</v>
      </c>
      <c r="AC97" s="28" t="s">
        <v>6377</v>
      </c>
      <c r="AD97" s="20"/>
      <c r="AE97" s="28" t="s">
        <v>6403</v>
      </c>
      <c r="AF97" s="6" t="str">
        <f t="shared" si="4"/>
        <v>Quỳnh</v>
      </c>
    </row>
    <row r="98" ht="23.25" hidden="1" customHeight="1">
      <c r="A98" s="29" t="s">
        <v>5230</v>
      </c>
      <c r="B98" s="30">
        <v>38367.0</v>
      </c>
      <c r="C98" s="29" t="s">
        <v>5335</v>
      </c>
      <c r="D98" s="31" t="s">
        <v>5232</v>
      </c>
      <c r="E98" s="29" t="s">
        <v>82</v>
      </c>
      <c r="F98" s="29" t="s">
        <v>62</v>
      </c>
      <c r="G98" s="29" t="s">
        <v>5336</v>
      </c>
      <c r="H98" s="29" t="s">
        <v>5337</v>
      </c>
      <c r="I98" s="29" t="s">
        <v>715</v>
      </c>
      <c r="K98" s="29" t="s">
        <v>219</v>
      </c>
      <c r="L98" s="29" t="s">
        <v>399</v>
      </c>
      <c r="M98" s="33">
        <v>46691.0</v>
      </c>
      <c r="N98" s="31" t="s">
        <v>890</v>
      </c>
      <c r="O98" s="32" t="str">
        <f>HYPERLINK("https://api.typeform.com/responses/files/9adf050bbf1573ecfe2eefdb2d2ffd6b20fcea396e258f11776e9ecc45f6a3ed/Transcript___Data_Analysis_Intern___Kiều_Tấn_Anh_Minh.pdf")</f>
        <v>https://api.typeform.com/responses/files/9adf050bbf1573ecfe2eefdb2d2ffd6b20fcea396e258f11776e9ecc45f6a3ed/Transcript___Data_Analysis_Intern___Kiều_Tấn_Anh_Minh.pdf</v>
      </c>
      <c r="P98" s="29" t="b">
        <v>1</v>
      </c>
      <c r="Q98" s="29" t="s">
        <v>5338</v>
      </c>
      <c r="R98" s="29" t="s">
        <v>5339</v>
      </c>
      <c r="S98" s="29" t="s">
        <v>72</v>
      </c>
      <c r="T98" s="29" t="s">
        <v>72</v>
      </c>
      <c r="U98" s="29" t="s">
        <v>2895</v>
      </c>
      <c r="W98" s="29" t="s">
        <v>5340</v>
      </c>
      <c r="X98" s="231" t="str">
        <f>HYPERLINK("https://api.typeform.com/responses/files/b162e682cb77db2aaa64894ff5df8f21ba529e3c8a510eb4e3b72275beb0fc88/CV___Data_Analyst_Intern___Kiều_Tấn_Anh_Minh.pdf")</f>
        <v>https://api.typeform.com/responses/files/b162e682cb77db2aaa64894ff5df8f21ba529e3c8a510eb4e3b72275beb0fc88/CV___Data_Analyst_Intern___Kiều_Tấn_Anh_Minh.pdf</v>
      </c>
      <c r="Y98" s="34">
        <v>46147.37945601852</v>
      </c>
      <c r="Z98" s="29" t="s">
        <v>5341</v>
      </c>
      <c r="AA98" s="6">
        <v>3.0</v>
      </c>
      <c r="AB98" s="6" t="s">
        <v>109</v>
      </c>
      <c r="AC98" s="28" t="s">
        <v>6377</v>
      </c>
      <c r="AD98" s="20"/>
      <c r="AE98" s="28" t="s">
        <v>6403</v>
      </c>
      <c r="AF98" s="6" t="str">
        <f t="shared" si="4"/>
        <v>Quỳnh</v>
      </c>
    </row>
    <row r="99" ht="23.25" hidden="1" customHeight="1">
      <c r="A99" s="29" t="s">
        <v>5354</v>
      </c>
      <c r="B99" s="30">
        <v>37840.0</v>
      </c>
      <c r="C99" s="29" t="s">
        <v>5355</v>
      </c>
      <c r="D99" s="31" t="s">
        <v>5356</v>
      </c>
      <c r="E99" s="29" t="s">
        <v>82</v>
      </c>
      <c r="G99" s="29" t="s">
        <v>5357</v>
      </c>
      <c r="H99" s="29" t="s">
        <v>5358</v>
      </c>
      <c r="I99" s="29" t="s">
        <v>65</v>
      </c>
      <c r="J99" s="29" t="s">
        <v>5359</v>
      </c>
      <c r="K99" s="29" t="s">
        <v>103</v>
      </c>
      <c r="L99" s="29" t="s">
        <v>5360</v>
      </c>
      <c r="M99" s="33">
        <v>45852.0</v>
      </c>
      <c r="N99" s="31" t="s">
        <v>5361</v>
      </c>
      <c r="O99" s="32" t="str">
        <f>HYPERLINK("https://api.typeform.com/responses/files/1c8b50340ea1f0d03e6d0c42665192ef274e503f757b0d9eeed0e5b67791eaed/Transcript___Data_Analysis_Intern___Phạm_Ngọc_Quỳnh_Hương.pdf")</f>
        <v>https://api.typeform.com/responses/files/1c8b50340ea1f0d03e6d0c42665192ef274e503f757b0d9eeed0e5b67791eaed/Transcript___Data_Analysis_Intern___Phạm_Ngọc_Quỳnh_Hương.pdf</v>
      </c>
      <c r="P99" s="29" t="b">
        <v>0</v>
      </c>
      <c r="Q99" s="29" t="s">
        <v>280</v>
      </c>
      <c r="R99" s="29" t="s">
        <v>5362</v>
      </c>
      <c r="S99" s="29" t="s">
        <v>72</v>
      </c>
      <c r="T99" s="29" t="s">
        <v>72</v>
      </c>
      <c r="U99" s="29" t="s">
        <v>224</v>
      </c>
      <c r="X99" s="231" t="str">
        <f>HYPERLINK("https://api.typeform.com/responses/files/a783e42d0cfbfd0c2695f26a94b32fd229c28006f38fd4cd9a0f9ea5e36cdb45/CV___Data_Analysis_Intern___Phạm_Ngọc_Quỳnh_Hương.pdf")</f>
        <v>https://api.typeform.com/responses/files/a783e42d0cfbfd0c2695f26a94b32fd229c28006f38fd4cd9a0f9ea5e36cdb45/CV___Data_Analysis_Intern___Phạm_Ngọc_Quỳnh_Hương.pdf</v>
      </c>
      <c r="Y99" s="34">
        <v>46147.48753472222</v>
      </c>
      <c r="Z99" s="29" t="s">
        <v>5363</v>
      </c>
      <c r="AA99" s="6">
        <v>3.0</v>
      </c>
      <c r="AB99" s="6" t="s">
        <v>109</v>
      </c>
      <c r="AC99" s="28" t="s">
        <v>6376</v>
      </c>
      <c r="AD99" s="20"/>
      <c r="AE99" s="28"/>
      <c r="AF99" s="6" t="str">
        <f t="shared" si="4"/>
        <v/>
      </c>
    </row>
    <row r="100" ht="23.25" hidden="1" customHeight="1">
      <c r="A100" s="29" t="s">
        <v>5364</v>
      </c>
      <c r="B100" s="30">
        <v>38119.0</v>
      </c>
      <c r="C100" s="29" t="s">
        <v>5365</v>
      </c>
      <c r="D100" s="31" t="s">
        <v>5366</v>
      </c>
      <c r="E100" s="29" t="s">
        <v>127</v>
      </c>
      <c r="G100" s="29" t="s">
        <v>5367</v>
      </c>
      <c r="H100" s="29" t="s">
        <v>5368</v>
      </c>
      <c r="I100" s="29" t="s">
        <v>116</v>
      </c>
      <c r="K100" s="29" t="s">
        <v>67</v>
      </c>
      <c r="L100" s="29" t="s">
        <v>624</v>
      </c>
      <c r="M100" s="33">
        <v>46275.0</v>
      </c>
      <c r="N100" s="31" t="s">
        <v>2192</v>
      </c>
      <c r="O100" s="32" t="str">
        <f>HYPERLINK("https://api.typeform.com/responses/files/07ee858c9b26755f474d5e234c9949a3d419aebab32911030190cba6d3faccb2/Transcript___Quality_Assurance_Intern___PhamThiAiNgan.pdf")</f>
        <v>https://api.typeform.com/responses/files/07ee858c9b26755f474d5e234c9949a3d419aebab32911030190cba6d3faccb2/Transcript___Quality_Assurance_Intern___PhamThiAiNgan.pdf</v>
      </c>
      <c r="P100" s="29" t="b">
        <v>1</v>
      </c>
      <c r="Q100" s="29" t="s">
        <v>5369</v>
      </c>
      <c r="R100" s="29" t="s">
        <v>5370</v>
      </c>
      <c r="S100" s="29" t="s">
        <v>72</v>
      </c>
      <c r="T100" s="29" t="s">
        <v>72</v>
      </c>
      <c r="U100" s="29" t="s">
        <v>73</v>
      </c>
      <c r="W100" s="29" t="s">
        <v>5371</v>
      </c>
      <c r="X100" s="231" t="str">
        <f>HYPERLINK("https://api.typeform.com/responses/files/4fbd48d6c74009cc42195d399540259dcb51be719d1a3d3721687349c1262957/CV___Quality_Assurance_Intern___PhamThiAiNgan.pdf")</f>
        <v>https://api.typeform.com/responses/files/4fbd48d6c74009cc42195d399540259dcb51be719d1a3d3721687349c1262957/CV___Quality_Assurance_Intern___PhamThiAiNgan.pdf</v>
      </c>
      <c r="Y100" s="34">
        <v>46147.49381944445</v>
      </c>
      <c r="Z100" s="29" t="s">
        <v>5372</v>
      </c>
      <c r="AA100" s="6">
        <v>3.0</v>
      </c>
      <c r="AB100" s="6" t="s">
        <v>109</v>
      </c>
      <c r="AC100" s="28" t="s">
        <v>6377</v>
      </c>
      <c r="AD100" s="20"/>
      <c r="AE100" s="28" t="s">
        <v>6379</v>
      </c>
      <c r="AF100" s="6" t="str">
        <f t="shared" si="4"/>
        <v>Quỳnh</v>
      </c>
    </row>
    <row r="101" ht="23.25" hidden="1" customHeight="1">
      <c r="A101" s="29" t="s">
        <v>5373</v>
      </c>
      <c r="B101" s="30">
        <v>38218.0</v>
      </c>
      <c r="C101" s="29" t="s">
        <v>5374</v>
      </c>
      <c r="D101" s="31" t="s">
        <v>5375</v>
      </c>
      <c r="E101" s="29" t="s">
        <v>82</v>
      </c>
      <c r="F101" s="29" t="s">
        <v>127</v>
      </c>
      <c r="G101" s="29" t="s">
        <v>5376</v>
      </c>
      <c r="H101" s="29" t="s">
        <v>5377</v>
      </c>
      <c r="I101" s="29" t="s">
        <v>326</v>
      </c>
      <c r="K101" s="29" t="s">
        <v>67</v>
      </c>
      <c r="L101" s="29" t="s">
        <v>384</v>
      </c>
      <c r="M101" s="33">
        <v>46296.0</v>
      </c>
      <c r="N101" s="31" t="s">
        <v>2142</v>
      </c>
      <c r="O101" s="32" t="str">
        <f>HYPERLINK("https://api.typeform.com/responses/files/b9b5176ee4e3babc1cdd7b7309d23d07568cd7e43ae96fe5f3ab15c60cd0d2ce/Transcipt___Data_Analysis_Intern___Huỳnh_Tấn_Đạt.pdf")</f>
        <v>https://api.typeform.com/responses/files/b9b5176ee4e3babc1cdd7b7309d23d07568cd7e43ae96fe5f3ab15c60cd0d2ce/Transcipt___Data_Analysis_Intern___Huỳnh_Tấn_Đạt.pdf</v>
      </c>
      <c r="P101" s="29" t="b">
        <v>0</v>
      </c>
      <c r="Q101" s="29" t="s">
        <v>401</v>
      </c>
      <c r="R101" s="29" t="s">
        <v>401</v>
      </c>
      <c r="S101" s="29" t="s">
        <v>72</v>
      </c>
      <c r="T101" s="29" t="s">
        <v>72</v>
      </c>
      <c r="U101" s="29" t="s">
        <v>2389</v>
      </c>
      <c r="W101" s="29" t="s">
        <v>5378</v>
      </c>
      <c r="X101" s="231" t="str">
        <f>HYPERLINK("https://api.typeform.com/responses/files/4853978340d60f40aae95778d28a25ec46a4e778c66a7e285cb3dbf5ba78da64/CV___Data_Analysis_Intern___Huỳnh_Tấn_Đạt.pdf")</f>
        <v>https://api.typeform.com/responses/files/4853978340d60f40aae95778d28a25ec46a4e778c66a7e285cb3dbf5ba78da64/CV___Data_Analysis_Intern___Huỳnh_Tấn_Đạt.pdf</v>
      </c>
      <c r="Y101" s="34">
        <v>46147.53362268519</v>
      </c>
      <c r="Z101" s="29" t="s">
        <v>5379</v>
      </c>
      <c r="AA101" s="6">
        <v>3.0</v>
      </c>
      <c r="AB101" s="6" t="s">
        <v>109</v>
      </c>
      <c r="AC101" s="28" t="s">
        <v>6377</v>
      </c>
      <c r="AD101" s="20"/>
      <c r="AE101" s="28" t="s">
        <v>6403</v>
      </c>
      <c r="AF101" s="6" t="str">
        <f t="shared" si="4"/>
        <v>Quỳnh</v>
      </c>
    </row>
    <row r="102" ht="23.25" hidden="1" customHeight="1">
      <c r="A102" s="29" t="s">
        <v>5380</v>
      </c>
      <c r="B102" s="30">
        <v>38189.0</v>
      </c>
      <c r="C102" s="29" t="s">
        <v>5381</v>
      </c>
      <c r="D102" s="31" t="s">
        <v>5382</v>
      </c>
      <c r="E102" s="29" t="s">
        <v>82</v>
      </c>
      <c r="F102" s="29" t="s">
        <v>82</v>
      </c>
      <c r="G102" s="29" t="s">
        <v>5383</v>
      </c>
      <c r="H102" s="29" t="s">
        <v>5384</v>
      </c>
      <c r="I102" s="29" t="s">
        <v>2293</v>
      </c>
      <c r="K102" s="29" t="s">
        <v>103</v>
      </c>
      <c r="L102" s="29" t="s">
        <v>5385</v>
      </c>
      <c r="M102" s="33">
        <v>46134.0</v>
      </c>
      <c r="N102" s="31" t="s">
        <v>1382</v>
      </c>
      <c r="O102" s="32" t="str">
        <f>HYPERLINK("https://api.typeform.com/responses/files/5d0953b25799a332004d98c9e602f37df7996e0a485aa7009711aa3cb2cd3d6f/Transcript_Data_Analysis_Intern_Nguyễn_Lê_Thiên_Kim.pdf")</f>
        <v>https://api.typeform.com/responses/files/5d0953b25799a332004d98c9e602f37df7996e0a485aa7009711aa3cb2cd3d6f/Transcript_Data_Analysis_Intern_Nguyễn_Lê_Thiên_Kim.pdf</v>
      </c>
      <c r="P102" s="29" t="b">
        <v>0</v>
      </c>
      <c r="Q102" s="29" t="s">
        <v>1243</v>
      </c>
      <c r="R102" s="29" t="s">
        <v>5386</v>
      </c>
      <c r="S102" s="29" t="s">
        <v>72</v>
      </c>
      <c r="T102" s="29" t="s">
        <v>72</v>
      </c>
      <c r="U102" s="29" t="s">
        <v>224</v>
      </c>
      <c r="W102" s="29" t="s">
        <v>5387</v>
      </c>
      <c r="X102" s="231" t="str">
        <f>HYPERLINK("https://api.typeform.com/responses/files/84c31a6d019eea66ea0a90619bed6630484f8dd4b201f6b2efaad42bfd03c98c/CV_Data_Analysis_Intern_Nguyễn_Lê_Thiên_Kim.pdf")</f>
        <v>https://api.typeform.com/responses/files/84c31a6d019eea66ea0a90619bed6630484f8dd4b201f6b2efaad42bfd03c98c/CV_Data_Analysis_Intern_Nguyễn_Lê_Thiên_Kim.pdf</v>
      </c>
      <c r="Y102" s="34">
        <v>46147.55905092593</v>
      </c>
      <c r="Z102" s="29" t="s">
        <v>5388</v>
      </c>
      <c r="AA102" s="6">
        <v>3.0</v>
      </c>
      <c r="AB102" s="6" t="s">
        <v>109</v>
      </c>
      <c r="AC102" s="28" t="s">
        <v>6377</v>
      </c>
      <c r="AD102" s="20"/>
      <c r="AE102" s="28" t="s">
        <v>6403</v>
      </c>
      <c r="AF102" s="6" t="str">
        <f t="shared" si="4"/>
        <v>Quỳnh</v>
      </c>
    </row>
    <row r="103" ht="23.25" hidden="1" customHeight="1">
      <c r="A103" s="29" t="s">
        <v>5389</v>
      </c>
      <c r="B103" s="30">
        <v>34429.0</v>
      </c>
      <c r="C103" s="29" t="s">
        <v>5390</v>
      </c>
      <c r="D103" s="31" t="s">
        <v>5391</v>
      </c>
      <c r="E103" s="29" t="s">
        <v>61</v>
      </c>
      <c r="F103" s="29" t="s">
        <v>127</v>
      </c>
      <c r="G103" s="29" t="s">
        <v>5392</v>
      </c>
      <c r="H103" s="29" t="s">
        <v>5393</v>
      </c>
      <c r="I103" s="29" t="s">
        <v>65</v>
      </c>
      <c r="J103" s="29" t="s">
        <v>5394</v>
      </c>
      <c r="K103" s="29" t="s">
        <v>5395</v>
      </c>
      <c r="L103" s="29" t="s">
        <v>424</v>
      </c>
      <c r="M103" s="33">
        <v>46174.0</v>
      </c>
      <c r="N103" s="31" t="s">
        <v>362</v>
      </c>
      <c r="O103" s="32" t="str">
        <f>HYPERLINK("https://api.typeform.com/responses/files/ddd94b121d95703e65ec3185ca14de86faf448829997af1b525907da81ecb0a2/Transcript___Unity_Development_Intern___Lê_Minh_Hoàng.rar")</f>
        <v>https://api.typeform.com/responses/files/ddd94b121d95703e65ec3185ca14de86faf448829997af1b525907da81ecb0a2/Transcript___Unity_Development_Intern___Lê_Minh_Hoàng.rar</v>
      </c>
      <c r="P103" s="29" t="b">
        <v>1</v>
      </c>
      <c r="Q103" s="29" t="s">
        <v>5396</v>
      </c>
      <c r="R103" s="29" t="s">
        <v>5397</v>
      </c>
      <c r="S103" s="29" t="s">
        <v>72</v>
      </c>
      <c r="T103" s="29" t="s">
        <v>72</v>
      </c>
      <c r="U103" s="29" t="s">
        <v>90</v>
      </c>
      <c r="X103" s="231" t="str">
        <f>HYPERLINK("https://api.typeform.com/responses/files/3b30aaaf6ac09b82e20ce02ad8dc450440dcdb663e7d9bb134edbc709fe75d8c/CV___Unity_Development_Intern___Lê_Minh_Hoàng.docx")</f>
        <v>https://api.typeform.com/responses/files/3b30aaaf6ac09b82e20ce02ad8dc450440dcdb663e7d9bb134edbc709fe75d8c/CV___Unity_Development_Intern___Lê_Minh_Hoàng.docx</v>
      </c>
      <c r="Y103" s="34">
        <v>46147.6016087963</v>
      </c>
      <c r="Z103" s="29" t="s">
        <v>5398</v>
      </c>
      <c r="AA103" s="6">
        <v>3.0</v>
      </c>
      <c r="AB103" s="6" t="s">
        <v>109</v>
      </c>
      <c r="AC103" s="28" t="s">
        <v>6376</v>
      </c>
      <c r="AD103" s="20"/>
      <c r="AE103" s="28"/>
      <c r="AF103" s="6" t="str">
        <f t="shared" si="4"/>
        <v/>
      </c>
    </row>
    <row r="104" ht="23.25" hidden="1" customHeight="1">
      <c r="A104" s="29" t="s">
        <v>5399</v>
      </c>
      <c r="B104" s="30">
        <v>38553.0</v>
      </c>
      <c r="C104" s="29" t="s">
        <v>5400</v>
      </c>
      <c r="D104" s="31" t="s">
        <v>5401</v>
      </c>
      <c r="E104" s="29" t="s">
        <v>82</v>
      </c>
      <c r="F104" s="29" t="s">
        <v>62</v>
      </c>
      <c r="G104" s="29" t="s">
        <v>5402</v>
      </c>
      <c r="H104" s="29" t="s">
        <v>5403</v>
      </c>
      <c r="I104" s="29" t="s">
        <v>715</v>
      </c>
      <c r="K104" s="29" t="s">
        <v>219</v>
      </c>
      <c r="L104" s="29" t="s">
        <v>612</v>
      </c>
      <c r="M104" s="33">
        <v>46684.0</v>
      </c>
      <c r="N104" s="31" t="s">
        <v>2731</v>
      </c>
      <c r="O104" s="32" t="str">
        <f>HYPERLINK("https://api.typeform.com/responses/files/6e83430126f5c47d89c179626a6d6e0656ad4cb418e514e9aa19588c6176d21e/Transcript___Data_Analysis_Intern___Nguyễn_Đỗ_Minh_Quân.pdf")</f>
        <v>https://api.typeform.com/responses/files/6e83430126f5c47d89c179626a6d6e0656ad4cb418e514e9aa19588c6176d21e/Transcript___Data_Analysis_Intern___Nguyễn_Đỗ_Minh_Quân.pdf</v>
      </c>
      <c r="P104" s="29" t="b">
        <v>1</v>
      </c>
      <c r="Q104" s="29" t="s">
        <v>5404</v>
      </c>
      <c r="R104" s="29" t="s">
        <v>5405</v>
      </c>
      <c r="S104" s="29" t="s">
        <v>72</v>
      </c>
      <c r="T104" s="29" t="s">
        <v>72</v>
      </c>
      <c r="U104" s="29" t="s">
        <v>2389</v>
      </c>
      <c r="W104" s="29" t="s">
        <v>5406</v>
      </c>
      <c r="X104" s="231" t="str">
        <f>HYPERLINK("https://api.typeform.com/responses/files/299198dab7cf9009b961493f839d9b29d6d2ad1ad4c3f22c480b56fceb52e005/CV___Data_Analysis_Intern___Nguyễn_Đỗ_Minh_Quân.pdf")</f>
        <v>https://api.typeform.com/responses/files/299198dab7cf9009b961493f839d9b29d6d2ad1ad4c3f22c480b56fceb52e005/CV___Data_Analysis_Intern___Nguyễn_Đỗ_Minh_Quân.pdf</v>
      </c>
      <c r="Y104" s="34">
        <v>46147.615902777776</v>
      </c>
      <c r="Z104" s="29" t="s">
        <v>5407</v>
      </c>
      <c r="AA104" s="6">
        <v>3.0</v>
      </c>
      <c r="AB104" s="6" t="s">
        <v>109</v>
      </c>
      <c r="AC104" s="28" t="s">
        <v>6377</v>
      </c>
      <c r="AD104" s="20"/>
      <c r="AE104" s="28" t="s">
        <v>6403</v>
      </c>
      <c r="AF104" s="6" t="str">
        <f t="shared" si="4"/>
        <v>Quỳnh</v>
      </c>
    </row>
    <row r="105" ht="23.25" hidden="1" customHeight="1">
      <c r="A105" s="29" t="s">
        <v>5408</v>
      </c>
      <c r="B105" s="30">
        <v>38384.0</v>
      </c>
      <c r="C105" s="29" t="s">
        <v>5409</v>
      </c>
      <c r="D105" s="31" t="s">
        <v>5410</v>
      </c>
      <c r="E105" s="29" t="s">
        <v>774</v>
      </c>
      <c r="F105" s="29" t="s">
        <v>774</v>
      </c>
      <c r="G105" s="29" t="s">
        <v>5411</v>
      </c>
      <c r="H105" s="29" t="s">
        <v>5412</v>
      </c>
      <c r="I105" s="29" t="s">
        <v>3605</v>
      </c>
      <c r="K105" s="29" t="s">
        <v>219</v>
      </c>
      <c r="L105" s="29" t="s">
        <v>1090</v>
      </c>
      <c r="M105" s="33">
        <v>38384.0</v>
      </c>
      <c r="N105" s="31" t="s">
        <v>1679</v>
      </c>
      <c r="O105" s="32" t="str">
        <f>HYPERLINK("https://api.typeform.com/responses/files/acd0885f62bf30f8bc56e6014c806f7e832e7a194029ac48b7c70a26f9410d8a/Transcript_Game_User_Acquisition_Marketing_Intern_Nguyễn_Ngọc_Ánh.xlsx")</f>
        <v>https://api.typeform.com/responses/files/acd0885f62bf30f8bc56e6014c806f7e832e7a194029ac48b7c70a26f9410d8a/Transcript_Game_User_Acquisition_Marketing_Intern_Nguyễn_Ngọc_Ánh.xlsx</v>
      </c>
      <c r="P105" s="29" t="b">
        <v>1</v>
      </c>
      <c r="Q105" s="29" t="s">
        <v>5413</v>
      </c>
      <c r="R105" s="29" t="s">
        <v>5414</v>
      </c>
      <c r="S105" s="29" t="s">
        <v>5415</v>
      </c>
      <c r="T105" s="29" t="s">
        <v>72</v>
      </c>
      <c r="U105" s="29" t="s">
        <v>90</v>
      </c>
      <c r="W105" s="29" t="s">
        <v>5416</v>
      </c>
      <c r="X105" s="231" t="str">
        <f>HYPERLINK("https://api.typeform.com/responses/files/fe222c07768573624fee327757c23907774f6892edd1b6a80ca36172b0cc4c6a/CV___Thực_tập_sinh_Digital_Marketing___Nguyễn_Ngọc_Ánh.pdf")</f>
        <v>https://api.typeform.com/responses/files/fe222c07768573624fee327757c23907774f6892edd1b6a80ca36172b0cc4c6a/CV___Thực_tập_sinh_Digital_Marketing___Nguyễn_Ngọc_Ánh.pdf</v>
      </c>
      <c r="Y105" s="34">
        <v>46147.618842592594</v>
      </c>
      <c r="Z105" s="29" t="s">
        <v>5417</v>
      </c>
      <c r="AA105" s="6">
        <v>3.0</v>
      </c>
      <c r="AB105" s="6"/>
      <c r="AC105" s="28" t="s">
        <v>6376</v>
      </c>
      <c r="AD105" s="20"/>
      <c r="AE105" s="28"/>
      <c r="AF105" s="6" t="str">
        <f t="shared" si="4"/>
        <v/>
      </c>
    </row>
    <row r="106" ht="23.25" hidden="1" customHeight="1">
      <c r="A106" s="29" t="s">
        <v>5418</v>
      </c>
      <c r="B106" s="30">
        <v>38194.0</v>
      </c>
      <c r="C106" s="29" t="s">
        <v>5419</v>
      </c>
      <c r="D106" s="31" t="s">
        <v>5420</v>
      </c>
      <c r="E106" s="29" t="s">
        <v>61</v>
      </c>
      <c r="F106" s="29" t="s">
        <v>62</v>
      </c>
      <c r="G106" s="29" t="s">
        <v>5421</v>
      </c>
      <c r="H106" s="29" t="s">
        <v>5422</v>
      </c>
      <c r="I106" s="29" t="s">
        <v>85</v>
      </c>
      <c r="K106" s="29" t="s">
        <v>67</v>
      </c>
      <c r="L106" s="29" t="s">
        <v>104</v>
      </c>
      <c r="M106" s="33">
        <v>46182.0</v>
      </c>
      <c r="N106" s="31" t="s">
        <v>942</v>
      </c>
      <c r="O106" s="32" t="str">
        <f>HYPERLINK("https://api.typeform.com/responses/files/09e313108a7006723f8d3cafc09851f64381bb2331aa864a5a8203992291821f/Kết_quả_học_tập.html")</f>
        <v>https://api.typeform.com/responses/files/09e313108a7006723f8d3cafc09851f64381bb2331aa864a5a8203992291821f/Kết_quả_học_tập.html</v>
      </c>
      <c r="P106" s="29" t="b">
        <v>1</v>
      </c>
      <c r="Q106" s="29" t="s">
        <v>5423</v>
      </c>
      <c r="R106" s="29" t="s">
        <v>5424</v>
      </c>
      <c r="S106" s="29" t="s">
        <v>72</v>
      </c>
      <c r="T106" s="29" t="s">
        <v>72</v>
      </c>
      <c r="U106" s="29" t="s">
        <v>594</v>
      </c>
      <c r="W106" s="29" t="s">
        <v>5425</v>
      </c>
      <c r="X106" s="231" t="str">
        <f>HYPERLINK("https://api.typeform.com/responses/files/bb3a054e7c2282dba1b93afacb8cee4406a782c0832e520f643b17420106dee6/Bui_Thai_Hoang_CV_GameDev.pdf")</f>
        <v>https://api.typeform.com/responses/files/bb3a054e7c2282dba1b93afacb8cee4406a782c0832e520f643b17420106dee6/Bui_Thai_Hoang_CV_GameDev.pdf</v>
      </c>
      <c r="Y106" s="34">
        <v>46147.62752314815</v>
      </c>
      <c r="Z106" s="29" t="s">
        <v>5426</v>
      </c>
      <c r="AA106" s="6">
        <v>3.0</v>
      </c>
      <c r="AB106" s="6" t="s">
        <v>109</v>
      </c>
      <c r="AC106" s="28" t="s">
        <v>6377</v>
      </c>
      <c r="AD106" s="20"/>
      <c r="AE106" s="28" t="s">
        <v>6403</v>
      </c>
      <c r="AF106" s="6" t="str">
        <f t="shared" si="4"/>
        <v>Quỳnh</v>
      </c>
    </row>
    <row r="107" ht="23.25" hidden="1" customHeight="1">
      <c r="A107" s="29" t="s">
        <v>5427</v>
      </c>
      <c r="B107" s="30">
        <v>38401.0</v>
      </c>
      <c r="C107" s="29" t="s">
        <v>5428</v>
      </c>
      <c r="D107" s="31" t="s">
        <v>5429</v>
      </c>
      <c r="E107" s="29" t="s">
        <v>62</v>
      </c>
      <c r="F107" s="29" t="s">
        <v>82</v>
      </c>
      <c r="G107" s="29" t="s">
        <v>5430</v>
      </c>
      <c r="H107" s="29" t="s">
        <v>5431</v>
      </c>
      <c r="I107" s="29" t="s">
        <v>715</v>
      </c>
      <c r="K107" s="29" t="s">
        <v>219</v>
      </c>
      <c r="L107" s="29" t="s">
        <v>930</v>
      </c>
      <c r="M107" s="33">
        <v>46539.0</v>
      </c>
      <c r="N107" s="31" t="s">
        <v>447</v>
      </c>
      <c r="O107" s="32" t="str">
        <f>HYPERLINK("https://api.typeform.com/responses/files/39d1b08e15f6d51210c56252e51a9b870f04dcd9c057dd7c3c07517588b28383/Transcript___AI_Enginering_Intern___Vũ_Đức_Việt_Anh.pdf")</f>
        <v>https://api.typeform.com/responses/files/39d1b08e15f6d51210c56252e51a9b870f04dcd9c057dd7c3c07517588b28383/Transcript___AI_Enginering_Intern___Vũ_Đức_Việt_Anh.pdf</v>
      </c>
      <c r="P107" s="29" t="b">
        <v>0</v>
      </c>
      <c r="Q107" s="29" t="s">
        <v>5432</v>
      </c>
      <c r="R107" s="29" t="s">
        <v>5433</v>
      </c>
      <c r="S107" s="29" t="s">
        <v>72</v>
      </c>
      <c r="T107" s="29" t="s">
        <v>72</v>
      </c>
      <c r="U107" s="29" t="s">
        <v>2389</v>
      </c>
      <c r="W107" s="29" t="s">
        <v>5434</v>
      </c>
      <c r="X107" s="231" t="str">
        <f>HYPERLINK("https://api.typeform.com/responses/files/5c940dd5b65a2903d7040373164ea3a30593d100a64dbff5746966a00992b32c/CV___AI_Engineering_Intern___Vũ_Đức_Việt_Anh.pdf")</f>
        <v>https://api.typeform.com/responses/files/5c940dd5b65a2903d7040373164ea3a30593d100a64dbff5746966a00992b32c/CV___AI_Engineering_Intern___Vũ_Đức_Việt_Anh.pdf</v>
      </c>
      <c r="Y107" s="34">
        <v>46147.662303240744</v>
      </c>
      <c r="Z107" s="29" t="s">
        <v>5435</v>
      </c>
      <c r="AA107" s="6">
        <v>3.0</v>
      </c>
      <c r="AB107" s="6"/>
      <c r="AC107" s="28"/>
      <c r="AD107" s="20"/>
      <c r="AE107" s="28"/>
      <c r="AF107" s="6" t="str">
        <f t="shared" si="4"/>
        <v/>
      </c>
    </row>
    <row r="108" ht="23.25" hidden="1" customHeight="1">
      <c r="A108" s="29" t="s">
        <v>5436</v>
      </c>
      <c r="B108" s="30">
        <v>38360.0</v>
      </c>
      <c r="C108" s="29" t="s">
        <v>5437</v>
      </c>
      <c r="D108" s="31" t="s">
        <v>5438</v>
      </c>
      <c r="E108" s="29" t="s">
        <v>62</v>
      </c>
      <c r="F108" s="29" t="s">
        <v>82</v>
      </c>
      <c r="G108" s="29" t="s">
        <v>5439</v>
      </c>
      <c r="H108" s="29" t="s">
        <v>5440</v>
      </c>
      <c r="I108" s="29" t="s">
        <v>715</v>
      </c>
      <c r="K108" s="29" t="s">
        <v>219</v>
      </c>
      <c r="L108" s="29" t="s">
        <v>399</v>
      </c>
      <c r="M108" s="33">
        <v>46691.0</v>
      </c>
      <c r="N108" s="31" t="s">
        <v>5441</v>
      </c>
      <c r="O108" s="32" t="str">
        <f>HYPERLINK("https://api.typeform.com/responses/files/d27bb5ed46e74d0a8300af68abe8b4feb6219c1b9a1a6ada0c26168311082908/Transcript___AI_Engineering_Intern___Hoàng_Đức_Hiếu_Anh.pdf")</f>
        <v>https://api.typeform.com/responses/files/d27bb5ed46e74d0a8300af68abe8b4feb6219c1b9a1a6ada0c26168311082908/Transcript___AI_Engineering_Intern___Hoàng_Đức_Hiếu_Anh.pdf</v>
      </c>
      <c r="P108" s="29" t="b">
        <v>1</v>
      </c>
      <c r="Q108" s="29" t="s">
        <v>5442</v>
      </c>
      <c r="R108" s="29" t="s">
        <v>5443</v>
      </c>
      <c r="S108" s="29" t="s">
        <v>72</v>
      </c>
      <c r="T108" s="29" t="s">
        <v>5444</v>
      </c>
      <c r="U108" s="29" t="s">
        <v>5445</v>
      </c>
      <c r="W108" s="29" t="s">
        <v>5446</v>
      </c>
      <c r="X108" s="231" t="str">
        <f>HYPERLINK("https://api.typeform.com/responses/files/8b0ba42288bc4be1d7775904d1eed6d8d738ddfc09c04ab5e603209d9cc550ba/CV___AI_Engineering_Intern___Hoàng_Đức_Hiếu_Anh.pdf")</f>
        <v>https://api.typeform.com/responses/files/8b0ba42288bc4be1d7775904d1eed6d8d738ddfc09c04ab5e603209d9cc550ba/CV___AI_Engineering_Intern___Hoàng_Đức_Hiếu_Anh.pdf</v>
      </c>
      <c r="Y108" s="34">
        <v>46147.66266203704</v>
      </c>
      <c r="Z108" s="29" t="s">
        <v>5447</v>
      </c>
      <c r="AA108" s="6">
        <v>3.0</v>
      </c>
      <c r="AB108" s="6"/>
      <c r="AC108" s="28"/>
      <c r="AD108" s="20"/>
      <c r="AE108" s="28"/>
      <c r="AF108" s="6" t="str">
        <f t="shared" si="4"/>
        <v/>
      </c>
    </row>
    <row r="109" ht="23.25" hidden="1" customHeight="1">
      <c r="A109" s="29" t="s">
        <v>5448</v>
      </c>
      <c r="B109" s="30">
        <v>37987.0</v>
      </c>
      <c r="C109" s="29" t="s">
        <v>5449</v>
      </c>
      <c r="D109" s="31" t="s">
        <v>5450</v>
      </c>
      <c r="E109" s="29" t="s">
        <v>82</v>
      </c>
      <c r="G109" s="29" t="s">
        <v>5451</v>
      </c>
      <c r="H109" s="29" t="s">
        <v>5452</v>
      </c>
      <c r="I109" s="29" t="s">
        <v>85</v>
      </c>
      <c r="K109" s="29" t="s">
        <v>67</v>
      </c>
      <c r="L109" s="29" t="s">
        <v>5453</v>
      </c>
      <c r="M109" s="33">
        <v>46357.0</v>
      </c>
      <c r="N109" s="31" t="s">
        <v>2356</v>
      </c>
      <c r="O109" s="32" t="str">
        <f>HYPERLINK("https://api.typeform.com/responses/files/7479b0a432a8032393f22585ea197efcab128f73c1486f05ae75e02ac9a8265a/Transcript___Data_Analysis_Intern___Dương_Thị_Quỳnh_Giang.pdf")</f>
        <v>https://api.typeform.com/responses/files/7479b0a432a8032393f22585ea197efcab128f73c1486f05ae75e02ac9a8265a/Transcript___Data_Analysis_Intern___Dương_Thị_Quỳnh_Giang.pdf</v>
      </c>
      <c r="P109" s="29" t="b">
        <v>0</v>
      </c>
      <c r="Q109" s="29" t="s">
        <v>5454</v>
      </c>
      <c r="R109" s="29" t="s">
        <v>1437</v>
      </c>
      <c r="S109" s="29" t="s">
        <v>72</v>
      </c>
      <c r="T109" s="29" t="s">
        <v>72</v>
      </c>
      <c r="U109" s="29" t="s">
        <v>269</v>
      </c>
      <c r="W109" s="29" t="s">
        <v>5455</v>
      </c>
      <c r="X109" s="231" t="str">
        <f>HYPERLINK("https://api.typeform.com/responses/files/a33f20d37765fded85d31dd6947846160ad7b6cceaed4c8c0f92d616cb6695e3/CV___Data_Analysis_Intern___Dương_Thị_Quỳnh_Giang.pdf")</f>
        <v>https://api.typeform.com/responses/files/a33f20d37765fded85d31dd6947846160ad7b6cceaed4c8c0f92d616cb6695e3/CV___Data_Analysis_Intern___Dương_Thị_Quỳnh_Giang.pdf</v>
      </c>
      <c r="Y109" s="34">
        <v>46147.66310185185</v>
      </c>
      <c r="Z109" s="29" t="s">
        <v>5456</v>
      </c>
      <c r="AA109" s="6">
        <v>3.0</v>
      </c>
      <c r="AB109" s="6" t="s">
        <v>109</v>
      </c>
      <c r="AC109" s="28" t="s">
        <v>6377</v>
      </c>
      <c r="AD109" s="20"/>
      <c r="AE109" s="28" t="s">
        <v>6403</v>
      </c>
      <c r="AF109" s="6" t="str">
        <f t="shared" si="4"/>
        <v>Quỳnh</v>
      </c>
    </row>
    <row r="110" ht="23.25" hidden="1" customHeight="1">
      <c r="A110" s="29" t="s">
        <v>5468</v>
      </c>
      <c r="B110" s="30">
        <v>38706.0</v>
      </c>
      <c r="C110" s="29" t="s">
        <v>5469</v>
      </c>
      <c r="D110" s="31" t="s">
        <v>5470</v>
      </c>
      <c r="E110" s="29" t="s">
        <v>82</v>
      </c>
      <c r="F110" s="29" t="s">
        <v>99</v>
      </c>
      <c r="G110" s="29" t="s">
        <v>5471</v>
      </c>
      <c r="H110" s="29" t="s">
        <v>5472</v>
      </c>
      <c r="I110" s="29" t="s">
        <v>842</v>
      </c>
      <c r="K110" s="29" t="s">
        <v>219</v>
      </c>
      <c r="L110" s="29" t="s">
        <v>86</v>
      </c>
      <c r="M110" s="33">
        <v>46374.0</v>
      </c>
      <c r="N110" s="31" t="s">
        <v>1132</v>
      </c>
      <c r="O110" s="32" t="str">
        <f>HYPERLINK("https://api.typeform.com/responses/files/4de4e2544337a5427db847ac704664215eae10ff24512bd22d81ef83feabd324/Transcript___Data_Analysis___Hà_Quang_Đại.pdf")</f>
        <v>https://api.typeform.com/responses/files/4de4e2544337a5427db847ac704664215eae10ff24512bd22d81ef83feabd324/Transcript___Data_Analysis___Hà_Quang_Đại.pdf</v>
      </c>
      <c r="P110" s="29" t="b">
        <v>1</v>
      </c>
      <c r="Q110" s="29" t="s">
        <v>5473</v>
      </c>
      <c r="R110" s="29" t="s">
        <v>5474</v>
      </c>
      <c r="S110" s="29" t="s">
        <v>72</v>
      </c>
      <c r="T110" s="29" t="s">
        <v>72</v>
      </c>
      <c r="U110" s="29" t="s">
        <v>73</v>
      </c>
      <c r="W110" s="29" t="s">
        <v>5475</v>
      </c>
      <c r="X110" s="231" t="str">
        <f>HYPERLINK("https://api.typeform.com/responses/files/db95950b6f530f1564b76715d219d4308a1b869574f20c8253c894b509b36cc3/CV___Data_Analysis_Intern___Hà_Quang_Đại.pdf")</f>
        <v>https://api.typeform.com/responses/files/db95950b6f530f1564b76715d219d4308a1b869574f20c8253c894b509b36cc3/CV___Data_Analysis_Intern___Hà_Quang_Đại.pdf</v>
      </c>
      <c r="Y110" s="34">
        <v>46147.67138888889</v>
      </c>
      <c r="Z110" s="29" t="s">
        <v>5476</v>
      </c>
      <c r="AA110" s="6">
        <v>3.0</v>
      </c>
      <c r="AB110" s="6" t="s">
        <v>109</v>
      </c>
      <c r="AC110" s="28" t="s">
        <v>6377</v>
      </c>
      <c r="AD110" s="20"/>
      <c r="AE110" s="28" t="s">
        <v>6403</v>
      </c>
      <c r="AF110" s="6" t="str">
        <f t="shared" si="4"/>
        <v>Quỳnh</v>
      </c>
    </row>
    <row r="111" ht="23.25" hidden="1" customHeight="1">
      <c r="A111" s="29" t="s">
        <v>5477</v>
      </c>
      <c r="B111" s="30">
        <v>37876.0</v>
      </c>
      <c r="C111" s="29" t="s">
        <v>5478</v>
      </c>
      <c r="D111" s="31" t="s">
        <v>5479</v>
      </c>
      <c r="E111" s="29" t="s">
        <v>61</v>
      </c>
      <c r="F111" s="29" t="s">
        <v>99</v>
      </c>
      <c r="G111" s="29" t="s">
        <v>5480</v>
      </c>
      <c r="H111" s="29" t="s">
        <v>5481</v>
      </c>
      <c r="I111" s="29" t="s">
        <v>244</v>
      </c>
      <c r="K111" s="29" t="s">
        <v>67</v>
      </c>
      <c r="L111" s="29" t="s">
        <v>399</v>
      </c>
      <c r="M111" s="33">
        <v>46326.0</v>
      </c>
      <c r="N111" s="31" t="s">
        <v>5482</v>
      </c>
      <c r="O111" s="32" t="str">
        <f>HYPERLINK("https://api.typeform.com/responses/files/1e720ffb17c140dcd4c9932b10302a11a6bff7f6f97d67f7075cf3475a59ddf2/Transcript___Unity_Development_Intern___Nguyễn_Văn_Anh_Quân.png")</f>
        <v>https://api.typeform.com/responses/files/1e720ffb17c140dcd4c9932b10302a11a6bff7f6f97d67f7075cf3475a59ddf2/Transcript___Unity_Development_Intern___Nguyễn_Văn_Anh_Quân.png</v>
      </c>
      <c r="P111" s="29" t="b">
        <v>1</v>
      </c>
      <c r="Q111" s="29" t="s">
        <v>5483</v>
      </c>
      <c r="R111" s="29" t="s">
        <v>5484</v>
      </c>
      <c r="S111" s="29" t="s">
        <v>72</v>
      </c>
      <c r="T111" s="29" t="s">
        <v>72</v>
      </c>
      <c r="U111" s="29" t="s">
        <v>73</v>
      </c>
      <c r="W111" s="29" t="s">
        <v>5485</v>
      </c>
      <c r="X111" s="231" t="str">
        <f>HYPERLINK("https://api.typeform.com/responses/files/f8955de1f7be3fb9732e9bc76f778a2186c2f92684b69df31110a831de045883/CV___Unity_Development_Intern___Nguyen_Van_Anh_Quan.pdf")</f>
        <v>https://api.typeform.com/responses/files/f8955de1f7be3fb9732e9bc76f778a2186c2f92684b69df31110a831de045883/CV___Unity_Development_Intern___Nguyen_Van_Anh_Quan.pdf</v>
      </c>
      <c r="Y111" s="34">
        <v>46147.705879629626</v>
      </c>
      <c r="Z111" s="29" t="s">
        <v>5486</v>
      </c>
      <c r="AA111" s="6">
        <v>3.0</v>
      </c>
      <c r="AB111" s="6" t="s">
        <v>109</v>
      </c>
      <c r="AC111" s="28" t="s">
        <v>6377</v>
      </c>
      <c r="AD111" s="20"/>
      <c r="AE111" s="28" t="s">
        <v>6403</v>
      </c>
      <c r="AF111" s="6" t="str">
        <f t="shared" si="4"/>
        <v>Quỳnh</v>
      </c>
    </row>
    <row r="112" ht="23.25" hidden="1" customHeight="1">
      <c r="A112" s="29" t="s">
        <v>5509</v>
      </c>
      <c r="B112" s="30">
        <v>37870.0</v>
      </c>
      <c r="C112" s="29" t="s">
        <v>5510</v>
      </c>
      <c r="D112" s="31" t="s">
        <v>5511</v>
      </c>
      <c r="E112" s="29" t="s">
        <v>774</v>
      </c>
      <c r="F112" s="29" t="s">
        <v>774</v>
      </c>
      <c r="G112" s="29" t="s">
        <v>5512</v>
      </c>
      <c r="H112" s="29" t="s">
        <v>5513</v>
      </c>
      <c r="I112" s="29" t="s">
        <v>777</v>
      </c>
      <c r="K112" s="29" t="s">
        <v>67</v>
      </c>
      <c r="L112" s="29" t="s">
        <v>5514</v>
      </c>
      <c r="M112" s="33">
        <v>46483.0</v>
      </c>
      <c r="N112" s="29" t="s">
        <v>5515</v>
      </c>
      <c r="O112" s="32" t="str">
        <f>HYPERLINK("https://api.typeform.com/responses/files/ae017aa0d7d113d62627f4cc45439f18379142799305c0633c655db11e4a418b/Transcript_Game_User_Acquisition_Intern_Trần_Ngọc_Tuyền_Vy.pdf")</f>
        <v>https://api.typeform.com/responses/files/ae017aa0d7d113d62627f4cc45439f18379142799305c0633c655db11e4a418b/Transcript_Game_User_Acquisition_Intern_Trần_Ngọc_Tuyền_Vy.pdf</v>
      </c>
      <c r="P112" s="29" t="b">
        <v>1</v>
      </c>
      <c r="Q112" s="29" t="s">
        <v>5516</v>
      </c>
      <c r="R112" s="29" t="s">
        <v>222</v>
      </c>
      <c r="S112" s="29" t="s">
        <v>72</v>
      </c>
      <c r="T112" s="29" t="s">
        <v>72</v>
      </c>
      <c r="U112" s="29" t="s">
        <v>2885</v>
      </c>
      <c r="X112" s="231" t="str">
        <f>HYPERLINK("https://api.typeform.com/responses/files/754cbf4da5af4cfa417a927c7e701c994c52277975fa792fef7065245bfb1f2d/CV_Game_User_Acquisition_Intern_Trần_Ngọc_Tuyền_Vy.pdf")</f>
        <v>https://api.typeform.com/responses/files/754cbf4da5af4cfa417a927c7e701c994c52277975fa792fef7065245bfb1f2d/CV_Game_User_Acquisition_Intern_Trần_Ngọc_Tuyền_Vy.pdf</v>
      </c>
      <c r="Y112" s="34">
        <v>46147.8205787037</v>
      </c>
      <c r="Z112" s="29" t="s">
        <v>5517</v>
      </c>
      <c r="AA112" s="6">
        <v>3.0</v>
      </c>
      <c r="AB112" s="6"/>
      <c r="AC112" s="28" t="s">
        <v>6376</v>
      </c>
      <c r="AD112" s="20"/>
      <c r="AE112" s="28"/>
      <c r="AF112" s="6" t="str">
        <f t="shared" si="4"/>
        <v/>
      </c>
    </row>
    <row r="113" ht="23.25" hidden="1" customHeight="1">
      <c r="A113" s="29" t="s">
        <v>5518</v>
      </c>
      <c r="B113" s="30">
        <v>38073.0</v>
      </c>
      <c r="C113" s="29" t="s">
        <v>5519</v>
      </c>
      <c r="D113" s="31" t="s">
        <v>5520</v>
      </c>
      <c r="E113" s="29" t="s">
        <v>62</v>
      </c>
      <c r="F113" s="29" t="s">
        <v>82</v>
      </c>
      <c r="G113" s="29" t="s">
        <v>5521</v>
      </c>
      <c r="H113" s="29" t="s">
        <v>5522</v>
      </c>
      <c r="I113" s="29" t="s">
        <v>130</v>
      </c>
      <c r="K113" s="29" t="s">
        <v>67</v>
      </c>
      <c r="L113" s="29" t="s">
        <v>551</v>
      </c>
      <c r="M113" s="33">
        <v>38073.0</v>
      </c>
      <c r="N113" s="31" t="s">
        <v>2818</v>
      </c>
      <c r="O113" s="32" t="str">
        <f>HYPERLINK("https://api.typeform.com/responses/files/319a1023240fc7026bc9d85ee1b7be7828af3a6879e572b847868eb8a16d84d8/Transcript___Data_Analysis_Intern___Phạm_Nguyễn_Thế_Hào.pdf")</f>
        <v>https://api.typeform.com/responses/files/319a1023240fc7026bc9d85ee1b7be7828af3a6879e572b847868eb8a16d84d8/Transcript___Data_Analysis_Intern___Phạm_Nguyễn_Thế_Hào.pdf</v>
      </c>
      <c r="P113" s="29" t="b">
        <v>1</v>
      </c>
      <c r="Q113" s="29" t="s">
        <v>5523</v>
      </c>
      <c r="R113" s="29" t="s">
        <v>5524</v>
      </c>
      <c r="S113" s="29" t="s">
        <v>72</v>
      </c>
      <c r="T113" s="29" t="s">
        <v>72</v>
      </c>
      <c r="U113" s="29" t="s">
        <v>269</v>
      </c>
      <c r="W113" s="29" t="s">
        <v>5525</v>
      </c>
      <c r="X113" s="231" t="str">
        <f>HYPERLINK("https://api.typeform.com/responses/files/7b5b4c71d8de87b7f617f363f9afda5112d2f352c885c26304bee1911bdc8b88/CV___Data_Analysis_Intern___Phạm_Nguyễn_Thế_Hào.pdf")</f>
        <v>https://api.typeform.com/responses/files/7b5b4c71d8de87b7f617f363f9afda5112d2f352c885c26304bee1911bdc8b88/CV___Data_Analysis_Intern___Phạm_Nguyễn_Thế_Hào.pdf</v>
      </c>
      <c r="Y113" s="34">
        <v>46148.07436342593</v>
      </c>
      <c r="Z113" s="29" t="s">
        <v>5526</v>
      </c>
      <c r="AA113" s="6">
        <v>3.0</v>
      </c>
      <c r="AB113" s="6"/>
      <c r="AC113" s="28"/>
      <c r="AD113" s="20"/>
      <c r="AE113" s="28"/>
      <c r="AF113" s="6" t="str">
        <f t="shared" si="4"/>
        <v/>
      </c>
    </row>
    <row r="114" ht="23.25" hidden="1" customHeight="1">
      <c r="A114" s="29" t="s">
        <v>5527</v>
      </c>
      <c r="B114" s="30">
        <v>37316.0</v>
      </c>
      <c r="C114" s="29" t="s">
        <v>5528</v>
      </c>
      <c r="D114" s="31" t="s">
        <v>5529</v>
      </c>
      <c r="E114" s="29" t="s">
        <v>127</v>
      </c>
      <c r="G114" s="29" t="s">
        <v>5530</v>
      </c>
      <c r="H114" s="29" t="s">
        <v>5531</v>
      </c>
      <c r="I114" s="29" t="s">
        <v>1069</v>
      </c>
      <c r="J114" s="29" t="s">
        <v>5532</v>
      </c>
      <c r="K114" s="29" t="s">
        <v>67</v>
      </c>
      <c r="L114" s="29" t="s">
        <v>684</v>
      </c>
      <c r="M114" s="33">
        <v>46295.0</v>
      </c>
      <c r="N114" s="31" t="s">
        <v>2492</v>
      </c>
      <c r="O114" s="32" t="str">
        <f>HYPERLINK("https://api.typeform.com/responses/files/f5abe6301963e78e5a76a1f782e65ce38712f9f6ff6e9db8f5a4bf4a0ad23626/Transcript___Game_Quality_Assurance_Intern___Bế_Trương_Dương.xlsx")</f>
        <v>https://api.typeform.com/responses/files/f5abe6301963e78e5a76a1f782e65ce38712f9f6ff6e9db8f5a4bf4a0ad23626/Transcript___Game_Quality_Assurance_Intern___Bế_Trương_Dương.xlsx</v>
      </c>
      <c r="P114" s="29" t="b">
        <v>0</v>
      </c>
      <c r="Q114" s="29" t="s">
        <v>268</v>
      </c>
      <c r="R114" s="29" t="s">
        <v>5533</v>
      </c>
      <c r="S114" s="29" t="s">
        <v>72</v>
      </c>
      <c r="T114" s="29" t="s">
        <v>72</v>
      </c>
      <c r="U114" s="29" t="s">
        <v>2624</v>
      </c>
      <c r="V114" s="29" t="s">
        <v>5534</v>
      </c>
      <c r="W114" s="29" t="s">
        <v>5535</v>
      </c>
      <c r="X114" s="231" t="str">
        <f>HYPERLINK("https://api.typeform.com/responses/files/3129db86cc09b8aaff344cf92d2d2a0dc6b244344408547e579b9a753bf2c327/CV___Game_Quality_Assurance_Intern___Bế_Trương_Dương.pdf")</f>
        <v>https://api.typeform.com/responses/files/3129db86cc09b8aaff344cf92d2d2a0dc6b244344408547e579b9a753bf2c327/CV___Game_Quality_Assurance_Intern___Bế_Trương_Dương.pdf</v>
      </c>
      <c r="Y114" s="34">
        <v>46148.13366898148</v>
      </c>
      <c r="Z114" s="29" t="s">
        <v>5536</v>
      </c>
      <c r="AA114" s="6">
        <v>3.0</v>
      </c>
      <c r="AB114" s="6" t="s">
        <v>109</v>
      </c>
      <c r="AC114" s="28" t="s">
        <v>6376</v>
      </c>
      <c r="AD114" s="20"/>
      <c r="AE114" s="28"/>
      <c r="AF114" s="6" t="str">
        <f t="shared" si="4"/>
        <v/>
      </c>
    </row>
    <row r="115" ht="23.25" hidden="1" customHeight="1">
      <c r="A115" s="29" t="s">
        <v>5537</v>
      </c>
      <c r="B115" s="30">
        <v>37893.0</v>
      </c>
      <c r="C115" s="29" t="s">
        <v>5538</v>
      </c>
      <c r="D115" s="31" t="s">
        <v>5539</v>
      </c>
      <c r="E115" s="29" t="s">
        <v>127</v>
      </c>
      <c r="G115" s="29" t="s">
        <v>5540</v>
      </c>
      <c r="H115" s="29" t="s">
        <v>5541</v>
      </c>
      <c r="I115" s="29" t="s">
        <v>65</v>
      </c>
      <c r="J115" s="29" t="s">
        <v>961</v>
      </c>
      <c r="K115" s="29" t="s">
        <v>103</v>
      </c>
      <c r="L115" s="29" t="s">
        <v>1183</v>
      </c>
      <c r="M115" s="33">
        <v>45935.0</v>
      </c>
      <c r="N115" s="29" t="s">
        <v>5542</v>
      </c>
      <c r="O115" s="32" t="str">
        <f>HYPERLINK("https://api.typeform.com/responses/files/d7d211530515ad6db112ed1bca58cf2a6d287795d060785973820a94656b0649/Transcript___Game_QA_Intern___Dinh_Quoc_Tien.jpg")</f>
        <v>https://api.typeform.com/responses/files/d7d211530515ad6db112ed1bca58cf2a6d287795d060785973820a94656b0649/Transcript___Game_QA_Intern___Dinh_Quoc_Tien.jpg</v>
      </c>
      <c r="P115" s="29" t="b">
        <v>0</v>
      </c>
      <c r="Q115" s="29" t="s">
        <v>222</v>
      </c>
      <c r="R115" s="29" t="s">
        <v>222</v>
      </c>
      <c r="S115" s="29" t="s">
        <v>72</v>
      </c>
      <c r="T115" s="29" t="s">
        <v>72</v>
      </c>
      <c r="U115" s="29" t="s">
        <v>224</v>
      </c>
      <c r="W115" s="29" t="s">
        <v>5543</v>
      </c>
      <c r="X115" s="231" t="str">
        <f>HYPERLINK("https://api.typeform.com/responses/files/663d15e07c8d552f51c284c940eb7c822abad022bbc12b8175c940f0bf36f221/CV___Game_QA_Intern___Dinh_Quoc_Tien.pdf")</f>
        <v>https://api.typeform.com/responses/files/663d15e07c8d552f51c284c940eb7c822abad022bbc12b8175c940f0bf36f221/CV___Game_QA_Intern___Dinh_Quoc_Tien.pdf</v>
      </c>
      <c r="Y115" s="34">
        <v>46148.149247685185</v>
      </c>
      <c r="Z115" s="29" t="s">
        <v>5544</v>
      </c>
      <c r="AA115" s="6">
        <v>3.0</v>
      </c>
      <c r="AB115" s="6" t="s">
        <v>109</v>
      </c>
      <c r="AC115" s="28" t="s">
        <v>6377</v>
      </c>
      <c r="AD115" s="20"/>
      <c r="AE115" s="28" t="s">
        <v>6379</v>
      </c>
      <c r="AF115" s="6" t="str">
        <f t="shared" si="4"/>
        <v>Quỳnh</v>
      </c>
    </row>
    <row r="116" ht="23.25" hidden="1" customHeight="1">
      <c r="A116" s="29" t="s">
        <v>5564</v>
      </c>
      <c r="B116" s="30">
        <v>36565.0</v>
      </c>
      <c r="C116" s="29" t="s">
        <v>5565</v>
      </c>
      <c r="D116" s="31" t="s">
        <v>5566</v>
      </c>
      <c r="E116" s="29" t="s">
        <v>61</v>
      </c>
      <c r="F116" s="29" t="s">
        <v>99</v>
      </c>
      <c r="G116" s="29" t="s">
        <v>5567</v>
      </c>
      <c r="H116" s="29" t="s">
        <v>5568</v>
      </c>
      <c r="I116" s="29" t="s">
        <v>65</v>
      </c>
      <c r="J116" s="29" t="s">
        <v>5569</v>
      </c>
      <c r="K116" s="29" t="s">
        <v>5570</v>
      </c>
      <c r="L116" s="29" t="s">
        <v>1183</v>
      </c>
      <c r="M116" s="33">
        <v>44743.0</v>
      </c>
      <c r="N116" s="31" t="s">
        <v>4446</v>
      </c>
      <c r="O116" s="32" t="str">
        <f>HYPERLINK("https://api.typeform.com/responses/files/ea4a02844ff77af8937368b644aff639f847a1b1c5dd6ec9656a7a6ed6776b58/20260506_112840.jpg")</f>
        <v>https://api.typeform.com/responses/files/ea4a02844ff77af8937368b644aff639f847a1b1c5dd6ec9656a7a6ed6776b58/20260506_112840.jpg</v>
      </c>
      <c r="P116" s="29" t="b">
        <v>1</v>
      </c>
      <c r="Q116" s="29" t="s">
        <v>5571</v>
      </c>
      <c r="R116" s="29" t="s">
        <v>5572</v>
      </c>
      <c r="S116" s="29" t="s">
        <v>72</v>
      </c>
      <c r="T116" s="29" t="s">
        <v>72</v>
      </c>
      <c r="U116" s="29" t="s">
        <v>73</v>
      </c>
      <c r="W116" s="29" t="s">
        <v>5573</v>
      </c>
      <c r="X116" s="231" t="str">
        <f>HYPERLINK("https://api.typeform.com/responses/files/49db19975847406654afd86ae3834b9173347d83479fcde20c4e85e48c0aaa9e/CV___Unity_Developer_Intern___Trieu_Phuoc_Minh_Long.pdf")</f>
        <v>https://api.typeform.com/responses/files/49db19975847406654afd86ae3834b9173347d83479fcde20c4e85e48c0aaa9e/CV___Unity_Developer_Intern___Trieu_Phuoc_Minh_Long.pdf</v>
      </c>
      <c r="Y116" s="34">
        <v>46148.22269675926</v>
      </c>
      <c r="Z116" s="29" t="s">
        <v>5574</v>
      </c>
      <c r="AA116" s="6">
        <v>3.0</v>
      </c>
      <c r="AB116" s="6" t="s">
        <v>109</v>
      </c>
      <c r="AC116" s="28" t="s">
        <v>6376</v>
      </c>
      <c r="AD116" s="20"/>
      <c r="AE116" s="28"/>
      <c r="AF116" s="6" t="str">
        <f t="shared" si="4"/>
        <v/>
      </c>
    </row>
    <row r="117" ht="23.25" hidden="1" customHeight="1">
      <c r="A117" s="29" t="s">
        <v>5575</v>
      </c>
      <c r="B117" s="30">
        <v>37327.0</v>
      </c>
      <c r="C117" s="29" t="s">
        <v>5576</v>
      </c>
      <c r="D117" s="31" t="s">
        <v>5577</v>
      </c>
      <c r="E117" s="29" t="s">
        <v>82</v>
      </c>
      <c r="F117" s="29" t="s">
        <v>62</v>
      </c>
      <c r="G117" s="29" t="s">
        <v>5578</v>
      </c>
      <c r="H117" s="29" t="s">
        <v>5579</v>
      </c>
      <c r="I117" s="29" t="s">
        <v>326</v>
      </c>
      <c r="K117" s="29" t="s">
        <v>103</v>
      </c>
      <c r="L117" s="29" t="s">
        <v>5580</v>
      </c>
      <c r="M117" s="33">
        <v>45261.0</v>
      </c>
      <c r="N117" s="31" t="s">
        <v>1513</v>
      </c>
      <c r="O117" s="32" t="str">
        <f>HYPERLINK("https://api.typeform.com/responses/files/94698ddcb2b7aee40c4e884a98c16fd1f737ebd7d4b6ce02e7b06ffe9c435621/Transcript___Data_Analysis_Intern___Nguyễn_Huy_Quang.pdf")</f>
        <v>https://api.typeform.com/responses/files/94698ddcb2b7aee40c4e884a98c16fd1f737ebd7d4b6ce02e7b06ffe9c435621/Transcript___Data_Analysis_Intern___Nguyễn_Huy_Quang.pdf</v>
      </c>
      <c r="P117" s="29" t="b">
        <v>1</v>
      </c>
      <c r="Q117" s="29" t="s">
        <v>5581</v>
      </c>
      <c r="R117" s="29" t="s">
        <v>5582</v>
      </c>
      <c r="S117" s="29" t="s">
        <v>72</v>
      </c>
      <c r="T117" s="29" t="s">
        <v>72</v>
      </c>
      <c r="U117" s="29" t="s">
        <v>2992</v>
      </c>
      <c r="X117" s="231" t="str">
        <f>HYPERLINK("https://api.typeform.com/responses/files/5f605a1c6ce5ccbf94b2c914bde7c76bac3bd9a20b31503b1f0996616b88727b/CV___Data_Analysis_Intern___Nguyễn_Huy_Quang.pdf")</f>
        <v>https://api.typeform.com/responses/files/5f605a1c6ce5ccbf94b2c914bde7c76bac3bd9a20b31503b1f0996616b88727b/CV___Data_Analysis_Intern___Nguyễn_Huy_Quang.pdf</v>
      </c>
      <c r="Y117" s="34">
        <v>46148.29047453704</v>
      </c>
      <c r="Z117" s="29" t="s">
        <v>5583</v>
      </c>
      <c r="AA117" s="6">
        <v>3.0</v>
      </c>
      <c r="AB117" s="6" t="s">
        <v>109</v>
      </c>
      <c r="AC117" s="28" t="s">
        <v>6377</v>
      </c>
      <c r="AD117" s="20"/>
      <c r="AE117" s="28" t="s">
        <v>6403</v>
      </c>
      <c r="AF117" s="6" t="str">
        <f t="shared" si="4"/>
        <v>Quỳnh</v>
      </c>
    </row>
    <row r="118" ht="23.25" hidden="1" customHeight="1">
      <c r="A118" s="232" t="s">
        <v>5584</v>
      </c>
      <c r="B118" s="233">
        <v>38141.0</v>
      </c>
      <c r="C118" s="232" t="s">
        <v>5585</v>
      </c>
      <c r="D118" s="234" t="s">
        <v>5586</v>
      </c>
      <c r="E118" s="232" t="s">
        <v>774</v>
      </c>
      <c r="F118" s="232" t="s">
        <v>774</v>
      </c>
      <c r="G118" s="232" t="s">
        <v>5587</v>
      </c>
      <c r="H118" s="232" t="s">
        <v>5588</v>
      </c>
      <c r="I118" s="232" t="s">
        <v>338</v>
      </c>
      <c r="J118" s="232"/>
      <c r="K118" s="232" t="s">
        <v>103</v>
      </c>
      <c r="L118" s="232" t="s">
        <v>1090</v>
      </c>
      <c r="M118" s="235">
        <v>46249.0</v>
      </c>
      <c r="N118" s="234" t="s">
        <v>890</v>
      </c>
      <c r="O118" s="236" t="str">
        <f>HYPERLINK("https://api.typeform.com/responses/files/179d97a6ce8854ae78de6bc21149aba1276e80ee3b3eed04c98a58367ea7d6f3/Transcript_Game_User_Acquisition_Intern_Nguyễn_Văn_Minh_Quân.pdf")</f>
        <v>https://api.typeform.com/responses/files/179d97a6ce8854ae78de6bc21149aba1276e80ee3b3eed04c98a58367ea7d6f3/Transcript_Game_User_Acquisition_Intern_Nguyễn_Văn_Minh_Quân.pdf</v>
      </c>
      <c r="P118" s="232" t="b">
        <v>0</v>
      </c>
      <c r="Q118" s="232" t="s">
        <v>5589</v>
      </c>
      <c r="R118" s="232" t="s">
        <v>686</v>
      </c>
      <c r="S118" s="232" t="s">
        <v>72</v>
      </c>
      <c r="T118" s="232" t="s">
        <v>72</v>
      </c>
      <c r="U118" s="232" t="s">
        <v>73</v>
      </c>
      <c r="V118" s="232"/>
      <c r="W118" s="232" t="s">
        <v>5590</v>
      </c>
      <c r="X118" s="236" t="str">
        <f>HYPERLINK("https://api.typeform.com/responses/files/4ab64870071dcbf725ff84f4dbb7426c409b24651cd3cabe4bee178f38db24ea/CV_Game_User_Acquisition_Intern_Nguyễn_Văn_Minh_Quân.pdf")</f>
        <v>https://api.typeform.com/responses/files/4ab64870071dcbf725ff84f4dbb7426c409b24651cd3cabe4bee178f38db24ea/CV_Game_User_Acquisition_Intern_Nguyễn_Văn_Minh_Quân.pdf</v>
      </c>
      <c r="Y118" s="237">
        <v>46148.312893518516</v>
      </c>
      <c r="Z118" s="232" t="s">
        <v>5591</v>
      </c>
      <c r="AA118" s="238">
        <v>3.0</v>
      </c>
      <c r="AB118" s="238"/>
      <c r="AC118" s="239" t="s">
        <v>6376</v>
      </c>
      <c r="AD118" s="240"/>
      <c r="AE118" s="239"/>
      <c r="AF118" s="238" t="str">
        <f t="shared" si="4"/>
        <v/>
      </c>
    </row>
    <row r="119" ht="23.25" hidden="1" customHeight="1">
      <c r="A119" s="29" t="s">
        <v>5601</v>
      </c>
      <c r="B119" s="30">
        <v>37801.0</v>
      </c>
      <c r="C119" s="29" t="s">
        <v>5602</v>
      </c>
      <c r="D119" s="31" t="s">
        <v>5603</v>
      </c>
      <c r="E119" s="29" t="s">
        <v>82</v>
      </c>
      <c r="F119" s="29" t="s">
        <v>99</v>
      </c>
      <c r="G119" s="29" t="s">
        <v>5604</v>
      </c>
      <c r="H119" s="29" t="s">
        <v>5605</v>
      </c>
      <c r="I119" s="29" t="s">
        <v>130</v>
      </c>
      <c r="K119" s="29" t="s">
        <v>103</v>
      </c>
      <c r="L119" s="29" t="s">
        <v>104</v>
      </c>
      <c r="M119" s="33">
        <v>46095.0</v>
      </c>
      <c r="N119" s="31" t="s">
        <v>362</v>
      </c>
      <c r="O119" s="32" t="str">
        <f>HYPERLINK("https://api.typeform.com/responses/files/311f7a062b5d768ae8342bd24785e3e43256a039cd1e290a52c91ff5c408b36b/Transcript_AIEnginnerIntern_HuynhAnhQuoc.pdf")</f>
        <v>https://api.typeform.com/responses/files/311f7a062b5d768ae8342bd24785e3e43256a039cd1e290a52c91ff5c408b36b/Transcript_AIEnginnerIntern_HuynhAnhQuoc.pdf</v>
      </c>
      <c r="P119" s="29" t="b">
        <v>1</v>
      </c>
      <c r="Q119" s="29" t="s">
        <v>5606</v>
      </c>
      <c r="R119" s="29" t="s">
        <v>5607</v>
      </c>
      <c r="S119" s="29" t="s">
        <v>72</v>
      </c>
      <c r="T119" s="29" t="s">
        <v>72</v>
      </c>
      <c r="U119" s="29" t="s">
        <v>73</v>
      </c>
      <c r="W119" s="29" t="s">
        <v>5608</v>
      </c>
      <c r="X119" s="231" t="str">
        <f>HYPERLINK("https://api.typeform.com/responses/files/6e6e85f927bef14a197f0c1bb938f4e9d531b685b27af4d261e7c9b7f9a92e0a/CV_AI_Engineer_Intern_HuynhAnhQuoc.pdf")</f>
        <v>https://api.typeform.com/responses/files/6e6e85f927bef14a197f0c1bb938f4e9d531b685b27af4d261e7c9b7f9a92e0a/CV_AI_Engineer_Intern_HuynhAnhQuoc.pdf</v>
      </c>
      <c r="Y119" s="34">
        <v>46148.39488425926</v>
      </c>
      <c r="Z119" s="29" t="s">
        <v>5609</v>
      </c>
      <c r="AA119" s="6">
        <v>3.0</v>
      </c>
      <c r="AB119" s="6" t="s">
        <v>109</v>
      </c>
      <c r="AC119" s="28" t="s">
        <v>6376</v>
      </c>
      <c r="AD119" s="20"/>
      <c r="AE119" s="28"/>
      <c r="AF119" s="6" t="str">
        <f t="shared" si="4"/>
        <v/>
      </c>
    </row>
    <row r="120" ht="23.25" hidden="1" customHeight="1">
      <c r="A120" s="8" t="s">
        <v>6561</v>
      </c>
      <c r="B120" s="30">
        <v>37721.0</v>
      </c>
      <c r="C120" s="29" t="s">
        <v>5621</v>
      </c>
      <c r="D120" s="31" t="s">
        <v>5622</v>
      </c>
      <c r="E120" s="29" t="s">
        <v>82</v>
      </c>
      <c r="F120" s="29" t="s">
        <v>99</v>
      </c>
      <c r="G120" s="29" t="s">
        <v>5623</v>
      </c>
      <c r="H120" s="29" t="s">
        <v>5624</v>
      </c>
      <c r="I120" s="29" t="s">
        <v>2581</v>
      </c>
      <c r="K120" s="29" t="s">
        <v>103</v>
      </c>
      <c r="L120" s="29" t="s">
        <v>1496</v>
      </c>
      <c r="M120" s="33">
        <v>45808.0</v>
      </c>
      <c r="N120" s="31" t="s">
        <v>1003</v>
      </c>
      <c r="O120" s="32" t="str">
        <f>HYPERLINK("https://api.typeform.com/responses/files/db9d702e1539e0438a562540dd7fcab37373ab61a04c6ec70684a63b6157d738/Transcript___Game_Data_Analysis_Intern___Trần_Minh_Tài.pdf")</f>
        <v>https://api.typeform.com/responses/files/db9d702e1539e0438a562540dd7fcab37373ab61a04c6ec70684a63b6157d738/Transcript___Game_Data_Analysis_Intern___Trần_Minh_Tài.pdf</v>
      </c>
      <c r="P120" s="29" t="b">
        <v>1</v>
      </c>
      <c r="Q120" s="29" t="s">
        <v>5625</v>
      </c>
      <c r="R120" s="29" t="s">
        <v>5626</v>
      </c>
      <c r="S120" s="29" t="s">
        <v>72</v>
      </c>
      <c r="T120" s="29" t="s">
        <v>72</v>
      </c>
      <c r="U120" s="29" t="s">
        <v>73</v>
      </c>
      <c r="X120" s="231" t="str">
        <f>HYPERLINK("https://api.typeform.com/responses/files/785dbf3c71b07e9b5a0cd9be49248e6461c5a6a001c906e68935d1644ffd1e4e/CV_Game_Data_Analyst_Trần_Minh_Tài.pdf")</f>
        <v>https://api.typeform.com/responses/files/785dbf3c71b07e9b5a0cd9be49248e6461c5a6a001c906e68935d1644ffd1e4e/CV_Game_Data_Analyst_Trần_Minh_Tài.pdf</v>
      </c>
      <c r="Y120" s="34">
        <v>46148.433020833334</v>
      </c>
      <c r="Z120" s="29" t="s">
        <v>5627</v>
      </c>
      <c r="AA120" s="6">
        <v>3.0</v>
      </c>
      <c r="AB120" s="6" t="s">
        <v>109</v>
      </c>
      <c r="AC120" s="28" t="s">
        <v>6377</v>
      </c>
      <c r="AD120" s="20"/>
      <c r="AE120" s="28" t="s">
        <v>6403</v>
      </c>
      <c r="AF120" s="6" t="str">
        <f t="shared" si="4"/>
        <v>Quỳnh</v>
      </c>
    </row>
    <row r="121" ht="23.25" hidden="1" customHeight="1">
      <c r="A121" s="29" t="s">
        <v>5628</v>
      </c>
      <c r="B121" s="30">
        <v>38244.0</v>
      </c>
      <c r="C121" s="29" t="s">
        <v>5629</v>
      </c>
      <c r="D121" s="31" t="s">
        <v>5630</v>
      </c>
      <c r="E121" s="29" t="s">
        <v>61</v>
      </c>
      <c r="F121" s="29" t="s">
        <v>99</v>
      </c>
      <c r="G121" s="29" t="s">
        <v>5631</v>
      </c>
      <c r="H121" s="29" t="s">
        <v>5632</v>
      </c>
      <c r="I121" s="29" t="s">
        <v>1610</v>
      </c>
      <c r="K121" s="29" t="s">
        <v>67</v>
      </c>
      <c r="L121" s="29" t="s">
        <v>1183</v>
      </c>
      <c r="M121" s="33">
        <v>46310.0</v>
      </c>
      <c r="N121" s="31" t="s">
        <v>5633</v>
      </c>
      <c r="O121" s="32" t="str">
        <f>HYPERLINK("https://api.typeform.com/responses/files/0cd3c374730e09fcf8c5a80b24ff5f1f3ded607b1415be125701e8e964693df4/Transcript___Unity_Development_Intern___Trương_Lâm_Gia_Vỹ.xlsx")</f>
        <v>https://api.typeform.com/responses/files/0cd3c374730e09fcf8c5a80b24ff5f1f3ded607b1415be125701e8e964693df4/Transcript___Unity_Development_Intern___Trương_Lâm_Gia_Vỹ.xlsx</v>
      </c>
      <c r="P121" s="29" t="b">
        <v>1</v>
      </c>
      <c r="Q121" s="29" t="s">
        <v>5634</v>
      </c>
      <c r="R121" s="29" t="s">
        <v>5635</v>
      </c>
      <c r="S121" s="29" t="s">
        <v>72</v>
      </c>
      <c r="T121" s="29" t="s">
        <v>72</v>
      </c>
      <c r="U121" s="29" t="s">
        <v>73</v>
      </c>
      <c r="W121" s="29" t="s">
        <v>5636</v>
      </c>
      <c r="X121" s="231" t="str">
        <f>HYPERLINK("https://api.typeform.com/responses/files/3ebe5ba92d667fa8c24e31de49ee5358537d6cd7f2f07e7dbf9514fa668fec7a/CV___Unity_Development_Intern___Trương_Lâm_Gia_Vỹ.pdf")</f>
        <v>https://api.typeform.com/responses/files/3ebe5ba92d667fa8c24e31de49ee5358537d6cd7f2f07e7dbf9514fa668fec7a/CV___Unity_Development_Intern___Trương_Lâm_Gia_Vỹ.pdf</v>
      </c>
      <c r="Y121" s="34">
        <v>46148.442928240744</v>
      </c>
      <c r="Z121" s="29" t="s">
        <v>5637</v>
      </c>
      <c r="AA121" s="6">
        <v>3.0</v>
      </c>
      <c r="AB121" s="6" t="s">
        <v>109</v>
      </c>
      <c r="AC121" s="28" t="s">
        <v>6377</v>
      </c>
      <c r="AD121" s="20"/>
      <c r="AE121" s="28" t="s">
        <v>6403</v>
      </c>
      <c r="AF121" s="6" t="str">
        <f t="shared" si="4"/>
        <v>Quỳnh</v>
      </c>
    </row>
    <row r="122" ht="23.25" hidden="1" customHeight="1">
      <c r="A122" s="29" t="s">
        <v>5638</v>
      </c>
      <c r="B122" s="30">
        <v>38222.0</v>
      </c>
      <c r="C122" s="29" t="s">
        <v>5639</v>
      </c>
      <c r="D122" s="31" t="s">
        <v>5640</v>
      </c>
      <c r="E122" s="29" t="s">
        <v>61</v>
      </c>
      <c r="F122" s="29" t="s">
        <v>99</v>
      </c>
      <c r="G122" s="29" t="s">
        <v>5641</v>
      </c>
      <c r="H122" s="29" t="s">
        <v>5642</v>
      </c>
      <c r="I122" s="29" t="s">
        <v>144</v>
      </c>
      <c r="K122" s="29" t="s">
        <v>103</v>
      </c>
      <c r="L122" s="29" t="s">
        <v>5643</v>
      </c>
      <c r="M122" s="33">
        <v>46354.0</v>
      </c>
      <c r="N122" s="31" t="s">
        <v>1132</v>
      </c>
      <c r="O122" s="32" t="str">
        <f>HYPERLINK("https://api.typeform.com/responses/files/0377bea85423f7523c23eb4d8932831a0d6abfb263bc40a4c6c04e72fabaaa5c/Transcript___GameDeveloper___Tô_Gia_Lợi.pdf")</f>
        <v>https://api.typeform.com/responses/files/0377bea85423f7523c23eb4d8932831a0d6abfb263bc40a4c6c04e72fabaaa5c/Transcript___GameDeveloper___Tô_Gia_Lợi.pdf</v>
      </c>
      <c r="P122" s="29" t="b">
        <v>1</v>
      </c>
      <c r="Q122" s="29" t="s">
        <v>5644</v>
      </c>
      <c r="R122" s="29" t="s">
        <v>5645</v>
      </c>
      <c r="S122" s="29" t="s">
        <v>72</v>
      </c>
      <c r="T122" s="29" t="s">
        <v>72</v>
      </c>
      <c r="U122" s="29" t="s">
        <v>188</v>
      </c>
      <c r="W122" s="29" t="s">
        <v>5646</v>
      </c>
      <c r="X122" s="231" t="str">
        <f>HYPERLINK("https://api.typeform.com/responses/files/3d7a23a002b3c9383123a9c4ebf68fba8c9f3f6b9916d503b63d39853ec47f7c/CV.pdf")</f>
        <v>https://api.typeform.com/responses/files/3d7a23a002b3c9383123a9c4ebf68fba8c9f3f6b9916d503b63d39853ec47f7c/CV.pdf</v>
      </c>
      <c r="Y122" s="34">
        <v>46148.507835648146</v>
      </c>
      <c r="Z122" s="29" t="s">
        <v>5647</v>
      </c>
      <c r="AA122" s="6">
        <v>3.0</v>
      </c>
      <c r="AB122" s="6" t="s">
        <v>109</v>
      </c>
      <c r="AC122" s="28" t="s">
        <v>6376</v>
      </c>
      <c r="AD122" s="20"/>
      <c r="AE122" s="28"/>
      <c r="AF122" s="6" t="str">
        <f t="shared" si="4"/>
        <v/>
      </c>
    </row>
    <row r="123" ht="23.25" hidden="1" customHeight="1">
      <c r="A123" s="29" t="s">
        <v>5648</v>
      </c>
      <c r="B123" s="30">
        <v>38573.0</v>
      </c>
      <c r="C123" s="29" t="s">
        <v>5649</v>
      </c>
      <c r="D123" s="31" t="s">
        <v>5650</v>
      </c>
      <c r="E123" s="29" t="s">
        <v>774</v>
      </c>
      <c r="G123" s="29" t="s">
        <v>5651</v>
      </c>
      <c r="H123" s="29" t="s">
        <v>5652</v>
      </c>
      <c r="I123" s="29" t="s">
        <v>2293</v>
      </c>
      <c r="K123" s="29" t="s">
        <v>67</v>
      </c>
      <c r="L123" s="29" t="s">
        <v>5653</v>
      </c>
      <c r="M123" s="33">
        <v>46447.0</v>
      </c>
      <c r="N123" s="31" t="s">
        <v>233</v>
      </c>
      <c r="O123" s="32" t="str">
        <f>HYPERLINK("https://api.typeform.com/responses/files/d677f7c6eb58b6fd4e9add5ea7a1956740accfdf64d40d74bb277f513703d558/BangDiem.pdf")</f>
        <v>https://api.typeform.com/responses/files/d677f7c6eb58b6fd4e9add5ea7a1956740accfdf64d40d74bb277f513703d558/BangDiem.pdf</v>
      </c>
      <c r="P123" s="29" t="b">
        <v>0</v>
      </c>
      <c r="Q123" s="29" t="s">
        <v>5654</v>
      </c>
      <c r="R123" s="29" t="s">
        <v>5655</v>
      </c>
      <c r="S123" s="29" t="s">
        <v>72</v>
      </c>
      <c r="T123" s="29" t="s">
        <v>72</v>
      </c>
      <c r="U123" s="29" t="s">
        <v>544</v>
      </c>
      <c r="W123" s="29" t="s">
        <v>5656</v>
      </c>
      <c r="X123" s="231" t="str">
        <f>HYPERLINK("https://api.typeform.com/responses/files/e1bc1ad2aff25cce2636d4cdf2500285a965a1e226ae5b30945f627d362cc207/CV___Game_User_Acquisition_Intern___Lê_Thị_Hoa.pdf")</f>
        <v>https://api.typeform.com/responses/files/e1bc1ad2aff25cce2636d4cdf2500285a965a1e226ae5b30945f627d362cc207/CV___Game_User_Acquisition_Intern___Lê_Thị_Hoa.pdf</v>
      </c>
      <c r="Y123" s="34">
        <v>46148.51268518518</v>
      </c>
      <c r="Z123" s="29" t="s">
        <v>5657</v>
      </c>
      <c r="AA123" s="6">
        <v>3.0</v>
      </c>
      <c r="AB123" s="6"/>
      <c r="AC123" s="28" t="s">
        <v>6377</v>
      </c>
      <c r="AD123" s="7" t="s">
        <v>6562</v>
      </c>
      <c r="AE123" s="28" t="s">
        <v>6379</v>
      </c>
      <c r="AF123" s="6" t="str">
        <f t="shared" si="4"/>
        <v>Nhiên</v>
      </c>
    </row>
    <row r="124" ht="23.25" hidden="1" customHeight="1">
      <c r="A124" s="29" t="s">
        <v>5668</v>
      </c>
      <c r="B124" s="30">
        <v>37528.0</v>
      </c>
      <c r="C124" s="29" t="s">
        <v>5669</v>
      </c>
      <c r="D124" s="31" t="s">
        <v>5670</v>
      </c>
      <c r="E124" s="29" t="s">
        <v>62</v>
      </c>
      <c r="F124" s="29" t="s">
        <v>82</v>
      </c>
      <c r="G124" s="29" t="s">
        <v>5671</v>
      </c>
      <c r="H124" s="29" t="s">
        <v>5672</v>
      </c>
      <c r="I124" s="29" t="s">
        <v>65</v>
      </c>
      <c r="J124" s="29" t="s">
        <v>102</v>
      </c>
      <c r="K124" s="29" t="s">
        <v>103</v>
      </c>
      <c r="L124" s="29" t="s">
        <v>570</v>
      </c>
      <c r="M124" s="33">
        <v>45802.0</v>
      </c>
      <c r="N124" s="31" t="s">
        <v>5673</v>
      </c>
      <c r="O124" s="32" t="str">
        <f>HYPERLINK("https://api.typeform.com/responses/files/cddb7ed7c3445a09ade9574a925e71c5f94e3f6d5d8f49f1dbc613bf12a10063/Transcript___AI_Engineering_Intern___Nguyễn_Cang_Trường.pdf")</f>
        <v>https://api.typeform.com/responses/files/cddb7ed7c3445a09ade9574a925e71c5f94e3f6d5d8f49f1dbc613bf12a10063/Transcript___AI_Engineering_Intern___Nguyễn_Cang_Trường.pdf</v>
      </c>
      <c r="P124" s="29" t="b">
        <v>0</v>
      </c>
      <c r="Q124" s="29" t="s">
        <v>5674</v>
      </c>
      <c r="R124" s="29" t="s">
        <v>5675</v>
      </c>
      <c r="S124" s="29" t="s">
        <v>72</v>
      </c>
      <c r="T124" s="29" t="s">
        <v>72</v>
      </c>
      <c r="U124" s="29" t="s">
        <v>90</v>
      </c>
      <c r="X124" s="231" t="str">
        <f>HYPERLINK("https://api.typeform.com/responses/files/46b363832a6d05141111b0648ca95f0d7b7c3c20351d080965614f67cf5f1d49/CV___AI_Engineering_Intern___Nguyễn_Cang_Trường.pdf")</f>
        <v>https://api.typeform.com/responses/files/46b363832a6d05141111b0648ca95f0d7b7c3c20351d080965614f67cf5f1d49/CV___AI_Engineering_Intern___Nguyễn_Cang_Trường.pdf</v>
      </c>
      <c r="Y124" s="34">
        <v>46148.52579861111</v>
      </c>
      <c r="Z124" s="29" t="s">
        <v>5676</v>
      </c>
      <c r="AA124" s="6">
        <v>3.0</v>
      </c>
      <c r="AB124" s="6"/>
      <c r="AC124" s="28"/>
      <c r="AD124" s="20"/>
      <c r="AE124" s="28"/>
      <c r="AF124" s="6" t="str">
        <f t="shared" si="4"/>
        <v/>
      </c>
    </row>
    <row r="125" ht="23.25" hidden="1" customHeight="1">
      <c r="A125" s="29" t="s">
        <v>5677</v>
      </c>
      <c r="B125" s="30">
        <v>38053.0</v>
      </c>
      <c r="C125" s="29" t="s">
        <v>5678</v>
      </c>
      <c r="D125" s="31" t="s">
        <v>5679</v>
      </c>
      <c r="E125" s="29" t="s">
        <v>62</v>
      </c>
      <c r="F125" s="29" t="s">
        <v>127</v>
      </c>
      <c r="G125" s="29" t="s">
        <v>5680</v>
      </c>
      <c r="H125" s="29" t="s">
        <v>5681</v>
      </c>
      <c r="I125" s="29" t="s">
        <v>326</v>
      </c>
      <c r="K125" s="29" t="s">
        <v>67</v>
      </c>
      <c r="L125" s="29" t="s">
        <v>930</v>
      </c>
      <c r="M125" s="33">
        <v>46264.0</v>
      </c>
      <c r="N125" s="31" t="s">
        <v>4417</v>
      </c>
      <c r="O125" s="32" t="str">
        <f>HYPERLINK("https://api.typeform.com/responses/files/7982f6b3511b5c284a9e5507d3be1166962217211ee98f9fee7ccb8b646a86c5/Transcript___AI_Engineer_Intern___Hồ_Ngọc_Hiếu.pdf")</f>
        <v>https://api.typeform.com/responses/files/7982f6b3511b5c284a9e5507d3be1166962217211ee98f9fee7ccb8b646a86c5/Transcript___AI_Engineer_Intern___Hồ_Ngọc_Hiếu.pdf</v>
      </c>
      <c r="P125" s="29" t="b">
        <v>1</v>
      </c>
      <c r="Q125" s="29" t="s">
        <v>5682</v>
      </c>
      <c r="R125" s="29" t="s">
        <v>5683</v>
      </c>
      <c r="S125" s="29" t="s">
        <v>72</v>
      </c>
      <c r="T125" s="29" t="s">
        <v>72</v>
      </c>
      <c r="U125" s="29" t="s">
        <v>269</v>
      </c>
      <c r="X125" s="231" t="str">
        <f>HYPERLINK("https://api.typeform.com/responses/files/d6e68cd5798ce2d15ef5be21b8c55b7affd37250c3895dd1f9d953602821e345/CV___AI_Engineer_Intern___Hồ_Ngọc_Hiếu.pdf")</f>
        <v>https://api.typeform.com/responses/files/d6e68cd5798ce2d15ef5be21b8c55b7affd37250c3895dd1f9d953602821e345/CV___AI_Engineer_Intern___Hồ_Ngọc_Hiếu.pdf</v>
      </c>
      <c r="Y125" s="34">
        <v>46148.57094907408</v>
      </c>
      <c r="Z125" s="29" t="s">
        <v>5684</v>
      </c>
      <c r="AA125" s="6">
        <v>3.0</v>
      </c>
      <c r="AB125" s="6"/>
      <c r="AC125" s="28"/>
      <c r="AD125" s="20"/>
      <c r="AE125" s="28"/>
      <c r="AF125" s="6" t="str">
        <f t="shared" si="4"/>
        <v/>
      </c>
    </row>
    <row r="126" ht="23.25" hidden="1" customHeight="1">
      <c r="A126" s="29" t="s">
        <v>5685</v>
      </c>
      <c r="B126" s="30">
        <v>38621.0</v>
      </c>
      <c r="C126" s="29" t="s">
        <v>5686</v>
      </c>
      <c r="D126" s="31" t="s">
        <v>5687</v>
      </c>
      <c r="E126" s="29" t="s">
        <v>82</v>
      </c>
      <c r="F126" s="29" t="s">
        <v>62</v>
      </c>
      <c r="G126" s="29" t="s">
        <v>5688</v>
      </c>
      <c r="H126" s="29" t="s">
        <v>5689</v>
      </c>
      <c r="I126" s="29" t="s">
        <v>1023</v>
      </c>
      <c r="K126" s="29" t="s">
        <v>219</v>
      </c>
      <c r="L126" s="29" t="s">
        <v>86</v>
      </c>
      <c r="M126" s="33">
        <v>46653.0</v>
      </c>
      <c r="N126" s="29" t="s">
        <v>5690</v>
      </c>
      <c r="O126" s="32" t="str">
        <f>HYPERLINK("https://api.typeform.com/responses/files/a1d504bc322f40d121277e142d00898fa604aa597f203eff2c7f6709d6716d84/Transcript___Data_Analysis_Intern___TranCamTu.pdf")</f>
        <v>https://api.typeform.com/responses/files/a1d504bc322f40d121277e142d00898fa604aa597f203eff2c7f6709d6716d84/Transcript___Data_Analysis_Intern___TranCamTu.pdf</v>
      </c>
      <c r="P126" s="29" t="b">
        <v>0</v>
      </c>
      <c r="Q126" s="29" t="s">
        <v>5691</v>
      </c>
      <c r="R126" s="29" t="s">
        <v>5692</v>
      </c>
      <c r="S126" s="29" t="s">
        <v>72</v>
      </c>
      <c r="T126" s="29" t="s">
        <v>72</v>
      </c>
      <c r="U126" s="29" t="s">
        <v>73</v>
      </c>
      <c r="W126" s="29" t="s">
        <v>5693</v>
      </c>
      <c r="X126" s="231" t="str">
        <f>HYPERLINK("https://api.typeform.com/responses/files/b76c45faf6d973bf069ae312af56632e78b9cc50660109a2624417e2ae3cb953/CV_Intern_TranCamTu.pdf")</f>
        <v>https://api.typeform.com/responses/files/b76c45faf6d973bf069ae312af56632e78b9cc50660109a2624417e2ae3cb953/CV_Intern_TranCamTu.pdf</v>
      </c>
      <c r="Y126" s="34">
        <v>46148.647199074076</v>
      </c>
      <c r="Z126" s="29" t="s">
        <v>5694</v>
      </c>
      <c r="AA126" s="6">
        <v>3.0</v>
      </c>
      <c r="AB126" s="6" t="s">
        <v>109</v>
      </c>
      <c r="AC126" s="28" t="s">
        <v>6376</v>
      </c>
      <c r="AD126" s="20"/>
      <c r="AE126" s="28"/>
      <c r="AF126" s="6" t="str">
        <f t="shared" si="4"/>
        <v/>
      </c>
    </row>
    <row r="127" ht="23.25" hidden="1" customHeight="1">
      <c r="A127" s="232" t="s">
        <v>5695</v>
      </c>
      <c r="B127" s="233">
        <v>39191.0</v>
      </c>
      <c r="C127" s="232" t="s">
        <v>5696</v>
      </c>
      <c r="D127" s="234" t="s">
        <v>5697</v>
      </c>
      <c r="E127" s="232" t="s">
        <v>774</v>
      </c>
      <c r="F127" s="232"/>
      <c r="G127" s="232" t="s">
        <v>5698</v>
      </c>
      <c r="H127" s="232" t="s">
        <v>5699</v>
      </c>
      <c r="I127" s="232" t="s">
        <v>842</v>
      </c>
      <c r="J127" s="232"/>
      <c r="K127" s="232" t="s">
        <v>169</v>
      </c>
      <c r="L127" s="232" t="s">
        <v>5700</v>
      </c>
      <c r="M127" s="235">
        <v>39191.0</v>
      </c>
      <c r="N127" s="232" t="s">
        <v>5701</v>
      </c>
      <c r="O127" s="236" t="str">
        <f>HYPERLINK("https://api.typeform.com/responses/files/5fc8e05305eec332884489c409024320a2b3866ac17d5a30bbb9b41e6dd90f44/CV___Game_User_Acquisition___Trần_Thị_Trúc_Linh.pdf")</f>
        <v>https://api.typeform.com/responses/files/5fc8e05305eec332884489c409024320a2b3866ac17d5a30bbb9b41e6dd90f44/CV___Game_User_Acquisition___Trần_Thị_Trúc_Linh.pdf</v>
      </c>
      <c r="P127" s="232" t="b">
        <v>1</v>
      </c>
      <c r="Q127" s="232" t="s">
        <v>5702</v>
      </c>
      <c r="R127" s="232" t="s">
        <v>5703</v>
      </c>
      <c r="S127" s="232" t="s">
        <v>72</v>
      </c>
      <c r="T127" s="232" t="s">
        <v>72</v>
      </c>
      <c r="U127" s="232" t="s">
        <v>73</v>
      </c>
      <c r="V127" s="232"/>
      <c r="W127" s="232"/>
      <c r="X127" s="236" t="str">
        <f>HYPERLINK("https://api.typeform.com/responses/files/1062bd437edc2439b7ca92f2500bbfd57b8fab3693728598b03b324433637e28/CV___Game_User_Acquisition___Trần_Thị_Trúc_Linh.pdf")</f>
        <v>https://api.typeform.com/responses/files/1062bd437edc2439b7ca92f2500bbfd57b8fab3693728598b03b324433637e28/CV___Game_User_Acquisition___Trần_Thị_Trúc_Linh.pdf</v>
      </c>
      <c r="Y127" s="237">
        <v>46148.6493287037</v>
      </c>
      <c r="Z127" s="232" t="s">
        <v>5704</v>
      </c>
      <c r="AA127" s="238">
        <v>3.0</v>
      </c>
      <c r="AB127" s="238"/>
      <c r="AC127" s="239" t="s">
        <v>6376</v>
      </c>
      <c r="AD127" s="240"/>
      <c r="AE127" s="239"/>
      <c r="AF127" s="238" t="str">
        <f t="shared" si="4"/>
        <v/>
      </c>
    </row>
    <row r="128" ht="23.25" hidden="1" customHeight="1">
      <c r="A128" s="29" t="s">
        <v>5705</v>
      </c>
      <c r="B128" s="30">
        <v>37947.0</v>
      </c>
      <c r="C128" s="29" t="s">
        <v>5706</v>
      </c>
      <c r="D128" s="31" t="s">
        <v>5707</v>
      </c>
      <c r="E128" s="29" t="s">
        <v>633</v>
      </c>
      <c r="G128" s="29" t="s">
        <v>5708</v>
      </c>
      <c r="H128" s="29" t="s">
        <v>5709</v>
      </c>
      <c r="I128" s="29" t="s">
        <v>1435</v>
      </c>
      <c r="K128" s="29" t="s">
        <v>103</v>
      </c>
      <c r="L128" s="29" t="s">
        <v>1436</v>
      </c>
      <c r="M128" s="33">
        <v>45900.0</v>
      </c>
      <c r="N128" s="31" t="s">
        <v>2503</v>
      </c>
      <c r="O128" s="32" t="str">
        <f>HYPERLINK("https://api.typeform.com/responses/files/d07cbc82284fcbb36f7b77e77c9f04852c3fc283ff90bc55efc60106a480e051/Transcript_Human_Resources_Intern_Tran_Nguyen_Hanh_Trang.pdf")</f>
        <v>https://api.typeform.com/responses/files/d07cbc82284fcbb36f7b77e77c9f04852c3fc283ff90bc55efc60106a480e051/Transcript_Human_Resources_Intern_Tran_Nguyen_Hanh_Trang.pdf</v>
      </c>
      <c r="P128" s="29" t="b">
        <v>0</v>
      </c>
      <c r="Q128" s="29" t="s">
        <v>1437</v>
      </c>
      <c r="R128" s="29" t="s">
        <v>5710</v>
      </c>
      <c r="S128" s="29" t="s">
        <v>72</v>
      </c>
      <c r="T128" s="29" t="s">
        <v>72</v>
      </c>
      <c r="U128" s="29" t="s">
        <v>224</v>
      </c>
      <c r="W128" s="29" t="s">
        <v>222</v>
      </c>
      <c r="X128" s="231" t="str">
        <f>HYPERLINK("https://api.typeform.com/responses/files/65b90bb9e43f64a90c4a89df4424a1c24a881d3ed3305846233bc016702c5714/CV_Human_Resources_Intern_Trần_Nguyễn_Hạnh_Trang.pdf")</f>
        <v>https://api.typeform.com/responses/files/65b90bb9e43f64a90c4a89df4424a1c24a881d3ed3305846233bc016702c5714/CV_Human_Resources_Intern_Trần_Nguyễn_Hạnh_Trang.pdf</v>
      </c>
      <c r="Y128" s="34">
        <v>46148.657685185186</v>
      </c>
      <c r="Z128" s="29" t="s">
        <v>5711</v>
      </c>
      <c r="AA128" s="6">
        <v>3.0</v>
      </c>
      <c r="AB128" s="6" t="s">
        <v>109</v>
      </c>
      <c r="AC128" s="28" t="s">
        <v>6376</v>
      </c>
      <c r="AD128" s="20"/>
      <c r="AE128" s="28"/>
      <c r="AF128" s="6" t="str">
        <f t="shared" si="4"/>
        <v/>
      </c>
    </row>
    <row r="129" ht="23.25" hidden="1" customHeight="1">
      <c r="A129" s="29" t="s">
        <v>5712</v>
      </c>
      <c r="B129" s="30">
        <v>38488.0</v>
      </c>
      <c r="C129" s="29" t="s">
        <v>5713</v>
      </c>
      <c r="D129" s="31" t="s">
        <v>5714</v>
      </c>
      <c r="E129" s="29" t="s">
        <v>62</v>
      </c>
      <c r="F129" s="29" t="s">
        <v>82</v>
      </c>
      <c r="G129" s="29" t="s">
        <v>5715</v>
      </c>
      <c r="H129" s="29" t="s">
        <v>5716</v>
      </c>
      <c r="I129" s="29" t="s">
        <v>715</v>
      </c>
      <c r="K129" s="29" t="s">
        <v>219</v>
      </c>
      <c r="L129" s="29" t="s">
        <v>399</v>
      </c>
      <c r="M129" s="33">
        <v>46537.0</v>
      </c>
      <c r="N129" s="31" t="s">
        <v>1212</v>
      </c>
      <c r="O129" s="32" t="str">
        <f>HYPERLINK("https://api.typeform.com/responses/files/232d72402a3fa22cfbc3e556e4adb04f3139e3864891977fe2207c494ce8acbf/Transcript___AI_Engineering_Intern___Nguyễn_Trần_Phương_Mai.pdf")</f>
        <v>https://api.typeform.com/responses/files/232d72402a3fa22cfbc3e556e4adb04f3139e3864891977fe2207c494ce8acbf/Transcript___AI_Engineering_Intern___Nguyễn_Trần_Phương_Mai.pdf</v>
      </c>
      <c r="P129" s="29" t="b">
        <v>1</v>
      </c>
      <c r="Q129" s="29" t="s">
        <v>5717</v>
      </c>
      <c r="R129" s="29" t="s">
        <v>5718</v>
      </c>
      <c r="S129" s="29" t="s">
        <v>72</v>
      </c>
      <c r="T129" s="29" t="s">
        <v>72</v>
      </c>
      <c r="U129" s="29" t="s">
        <v>2389</v>
      </c>
      <c r="W129" s="29" t="s">
        <v>5719</v>
      </c>
      <c r="X129" s="231" t="str">
        <f>HYPERLINK("https://api.typeform.com/responses/files/42e5adf1b77f525315fada848cc89bb771e2a141a7b9a768f707cb4c07bc8d76/CV___AI_Engineering_Intern___Nguyễn_Trần_Phương_Mai.pdf")</f>
        <v>https://api.typeform.com/responses/files/42e5adf1b77f525315fada848cc89bb771e2a141a7b9a768f707cb4c07bc8d76/CV___AI_Engineering_Intern___Nguyễn_Trần_Phương_Mai.pdf</v>
      </c>
      <c r="Y129" s="34">
        <v>46148.670648148145</v>
      </c>
      <c r="Z129" s="29" t="s">
        <v>5720</v>
      </c>
      <c r="AA129" s="6">
        <v>3.0</v>
      </c>
      <c r="AB129" s="6"/>
      <c r="AC129" s="28"/>
      <c r="AD129" s="20"/>
      <c r="AE129" s="28"/>
      <c r="AF129" s="6" t="str">
        <f t="shared" si="4"/>
        <v/>
      </c>
    </row>
    <row r="130" ht="23.25" hidden="1" customHeight="1">
      <c r="A130" s="29" t="s">
        <v>5721</v>
      </c>
      <c r="B130" s="30">
        <v>37698.0</v>
      </c>
      <c r="C130" s="29" t="s">
        <v>5722</v>
      </c>
      <c r="D130" s="31" t="s">
        <v>5723</v>
      </c>
      <c r="E130" s="29" t="s">
        <v>127</v>
      </c>
      <c r="F130" s="29" t="s">
        <v>127</v>
      </c>
      <c r="G130" s="29" t="s">
        <v>5724</v>
      </c>
      <c r="H130" s="29" t="s">
        <v>5725</v>
      </c>
      <c r="I130" s="29" t="s">
        <v>116</v>
      </c>
      <c r="K130" s="29" t="s">
        <v>103</v>
      </c>
      <c r="L130" s="29" t="s">
        <v>1830</v>
      </c>
      <c r="M130" s="33">
        <v>46031.0</v>
      </c>
      <c r="N130" s="31" t="s">
        <v>1382</v>
      </c>
      <c r="O130" s="32" t="str">
        <f>HYPERLINK("https://api.typeform.com/responses/files/36050fdee38f55174ad95ed500e1bc75fae6f68d2b7c5059fc507b7e69231cf2/inbound6583833467137997340.pdf")</f>
        <v>https://api.typeform.com/responses/files/36050fdee38f55174ad95ed500e1bc75fae6f68d2b7c5059fc507b7e69231cf2/inbound6583833467137997340.pdf</v>
      </c>
      <c r="P130" s="29" t="b">
        <v>1</v>
      </c>
      <c r="Q130" s="29" t="s">
        <v>5726</v>
      </c>
      <c r="R130" s="29" t="s">
        <v>5727</v>
      </c>
      <c r="S130" s="29" t="s">
        <v>72</v>
      </c>
      <c r="T130" s="29" t="s">
        <v>72</v>
      </c>
      <c r="U130" s="29" t="s">
        <v>73</v>
      </c>
      <c r="W130" s="29" t="s">
        <v>5728</v>
      </c>
      <c r="X130" s="231" t="str">
        <f>HYPERLINK("https://api.typeform.com/responses/files/197a8134413b7f89d53563ddc6833231dfa4a05339ddc5c9f9e13ea34152e128/inbound8750467988551631756.pdf")</f>
        <v>https://api.typeform.com/responses/files/197a8134413b7f89d53563ddc6833231dfa4a05339ddc5c9f9e13ea34152e128/inbound8750467988551631756.pdf</v>
      </c>
      <c r="Y130" s="34">
        <v>46148.70991898148</v>
      </c>
      <c r="Z130" s="29" t="s">
        <v>5729</v>
      </c>
      <c r="AA130" s="6">
        <v>3.0</v>
      </c>
      <c r="AB130" s="6" t="s">
        <v>109</v>
      </c>
      <c r="AC130" s="28" t="s">
        <v>6377</v>
      </c>
      <c r="AD130" s="20"/>
      <c r="AE130" s="28" t="s">
        <v>6379</v>
      </c>
      <c r="AF130" s="6" t="str">
        <f t="shared" si="4"/>
        <v>Quỳnh</v>
      </c>
    </row>
    <row r="131" ht="23.25" hidden="1" customHeight="1">
      <c r="A131" s="29" t="s">
        <v>5730</v>
      </c>
      <c r="B131" s="30">
        <v>38836.0</v>
      </c>
      <c r="C131" s="29" t="s">
        <v>5731</v>
      </c>
      <c r="D131" s="31" t="s">
        <v>5732</v>
      </c>
      <c r="E131" s="29" t="s">
        <v>82</v>
      </c>
      <c r="G131" s="29" t="s">
        <v>5733</v>
      </c>
      <c r="H131" s="29" t="s">
        <v>5734</v>
      </c>
      <c r="I131" s="29" t="s">
        <v>2581</v>
      </c>
      <c r="K131" s="29" t="s">
        <v>169</v>
      </c>
      <c r="L131" s="29" t="s">
        <v>1773</v>
      </c>
      <c r="M131" s="33">
        <v>46995.0</v>
      </c>
      <c r="N131" s="31" t="s">
        <v>5735</v>
      </c>
      <c r="O131" s="32" t="str">
        <f>HYPERLINK("https://api.typeform.com/responses/files/0d95d878c6edd6639a54c30e87b8c3a045ffb9685dd3c8ca1a65624ccd7871f4/Transcript___Data_Analysis_Intern___Phạm_Quang_Vinh.pdf")</f>
        <v>https://api.typeform.com/responses/files/0d95d878c6edd6639a54c30e87b8c3a045ffb9685dd3c8ca1a65624ccd7871f4/Transcript___Data_Analysis_Intern___Phạm_Quang_Vinh.pdf</v>
      </c>
      <c r="P131" s="29" t="b">
        <v>0</v>
      </c>
      <c r="Q131" s="29" t="s">
        <v>5736</v>
      </c>
      <c r="R131" s="29" t="s">
        <v>5737</v>
      </c>
      <c r="S131" s="29" t="s">
        <v>72</v>
      </c>
      <c r="T131" s="29" t="s">
        <v>72</v>
      </c>
      <c r="U131" s="29" t="s">
        <v>236</v>
      </c>
      <c r="W131" s="29" t="s">
        <v>5738</v>
      </c>
      <c r="X131" s="231" t="str">
        <f>HYPERLINK("https://api.typeform.com/responses/files/391becd546cef329fe2b04f86cfb4237368cfe9fa1b4ed6ae7cd730e2ccf6b9a/CV___Data_Analysis_Intern___Phạm_Quang_Vinh.pdf")</f>
        <v>https://api.typeform.com/responses/files/391becd546cef329fe2b04f86cfb4237368cfe9fa1b4ed6ae7cd730e2ccf6b9a/CV___Data_Analysis_Intern___Phạm_Quang_Vinh.pdf</v>
      </c>
      <c r="Y131" s="34">
        <v>46148.732083333336</v>
      </c>
      <c r="Z131" s="29" t="s">
        <v>5739</v>
      </c>
      <c r="AA131" s="6">
        <v>3.0</v>
      </c>
      <c r="AB131" s="6" t="s">
        <v>109</v>
      </c>
      <c r="AC131" s="28" t="s">
        <v>6377</v>
      </c>
      <c r="AD131" s="20"/>
      <c r="AE131" s="28" t="s">
        <v>6403</v>
      </c>
      <c r="AF131" s="6" t="str">
        <f t="shared" si="4"/>
        <v>Quỳnh</v>
      </c>
    </row>
    <row r="132" ht="23.25" hidden="1" customHeight="1">
      <c r="A132" s="29" t="s">
        <v>5740</v>
      </c>
      <c r="B132" s="30">
        <v>38820.0</v>
      </c>
      <c r="C132" s="29" t="s">
        <v>5741</v>
      </c>
      <c r="D132" s="31" t="s">
        <v>5742</v>
      </c>
      <c r="E132" s="29" t="s">
        <v>82</v>
      </c>
      <c r="F132" s="29" t="s">
        <v>62</v>
      </c>
      <c r="G132" s="29" t="s">
        <v>5743</v>
      </c>
      <c r="H132" s="29" t="s">
        <v>5744</v>
      </c>
      <c r="I132" s="29" t="s">
        <v>842</v>
      </c>
      <c r="K132" s="29" t="s">
        <v>169</v>
      </c>
      <c r="L132" s="29" t="s">
        <v>5745</v>
      </c>
      <c r="M132" s="33">
        <v>38820.0</v>
      </c>
      <c r="N132" s="29" t="s">
        <v>5746</v>
      </c>
      <c r="O132" s="32" t="str">
        <f>HYPERLINK("https://api.typeform.com/responses/files/3bcc4f2be4fdbee9e51a4a7152d0d40da0fc5f221475349032b6c0d891ef3579/Transcript___Data_Analysis_Intern___Nguyễn_Thị_Anh_Thư.pdf")</f>
        <v>https://api.typeform.com/responses/files/3bcc4f2be4fdbee9e51a4a7152d0d40da0fc5f221475349032b6c0d891ef3579/Transcript___Data_Analysis_Intern___Nguyễn_Thị_Anh_Thư.pdf</v>
      </c>
      <c r="P132" s="29" t="b">
        <v>1</v>
      </c>
      <c r="Q132" s="29" t="s">
        <v>5747</v>
      </c>
      <c r="R132" s="29" t="s">
        <v>5748</v>
      </c>
      <c r="S132" s="29" t="s">
        <v>72</v>
      </c>
      <c r="T132" s="29" t="s">
        <v>72</v>
      </c>
      <c r="U132" s="29" t="s">
        <v>73</v>
      </c>
      <c r="W132" s="29" t="s">
        <v>5749</v>
      </c>
      <c r="X132" s="231" t="str">
        <f>HYPERLINK("https://api.typeform.com/responses/files/bad24a7bbd624b5a920a67a6bec43771857329f5e5a65364b1609956d5f23a35/CV___Data_Analysis_Intern___Nguyễn_Thị_Anh_Thư.pdf")</f>
        <v>https://api.typeform.com/responses/files/bad24a7bbd624b5a920a67a6bec43771857329f5e5a65364b1609956d5f23a35/CV___Data_Analysis_Intern___Nguyễn_Thị_Anh_Thư.pdf</v>
      </c>
      <c r="Y132" s="34">
        <v>46148.775613425925</v>
      </c>
      <c r="Z132" s="29" t="s">
        <v>5750</v>
      </c>
      <c r="AA132" s="6">
        <v>3.0</v>
      </c>
      <c r="AB132" s="6" t="s">
        <v>109</v>
      </c>
      <c r="AC132" s="28" t="s">
        <v>6376</v>
      </c>
      <c r="AD132" s="20"/>
      <c r="AE132" s="28"/>
      <c r="AF132" s="6" t="str">
        <f t="shared" si="4"/>
        <v/>
      </c>
    </row>
    <row r="133" ht="23.25" hidden="1" customHeight="1">
      <c r="A133" s="232" t="s">
        <v>5751</v>
      </c>
      <c r="B133" s="233">
        <v>37349.0</v>
      </c>
      <c r="C133" s="232" t="s">
        <v>5752</v>
      </c>
      <c r="D133" s="234" t="s">
        <v>5753</v>
      </c>
      <c r="E133" s="232" t="s">
        <v>774</v>
      </c>
      <c r="F133" s="232" t="s">
        <v>774</v>
      </c>
      <c r="G133" s="232" t="s">
        <v>5754</v>
      </c>
      <c r="H133" s="232" t="s">
        <v>5755</v>
      </c>
      <c r="I133" s="232" t="s">
        <v>65</v>
      </c>
      <c r="J133" s="232" t="s">
        <v>5756</v>
      </c>
      <c r="K133" s="232" t="s">
        <v>5757</v>
      </c>
      <c r="L133" s="232" t="s">
        <v>5758</v>
      </c>
      <c r="M133" s="235">
        <v>46174.0</v>
      </c>
      <c r="N133" s="234" t="s">
        <v>5759</v>
      </c>
      <c r="O133" s="236" t="str">
        <f>HYPERLINK("https://api.typeform.com/responses/files/d54e1d944bcde48fc25331cdd8eb8cc11062edbf97b483ded8cd79d04b20a1da/Transcript___Game_User_Acquisiotion_Intern___Nguyen_Quoc_Lap.pdf")</f>
        <v>https://api.typeform.com/responses/files/d54e1d944bcde48fc25331cdd8eb8cc11062edbf97b483ded8cd79d04b20a1da/Transcript___Game_User_Acquisiotion_Intern___Nguyen_Quoc_Lap.pdf</v>
      </c>
      <c r="P133" s="232" t="b">
        <v>0</v>
      </c>
      <c r="Q133" s="232" t="s">
        <v>5760</v>
      </c>
      <c r="R133" s="232" t="s">
        <v>5761</v>
      </c>
      <c r="S133" s="232" t="s">
        <v>72</v>
      </c>
      <c r="T133" s="232" t="s">
        <v>72</v>
      </c>
      <c r="U133" s="232" t="s">
        <v>90</v>
      </c>
      <c r="V133" s="232"/>
      <c r="W133" s="232" t="s">
        <v>5762</v>
      </c>
      <c r="X133" s="236" t="str">
        <f>HYPERLINK("https://api.typeform.com/responses/files/88ebbe63a569c0cf97f238cda19d72fc831c08208a0ed0dc9b9d1db82df38fc1/CV___Game_User_Acquisition_Intern___Nguyen_Quoc_Lap.pdf")</f>
        <v>https://api.typeform.com/responses/files/88ebbe63a569c0cf97f238cda19d72fc831c08208a0ed0dc9b9d1db82df38fc1/CV___Game_User_Acquisition_Intern___Nguyen_Quoc_Lap.pdf</v>
      </c>
      <c r="Y133" s="237">
        <v>46148.93399305556</v>
      </c>
      <c r="Z133" s="232" t="s">
        <v>5763</v>
      </c>
      <c r="AA133" s="238">
        <v>3.0</v>
      </c>
      <c r="AB133" s="238"/>
      <c r="AC133" s="239" t="s">
        <v>6376</v>
      </c>
      <c r="AD133" s="240"/>
      <c r="AE133" s="239"/>
      <c r="AF133" s="238" t="str">
        <f t="shared" si="4"/>
        <v/>
      </c>
    </row>
    <row r="134" ht="23.25" hidden="1" customHeight="1">
      <c r="A134" s="29" t="s">
        <v>5764</v>
      </c>
      <c r="B134" s="30">
        <v>37887.0</v>
      </c>
      <c r="C134" s="29" t="s">
        <v>5765</v>
      </c>
      <c r="D134" s="31" t="s">
        <v>5766</v>
      </c>
      <c r="E134" s="29" t="s">
        <v>62</v>
      </c>
      <c r="F134" s="29" t="s">
        <v>82</v>
      </c>
      <c r="G134" s="29" t="s">
        <v>5767</v>
      </c>
      <c r="H134" s="29" t="s">
        <v>5768</v>
      </c>
      <c r="I134" s="29" t="s">
        <v>326</v>
      </c>
      <c r="K134" s="29" t="s">
        <v>67</v>
      </c>
      <c r="L134" s="29" t="s">
        <v>86</v>
      </c>
      <c r="M134" s="33">
        <v>46235.0</v>
      </c>
      <c r="N134" s="31" t="s">
        <v>1792</v>
      </c>
      <c r="O134" s="32" t="str">
        <f>HYPERLINK("https://api.typeform.com/responses/files/24fdf0ff46c36df91905a6cba9e04af97370fb41d377fe559c592fc031a419e5/Transcript___AI_Engineering_Intern___Nguyen_Le_Dang_Khoa.pdf")</f>
        <v>https://api.typeform.com/responses/files/24fdf0ff46c36df91905a6cba9e04af97370fb41d377fe559c592fc031a419e5/Transcript___AI_Engineering_Intern___Nguyen_Le_Dang_Khoa.pdf</v>
      </c>
      <c r="P134" s="29" t="b">
        <v>1</v>
      </c>
      <c r="Q134" s="29" t="s">
        <v>5769</v>
      </c>
      <c r="R134" s="29" t="s">
        <v>5770</v>
      </c>
      <c r="S134" s="29" t="s">
        <v>72</v>
      </c>
      <c r="T134" s="29" t="s">
        <v>72</v>
      </c>
      <c r="U134" s="29" t="s">
        <v>2389</v>
      </c>
      <c r="W134" s="29" t="s">
        <v>5771</v>
      </c>
      <c r="X134" s="231" t="str">
        <f>HYPERLINK("https://api.typeform.com/responses/files/e0abc6e5e984dc88eb37843b80ca0add885d01416946f8519f9dec65679f9a16/CV_AI_Engineering_Intern_Nguyen_Le_Dang_Khoa.pdf")</f>
        <v>https://api.typeform.com/responses/files/e0abc6e5e984dc88eb37843b80ca0add885d01416946f8519f9dec65679f9a16/CV_AI_Engineering_Intern_Nguyen_Le_Dang_Khoa.pdf</v>
      </c>
      <c r="Y134" s="34">
        <v>46149.112175925926</v>
      </c>
      <c r="Z134" s="29" t="s">
        <v>5772</v>
      </c>
      <c r="AA134" s="6">
        <v>3.0</v>
      </c>
      <c r="AB134" s="6"/>
      <c r="AC134" s="28"/>
      <c r="AD134" s="20"/>
      <c r="AE134" s="28"/>
      <c r="AF134" s="6" t="str">
        <f t="shared" si="4"/>
        <v/>
      </c>
    </row>
    <row r="135" ht="23.25" hidden="1" customHeight="1">
      <c r="A135" s="29" t="s">
        <v>5783</v>
      </c>
      <c r="B135" s="30">
        <v>37548.0</v>
      </c>
      <c r="C135" s="29" t="s">
        <v>5784</v>
      </c>
      <c r="D135" s="31" t="s">
        <v>5785</v>
      </c>
      <c r="E135" s="29" t="s">
        <v>61</v>
      </c>
      <c r="G135" s="29" t="s">
        <v>5786</v>
      </c>
      <c r="H135" s="29" t="s">
        <v>5787</v>
      </c>
      <c r="I135" s="29" t="s">
        <v>5788</v>
      </c>
      <c r="K135" s="29" t="s">
        <v>5789</v>
      </c>
      <c r="L135" s="29" t="s">
        <v>551</v>
      </c>
      <c r="M135" s="33">
        <v>45876.0</v>
      </c>
      <c r="N135" s="31" t="s">
        <v>1143</v>
      </c>
      <c r="O135" s="32" t="str">
        <f>HYPERLINK("https://api.typeform.com/responses/files/b7a12e50255b8d81a73fb7c141d05b466fb3d5887788a000314b63b244977e6c/Transcript___Unity_Development_Intern___Dương_Thanh_Phụng.pdf")</f>
        <v>https://api.typeform.com/responses/files/b7a12e50255b8d81a73fb7c141d05b466fb3d5887788a000314b63b244977e6c/Transcript___Unity_Development_Intern___Dương_Thanh_Phụng.pdf</v>
      </c>
      <c r="P135" s="29" t="b">
        <v>1</v>
      </c>
      <c r="Q135" s="29" t="s">
        <v>5790</v>
      </c>
      <c r="R135" s="29" t="s">
        <v>5791</v>
      </c>
      <c r="S135" s="29" t="s">
        <v>72</v>
      </c>
      <c r="T135" s="29" t="s">
        <v>72</v>
      </c>
      <c r="U135" s="29" t="s">
        <v>188</v>
      </c>
      <c r="W135" s="29" t="s">
        <v>5792</v>
      </c>
      <c r="X135" s="231" t="str">
        <f>HYPERLINK("https://api.typeform.com/responses/files/a16d3eee286f05edd443efbf890137ca917c6759f4660199fca954f9332486df/CV___Unity_Development_Intern___Dương_Thanh_Phụng.pdf")</f>
        <v>https://api.typeform.com/responses/files/a16d3eee286f05edd443efbf890137ca917c6759f4660199fca954f9332486df/CV___Unity_Development_Intern___Dương_Thanh_Phụng.pdf</v>
      </c>
      <c r="Y135" s="34">
        <v>46149.20103009259</v>
      </c>
      <c r="Z135" s="29" t="s">
        <v>5793</v>
      </c>
      <c r="AA135" s="6">
        <v>3.0</v>
      </c>
      <c r="AB135" s="6" t="s">
        <v>109</v>
      </c>
      <c r="AC135" s="28" t="s">
        <v>6377</v>
      </c>
      <c r="AD135" s="20"/>
      <c r="AE135" s="28" t="s">
        <v>6403</v>
      </c>
      <c r="AF135" s="6" t="str">
        <f t="shared" si="4"/>
        <v>Quỳnh</v>
      </c>
    </row>
    <row r="136" ht="23.25" hidden="1" customHeight="1">
      <c r="A136" s="29" t="s">
        <v>5794</v>
      </c>
      <c r="B136" s="30">
        <v>38299.0</v>
      </c>
      <c r="C136" s="29" t="s">
        <v>5795</v>
      </c>
      <c r="D136" s="31" t="s">
        <v>5796</v>
      </c>
      <c r="E136" s="29" t="s">
        <v>127</v>
      </c>
      <c r="F136" s="29" t="s">
        <v>127</v>
      </c>
      <c r="G136" s="29" t="s">
        <v>5797</v>
      </c>
      <c r="H136" s="29" t="s">
        <v>5798</v>
      </c>
      <c r="I136" s="29" t="s">
        <v>326</v>
      </c>
      <c r="K136" s="29" t="s">
        <v>67</v>
      </c>
      <c r="L136" s="29" t="s">
        <v>581</v>
      </c>
      <c r="M136" s="33">
        <v>46233.0</v>
      </c>
      <c r="N136" s="31" t="s">
        <v>1852</v>
      </c>
      <c r="O136" s="32" t="str">
        <f>HYPERLINK("https://api.typeform.com/responses/files/0c05e5586b6debd915d0962122ac1880ba564275f74d4e91323e354f652f6c83/Transcript__Game_Quality_Assurance_Intern___Thi_Kiều_Thơ.png")</f>
        <v>https://api.typeform.com/responses/files/0c05e5586b6debd915d0962122ac1880ba564275f74d4e91323e354f652f6c83/Transcript__Game_Quality_Assurance_Intern___Thi_Kiều_Thơ.png</v>
      </c>
      <c r="P136" s="29" t="b">
        <v>1</v>
      </c>
      <c r="Q136" s="29" t="s">
        <v>5799</v>
      </c>
      <c r="R136" s="29" t="s">
        <v>5800</v>
      </c>
      <c r="S136" s="29" t="s">
        <v>72</v>
      </c>
      <c r="T136" s="29" t="s">
        <v>72</v>
      </c>
      <c r="U136" s="29" t="s">
        <v>236</v>
      </c>
      <c r="W136" s="29" t="s">
        <v>5801</v>
      </c>
      <c r="X136" s="231" t="str">
        <f>HYPERLINK("https://api.typeform.com/responses/files/810ec574a4d2d17afaa92ff28a4855f9e72d7233512d9072e59620047eb2fa1a/CV_Game_Quality_Assurance_Intern_Thi_Kiều_Thơ.pdf")</f>
        <v>https://api.typeform.com/responses/files/810ec574a4d2d17afaa92ff28a4855f9e72d7233512d9072e59620047eb2fa1a/CV_Game_Quality_Assurance_Intern_Thi_Kiều_Thơ.pdf</v>
      </c>
      <c r="Y136" s="34">
        <v>46149.222962962966</v>
      </c>
      <c r="Z136" s="29" t="s">
        <v>5802</v>
      </c>
      <c r="AA136" s="6">
        <v>3.0</v>
      </c>
      <c r="AB136" s="6" t="s">
        <v>109</v>
      </c>
      <c r="AC136" s="28" t="s">
        <v>6377</v>
      </c>
      <c r="AD136" s="20"/>
      <c r="AE136" s="28" t="s">
        <v>6379</v>
      </c>
      <c r="AF136" s="6" t="str">
        <f t="shared" si="4"/>
        <v>Quỳnh</v>
      </c>
    </row>
    <row r="137" ht="23.25" hidden="1" customHeight="1">
      <c r="A137" s="29" t="s">
        <v>5803</v>
      </c>
      <c r="B137" s="30">
        <v>38466.0</v>
      </c>
      <c r="C137" s="29" t="s">
        <v>5804</v>
      </c>
      <c r="D137" s="31" t="s">
        <v>5805</v>
      </c>
      <c r="E137" s="29" t="s">
        <v>61</v>
      </c>
      <c r="G137" s="29" t="s">
        <v>5806</v>
      </c>
      <c r="H137" s="29" t="s">
        <v>5807</v>
      </c>
      <c r="I137" s="29" t="s">
        <v>85</v>
      </c>
      <c r="K137" s="29" t="s">
        <v>219</v>
      </c>
      <c r="L137" s="29" t="s">
        <v>104</v>
      </c>
      <c r="M137" s="33">
        <v>46539.0</v>
      </c>
      <c r="N137" s="31" t="s">
        <v>5808</v>
      </c>
      <c r="O137" s="32" t="str">
        <f>HYPERLINK("https://api.typeform.com/responses/files/b668a99bb43dc243dee046326b9600cef3bfdb2767762c955e2768c8945b776d/Transcript___Game_Development_Intern___Tiền_Minh_Dương.pdf")</f>
        <v>https://api.typeform.com/responses/files/b668a99bb43dc243dee046326b9600cef3bfdb2767762c955e2768c8945b776d/Transcript___Game_Development_Intern___Tiền_Minh_Dương.pdf</v>
      </c>
      <c r="P137" s="29" t="b">
        <v>1</v>
      </c>
      <c r="Q137" s="29" t="s">
        <v>5809</v>
      </c>
      <c r="R137" s="29" t="s">
        <v>5810</v>
      </c>
      <c r="S137" s="29" t="s">
        <v>72</v>
      </c>
      <c r="T137" s="29" t="s">
        <v>72</v>
      </c>
      <c r="U137" s="29" t="s">
        <v>269</v>
      </c>
      <c r="X137" s="231" t="str">
        <f>HYPERLINK("https://api.typeform.com/responses/files/c1bee8cfc88b4c9151da8d26cc5c0380754c5331bde19a1cafce02ef44719ecc/CV___Game_Development_Intern___Tiền_Minh_Dương.pdf")</f>
        <v>https://api.typeform.com/responses/files/c1bee8cfc88b4c9151da8d26cc5c0380754c5331bde19a1cafce02ef44719ecc/CV___Game_Development_Intern___Tiền_Minh_Dương.pdf</v>
      </c>
      <c r="Y137" s="34">
        <v>46149.2794212963</v>
      </c>
      <c r="Z137" s="29" t="s">
        <v>5811</v>
      </c>
      <c r="AA137" s="6">
        <v>3.0</v>
      </c>
      <c r="AB137" s="6" t="s">
        <v>109</v>
      </c>
      <c r="AC137" s="28" t="s">
        <v>6377</v>
      </c>
      <c r="AD137" s="20"/>
      <c r="AE137" s="28" t="s">
        <v>6403</v>
      </c>
      <c r="AF137" s="6" t="str">
        <f t="shared" si="4"/>
        <v>Quỳnh</v>
      </c>
    </row>
    <row r="138" ht="23.25" hidden="1" customHeight="1">
      <c r="A138" s="29" t="s">
        <v>5821</v>
      </c>
      <c r="B138" s="30">
        <v>38644.0</v>
      </c>
      <c r="C138" s="29" t="s">
        <v>5822</v>
      </c>
      <c r="D138" s="31" t="s">
        <v>5823</v>
      </c>
      <c r="E138" s="29" t="s">
        <v>61</v>
      </c>
      <c r="F138" s="29" t="s">
        <v>99</v>
      </c>
      <c r="G138" s="29" t="s">
        <v>5824</v>
      </c>
      <c r="H138" s="29" t="s">
        <v>5825</v>
      </c>
      <c r="I138" s="29" t="s">
        <v>85</v>
      </c>
      <c r="K138" s="29" t="s">
        <v>219</v>
      </c>
      <c r="L138" s="29" t="s">
        <v>5826</v>
      </c>
      <c r="M138" s="33">
        <v>46388.0</v>
      </c>
      <c r="N138" s="31" t="s">
        <v>5827</v>
      </c>
      <c r="O138" s="32" t="str">
        <f>HYPERLINK("https://api.typeform.com/responses/files/7405caefa2fa21cb9b02b8c0ecd41b6d8c3905485d750c34fd425ac3b01b8298/Transcript___Unity_Development__Intern___Lữ_Nguyễn_Duy_Đức.pdf")</f>
        <v>https://api.typeform.com/responses/files/7405caefa2fa21cb9b02b8c0ecd41b6d8c3905485d750c34fd425ac3b01b8298/Transcript___Unity_Development__Intern___Lữ_Nguyễn_Duy_Đức.pdf</v>
      </c>
      <c r="P138" s="29" t="b">
        <v>1</v>
      </c>
      <c r="Q138" s="29" t="s">
        <v>5828</v>
      </c>
      <c r="R138" s="29" t="s">
        <v>5829</v>
      </c>
      <c r="S138" s="29" t="s">
        <v>72</v>
      </c>
      <c r="T138" s="29" t="s">
        <v>72</v>
      </c>
      <c r="U138" s="29" t="s">
        <v>269</v>
      </c>
      <c r="W138" s="29" t="s">
        <v>5830</v>
      </c>
      <c r="X138" s="231" t="str">
        <f>HYPERLINK("https://api.typeform.com/responses/files/e0d546f430e71886e593eaac9077b771453245d3bd6011cabf0105730069f61e/CV___Unity_Development_Intern___Lữ_Nguyễn_Duy_Đức.pdf")</f>
        <v>https://api.typeform.com/responses/files/e0d546f430e71886e593eaac9077b771453245d3bd6011cabf0105730069f61e/CV___Unity_Development_Intern___Lữ_Nguyễn_Duy_Đức.pdf</v>
      </c>
      <c r="Y138" s="34">
        <v>46149.36866898148</v>
      </c>
      <c r="Z138" s="29" t="s">
        <v>5831</v>
      </c>
      <c r="AA138" s="6">
        <v>3.0</v>
      </c>
      <c r="AB138" s="6" t="s">
        <v>109</v>
      </c>
      <c r="AC138" s="28" t="s">
        <v>6377</v>
      </c>
      <c r="AD138" s="20"/>
      <c r="AE138" s="28" t="s">
        <v>6403</v>
      </c>
      <c r="AF138" s="6" t="str">
        <f t="shared" si="4"/>
        <v>Quỳnh</v>
      </c>
    </row>
    <row r="139" ht="23.25" hidden="1" customHeight="1">
      <c r="A139" s="232" t="s">
        <v>5832</v>
      </c>
      <c r="B139" s="233">
        <v>37778.0</v>
      </c>
      <c r="C139" s="232" t="s">
        <v>5833</v>
      </c>
      <c r="D139" s="234" t="s">
        <v>5834</v>
      </c>
      <c r="E139" s="232" t="s">
        <v>774</v>
      </c>
      <c r="F139" s="232" t="s">
        <v>774</v>
      </c>
      <c r="G139" s="232" t="s">
        <v>5835</v>
      </c>
      <c r="H139" s="232" t="s">
        <v>5836</v>
      </c>
      <c r="I139" s="232" t="s">
        <v>5837</v>
      </c>
      <c r="J139" s="232"/>
      <c r="K139" s="232" t="s">
        <v>103</v>
      </c>
      <c r="L139" s="232" t="s">
        <v>5653</v>
      </c>
      <c r="M139" s="235">
        <v>45771.0</v>
      </c>
      <c r="N139" s="232" t="s">
        <v>5838</v>
      </c>
      <c r="O139" s="236" t="str">
        <f>HYPERLINK("https://api.typeform.com/responses/files/ca701e00c43212fe12505da698bae11ab895a75b4fe143f894fc4f9c429b68f8/Transcript___UA_Marketing_Intern___Nguyễn_Đức_Hiệp.jpg")</f>
        <v>https://api.typeform.com/responses/files/ca701e00c43212fe12505da698bae11ab895a75b4fe143f894fc4f9c429b68f8/Transcript___UA_Marketing_Intern___Nguyễn_Đức_Hiệp.jpg</v>
      </c>
      <c r="P139" s="232" t="b">
        <v>1</v>
      </c>
      <c r="Q139" s="232" t="s">
        <v>5839</v>
      </c>
      <c r="R139" s="232" t="s">
        <v>5840</v>
      </c>
      <c r="S139" s="232" t="s">
        <v>72</v>
      </c>
      <c r="T139" s="232" t="s">
        <v>72</v>
      </c>
      <c r="U139" s="232" t="s">
        <v>5170</v>
      </c>
      <c r="V139" s="232"/>
      <c r="W139" s="232" t="s">
        <v>5841</v>
      </c>
      <c r="X139" s="236" t="str">
        <f>HYPERLINK("https://api.typeform.com/responses/files/6dafd62ebcaeaee9802119cd006c511f68816eeacb9c8b593a0634f90160cf9a/CV_UA_Marketing_Intern_Nguyễn_Đức_Hiệp.pdf")</f>
        <v>https://api.typeform.com/responses/files/6dafd62ebcaeaee9802119cd006c511f68816eeacb9c8b593a0634f90160cf9a/CV_UA_Marketing_Intern_Nguyễn_Đức_Hiệp.pdf</v>
      </c>
      <c r="Y139" s="237">
        <v>46149.37899305556</v>
      </c>
      <c r="Z139" s="232" t="s">
        <v>5842</v>
      </c>
      <c r="AA139" s="238">
        <v>3.0</v>
      </c>
      <c r="AB139" s="238"/>
      <c r="AC139" s="239" t="s">
        <v>6376</v>
      </c>
      <c r="AD139" s="240"/>
      <c r="AE139" s="239"/>
      <c r="AF139" s="238" t="str">
        <f t="shared" si="4"/>
        <v/>
      </c>
    </row>
    <row r="140" ht="23.25" hidden="1" customHeight="1">
      <c r="A140" s="29" t="s">
        <v>5843</v>
      </c>
      <c r="B140" s="30">
        <v>38262.0</v>
      </c>
      <c r="C140" s="29" t="s">
        <v>5844</v>
      </c>
      <c r="D140" s="31" t="s">
        <v>5845</v>
      </c>
      <c r="E140" s="29" t="s">
        <v>127</v>
      </c>
      <c r="G140" s="29" t="s">
        <v>5846</v>
      </c>
      <c r="H140" s="29" t="s">
        <v>5847</v>
      </c>
      <c r="I140" s="29" t="s">
        <v>372</v>
      </c>
      <c r="K140" s="29" t="s">
        <v>67</v>
      </c>
      <c r="L140" s="29" t="s">
        <v>5848</v>
      </c>
      <c r="M140" s="33">
        <v>46376.0</v>
      </c>
      <c r="N140" s="31" t="s">
        <v>105</v>
      </c>
      <c r="O140" s="32" t="str">
        <f>HYPERLINK("https://api.typeform.com/responses/files/016d0f7aaa7c7e22f5ed8e1bd8add0e473670f0c556ef4f3f4ff9cd9084deaef/bảng_điểm.png")</f>
        <v>https://api.typeform.com/responses/files/016d0f7aaa7c7e22f5ed8e1bd8add0e473670f0c556ef4f3f4ff9cd9084deaef/bảng_điểm.png</v>
      </c>
      <c r="P140" s="29" t="b">
        <v>0</v>
      </c>
      <c r="Q140" s="29" t="s">
        <v>5849</v>
      </c>
      <c r="R140" s="29" t="s">
        <v>5850</v>
      </c>
      <c r="S140" s="29" t="s">
        <v>72</v>
      </c>
      <c r="T140" s="29" t="s">
        <v>72</v>
      </c>
      <c r="U140" s="29" t="s">
        <v>5851</v>
      </c>
      <c r="W140" s="29" t="s">
        <v>5852</v>
      </c>
      <c r="X140" s="231" t="str">
        <f>HYPERLINK("https://api.typeform.com/responses/files/8ff95b7cf76c623c8a539db878af1bb5fad836af101433075f44bdd8a2b779aa/CV_TRAN_GIA_HAN.pdf")</f>
        <v>https://api.typeform.com/responses/files/8ff95b7cf76c623c8a539db878af1bb5fad836af101433075f44bdd8a2b779aa/CV_TRAN_GIA_HAN.pdf</v>
      </c>
      <c r="Y140" s="34">
        <v>46149.413831018515</v>
      </c>
      <c r="Z140" s="29" t="s">
        <v>5853</v>
      </c>
      <c r="AA140" s="6">
        <v>3.0</v>
      </c>
      <c r="AB140" s="6" t="s">
        <v>109</v>
      </c>
      <c r="AC140" s="28" t="s">
        <v>6376</v>
      </c>
      <c r="AD140" s="20"/>
      <c r="AE140" s="28"/>
      <c r="AF140" s="6" t="str">
        <f t="shared" si="4"/>
        <v/>
      </c>
    </row>
    <row r="141" ht="23.25" hidden="1" customHeight="1">
      <c r="A141" s="232" t="s">
        <v>5854</v>
      </c>
      <c r="B141" s="233">
        <v>38020.0</v>
      </c>
      <c r="C141" s="232" t="s">
        <v>5855</v>
      </c>
      <c r="D141" s="234" t="s">
        <v>5856</v>
      </c>
      <c r="E141" s="232" t="s">
        <v>774</v>
      </c>
      <c r="F141" s="232" t="s">
        <v>774</v>
      </c>
      <c r="G141" s="232" t="s">
        <v>5857</v>
      </c>
      <c r="H141" s="232" t="s">
        <v>5858</v>
      </c>
      <c r="I141" s="232" t="s">
        <v>2293</v>
      </c>
      <c r="J141" s="232"/>
      <c r="K141" s="232" t="s">
        <v>103</v>
      </c>
      <c r="L141" s="232" t="s">
        <v>5859</v>
      </c>
      <c r="M141" s="235">
        <v>46136.0</v>
      </c>
      <c r="N141" s="234" t="s">
        <v>542</v>
      </c>
      <c r="O141" s="236" t="str">
        <f>HYPERLINK("https://api.typeform.com/responses/files/f087067ced0588938b366c628e111ef5ca2e8bdead36a5a8dff846d006a9a197/Transcript_Game_User_Acquisition_Intern_Nguyễn_Thế_Văn.pdf")</f>
        <v>https://api.typeform.com/responses/files/f087067ced0588938b366c628e111ef5ca2e8bdead36a5a8dff846d006a9a197/Transcript_Game_User_Acquisition_Intern_Nguyễn_Thế_Văn.pdf</v>
      </c>
      <c r="P141" s="232" t="b">
        <v>1</v>
      </c>
      <c r="Q141" s="232" t="s">
        <v>5860</v>
      </c>
      <c r="R141" s="232" t="s">
        <v>5861</v>
      </c>
      <c r="S141" s="232" t="s">
        <v>72</v>
      </c>
      <c r="T141" s="232" t="s">
        <v>72</v>
      </c>
      <c r="U141" s="232" t="s">
        <v>188</v>
      </c>
      <c r="V141" s="232"/>
      <c r="W141" s="232" t="s">
        <v>5862</v>
      </c>
      <c r="X141" s="236" t="str">
        <f>HYPERLINK("https://api.typeform.com/responses/files/487faf698d652b54f7fd4bb22955f5981ed55110043bd113cfd3028ef31cea13/CV_Game_User_Acquisition_Intern_Nguyễn_Thế_Văn.pdf")</f>
        <v>https://api.typeform.com/responses/files/487faf698d652b54f7fd4bb22955f5981ed55110043bd113cfd3028ef31cea13/CV_Game_User_Acquisition_Intern_Nguyễn_Thế_Văn.pdf</v>
      </c>
      <c r="Y141" s="237">
        <v>46149.420266203706</v>
      </c>
      <c r="Z141" s="232" t="s">
        <v>5863</v>
      </c>
      <c r="AA141" s="238">
        <v>3.0</v>
      </c>
      <c r="AB141" s="238"/>
      <c r="AC141" s="239" t="s">
        <v>6376</v>
      </c>
      <c r="AD141" s="240"/>
      <c r="AE141" s="239"/>
      <c r="AF141" s="238" t="str">
        <f t="shared" si="4"/>
        <v/>
      </c>
    </row>
    <row r="142" ht="23.25" hidden="1" customHeight="1">
      <c r="A142" s="29" t="s">
        <v>5864</v>
      </c>
      <c r="B142" s="30">
        <v>38035.0</v>
      </c>
      <c r="C142" s="29" t="s">
        <v>5865</v>
      </c>
      <c r="D142" s="31" t="s">
        <v>5866</v>
      </c>
      <c r="E142" s="29" t="s">
        <v>82</v>
      </c>
      <c r="F142" s="29" t="s">
        <v>774</v>
      </c>
      <c r="G142" s="29" t="s">
        <v>5867</v>
      </c>
      <c r="H142" s="29" t="s">
        <v>5868</v>
      </c>
      <c r="I142" s="29" t="s">
        <v>85</v>
      </c>
      <c r="K142" s="29" t="s">
        <v>67</v>
      </c>
      <c r="L142" s="29" t="s">
        <v>581</v>
      </c>
      <c r="M142" s="33">
        <v>46272.0</v>
      </c>
      <c r="N142" s="31" t="s">
        <v>3027</v>
      </c>
      <c r="O142" s="32" t="str">
        <f>HYPERLINK("https://api.typeform.com/responses/files/acd3bb35847a7e3548d40ec6d36df3be6ab77ac65c3f78847debcb0f0727d0fe/Transcript_DataAnalysisIntern_NguyenHuuThien.pdf")</f>
        <v>https://api.typeform.com/responses/files/acd3bb35847a7e3548d40ec6d36df3be6ab77ac65c3f78847debcb0f0727d0fe/Transcript_DataAnalysisIntern_NguyenHuuThien.pdf</v>
      </c>
      <c r="P142" s="29" t="b">
        <v>1</v>
      </c>
      <c r="Q142" s="29" t="s">
        <v>5869</v>
      </c>
      <c r="R142" s="29" t="s">
        <v>5870</v>
      </c>
      <c r="S142" s="29" t="s">
        <v>72</v>
      </c>
      <c r="T142" s="29" t="s">
        <v>72</v>
      </c>
      <c r="U142" s="29" t="s">
        <v>73</v>
      </c>
      <c r="W142" s="29" t="s">
        <v>5871</v>
      </c>
      <c r="X142" s="231" t="str">
        <f>HYPERLINK("https://api.typeform.com/responses/files/2c8ec081c739a5bef0038d95d2ab261a8e5b0d87493da83ee76709d2ecda67c6/CV_DataAnalysisIntern_NguyenHuuThien.pdf")</f>
        <v>https://api.typeform.com/responses/files/2c8ec081c739a5bef0038d95d2ab261a8e5b0d87493da83ee76709d2ecda67c6/CV_DataAnalysisIntern_NguyenHuuThien.pdf</v>
      </c>
      <c r="Y142" s="34">
        <v>46149.47900462963</v>
      </c>
      <c r="Z142" s="29" t="s">
        <v>5872</v>
      </c>
      <c r="AA142" s="6">
        <v>3.0</v>
      </c>
      <c r="AB142" s="6" t="s">
        <v>109</v>
      </c>
      <c r="AC142" s="28" t="s">
        <v>6377</v>
      </c>
      <c r="AD142" s="20"/>
      <c r="AE142" s="28" t="s">
        <v>6403</v>
      </c>
      <c r="AF142" s="6" t="str">
        <f t="shared" si="4"/>
        <v>Quỳnh</v>
      </c>
    </row>
    <row r="143" ht="23.25" hidden="1" customHeight="1">
      <c r="A143" s="29" t="s">
        <v>2339</v>
      </c>
      <c r="B143" s="30">
        <v>37638.0</v>
      </c>
      <c r="C143" s="29" t="s">
        <v>2340</v>
      </c>
      <c r="D143" s="31" t="s">
        <v>2341</v>
      </c>
      <c r="E143" s="29" t="s">
        <v>61</v>
      </c>
      <c r="F143" s="29" t="s">
        <v>99</v>
      </c>
      <c r="G143" s="29" t="s">
        <v>5882</v>
      </c>
      <c r="H143" s="29" t="s">
        <v>5883</v>
      </c>
      <c r="I143" s="29" t="s">
        <v>1023</v>
      </c>
      <c r="J143" s="29" t="s">
        <v>5884</v>
      </c>
      <c r="K143" s="29" t="s">
        <v>5885</v>
      </c>
      <c r="L143" s="29" t="s">
        <v>1830</v>
      </c>
      <c r="M143" s="33">
        <v>45771.0</v>
      </c>
      <c r="N143" s="31" t="s">
        <v>2346</v>
      </c>
      <c r="O143" s="32" t="str">
        <f>HYPERLINK("https://api.typeform.com/responses/files/15559a95ec64c4704d7902bb414540693b196cd9f976eda5db81782eaaa4a07f/Transcript___Unity_Development_Intern___Nguyễn_Quốc_Tiến.pdf")</f>
        <v>https://api.typeform.com/responses/files/15559a95ec64c4704d7902bb414540693b196cd9f976eda5db81782eaaa4a07f/Transcript___Unity_Development_Intern___Nguyễn_Quốc_Tiến.pdf</v>
      </c>
      <c r="P143" s="29" t="b">
        <v>1</v>
      </c>
      <c r="Q143" s="29" t="s">
        <v>5886</v>
      </c>
      <c r="R143" s="29" t="s">
        <v>5887</v>
      </c>
      <c r="S143" s="29" t="s">
        <v>72</v>
      </c>
      <c r="T143" s="29" t="s">
        <v>72</v>
      </c>
      <c r="U143" s="29" t="s">
        <v>236</v>
      </c>
      <c r="W143" s="29" t="s">
        <v>5888</v>
      </c>
      <c r="X143" s="231" t="str">
        <f>HYPERLINK("https://api.typeform.com/responses/files/e33b8ced23db78a32a0f8e9eedded1504c656c0b506ad7e071fe1fdbbb740363/CV___Unity_Development_Intern___Nguyễn_Quốc_Tiến.pdf")</f>
        <v>https://api.typeform.com/responses/files/e33b8ced23db78a32a0f8e9eedded1504c656c0b506ad7e071fe1fdbbb740363/CV___Unity_Development_Intern___Nguyễn_Quốc_Tiến.pdf</v>
      </c>
      <c r="Y143" s="34">
        <v>46149.58075231482</v>
      </c>
      <c r="Z143" s="29" t="s">
        <v>5889</v>
      </c>
      <c r="AA143" s="6">
        <v>3.0</v>
      </c>
      <c r="AB143" s="6" t="s">
        <v>109</v>
      </c>
      <c r="AC143" s="28" t="s">
        <v>6376</v>
      </c>
      <c r="AD143" s="20"/>
      <c r="AE143" s="28"/>
      <c r="AF143" s="6" t="str">
        <f t="shared" si="4"/>
        <v/>
      </c>
    </row>
    <row r="144" ht="23.25" hidden="1" customHeight="1">
      <c r="A144" s="29" t="s">
        <v>5890</v>
      </c>
      <c r="B144" s="30">
        <v>37623.0</v>
      </c>
      <c r="C144" s="29" t="s">
        <v>5891</v>
      </c>
      <c r="D144" s="31" t="s">
        <v>5892</v>
      </c>
      <c r="E144" s="29" t="s">
        <v>62</v>
      </c>
      <c r="F144" s="29" t="s">
        <v>82</v>
      </c>
      <c r="G144" s="29" t="s">
        <v>5893</v>
      </c>
      <c r="H144" s="29" t="s">
        <v>5894</v>
      </c>
      <c r="I144" s="29" t="s">
        <v>326</v>
      </c>
      <c r="K144" s="29" t="s">
        <v>103</v>
      </c>
      <c r="L144" s="29" t="s">
        <v>86</v>
      </c>
      <c r="M144" s="33">
        <v>45957.0</v>
      </c>
      <c r="N144" s="31" t="s">
        <v>5073</v>
      </c>
      <c r="O144" s="32" t="str">
        <f>HYPERLINK("https://api.typeform.com/responses/files/ff6f45564d6f72075dbf46622c7eb778a9ef82bad3848d0557c4fc0ee4580f13/Transcript___AI_Engineering_Intern___Võ_Duy_Anh.pdf")</f>
        <v>https://api.typeform.com/responses/files/ff6f45564d6f72075dbf46622c7eb778a9ef82bad3848d0557c4fc0ee4580f13/Transcript___AI_Engineering_Intern___Võ_Duy_Anh.pdf</v>
      </c>
      <c r="P144" s="29" t="b">
        <v>1</v>
      </c>
      <c r="Q144" s="29" t="s">
        <v>5895</v>
      </c>
      <c r="R144" s="29" t="s">
        <v>5896</v>
      </c>
      <c r="S144" s="29" t="s">
        <v>72</v>
      </c>
      <c r="T144" s="29" t="s">
        <v>72</v>
      </c>
      <c r="U144" s="29" t="s">
        <v>269</v>
      </c>
      <c r="W144" s="29" t="s">
        <v>5897</v>
      </c>
      <c r="X144" s="231" t="str">
        <f>HYPERLINK("https://api.typeform.com/responses/files/e4249dbb7bb8df64ca61af444d452a835aed6cc01642510b9ab00f1d8c260cb2/CV___AI_Engineering_Intern___Võ_Duy_Anh.pdf")</f>
        <v>https://api.typeform.com/responses/files/e4249dbb7bb8df64ca61af444d452a835aed6cc01642510b9ab00f1d8c260cb2/CV___AI_Engineering_Intern___Võ_Duy_Anh.pdf</v>
      </c>
      <c r="Y144" s="34">
        <v>46149.60921296296</v>
      </c>
      <c r="Z144" s="29" t="s">
        <v>5898</v>
      </c>
      <c r="AA144" s="6">
        <v>3.0</v>
      </c>
      <c r="AB144" s="6"/>
      <c r="AC144" s="28"/>
      <c r="AD144" s="20"/>
      <c r="AE144" s="28"/>
      <c r="AF144" s="6" t="str">
        <f t="shared" si="4"/>
        <v/>
      </c>
    </row>
    <row r="145" ht="23.25" hidden="1" customHeight="1">
      <c r="A145" s="29" t="s">
        <v>5899</v>
      </c>
      <c r="B145" s="30">
        <v>38432.0</v>
      </c>
      <c r="C145" s="29" t="s">
        <v>5900</v>
      </c>
      <c r="D145" s="31" t="s">
        <v>5901</v>
      </c>
      <c r="E145" s="29" t="s">
        <v>82</v>
      </c>
      <c r="F145" s="29" t="s">
        <v>82</v>
      </c>
      <c r="G145" s="29" t="s">
        <v>5902</v>
      </c>
      <c r="H145" s="29" t="s">
        <v>5903</v>
      </c>
      <c r="I145" s="29" t="s">
        <v>2293</v>
      </c>
      <c r="K145" s="29" t="s">
        <v>219</v>
      </c>
      <c r="L145" s="29" t="s">
        <v>5877</v>
      </c>
      <c r="M145" s="33">
        <v>46502.0</v>
      </c>
      <c r="N145" s="31" t="s">
        <v>2503</v>
      </c>
      <c r="O145" s="32" t="str">
        <f>HYPERLINK("https://api.typeform.com/responses/files/42cfaf56032d8d52e6d062c5b924fdfd85024797f0030ad0ca71f5af112ce71a/Transcript___Data_Analysis_Intern___Nguyễn_Lê_Diễm_Ngọc.pdf")</f>
        <v>https://api.typeform.com/responses/files/42cfaf56032d8d52e6d062c5b924fdfd85024797f0030ad0ca71f5af112ce71a/Transcript___Data_Analysis_Intern___Nguyễn_Lê_Diễm_Ngọc.pdf</v>
      </c>
      <c r="P145" s="29" t="b">
        <v>1</v>
      </c>
      <c r="Q145" s="29" t="s">
        <v>5904</v>
      </c>
      <c r="R145" s="29" t="s">
        <v>1660</v>
      </c>
      <c r="S145" s="29" t="s">
        <v>72</v>
      </c>
      <c r="T145" s="29" t="s">
        <v>72</v>
      </c>
      <c r="U145" s="29" t="s">
        <v>224</v>
      </c>
      <c r="W145" s="29" t="s">
        <v>5905</v>
      </c>
      <c r="X145" s="231" t="str">
        <f>HYPERLINK("https://api.typeform.com/responses/files/2ef5602885763888f54f97a82417f8b722ea3ebc41b955abef54c43ace0c26d0/CV___Data_Analysis_Intern___Nguyễn_Lê_Diễm_Ngọc.pdf")</f>
        <v>https://api.typeform.com/responses/files/2ef5602885763888f54f97a82417f8b722ea3ebc41b955abef54c43ace0c26d0/CV___Data_Analysis_Intern___Nguyễn_Lê_Diễm_Ngọc.pdf</v>
      </c>
      <c r="Y145" s="34">
        <v>46149.63033564815</v>
      </c>
      <c r="Z145" s="29" t="s">
        <v>5906</v>
      </c>
      <c r="AA145" s="6">
        <v>3.0</v>
      </c>
      <c r="AB145" s="6" t="s">
        <v>109</v>
      </c>
      <c r="AC145" s="28" t="s">
        <v>6376</v>
      </c>
      <c r="AD145" s="20"/>
      <c r="AE145" s="28"/>
      <c r="AF145" s="6" t="str">
        <f t="shared" si="4"/>
        <v/>
      </c>
    </row>
    <row r="146" ht="23.25" hidden="1" customHeight="1">
      <c r="A146" s="29" t="s">
        <v>5926</v>
      </c>
      <c r="B146" s="30">
        <v>38608.0</v>
      </c>
      <c r="C146" s="29" t="s">
        <v>5927</v>
      </c>
      <c r="D146" s="31" t="s">
        <v>5928</v>
      </c>
      <c r="E146" s="29" t="s">
        <v>61</v>
      </c>
      <c r="F146" s="29" t="s">
        <v>99</v>
      </c>
      <c r="G146" s="29" t="s">
        <v>5929</v>
      </c>
      <c r="H146" s="29" t="s">
        <v>5930</v>
      </c>
      <c r="I146" s="29" t="s">
        <v>326</v>
      </c>
      <c r="K146" s="29" t="s">
        <v>219</v>
      </c>
      <c r="L146" s="29" t="s">
        <v>909</v>
      </c>
      <c r="M146" s="33">
        <v>46722.0</v>
      </c>
      <c r="N146" s="31" t="s">
        <v>233</v>
      </c>
      <c r="O146" s="32" t="str">
        <f>HYPERLINK("https://api.typeform.com/responses/files/dbbb3f489a3f4cceb51187c6a5eddd3a313ccfd81a37fe13b939b593c3bfb969/Transcript___Unity_Developement_Intern__Luong_Linh_Khoi.pdf")</f>
        <v>https://api.typeform.com/responses/files/dbbb3f489a3f4cceb51187c6a5eddd3a313ccfd81a37fe13b939b593c3bfb969/Transcript___Unity_Developement_Intern__Luong_Linh_Khoi.pdf</v>
      </c>
      <c r="P146" s="29" t="b">
        <v>1</v>
      </c>
      <c r="Q146" s="29" t="s">
        <v>5931</v>
      </c>
      <c r="R146" s="29" t="s">
        <v>5932</v>
      </c>
      <c r="S146" s="29" t="s">
        <v>72</v>
      </c>
      <c r="T146" s="29" t="s">
        <v>72</v>
      </c>
      <c r="U146" s="29" t="s">
        <v>5248</v>
      </c>
      <c r="W146" s="29" t="s">
        <v>5933</v>
      </c>
      <c r="X146" s="231" t="str">
        <f>HYPERLINK("https://api.typeform.com/responses/files/5bd217639643451b7696b1dab3dd7ecb88a0138bdc2495752cf724f50c517a66/CV___Unity_Developement_Intern___Luong_Linh_Khoi.pdf")</f>
        <v>https://api.typeform.com/responses/files/5bd217639643451b7696b1dab3dd7ecb88a0138bdc2495752cf724f50c517a66/CV___Unity_Developement_Intern___Luong_Linh_Khoi.pdf</v>
      </c>
      <c r="Y146" s="34">
        <v>46149.654814814814</v>
      </c>
      <c r="Z146" s="29" t="s">
        <v>5934</v>
      </c>
      <c r="AA146" s="6">
        <v>3.0</v>
      </c>
      <c r="AB146" s="6" t="s">
        <v>109</v>
      </c>
      <c r="AC146" s="28" t="s">
        <v>6377</v>
      </c>
      <c r="AD146" s="20"/>
      <c r="AE146" s="28" t="s">
        <v>6403</v>
      </c>
      <c r="AF146" s="6" t="str">
        <f t="shared" si="4"/>
        <v>Quỳnh</v>
      </c>
    </row>
    <row r="147" ht="23.25" hidden="1" customHeight="1">
      <c r="A147" s="29" t="s">
        <v>5944</v>
      </c>
      <c r="B147" s="30">
        <v>38107.0</v>
      </c>
      <c r="C147" s="29" t="s">
        <v>5945</v>
      </c>
      <c r="D147" s="31" t="s">
        <v>5946</v>
      </c>
      <c r="E147" s="29" t="s">
        <v>127</v>
      </c>
      <c r="F147" s="29" t="s">
        <v>774</v>
      </c>
      <c r="G147" s="29" t="s">
        <v>5947</v>
      </c>
      <c r="H147" s="29" t="s">
        <v>5948</v>
      </c>
      <c r="I147" s="29" t="s">
        <v>2281</v>
      </c>
      <c r="K147" s="29" t="s">
        <v>67</v>
      </c>
      <c r="L147" s="29" t="s">
        <v>3365</v>
      </c>
      <c r="M147" s="33">
        <v>46296.0</v>
      </c>
      <c r="N147" s="31" t="s">
        <v>1164</v>
      </c>
      <c r="O147" s="32" t="str">
        <f>HYPERLINK("https://api.typeform.com/responses/files/acbc3d88f7a4a5435caf63a947cad6f7d4624b0374ec4f73e2287465f7f33d88/Transcript___Game_Quality_Assurance_Intern___Bui_Trong_Tin.pdf")</f>
        <v>https://api.typeform.com/responses/files/acbc3d88f7a4a5435caf63a947cad6f7d4624b0374ec4f73e2287465f7f33d88/Transcript___Game_Quality_Assurance_Intern___Bui_Trong_Tin.pdf</v>
      </c>
      <c r="P147" s="29" t="b">
        <v>0</v>
      </c>
      <c r="Q147" s="29" t="s">
        <v>5949</v>
      </c>
      <c r="R147" s="29" t="s">
        <v>5950</v>
      </c>
      <c r="S147" s="29" t="s">
        <v>5951</v>
      </c>
      <c r="T147" s="29" t="s">
        <v>72</v>
      </c>
      <c r="U147" s="29" t="s">
        <v>73</v>
      </c>
      <c r="W147" s="29" t="s">
        <v>5952</v>
      </c>
      <c r="X147" s="231" t="str">
        <f>HYPERLINK("https://api.typeform.com/responses/files/ace33cafe59cbf7138661084001a69409cad9ce77fcbf810c72e06bbbb707ff1/CV___Game_Quality_Assurance_Intern___Bui_Trong_Tin.pdf")</f>
        <v>https://api.typeform.com/responses/files/ace33cafe59cbf7138661084001a69409cad9ce77fcbf810c72e06bbbb707ff1/CV___Game_Quality_Assurance_Intern___Bui_Trong_Tin.pdf</v>
      </c>
      <c r="Y147" s="34">
        <v>46149.66960648148</v>
      </c>
      <c r="Z147" s="29" t="s">
        <v>5953</v>
      </c>
      <c r="AA147" s="6">
        <v>3.0</v>
      </c>
      <c r="AB147" s="6" t="s">
        <v>109</v>
      </c>
      <c r="AC147" s="28" t="s">
        <v>6376</v>
      </c>
      <c r="AD147" s="20"/>
      <c r="AE147" s="28"/>
      <c r="AF147" s="6" t="str">
        <f t="shared" si="4"/>
        <v/>
      </c>
    </row>
    <row r="148" ht="23.25" hidden="1" customHeight="1">
      <c r="A148" s="29" t="s">
        <v>5964</v>
      </c>
      <c r="B148" s="30">
        <v>38677.0</v>
      </c>
      <c r="C148" s="29" t="s">
        <v>5965</v>
      </c>
      <c r="D148" s="31" t="s">
        <v>5966</v>
      </c>
      <c r="E148" s="29" t="s">
        <v>61</v>
      </c>
      <c r="F148" s="29" t="s">
        <v>99</v>
      </c>
      <c r="G148" s="29" t="s">
        <v>5967</v>
      </c>
      <c r="H148" s="29" t="s">
        <v>5968</v>
      </c>
      <c r="I148" s="29" t="s">
        <v>372</v>
      </c>
      <c r="K148" s="29" t="s">
        <v>219</v>
      </c>
      <c r="L148" s="29" t="s">
        <v>132</v>
      </c>
      <c r="M148" s="33">
        <v>46608.0</v>
      </c>
      <c r="N148" s="31" t="s">
        <v>625</v>
      </c>
      <c r="O148" s="32" t="str">
        <f>HYPERLINK("https://api.typeform.com/responses/files/dc496fe622ecf3f955f0b44d49909e1a756c8f38f085f978f2ecc9b3e631b560/Transcript___Unity_Development_Intern___Nguyễn_Nhật_Huy.docx")</f>
        <v>https://api.typeform.com/responses/files/dc496fe622ecf3f955f0b44d49909e1a756c8f38f085f978f2ecc9b3e631b560/Transcript___Unity_Development_Intern___Nguyễn_Nhật_Huy.docx</v>
      </c>
      <c r="P148" s="29" t="b">
        <v>1</v>
      </c>
      <c r="Q148" s="29" t="s">
        <v>5969</v>
      </c>
      <c r="R148" s="29" t="s">
        <v>5970</v>
      </c>
      <c r="S148" s="29" t="s">
        <v>72</v>
      </c>
      <c r="T148" s="29" t="s">
        <v>72</v>
      </c>
      <c r="U148" s="29" t="s">
        <v>73</v>
      </c>
      <c r="W148" s="29" t="s">
        <v>5971</v>
      </c>
      <c r="X148" s="231" t="str">
        <f>HYPERLINK("https://api.typeform.com/responses/files/bc706f04e2f7e12869711cc36e42142642c554c929d858fcad7f01562f4f6f59/CV__Unity_Development_Intern___Nguyễn_Nhật_Huy.pdf")</f>
        <v>https://api.typeform.com/responses/files/bc706f04e2f7e12869711cc36e42142642c554c929d858fcad7f01562f4f6f59/CV__Unity_Development_Intern___Nguyễn_Nhật_Huy.pdf</v>
      </c>
      <c r="Y148" s="34">
        <v>46149.68403935185</v>
      </c>
      <c r="Z148" s="29" t="s">
        <v>5972</v>
      </c>
      <c r="AA148" s="6">
        <v>3.0</v>
      </c>
      <c r="AB148" s="6" t="s">
        <v>109</v>
      </c>
      <c r="AC148" s="28" t="s">
        <v>6377</v>
      </c>
      <c r="AD148" s="20"/>
      <c r="AE148" s="28" t="s">
        <v>6403</v>
      </c>
      <c r="AF148" s="6" t="str">
        <f t="shared" si="4"/>
        <v>Quỳnh</v>
      </c>
    </row>
    <row r="149" ht="23.25" hidden="1" customHeight="1">
      <c r="A149" s="29" t="s">
        <v>5973</v>
      </c>
      <c r="B149" s="30">
        <v>38623.0</v>
      </c>
      <c r="C149" s="29" t="s">
        <v>5974</v>
      </c>
      <c r="D149" s="31" t="s">
        <v>5975</v>
      </c>
      <c r="E149" s="29" t="s">
        <v>62</v>
      </c>
      <c r="F149" s="29" t="s">
        <v>62</v>
      </c>
      <c r="G149" s="29" t="s">
        <v>5976</v>
      </c>
      <c r="H149" s="29" t="s">
        <v>5977</v>
      </c>
      <c r="I149" s="29" t="s">
        <v>338</v>
      </c>
      <c r="K149" s="29" t="s">
        <v>219</v>
      </c>
      <c r="L149" s="29" t="s">
        <v>570</v>
      </c>
      <c r="M149" s="33">
        <v>46388.0</v>
      </c>
      <c r="N149" s="31" t="s">
        <v>5978</v>
      </c>
      <c r="O149" s="32" t="str">
        <f>HYPERLINK("https://api.typeform.com/responses/files/d3c072df59ee74531eb275bf2e3d16484811493959e6331cdb869b1b30e048c7/Transcript___AI_Engineering_Intern___Huỳnh_Ngọc_Anh_Thư.pdf")</f>
        <v>https://api.typeform.com/responses/files/d3c072df59ee74531eb275bf2e3d16484811493959e6331cdb869b1b30e048c7/Transcript___AI_Engineering_Intern___Huỳnh_Ngọc_Anh_Thư.pdf</v>
      </c>
      <c r="P149" s="29" t="b">
        <v>1</v>
      </c>
      <c r="Q149" s="29" t="s">
        <v>5979</v>
      </c>
      <c r="R149" s="29" t="s">
        <v>5980</v>
      </c>
      <c r="S149" s="29" t="s">
        <v>72</v>
      </c>
      <c r="T149" s="29" t="s">
        <v>72</v>
      </c>
      <c r="U149" s="29" t="s">
        <v>73</v>
      </c>
      <c r="W149" s="29" t="s">
        <v>5981</v>
      </c>
      <c r="X149" s="231" t="str">
        <f>HYPERLINK("https://api.typeform.com/responses/files/9c2181e593823d11d8bc9e2427b32cbc8ea01b991b3722f7a495cdb1d4d41621/CV___AI_Engineering_Intern___Huỳnh_Ngọc_Anh_Thư.pdf")</f>
        <v>https://api.typeform.com/responses/files/9c2181e593823d11d8bc9e2427b32cbc8ea01b991b3722f7a495cdb1d4d41621/CV___AI_Engineering_Intern___Huỳnh_Ngọc_Anh_Thư.pdf</v>
      </c>
      <c r="Y149" s="34">
        <v>46149.69681712963</v>
      </c>
      <c r="Z149" s="29" t="s">
        <v>5982</v>
      </c>
      <c r="AA149" s="6">
        <v>3.0</v>
      </c>
      <c r="AB149" s="6"/>
      <c r="AC149" s="28"/>
      <c r="AD149" s="20"/>
      <c r="AE149" s="28"/>
      <c r="AF149" s="6" t="str">
        <f t="shared" si="4"/>
        <v/>
      </c>
    </row>
    <row r="150" ht="23.25" hidden="1" customHeight="1">
      <c r="A150" s="29" t="s">
        <v>5983</v>
      </c>
      <c r="B150" s="30">
        <v>38360.0</v>
      </c>
      <c r="C150" s="29" t="s">
        <v>5984</v>
      </c>
      <c r="D150" s="31" t="s">
        <v>5985</v>
      </c>
      <c r="E150" s="29" t="s">
        <v>62</v>
      </c>
      <c r="G150" s="29" t="s">
        <v>5986</v>
      </c>
      <c r="H150" s="29" t="s">
        <v>5987</v>
      </c>
      <c r="I150" s="29" t="s">
        <v>338</v>
      </c>
      <c r="K150" s="29" t="s">
        <v>219</v>
      </c>
      <c r="L150" s="29" t="s">
        <v>570</v>
      </c>
      <c r="M150" s="33">
        <v>46388.0</v>
      </c>
      <c r="N150" s="31" t="s">
        <v>5988</v>
      </c>
      <c r="O150" s="32" t="str">
        <f>HYPERLINK("https://api.typeform.com/responses/files/0059ed1d7f89fad4c9a372da3192ffa47fc1495827e5993b8744f8a4aa16c739/Transcript___AI_Engineering_Intern___Hoàng_Văn_Minh.pdf")</f>
        <v>https://api.typeform.com/responses/files/0059ed1d7f89fad4c9a372da3192ffa47fc1495827e5993b8744f8a4aa16c739/Transcript___AI_Engineering_Intern___Hoàng_Văn_Minh.pdf</v>
      </c>
      <c r="P150" s="29" t="b">
        <v>1</v>
      </c>
      <c r="Q150" s="29" t="s">
        <v>5989</v>
      </c>
      <c r="R150" s="29" t="s">
        <v>5990</v>
      </c>
      <c r="S150" s="29" t="s">
        <v>72</v>
      </c>
      <c r="T150" s="29" t="s">
        <v>72</v>
      </c>
      <c r="U150" s="29" t="s">
        <v>73</v>
      </c>
      <c r="W150" s="29" t="s">
        <v>5991</v>
      </c>
      <c r="X150" s="231" t="str">
        <f>HYPERLINK("https://api.typeform.com/responses/files/af20850e5fd50399ecd9949b8e5bb2b6ef7f86140ef64edfd5e89f5394c0001d/CV___AI_Engineering_Intern___Hoàng_Văn_Minh.pdf")</f>
        <v>https://api.typeform.com/responses/files/af20850e5fd50399ecd9949b8e5bb2b6ef7f86140ef64edfd5e89f5394c0001d/CV___AI_Engineering_Intern___Hoàng_Văn_Minh.pdf</v>
      </c>
      <c r="Y150" s="34">
        <v>46149.71990740741</v>
      </c>
      <c r="Z150" s="29" t="s">
        <v>5992</v>
      </c>
      <c r="AA150" s="6">
        <v>3.0</v>
      </c>
      <c r="AB150" s="6"/>
      <c r="AC150" s="28"/>
      <c r="AD150" s="20"/>
      <c r="AE150" s="28"/>
      <c r="AF150" s="6" t="str">
        <f t="shared" si="4"/>
        <v/>
      </c>
    </row>
    <row r="151" ht="23.25" hidden="1" customHeight="1">
      <c r="A151" s="29" t="s">
        <v>6002</v>
      </c>
      <c r="B151" s="30">
        <v>37975.0</v>
      </c>
      <c r="C151" s="29" t="s">
        <v>6003</v>
      </c>
      <c r="D151" s="31" t="s">
        <v>6004</v>
      </c>
      <c r="E151" s="29" t="s">
        <v>62</v>
      </c>
      <c r="G151" s="29" t="s">
        <v>6005</v>
      </c>
      <c r="H151" s="29" t="s">
        <v>6006</v>
      </c>
      <c r="I151" s="29" t="s">
        <v>277</v>
      </c>
      <c r="K151" s="29" t="s">
        <v>6007</v>
      </c>
      <c r="L151" s="29" t="s">
        <v>6008</v>
      </c>
      <c r="M151" s="33">
        <v>46351.0</v>
      </c>
      <c r="N151" s="31" t="s">
        <v>6009</v>
      </c>
      <c r="O151" s="32" t="str">
        <f>HYPERLINK("https://api.typeform.com/responses/files/bf4f05ef5f202edd1da8b5a37e6bb70577b2e23e24e701010d3c2793e8d49005/Transcript___AI_Engineering_Intern___Nguyễn_Phước_Thành_Tâm.pdf")</f>
        <v>https://api.typeform.com/responses/files/bf4f05ef5f202edd1da8b5a37e6bb70577b2e23e24e701010d3c2793e8d49005/Transcript___AI_Engineering_Intern___Nguyễn_Phước_Thành_Tâm.pdf</v>
      </c>
      <c r="P151" s="29" t="b">
        <v>0</v>
      </c>
      <c r="Q151" s="29" t="s">
        <v>376</v>
      </c>
      <c r="R151" s="29" t="s">
        <v>6010</v>
      </c>
      <c r="S151" s="29" t="s">
        <v>72</v>
      </c>
      <c r="T151" s="29" t="s">
        <v>72</v>
      </c>
      <c r="U151" s="29" t="s">
        <v>90</v>
      </c>
      <c r="W151" s="29" t="s">
        <v>6011</v>
      </c>
      <c r="X151" s="231" t="str">
        <f>HYPERLINK("https://api.typeform.com/responses/files/24a0ac4644e4c3c2f2d526ed0f163da30480460ccc771886e12668bd80afe123/CV___AI_Engineering_Intern___Nguyễn_Phước_Thành_Tâm.pdf")</f>
        <v>https://api.typeform.com/responses/files/24a0ac4644e4c3c2f2d526ed0f163da30480460ccc771886e12668bd80afe123/CV___AI_Engineering_Intern___Nguyễn_Phước_Thành_Tâm.pdf</v>
      </c>
      <c r="Y151" s="34">
        <v>46149.73369212963</v>
      </c>
      <c r="Z151" s="29" t="s">
        <v>6012</v>
      </c>
      <c r="AA151" s="6">
        <v>3.0</v>
      </c>
      <c r="AB151" s="6"/>
      <c r="AC151" s="28"/>
      <c r="AD151" s="20"/>
      <c r="AE151" s="28"/>
      <c r="AF151" s="6" t="str">
        <f t="shared" si="4"/>
        <v/>
      </c>
    </row>
    <row r="152" ht="23.25" hidden="1" customHeight="1">
      <c r="A152" s="29" t="s">
        <v>6020</v>
      </c>
      <c r="B152" s="30">
        <v>37066.0</v>
      </c>
      <c r="C152" s="29" t="s">
        <v>6021</v>
      </c>
      <c r="D152" s="31" t="s">
        <v>6022</v>
      </c>
      <c r="E152" s="29" t="s">
        <v>774</v>
      </c>
      <c r="F152" s="29" t="s">
        <v>82</v>
      </c>
      <c r="G152" s="29" t="s">
        <v>6023</v>
      </c>
      <c r="H152" s="29" t="s">
        <v>6024</v>
      </c>
      <c r="I152" s="29" t="s">
        <v>2581</v>
      </c>
      <c r="K152" s="29" t="s">
        <v>2763</v>
      </c>
      <c r="L152" s="29" t="s">
        <v>1496</v>
      </c>
      <c r="M152" s="33">
        <v>44927.0</v>
      </c>
      <c r="N152" s="31" t="s">
        <v>1220</v>
      </c>
      <c r="O152" s="32" t="str">
        <f>HYPERLINK("https://api.typeform.com/responses/files/3e7265a94e7cf4ba9d74f037fce3c927011671afb8846882ccddf72a4dd938f1/Phạm_Thị_Thùy_Dương__Game_User_Acquisition_Intern.pdf")</f>
        <v>https://api.typeform.com/responses/files/3e7265a94e7cf4ba9d74f037fce3c927011671afb8846882ccddf72a4dd938f1/Phạm_Thị_Thùy_Dương__Game_User_Acquisition_Intern.pdf</v>
      </c>
      <c r="P152" s="29" t="b">
        <v>0</v>
      </c>
      <c r="Q152" s="29" t="s">
        <v>6025</v>
      </c>
      <c r="R152" s="29" t="s">
        <v>6026</v>
      </c>
      <c r="S152" s="29" t="s">
        <v>72</v>
      </c>
      <c r="T152" s="29" t="s">
        <v>72</v>
      </c>
      <c r="U152" s="29" t="s">
        <v>90</v>
      </c>
      <c r="W152" s="29" t="s">
        <v>6027</v>
      </c>
      <c r="X152" s="231" t="str">
        <f>HYPERLINK("https://api.typeform.com/responses/files/1e5239c6bbbad82941b3f86433ea2e879c6f872d795da19a9088cd3434ba0893/Phạm_Thị_Thùy_Dương__Game_User_Acquisition_Intern.pdf")</f>
        <v>https://api.typeform.com/responses/files/1e5239c6bbbad82941b3f86433ea2e879c6f872d795da19a9088cd3434ba0893/Phạm_Thị_Thùy_Dương__Game_User_Acquisition_Intern.pdf</v>
      </c>
      <c r="Y152" s="34">
        <v>46149.87532407408</v>
      </c>
      <c r="Z152" s="29" t="s">
        <v>6028</v>
      </c>
      <c r="AA152" s="6">
        <v>3.0</v>
      </c>
      <c r="AB152" s="6"/>
      <c r="AC152" s="28" t="s">
        <v>6377</v>
      </c>
      <c r="AD152" s="7" t="s">
        <v>6563</v>
      </c>
      <c r="AE152" s="28" t="s">
        <v>6379</v>
      </c>
      <c r="AF152" s="6" t="str">
        <f t="shared" si="4"/>
        <v>Nhiên</v>
      </c>
    </row>
    <row r="153" ht="23.25" hidden="1" customHeight="1">
      <c r="A153" s="232" t="s">
        <v>452</v>
      </c>
      <c r="B153" s="233">
        <v>38215.0</v>
      </c>
      <c r="C153" s="232" t="s">
        <v>6029</v>
      </c>
      <c r="D153" s="234" t="s">
        <v>454</v>
      </c>
      <c r="E153" s="232" t="s">
        <v>99</v>
      </c>
      <c r="F153" s="232" t="s">
        <v>61</v>
      </c>
      <c r="G153" s="232" t="s">
        <v>6030</v>
      </c>
      <c r="H153" s="232" t="s">
        <v>6031</v>
      </c>
      <c r="I153" s="232" t="s">
        <v>144</v>
      </c>
      <c r="J153" s="232"/>
      <c r="K153" s="232" t="s">
        <v>103</v>
      </c>
      <c r="L153" s="232" t="s">
        <v>6032</v>
      </c>
      <c r="M153" s="235">
        <v>45950.0</v>
      </c>
      <c r="N153" s="234" t="s">
        <v>458</v>
      </c>
      <c r="O153" s="236" t="str">
        <f>HYPERLINK("https://api.typeform.com/responses/files/4a82d09f8c0a18165abcfa7308e0932725388a2650c83357e7c00e2937c1c0f6/Bảng_điểm__FPT_Polytechnic__2_.pdf")</f>
        <v>https://api.typeform.com/responses/files/4a82d09f8c0a18165abcfa7308e0932725388a2650c83357e7c00e2937c1c0f6/Bảng_điểm__FPT_Polytechnic__2_.pdf</v>
      </c>
      <c r="P153" s="232" t="b">
        <v>1</v>
      </c>
      <c r="Q153" s="232" t="s">
        <v>6033</v>
      </c>
      <c r="R153" s="232" t="s">
        <v>460</v>
      </c>
      <c r="S153" s="232" t="s">
        <v>72</v>
      </c>
      <c r="T153" s="232" t="s">
        <v>72</v>
      </c>
      <c r="U153" s="232" t="s">
        <v>90</v>
      </c>
      <c r="V153" s="232"/>
      <c r="W153" s="232" t="s">
        <v>6034</v>
      </c>
      <c r="X153" s="236" t="str">
        <f>HYPERLINK("https://api.typeform.com/responses/files/0aa071ecf023fd20887d17c9285a7007928a23b0e501a7e8bcc91894506082ee/NguyenThanhHien_CV.pdf")</f>
        <v>https://api.typeform.com/responses/files/0aa071ecf023fd20887d17c9285a7007928a23b0e501a7e8bcc91894506082ee/NguyenThanhHien_CV.pdf</v>
      </c>
      <c r="Y153" s="237">
        <v>46149.88655092593</v>
      </c>
      <c r="Z153" s="232" t="s">
        <v>6035</v>
      </c>
      <c r="AA153" s="238">
        <v>3.0</v>
      </c>
      <c r="AB153" s="238"/>
      <c r="AC153" s="239" t="s">
        <v>6376</v>
      </c>
      <c r="AD153" s="240"/>
      <c r="AE153" s="239"/>
      <c r="AF153" s="238" t="str">
        <f t="shared" si="4"/>
        <v/>
      </c>
    </row>
    <row r="154" ht="23.25" hidden="1" customHeight="1">
      <c r="A154" s="29" t="s">
        <v>6036</v>
      </c>
      <c r="B154" s="30">
        <v>38412.0</v>
      </c>
      <c r="C154" s="29" t="s">
        <v>6037</v>
      </c>
      <c r="D154" s="31" t="s">
        <v>6038</v>
      </c>
      <c r="E154" s="29" t="s">
        <v>82</v>
      </c>
      <c r="F154" s="29" t="s">
        <v>99</v>
      </c>
      <c r="G154" s="29" t="s">
        <v>6039</v>
      </c>
      <c r="H154" s="29" t="s">
        <v>6040</v>
      </c>
      <c r="I154" s="29" t="s">
        <v>644</v>
      </c>
      <c r="K154" s="29" t="s">
        <v>219</v>
      </c>
      <c r="L154" s="29" t="s">
        <v>384</v>
      </c>
      <c r="M154" s="33">
        <v>46569.0</v>
      </c>
      <c r="N154" s="31" t="s">
        <v>105</v>
      </c>
      <c r="O154" s="32" t="str">
        <f>HYPERLINK("https://api.typeform.com/responses/files/836f9557edbe9427b53e87d21978f0ff6e5632c8c03cdd2a76ffb90a6b2666fc/Transcript_Data_Analysis_Intern_Trần_Ngọc_Nhi.xls")</f>
        <v>https://api.typeform.com/responses/files/836f9557edbe9427b53e87d21978f0ff6e5632c8c03cdd2a76ffb90a6b2666fc/Transcript_Data_Analysis_Intern_Trần_Ngọc_Nhi.xls</v>
      </c>
      <c r="P154" s="29" t="b">
        <v>1</v>
      </c>
      <c r="Q154" s="29" t="s">
        <v>6041</v>
      </c>
      <c r="R154" s="29" t="s">
        <v>6042</v>
      </c>
      <c r="S154" s="29" t="s">
        <v>72</v>
      </c>
      <c r="T154" s="29" t="s">
        <v>72</v>
      </c>
      <c r="U154" s="29" t="s">
        <v>4409</v>
      </c>
      <c r="W154" s="29" t="s">
        <v>6043</v>
      </c>
      <c r="X154" s="231" t="str">
        <f>HYPERLINK("https://api.typeform.com/responses/files/b061918d3522d7b58e7ea1274bd6a4206ba73905ec7f3147806db43646b2c6f1/CV_Data_Analysis_Intern_Tran_Ngoc_Nhi.docx")</f>
        <v>https://api.typeform.com/responses/files/b061918d3522d7b58e7ea1274bd6a4206ba73905ec7f3147806db43646b2c6f1/CV_Data_Analysis_Intern_Tran_Ngoc_Nhi.docx</v>
      </c>
      <c r="Y154" s="34">
        <v>46150.01967592593</v>
      </c>
      <c r="Z154" s="29" t="s">
        <v>6044</v>
      </c>
      <c r="AA154" s="6">
        <v>3.0</v>
      </c>
      <c r="AB154" s="6" t="s">
        <v>109</v>
      </c>
      <c r="AC154" s="28" t="s">
        <v>6377</v>
      </c>
      <c r="AD154" s="20"/>
      <c r="AE154" s="28" t="s">
        <v>6403</v>
      </c>
      <c r="AF154" s="6" t="str">
        <f t="shared" si="4"/>
        <v>Quỳnh</v>
      </c>
    </row>
    <row r="155" ht="23.25" hidden="1" customHeight="1">
      <c r="A155" s="29" t="s">
        <v>6045</v>
      </c>
      <c r="B155" s="30">
        <v>38574.0</v>
      </c>
      <c r="C155" s="29" t="s">
        <v>6046</v>
      </c>
      <c r="D155" s="31" t="s">
        <v>6047</v>
      </c>
      <c r="E155" s="29" t="s">
        <v>82</v>
      </c>
      <c r="G155" s="29" t="s">
        <v>6048</v>
      </c>
      <c r="H155" s="29" t="s">
        <v>6049</v>
      </c>
      <c r="I155" s="29" t="s">
        <v>326</v>
      </c>
      <c r="K155" s="29" t="s">
        <v>219</v>
      </c>
      <c r="L155" s="29" t="s">
        <v>384</v>
      </c>
      <c r="M155" s="33">
        <v>46731.0</v>
      </c>
      <c r="N155" s="31" t="s">
        <v>766</v>
      </c>
      <c r="O155" s="32" t="str">
        <f>HYPERLINK("https://api.typeform.com/responses/files/db9582f71ef33dd1a5a9c263809716366ffba542ceff68e28fab85f80eedee3a/Transcript___Data_Analysis_Intern___Nguyen_Thi_Khanh_Ly.pdf")</f>
        <v>https://api.typeform.com/responses/files/db9582f71ef33dd1a5a9c263809716366ffba542ceff68e28fab85f80eedee3a/Transcript___Data_Analysis_Intern___Nguyen_Thi_Khanh_Ly.pdf</v>
      </c>
      <c r="P155" s="29" t="b">
        <v>0</v>
      </c>
      <c r="Q155" s="29" t="s">
        <v>222</v>
      </c>
      <c r="R155" s="29" t="s">
        <v>6050</v>
      </c>
      <c r="S155" s="29" t="s">
        <v>72</v>
      </c>
      <c r="T155" s="29" t="s">
        <v>72</v>
      </c>
      <c r="U155" s="29" t="s">
        <v>90</v>
      </c>
      <c r="X155" s="231" t="str">
        <f>HYPERLINK("https://api.typeform.com/responses/files/0a9a7fcae150d0f6e18104ddec830629cab60fdea54d2d0ee52eb6a17080a9f8/My_resume__1_.pdf")</f>
        <v>https://api.typeform.com/responses/files/0a9a7fcae150d0f6e18104ddec830629cab60fdea54d2d0ee52eb6a17080a9f8/My_resume__1_.pdf</v>
      </c>
      <c r="Y155" s="34">
        <v>46150.16222222222</v>
      </c>
      <c r="Z155" s="29" t="s">
        <v>6051</v>
      </c>
      <c r="AA155" s="6">
        <v>3.0</v>
      </c>
      <c r="AB155" s="6" t="s">
        <v>109</v>
      </c>
      <c r="AC155" s="28" t="s">
        <v>6377</v>
      </c>
      <c r="AD155" s="20"/>
      <c r="AE155" s="28" t="s">
        <v>6403</v>
      </c>
      <c r="AF155" s="6" t="str">
        <f t="shared" si="4"/>
        <v>Quỳnh</v>
      </c>
    </row>
    <row r="156" ht="23.25" hidden="1" customHeight="1">
      <c r="A156" s="232" t="s">
        <v>6052</v>
      </c>
      <c r="B156" s="233">
        <v>38184.0</v>
      </c>
      <c r="C156" s="232" t="s">
        <v>6053</v>
      </c>
      <c r="D156" s="234" t="s">
        <v>6054</v>
      </c>
      <c r="E156" s="232" t="s">
        <v>99</v>
      </c>
      <c r="F156" s="232" t="s">
        <v>774</v>
      </c>
      <c r="G156" s="232" t="s">
        <v>6055</v>
      </c>
      <c r="H156" s="232" t="s">
        <v>6056</v>
      </c>
      <c r="I156" s="232" t="s">
        <v>65</v>
      </c>
      <c r="J156" s="232" t="s">
        <v>6057</v>
      </c>
      <c r="K156" s="232" t="s">
        <v>67</v>
      </c>
      <c r="L156" s="232" t="s">
        <v>132</v>
      </c>
      <c r="M156" s="235">
        <v>46722.0</v>
      </c>
      <c r="N156" s="234" t="s">
        <v>685</v>
      </c>
      <c r="O156" s="236" t="str">
        <f>HYPERLINK("https://api.typeform.com/responses/files/d9e6ae581f9317c4b7e1bb407498c0e999607e01357df1b06a0da757a375f1d1/Transcript_GAME_DESIG_INTERN__HÀ_NGỌC_TUYẾT_NHƯ.pdf")</f>
        <v>https://api.typeform.com/responses/files/d9e6ae581f9317c4b7e1bb407498c0e999607e01357df1b06a0da757a375f1d1/Transcript_GAME_DESIG_INTERN__HÀ_NGỌC_TUYẾT_NHƯ.pdf</v>
      </c>
      <c r="P156" s="232" t="b">
        <v>0</v>
      </c>
      <c r="Q156" s="232" t="s">
        <v>6058</v>
      </c>
      <c r="R156" s="232" t="s">
        <v>6059</v>
      </c>
      <c r="S156" s="232" t="s">
        <v>72</v>
      </c>
      <c r="T156" s="232" t="s">
        <v>72</v>
      </c>
      <c r="U156" s="232" t="s">
        <v>6060</v>
      </c>
      <c r="V156" s="232"/>
      <c r="W156" s="232" t="s">
        <v>6061</v>
      </c>
      <c r="X156" s="236" t="str">
        <f>HYPERLINK("https://api.typeform.com/responses/files/1baefdedfabfecd1bfee1f4a1dd966ebf524c73cd4de6394d5d9582eb2e93867/Cv_GAME_DESIG_INTERN_Hà_Ngọc_Tuyết_Như.webp")</f>
        <v>https://api.typeform.com/responses/files/1baefdedfabfecd1bfee1f4a1dd966ebf524c73cd4de6394d5d9582eb2e93867/Cv_GAME_DESIG_INTERN_Hà_Ngọc_Tuyết_Như.webp</v>
      </c>
      <c r="Y156" s="237">
        <v>46150.16626157407</v>
      </c>
      <c r="Z156" s="232" t="s">
        <v>6062</v>
      </c>
      <c r="AA156" s="238">
        <v>3.0</v>
      </c>
      <c r="AB156" s="238"/>
      <c r="AC156" s="239" t="s">
        <v>6376</v>
      </c>
      <c r="AD156" s="240"/>
      <c r="AE156" s="239"/>
      <c r="AF156" s="238" t="str">
        <f t="shared" si="4"/>
        <v/>
      </c>
    </row>
    <row r="157" ht="23.25" hidden="1" customHeight="1">
      <c r="A157" s="29" t="s">
        <v>6063</v>
      </c>
      <c r="B157" s="30">
        <v>38420.0</v>
      </c>
      <c r="C157" s="29" t="s">
        <v>6064</v>
      </c>
      <c r="D157" s="31" t="s">
        <v>6065</v>
      </c>
      <c r="E157" s="29" t="s">
        <v>774</v>
      </c>
      <c r="F157" s="29" t="s">
        <v>99</v>
      </c>
      <c r="G157" s="29" t="s">
        <v>6066</v>
      </c>
      <c r="H157" s="29" t="s">
        <v>6067</v>
      </c>
      <c r="I157" s="29" t="s">
        <v>842</v>
      </c>
      <c r="K157" s="29" t="s">
        <v>219</v>
      </c>
      <c r="L157" s="29" t="s">
        <v>6068</v>
      </c>
      <c r="M157" s="33">
        <v>46477.0</v>
      </c>
      <c r="N157" s="31" t="s">
        <v>6069</v>
      </c>
      <c r="O157" s="32" t="str">
        <f>HYPERLINK("https://api.typeform.com/responses/files/c55a84cb11e29d2961bdd1d1547985b528dc62d9b3510d8292438e643822d16e/Transcript___Game_User_Acquisition_Intern___Trần_Xuân_Mai.pdf")</f>
        <v>https://api.typeform.com/responses/files/c55a84cb11e29d2961bdd1d1547985b528dc62d9b3510d8292438e643822d16e/Transcript___Game_User_Acquisition_Intern___Trần_Xuân_Mai.pdf</v>
      </c>
      <c r="P157" s="29" t="b">
        <v>0</v>
      </c>
      <c r="Q157" s="29" t="s">
        <v>6070</v>
      </c>
      <c r="R157" s="29" t="s">
        <v>6071</v>
      </c>
      <c r="S157" s="29" t="s">
        <v>72</v>
      </c>
      <c r="T157" s="29" t="s">
        <v>72</v>
      </c>
      <c r="U157" s="29" t="s">
        <v>73</v>
      </c>
      <c r="W157" s="29" t="s">
        <v>6072</v>
      </c>
      <c r="X157" s="231" t="str">
        <f>HYPERLINK("https://api.typeform.com/responses/files/6c13068c817aa6677c606b6de4a012a529d9996eb7f79e39dba0a640ca9172e8/CV___Game_User_Acquisition_Intern___Trần_Xuân_Mai.pdf")</f>
        <v>https://api.typeform.com/responses/files/6c13068c817aa6677c606b6de4a012a529d9996eb7f79e39dba0a640ca9172e8/CV___Game_User_Acquisition_Intern___Trần_Xuân_Mai.pdf</v>
      </c>
      <c r="Y157" s="34">
        <v>46150.25578703704</v>
      </c>
      <c r="Z157" s="29" t="s">
        <v>6073</v>
      </c>
      <c r="AA157" s="6">
        <v>3.0</v>
      </c>
      <c r="AB157" s="6"/>
      <c r="AC157" s="28" t="s">
        <v>6377</v>
      </c>
      <c r="AD157" s="20"/>
      <c r="AE157" s="28" t="s">
        <v>6379</v>
      </c>
      <c r="AF157" s="6" t="str">
        <f t="shared" si="4"/>
        <v>Nhiên</v>
      </c>
    </row>
    <row r="158" ht="23.25" hidden="1" customHeight="1">
      <c r="A158" s="29" t="s">
        <v>6074</v>
      </c>
      <c r="B158" s="30">
        <v>38507.0</v>
      </c>
      <c r="C158" s="29" t="s">
        <v>6075</v>
      </c>
      <c r="D158" s="31" t="s">
        <v>6076</v>
      </c>
      <c r="E158" s="29" t="s">
        <v>82</v>
      </c>
      <c r="F158" s="29" t="s">
        <v>62</v>
      </c>
      <c r="G158" s="29" t="s">
        <v>6077</v>
      </c>
      <c r="H158" s="29" t="s">
        <v>6078</v>
      </c>
      <c r="I158" s="29" t="s">
        <v>715</v>
      </c>
      <c r="K158" s="29" t="s">
        <v>219</v>
      </c>
      <c r="L158" s="29" t="s">
        <v>399</v>
      </c>
      <c r="M158" s="33">
        <v>46721.0</v>
      </c>
      <c r="N158" s="29" t="s">
        <v>6079</v>
      </c>
      <c r="O158" s="32" t="str">
        <f>HYPERLINK("https://api.typeform.com/responses/files/7ce6ca216df89d9165328b81e086dad7b7159d755772a34bb5501439df90d556/Transcript___Data_Analysis_Intern___Võ_Thị_Đông_Nghi.pdf")</f>
        <v>https://api.typeform.com/responses/files/7ce6ca216df89d9165328b81e086dad7b7159d755772a34bb5501439df90d556/Transcript___Data_Analysis_Intern___Võ_Thị_Đông_Nghi.pdf</v>
      </c>
      <c r="P158" s="29" t="b">
        <v>1</v>
      </c>
      <c r="Q158" s="29" t="s">
        <v>6080</v>
      </c>
      <c r="R158" s="29" t="s">
        <v>6081</v>
      </c>
      <c r="S158" s="29" t="s">
        <v>72</v>
      </c>
      <c r="T158" s="29" t="s">
        <v>72</v>
      </c>
      <c r="U158" s="29" t="s">
        <v>3195</v>
      </c>
      <c r="W158" s="29" t="s">
        <v>6082</v>
      </c>
      <c r="X158" s="231" t="str">
        <f>HYPERLINK("https://api.typeform.com/responses/files/3254b64f13a27f76da14b0b61b9d7ae6afc3c572fff4557c028da7608efac33d/CV___Data_Analysis_Intern___Võ_Thị_Đông_Nghi.pdf")</f>
        <v>https://api.typeform.com/responses/files/3254b64f13a27f76da14b0b61b9d7ae6afc3c572fff4557c028da7608efac33d/CV___Data_Analysis_Intern___Võ_Thị_Đông_Nghi.pdf</v>
      </c>
      <c r="Y158" s="34">
        <v>46150.27667824074</v>
      </c>
      <c r="Z158" s="29" t="s">
        <v>6083</v>
      </c>
      <c r="AA158" s="6">
        <v>3.0</v>
      </c>
      <c r="AB158" s="6" t="s">
        <v>109</v>
      </c>
      <c r="AC158" s="28" t="s">
        <v>6377</v>
      </c>
      <c r="AD158" s="20"/>
      <c r="AE158" s="28" t="s">
        <v>6403</v>
      </c>
      <c r="AF158" s="6" t="str">
        <f t="shared" si="4"/>
        <v>Quỳnh</v>
      </c>
    </row>
    <row r="159" ht="23.25" hidden="1" customHeight="1">
      <c r="A159" s="29" t="s">
        <v>3412</v>
      </c>
      <c r="B159" s="30">
        <v>38480.0</v>
      </c>
      <c r="C159" s="29" t="s">
        <v>3413</v>
      </c>
      <c r="D159" s="31" t="s">
        <v>3414</v>
      </c>
      <c r="E159" s="29" t="s">
        <v>82</v>
      </c>
      <c r="F159" s="29" t="s">
        <v>82</v>
      </c>
      <c r="G159" s="29" t="s">
        <v>6084</v>
      </c>
      <c r="H159" s="29" t="s">
        <v>6085</v>
      </c>
      <c r="I159" s="29" t="s">
        <v>1069</v>
      </c>
      <c r="K159" s="29" t="s">
        <v>219</v>
      </c>
      <c r="L159" s="29" t="s">
        <v>132</v>
      </c>
      <c r="M159" s="33">
        <v>46966.0</v>
      </c>
      <c r="N159" s="31" t="s">
        <v>3417</v>
      </c>
      <c r="O159" s="32" t="str">
        <f>HYPERLINK("https://api.typeform.com/responses/files/7f7563944540a870649de08553849a508ff6d6f2d53e78725463d163d7ebed4d/Transcript___Data_Analysis_Intern___Nguyễn_Ngọc_Phương.pdf")</f>
        <v>https://api.typeform.com/responses/files/7f7563944540a870649de08553849a508ff6d6f2d53e78725463d163d7ebed4d/Transcript___Data_Analysis_Intern___Nguyễn_Ngọc_Phương.pdf</v>
      </c>
      <c r="P159" s="29" t="b">
        <v>1</v>
      </c>
      <c r="Q159" s="29" t="s">
        <v>6086</v>
      </c>
      <c r="R159" s="29" t="s">
        <v>6087</v>
      </c>
      <c r="S159" s="29" t="s">
        <v>72</v>
      </c>
      <c r="T159" s="29" t="s">
        <v>72</v>
      </c>
      <c r="U159" s="29" t="s">
        <v>236</v>
      </c>
      <c r="W159" s="29" t="s">
        <v>6088</v>
      </c>
      <c r="X159" s="231" t="str">
        <f>HYPERLINK("https://api.typeform.com/responses/files/f36563f61b681171eb61af56ee526a5f819320e770a05c21b54129beb8317b8b/CV___Data_Analyst_Intern___Nguyen_Ngoc_Phuong.pdf")</f>
        <v>https://api.typeform.com/responses/files/f36563f61b681171eb61af56ee526a5f819320e770a05c21b54129beb8317b8b/CV___Data_Analyst_Intern___Nguyen_Ngoc_Phuong.pdf</v>
      </c>
      <c r="Y159" s="34">
        <v>46150.31313657408</v>
      </c>
      <c r="Z159" s="29" t="s">
        <v>6089</v>
      </c>
      <c r="AA159" s="6">
        <v>3.0</v>
      </c>
      <c r="AB159" s="6" t="s">
        <v>109</v>
      </c>
      <c r="AC159" s="28" t="s">
        <v>6377</v>
      </c>
      <c r="AD159" s="20"/>
      <c r="AE159" s="28" t="s">
        <v>6403</v>
      </c>
      <c r="AF159" s="6" t="str">
        <f t="shared" si="4"/>
        <v>Quỳnh</v>
      </c>
    </row>
    <row r="160" ht="23.25" hidden="1" customHeight="1">
      <c r="A160" s="29" t="s">
        <v>6090</v>
      </c>
      <c r="B160" s="30">
        <v>38461.0</v>
      </c>
      <c r="C160" s="29" t="s">
        <v>6091</v>
      </c>
      <c r="D160" s="31" t="s">
        <v>6092</v>
      </c>
      <c r="E160" s="29" t="s">
        <v>82</v>
      </c>
      <c r="F160" s="29" t="s">
        <v>774</v>
      </c>
      <c r="G160" s="29" t="s">
        <v>6093</v>
      </c>
      <c r="H160" s="29" t="s">
        <v>6094</v>
      </c>
      <c r="I160" s="29" t="s">
        <v>1311</v>
      </c>
      <c r="K160" s="29" t="s">
        <v>219</v>
      </c>
      <c r="L160" s="29" t="s">
        <v>4827</v>
      </c>
      <c r="M160" s="33">
        <v>46492.0</v>
      </c>
      <c r="N160" s="31" t="s">
        <v>6095</v>
      </c>
      <c r="O160" s="32" t="str">
        <f>HYPERLINK("https://api.typeform.com/responses/files/3fdc113d17502784c46eb54f1abceb1957a6f917e3e933759db1227c6a225fb1/Transcript___Data_Analysis_Intern___Lê_Hiếu_Ngân.pdf")</f>
        <v>https://api.typeform.com/responses/files/3fdc113d17502784c46eb54f1abceb1957a6f917e3e933759db1227c6a225fb1/Transcript___Data_Analysis_Intern___Lê_Hiếu_Ngân.pdf</v>
      </c>
      <c r="P160" s="29" t="b">
        <v>1</v>
      </c>
      <c r="Q160" s="29" t="s">
        <v>6096</v>
      </c>
      <c r="R160" s="29" t="s">
        <v>300</v>
      </c>
      <c r="S160" s="29" t="s">
        <v>72</v>
      </c>
      <c r="T160" s="29" t="s">
        <v>72</v>
      </c>
      <c r="U160" s="29" t="s">
        <v>236</v>
      </c>
      <c r="X160" s="231" t="str">
        <f>HYPERLINK("https://api.typeform.com/responses/files/2931d30a800641c0c2e8734d37f5636685aaf1020732293d510cb191b38cab92/CV___Data_Analysis_Intern___Lê_Hiếu_Ngân.pdf")</f>
        <v>https://api.typeform.com/responses/files/2931d30a800641c0c2e8734d37f5636685aaf1020732293d510cb191b38cab92/CV___Data_Analysis_Intern___Lê_Hiếu_Ngân.pdf</v>
      </c>
      <c r="Y160" s="34">
        <v>46150.35304398148</v>
      </c>
      <c r="Z160" s="29" t="s">
        <v>6097</v>
      </c>
      <c r="AA160" s="6">
        <v>3.0</v>
      </c>
      <c r="AB160" s="6" t="s">
        <v>109</v>
      </c>
      <c r="AC160" s="28" t="s">
        <v>6377</v>
      </c>
      <c r="AD160" s="20"/>
      <c r="AE160" s="28" t="s">
        <v>6403</v>
      </c>
      <c r="AF160" s="6" t="str">
        <f t="shared" si="4"/>
        <v>Quỳnh</v>
      </c>
    </row>
    <row r="161" ht="23.25" hidden="1" customHeight="1">
      <c r="A161" s="29" t="s">
        <v>1440</v>
      </c>
      <c r="B161" s="30">
        <v>34100.0</v>
      </c>
      <c r="C161" s="29" t="s">
        <v>1441</v>
      </c>
      <c r="D161" s="31" t="s">
        <v>1442</v>
      </c>
      <c r="E161" s="29" t="s">
        <v>127</v>
      </c>
      <c r="F161" s="29" t="s">
        <v>99</v>
      </c>
      <c r="G161" s="29" t="s">
        <v>6098</v>
      </c>
      <c r="H161" s="29" t="s">
        <v>6099</v>
      </c>
      <c r="I161" s="29" t="s">
        <v>777</v>
      </c>
      <c r="K161" s="29" t="s">
        <v>103</v>
      </c>
      <c r="L161" s="29" t="s">
        <v>1445</v>
      </c>
      <c r="M161" s="33">
        <v>46125.0</v>
      </c>
      <c r="N161" s="31" t="s">
        <v>727</v>
      </c>
      <c r="O161" s="32" t="str">
        <f>HYPERLINK("https://api.typeform.com/responses/files/9d09ef9827c92bf59b640fd89373e0789316ae3ccde732642d4d89af3e4a2aab/Transcript___Game_Designer___Le_Minh_Quang.pdf")</f>
        <v>https://api.typeform.com/responses/files/9d09ef9827c92bf59b640fd89373e0789316ae3ccde732642d4d89af3e4a2aab/Transcript___Game_Designer___Le_Minh_Quang.pdf</v>
      </c>
      <c r="P161" s="29" t="b">
        <v>1</v>
      </c>
      <c r="Q161" s="29" t="s">
        <v>6100</v>
      </c>
      <c r="R161" s="29" t="s">
        <v>6101</v>
      </c>
      <c r="S161" s="29" t="s">
        <v>72</v>
      </c>
      <c r="T161" s="29" t="s">
        <v>72</v>
      </c>
      <c r="U161" s="29" t="s">
        <v>236</v>
      </c>
      <c r="W161" s="29" t="s">
        <v>6102</v>
      </c>
      <c r="X161" s="231" t="str">
        <f>HYPERLINK("https://api.typeform.com/responses/files/c5b0a52ba821419c677db4c42db17744802c1c55a53a960aff1437fa41ce9979/LeMinhQuang_GameDesigner.docx")</f>
        <v>https://api.typeform.com/responses/files/c5b0a52ba821419c677db4c42db17744802c1c55a53a960aff1437fa41ce9979/LeMinhQuang_GameDesigner.docx</v>
      </c>
      <c r="Y161" s="34">
        <v>46150.369421296295</v>
      </c>
      <c r="Z161" s="29" t="s">
        <v>6103</v>
      </c>
      <c r="AA161" s="6">
        <v>3.0</v>
      </c>
      <c r="AB161" s="6" t="s">
        <v>109</v>
      </c>
      <c r="AC161" s="28" t="s">
        <v>6388</v>
      </c>
      <c r="AD161" s="7" t="s">
        <v>6564</v>
      </c>
      <c r="AE161" s="28"/>
      <c r="AF161" s="6" t="str">
        <f t="shared" si="4"/>
        <v/>
      </c>
    </row>
    <row r="162" ht="23.25" hidden="1" customHeight="1">
      <c r="A162" s="29" t="s">
        <v>6104</v>
      </c>
      <c r="B162" s="30">
        <v>38337.0</v>
      </c>
      <c r="C162" s="29" t="s">
        <v>6105</v>
      </c>
      <c r="D162" s="31" t="s">
        <v>6106</v>
      </c>
      <c r="E162" s="29" t="s">
        <v>127</v>
      </c>
      <c r="F162" s="29" t="s">
        <v>99</v>
      </c>
      <c r="G162" s="29" t="s">
        <v>6107</v>
      </c>
      <c r="H162" s="29" t="s">
        <v>6108</v>
      </c>
      <c r="I162" s="29" t="s">
        <v>65</v>
      </c>
      <c r="J162" s="29" t="s">
        <v>6109</v>
      </c>
      <c r="K162" s="29" t="s">
        <v>67</v>
      </c>
      <c r="L162" s="29" t="s">
        <v>132</v>
      </c>
      <c r="M162" s="33">
        <v>46539.0</v>
      </c>
      <c r="N162" s="31" t="s">
        <v>6110</v>
      </c>
      <c r="O162" s="32" t="str">
        <f>HYPERLINK("https://api.typeform.com/responses/files/39b19fad813b9848576a900c98e80327dc811674b87a613f4dea3ff509f4206b/Transcript_Game_Quality_Assurance_Intern_Nguyễn_Thị_Ngọc_Hân.pdf")</f>
        <v>https://api.typeform.com/responses/files/39b19fad813b9848576a900c98e80327dc811674b87a613f4dea3ff509f4206b/Transcript_Game_Quality_Assurance_Intern_Nguyễn_Thị_Ngọc_Hân.pdf</v>
      </c>
      <c r="P162" s="29" t="b">
        <v>0</v>
      </c>
      <c r="Q162" s="29" t="s">
        <v>1457</v>
      </c>
      <c r="R162" s="29" t="s">
        <v>6111</v>
      </c>
      <c r="S162" s="29" t="s">
        <v>72</v>
      </c>
      <c r="T162" s="29" t="s">
        <v>72</v>
      </c>
      <c r="U162" s="29" t="s">
        <v>6112</v>
      </c>
      <c r="W162" s="29" t="s">
        <v>6113</v>
      </c>
      <c r="X162" s="231" t="str">
        <f>HYPERLINK("https://api.typeform.com/responses/files/f2c6a15e19edebf93e4f9e9dcb976c930de524b70fceed8b49d0e52856e7fbc3/CV_Game_Quality_Assurance_Intern_Nguyễn_Thị_Ngọc_Hânpdf.pdf")</f>
        <v>https://api.typeform.com/responses/files/f2c6a15e19edebf93e4f9e9dcb976c930de524b70fceed8b49d0e52856e7fbc3/CV_Game_Quality_Assurance_Intern_Nguyễn_Thị_Ngọc_Hânpdf.pdf</v>
      </c>
      <c r="Y162" s="34">
        <v>46150.385243055556</v>
      </c>
      <c r="Z162" s="29" t="s">
        <v>6114</v>
      </c>
      <c r="AA162" s="6">
        <v>3.0</v>
      </c>
      <c r="AB162" s="6" t="s">
        <v>109</v>
      </c>
      <c r="AC162" s="28" t="s">
        <v>6376</v>
      </c>
      <c r="AD162" s="20"/>
      <c r="AE162" s="28"/>
      <c r="AF162" s="6" t="str">
        <f t="shared" si="4"/>
        <v/>
      </c>
    </row>
    <row r="163" ht="23.25" hidden="1" customHeight="1">
      <c r="A163" s="29" t="s">
        <v>6115</v>
      </c>
      <c r="B163" s="30">
        <v>38002.0</v>
      </c>
      <c r="C163" s="29" t="s">
        <v>6116</v>
      </c>
      <c r="D163" s="31" t="s">
        <v>6117</v>
      </c>
      <c r="E163" s="29" t="s">
        <v>62</v>
      </c>
      <c r="F163" s="29" t="s">
        <v>82</v>
      </c>
      <c r="G163" s="29" t="s">
        <v>6118</v>
      </c>
      <c r="H163" s="29" t="s">
        <v>6119</v>
      </c>
      <c r="I163" s="29" t="s">
        <v>326</v>
      </c>
      <c r="K163" s="29" t="s">
        <v>67</v>
      </c>
      <c r="L163" s="29" t="s">
        <v>86</v>
      </c>
      <c r="M163" s="33">
        <v>46357.0</v>
      </c>
      <c r="N163" s="31" t="s">
        <v>1132</v>
      </c>
      <c r="O163" s="32" t="str">
        <f>HYPERLINK("https://api.typeform.com/responses/files/bd7f753c0903feb807d40472f9639b528f75a3c204e464f5f96b0c13f0c615aa/Transcript_AI_Engineer_Intern_Phan_Văn_Hoàng.pdf")</f>
        <v>https://api.typeform.com/responses/files/bd7f753c0903feb807d40472f9639b528f75a3c204e464f5f96b0c13f0c615aa/Transcript_AI_Engineer_Intern_Phan_Văn_Hoàng.pdf</v>
      </c>
      <c r="P163" s="29" t="b">
        <v>1</v>
      </c>
      <c r="Q163" s="29" t="s">
        <v>6120</v>
      </c>
      <c r="R163" s="29" t="s">
        <v>6121</v>
      </c>
      <c r="S163" s="29" t="s">
        <v>72</v>
      </c>
      <c r="T163" s="29" t="s">
        <v>72</v>
      </c>
      <c r="U163" s="29" t="s">
        <v>6122</v>
      </c>
      <c r="V163" s="29" t="s">
        <v>6123</v>
      </c>
      <c r="X163" s="231" t="str">
        <f>HYPERLINK("https://api.typeform.com/responses/files/707ec72d1b720e421a35a92b8c32d05d198e7a6f2ad3b84e3ba47eb41d36b137/CV_AI_Engineer_Intern_Phan_Văn_Hoàng.pdf")</f>
        <v>https://api.typeform.com/responses/files/707ec72d1b720e421a35a92b8c32d05d198e7a6f2ad3b84e3ba47eb41d36b137/CV_AI_Engineer_Intern_Phan_Văn_Hoàng.pdf</v>
      </c>
      <c r="Y163" s="34">
        <v>46150.40288194444</v>
      </c>
      <c r="Z163" s="29" t="s">
        <v>6124</v>
      </c>
      <c r="AA163" s="6">
        <v>3.0</v>
      </c>
      <c r="AB163" s="6"/>
      <c r="AC163" s="28"/>
      <c r="AD163" s="20"/>
      <c r="AE163" s="28"/>
      <c r="AF163" s="6" t="str">
        <f t="shared" si="4"/>
        <v/>
      </c>
    </row>
    <row r="164" ht="23.25" hidden="1" customHeight="1">
      <c r="A164" s="29" t="s">
        <v>6125</v>
      </c>
      <c r="B164" s="30">
        <v>38416.0</v>
      </c>
      <c r="C164" s="29" t="s">
        <v>6126</v>
      </c>
      <c r="D164" s="31" t="s">
        <v>6127</v>
      </c>
      <c r="E164" s="29" t="s">
        <v>82</v>
      </c>
      <c r="F164" s="29" t="s">
        <v>774</v>
      </c>
      <c r="G164" s="29" t="s">
        <v>6128</v>
      </c>
      <c r="H164" s="29" t="s">
        <v>6129</v>
      </c>
      <c r="I164" s="29" t="s">
        <v>65</v>
      </c>
      <c r="J164" s="29" t="s">
        <v>6130</v>
      </c>
      <c r="K164" s="29" t="s">
        <v>169</v>
      </c>
      <c r="L164" s="29" t="s">
        <v>1090</v>
      </c>
      <c r="M164" s="33">
        <v>46905.0</v>
      </c>
      <c r="N164" s="31" t="s">
        <v>1679</v>
      </c>
      <c r="O164" s="32" t="str">
        <f>HYPERLINK("https://api.typeform.com/responses/files/a873d402ddea8b5f7473b25a989f77a9baec13a731848d73d02b336f37ee3f3c/Transcript.pdf")</f>
        <v>https://api.typeform.com/responses/files/a873d402ddea8b5f7473b25a989f77a9baec13a731848d73d02b336f37ee3f3c/Transcript.pdf</v>
      </c>
      <c r="P164" s="29" t="b">
        <v>1</v>
      </c>
      <c r="Q164" s="29" t="s">
        <v>6131</v>
      </c>
      <c r="R164" s="29" t="s">
        <v>6132</v>
      </c>
      <c r="S164" s="29" t="s">
        <v>72</v>
      </c>
      <c r="T164" s="29" t="s">
        <v>72</v>
      </c>
      <c r="U164" s="29" t="s">
        <v>269</v>
      </c>
      <c r="W164" s="29" t="s">
        <v>6133</v>
      </c>
      <c r="X164" s="231" t="str">
        <f>HYPERLINK("https://api.typeform.com/responses/files/2cd6bd7f33bdd003829874f4ee5c262f17ebd824007ef9f82dbbc72a80211330/CV___Data_Analyst_Intern___Nguyễn_Đình_Sinh_Quảng.pdf")</f>
        <v>https://api.typeform.com/responses/files/2cd6bd7f33bdd003829874f4ee5c262f17ebd824007ef9f82dbbc72a80211330/CV___Data_Analyst_Intern___Nguyễn_Đình_Sinh_Quảng.pdf</v>
      </c>
      <c r="Y164" s="34">
        <v>46150.41131944444</v>
      </c>
      <c r="Z164" s="29" t="s">
        <v>6134</v>
      </c>
      <c r="AA164" s="6">
        <v>3.0</v>
      </c>
      <c r="AB164" s="6" t="s">
        <v>109</v>
      </c>
      <c r="AC164" s="28" t="s">
        <v>6376</v>
      </c>
      <c r="AD164" s="20"/>
      <c r="AE164" s="28"/>
      <c r="AF164" s="6" t="str">
        <f t="shared" si="4"/>
        <v/>
      </c>
    </row>
    <row r="165" ht="23.25" hidden="1" customHeight="1">
      <c r="A165" s="29" t="s">
        <v>6135</v>
      </c>
      <c r="B165" s="30">
        <v>37179.0</v>
      </c>
      <c r="C165" s="29" t="s">
        <v>6136</v>
      </c>
      <c r="D165" s="31" t="s">
        <v>6137</v>
      </c>
      <c r="E165" s="29" t="s">
        <v>774</v>
      </c>
      <c r="F165" s="29" t="s">
        <v>82</v>
      </c>
      <c r="G165" s="29" t="s">
        <v>6138</v>
      </c>
      <c r="H165" s="29" t="s">
        <v>6139</v>
      </c>
      <c r="I165" s="29" t="s">
        <v>777</v>
      </c>
      <c r="K165" s="29" t="s">
        <v>103</v>
      </c>
      <c r="L165" s="29" t="s">
        <v>6140</v>
      </c>
      <c r="M165" s="33">
        <v>45759.0</v>
      </c>
      <c r="N165" s="31" t="s">
        <v>147</v>
      </c>
      <c r="O165" s="32" t="str">
        <f>HYPERLINK("https://api.typeform.com/responses/files/16c24a2f1ab7a0c7980cae48717e30249cd39e70868a79a757685f815d29f4a0/Statement_of_Completion___BP318.pdf")</f>
        <v>https://api.typeform.com/responses/files/16c24a2f1ab7a0c7980cae48717e30249cd39e70868a79a757685f815d29f4a0/Statement_of_Completion___BP318.pdf</v>
      </c>
      <c r="P165" s="29" t="b">
        <v>1</v>
      </c>
      <c r="Q165" s="29" t="s">
        <v>6141</v>
      </c>
      <c r="R165" s="29" t="s">
        <v>6142</v>
      </c>
      <c r="S165" s="29" t="s">
        <v>72</v>
      </c>
      <c r="T165" s="29" t="s">
        <v>72</v>
      </c>
      <c r="U165" s="29" t="s">
        <v>90</v>
      </c>
      <c r="X165" s="231" t="str">
        <f>HYPERLINK("https://api.typeform.com/responses/files/b757f7ef9a1266bae0e2fbe2a196d0a15cb06425e2d96ce6112dd5a8159e9624/Marketing_Executive___Phan_Thị_Thùy_Trang..pdf")</f>
        <v>https://api.typeform.com/responses/files/b757f7ef9a1266bae0e2fbe2a196d0a15cb06425e2d96ce6112dd5a8159e9624/Marketing_Executive___Phan_Thị_Thùy_Trang..pdf</v>
      </c>
      <c r="Y165" s="34">
        <v>46150.442557870374</v>
      </c>
      <c r="Z165" s="29" t="s">
        <v>6143</v>
      </c>
      <c r="AA165" s="6">
        <v>3.0</v>
      </c>
      <c r="AB165" s="6"/>
      <c r="AC165" s="28" t="s">
        <v>6376</v>
      </c>
      <c r="AD165" s="20"/>
      <c r="AE165" s="28"/>
      <c r="AF165" s="6" t="str">
        <f t="shared" si="4"/>
        <v/>
      </c>
    </row>
    <row r="166" ht="23.25" customHeight="1">
      <c r="A166" s="29" t="s">
        <v>6144</v>
      </c>
      <c r="B166" s="30">
        <v>38788.0</v>
      </c>
      <c r="C166" s="29" t="s">
        <v>6145</v>
      </c>
      <c r="D166" s="31" t="s">
        <v>6146</v>
      </c>
      <c r="E166" s="29" t="s">
        <v>633</v>
      </c>
      <c r="F166" s="29" t="s">
        <v>633</v>
      </c>
      <c r="G166" s="29" t="s">
        <v>6147</v>
      </c>
      <c r="H166" s="29" t="s">
        <v>6148</v>
      </c>
      <c r="I166" s="29" t="s">
        <v>1311</v>
      </c>
      <c r="K166" s="29" t="s">
        <v>169</v>
      </c>
      <c r="L166" s="29" t="s">
        <v>6149</v>
      </c>
      <c r="M166" s="33">
        <v>46858.0</v>
      </c>
      <c r="N166" s="31" t="s">
        <v>1321</v>
      </c>
      <c r="O166" s="32" t="str">
        <f>HYPERLINK("https://api.typeform.com/responses/files/e51cc7832950fad1ff8f2b88d3167430957cc91a396cda9bbaece399ee5e2f5a/Transcript___HR_Intern___Phùng_Nguyễn_Khánh_Trâm.pdf")</f>
        <v>https://api.typeform.com/responses/files/e51cc7832950fad1ff8f2b88d3167430957cc91a396cda9bbaece399ee5e2f5a/Transcript___HR_Intern___Phùng_Nguyễn_Khánh_Trâm.pdf</v>
      </c>
      <c r="P166" s="29" t="b">
        <v>1</v>
      </c>
      <c r="Q166" s="29" t="s">
        <v>6150</v>
      </c>
      <c r="R166" s="29" t="s">
        <v>6151</v>
      </c>
      <c r="S166" s="29" t="s">
        <v>72</v>
      </c>
      <c r="T166" s="29" t="s">
        <v>72</v>
      </c>
      <c r="U166" s="29" t="s">
        <v>90</v>
      </c>
      <c r="X166" s="231" t="str">
        <f>HYPERLINK("https://api.typeform.com/responses/files/000892336c1c6e60338e2d7b6d8b1e3bf090657d648b6fc3fb1b255d0f58d640/CV___HR_Intern___Phùng_Nguyễn_Khánh_Trâm.pdf")</f>
        <v>https://api.typeform.com/responses/files/000892336c1c6e60338e2d7b6d8b1e3bf090657d648b6fc3fb1b255d0f58d640/CV___HR_Intern___Phùng_Nguyễn_Khánh_Trâm.pdf</v>
      </c>
      <c r="Y166" s="34">
        <v>46150.45649305556</v>
      </c>
      <c r="Z166" s="29" t="s">
        <v>6152</v>
      </c>
      <c r="AA166" s="6">
        <v>3.0</v>
      </c>
      <c r="AB166" s="6" t="s">
        <v>109</v>
      </c>
      <c r="AC166" s="28" t="s">
        <v>6377</v>
      </c>
      <c r="AD166" s="20"/>
      <c r="AE166" s="28" t="s">
        <v>6376</v>
      </c>
      <c r="AF166" s="6" t="s">
        <v>93</v>
      </c>
    </row>
    <row r="167" ht="23.25" hidden="1" customHeight="1">
      <c r="A167" s="29" t="s">
        <v>6153</v>
      </c>
      <c r="B167" s="30">
        <v>38390.0</v>
      </c>
      <c r="C167" s="29" t="s">
        <v>6154</v>
      </c>
      <c r="D167" s="31" t="s">
        <v>6155</v>
      </c>
      <c r="E167" s="29" t="s">
        <v>82</v>
      </c>
      <c r="F167" s="29" t="s">
        <v>62</v>
      </c>
      <c r="G167" s="29" t="s">
        <v>6156</v>
      </c>
      <c r="H167" s="29" t="s">
        <v>6157</v>
      </c>
      <c r="I167" s="29" t="s">
        <v>842</v>
      </c>
      <c r="K167" s="29" t="s">
        <v>219</v>
      </c>
      <c r="L167" s="29" t="s">
        <v>384</v>
      </c>
      <c r="M167" s="33">
        <v>46357.0</v>
      </c>
      <c r="N167" s="31" t="s">
        <v>3997</v>
      </c>
      <c r="O167" s="32" t="str">
        <f>HYPERLINK("https://api.typeform.com/responses/files/942ee7c9875d38368a3d715ec9f166b32ce68c913189492c351fc9333f7a89d3/Transcript___Data_Analysis_Intern___Nguyễn_Lợi_Thanh_Dũng.pdf")</f>
        <v>https://api.typeform.com/responses/files/942ee7c9875d38368a3d715ec9f166b32ce68c913189492c351fc9333f7a89d3/Transcript___Data_Analysis_Intern___Nguyễn_Lợi_Thanh_Dũng.pdf</v>
      </c>
      <c r="P167" s="29" t="b">
        <v>1</v>
      </c>
      <c r="Q167" s="29" t="s">
        <v>6158</v>
      </c>
      <c r="R167" s="29" t="s">
        <v>6159</v>
      </c>
      <c r="S167" s="29" t="s">
        <v>72</v>
      </c>
      <c r="T167" s="29" t="s">
        <v>72</v>
      </c>
      <c r="U167" s="29" t="s">
        <v>73</v>
      </c>
      <c r="W167" s="29" t="s">
        <v>6160</v>
      </c>
      <c r="X167" s="231" t="str">
        <f>HYPERLINK("https://api.typeform.com/responses/files/94dda5d5f494ccfafe9c8a669572d09ba3f40fbfeac1e5df049140de533e74cd/CV___Data_Analysis_Intern___Nguyễn_Lợi_Thanh_Dũng.pdf")</f>
        <v>https://api.typeform.com/responses/files/94dda5d5f494ccfafe9c8a669572d09ba3f40fbfeac1e5df049140de533e74cd/CV___Data_Analysis_Intern___Nguyễn_Lợi_Thanh_Dũng.pdf</v>
      </c>
      <c r="Y167" s="34">
        <v>46150.45700231481</v>
      </c>
      <c r="Z167" s="29" t="s">
        <v>6161</v>
      </c>
      <c r="AA167" s="6">
        <v>3.0</v>
      </c>
      <c r="AB167" s="6" t="s">
        <v>109</v>
      </c>
      <c r="AC167" s="28" t="s">
        <v>6377</v>
      </c>
      <c r="AD167" s="20"/>
      <c r="AE167" s="28" t="s">
        <v>6403</v>
      </c>
      <c r="AF167" s="6" t="str">
        <f t="shared" ref="AF167:AF183" si="5">IFERROR(
  IFS(
    AND(OR(AE167="Test",AE167="Chờ test",AE167="Test Review",AE167="Passed",AE167="Failed"), OR(E167="Game User Acquisition Intern",E167="Game Design Intern")), "Nhiên",
    AND(OR(AE167="Test",AE167="Chờ test",AE167="Test Review",AE167="Passed",AE167="Failed"), E167&lt;&gt;"Human Resources Intern", NOT(OR(E167="Game User Acquisition Intern",E167="Game Design Intern"))), "Quỳnh",
    AND(OR(AE167="Test",AE167="Chờ test",AE167="Test Review",AE167="Passed",AE167="Failed"), E167="Human Resources Intern"), "Chờ assign"
  ),
"")</f>
        <v>Quỳnh</v>
      </c>
    </row>
    <row r="168" ht="23.25" hidden="1" customHeight="1">
      <c r="A168" s="29" t="s">
        <v>6162</v>
      </c>
      <c r="B168" s="30">
        <v>37887.0</v>
      </c>
      <c r="C168" s="29" t="s">
        <v>6163</v>
      </c>
      <c r="D168" s="31" t="s">
        <v>6164</v>
      </c>
      <c r="E168" s="29" t="s">
        <v>61</v>
      </c>
      <c r="F168" s="29" t="s">
        <v>99</v>
      </c>
      <c r="G168" s="29" t="s">
        <v>6165</v>
      </c>
      <c r="H168" s="29" t="s">
        <v>6166</v>
      </c>
      <c r="I168" s="29" t="s">
        <v>326</v>
      </c>
      <c r="K168" s="29" t="s">
        <v>6167</v>
      </c>
      <c r="L168" s="29" t="s">
        <v>6168</v>
      </c>
      <c r="M168" s="33">
        <v>46203.0</v>
      </c>
      <c r="N168" s="31" t="s">
        <v>6169</v>
      </c>
      <c r="O168" s="32" t="str">
        <f>HYPERLINK("https://api.typeform.com/responses/files/fb883a43dde023cb6ded7edf512b7988e541ec51dd84409473cd042ef44c4049/Transcript___Unity_Development_Intern___Game_Design_Intern___Nguyễn_Gia_Bảo_Danh.pdf")</f>
        <v>https://api.typeform.com/responses/files/fb883a43dde023cb6ded7edf512b7988e541ec51dd84409473cd042ef44c4049/Transcript___Unity_Development_Intern___Game_Design_Intern___Nguyễn_Gia_Bảo_Danh.pdf</v>
      </c>
      <c r="P168" s="29" t="b">
        <v>1</v>
      </c>
      <c r="Q168" s="29" t="s">
        <v>6170</v>
      </c>
      <c r="R168" s="29" t="s">
        <v>6171</v>
      </c>
      <c r="S168" s="29" t="s">
        <v>72</v>
      </c>
      <c r="T168" s="29" t="s">
        <v>72</v>
      </c>
      <c r="U168" s="29" t="s">
        <v>2389</v>
      </c>
      <c r="W168" s="29" t="s">
        <v>6172</v>
      </c>
      <c r="X168" s="231" t="str">
        <f>HYPERLINK("https://api.typeform.com/responses/files/e24a1ab8e988d199b7dd0cd12e33697c8af41d830641cb5d103e7d483c390829/CV___Unity_Development_Intern___Game_Design_Intern___Nguyễn_Gia_Bảo_Danh.pdf")</f>
        <v>https://api.typeform.com/responses/files/e24a1ab8e988d199b7dd0cd12e33697c8af41d830641cb5d103e7d483c390829/CV___Unity_Development_Intern___Game_Design_Intern___Nguyễn_Gia_Bảo_Danh.pdf</v>
      </c>
      <c r="Y168" s="34">
        <v>46150.48143518518</v>
      </c>
      <c r="Z168" s="29" t="s">
        <v>6173</v>
      </c>
      <c r="AA168" s="6">
        <v>3.0</v>
      </c>
      <c r="AB168" s="6" t="s">
        <v>109</v>
      </c>
      <c r="AC168" s="28" t="s">
        <v>6377</v>
      </c>
      <c r="AD168" s="20"/>
      <c r="AE168" s="28" t="s">
        <v>6403</v>
      </c>
      <c r="AF168" s="6" t="str">
        <f t="shared" si="5"/>
        <v>Quỳnh</v>
      </c>
    </row>
    <row r="169" ht="23.25" hidden="1" customHeight="1">
      <c r="A169" s="29" t="s">
        <v>6174</v>
      </c>
      <c r="B169" s="30">
        <v>38224.0</v>
      </c>
      <c r="C169" s="29" t="s">
        <v>1835</v>
      </c>
      <c r="D169" s="31" t="s">
        <v>1836</v>
      </c>
      <c r="E169" s="29" t="s">
        <v>62</v>
      </c>
      <c r="F169" s="29" t="s">
        <v>82</v>
      </c>
      <c r="G169" s="29" t="s">
        <v>6175</v>
      </c>
      <c r="H169" s="29" t="s">
        <v>6176</v>
      </c>
      <c r="I169" s="29" t="s">
        <v>1069</v>
      </c>
      <c r="K169" s="29" t="s">
        <v>67</v>
      </c>
      <c r="L169" s="29" t="s">
        <v>1839</v>
      </c>
      <c r="M169" s="33">
        <v>46670.0</v>
      </c>
      <c r="N169" s="31" t="s">
        <v>1034</v>
      </c>
      <c r="O169" s="32" t="str">
        <f>HYPERLINK("https://api.typeform.com/responses/files/ef9c8f57e43175d8b83ad14a40ee78362bf7de842452fb6893de05fc7f2fd402/Transcript___AI_Engineer_Intern___Lâm_Nhật_Minh.pdf")</f>
        <v>https://api.typeform.com/responses/files/ef9c8f57e43175d8b83ad14a40ee78362bf7de842452fb6893de05fc7f2fd402/Transcript___AI_Engineer_Intern___Lâm_Nhật_Minh.pdf</v>
      </c>
      <c r="P169" s="29" t="b">
        <v>1</v>
      </c>
      <c r="Q169" s="29" t="s">
        <v>6177</v>
      </c>
      <c r="R169" s="29" t="s">
        <v>6178</v>
      </c>
      <c r="S169" s="29" t="s">
        <v>72</v>
      </c>
      <c r="T169" s="29" t="s">
        <v>72</v>
      </c>
      <c r="U169" s="29" t="s">
        <v>403</v>
      </c>
      <c r="V169" s="29" t="s">
        <v>1843</v>
      </c>
      <c r="W169" s="29" t="s">
        <v>6179</v>
      </c>
      <c r="X169" s="231" t="str">
        <f>HYPERLINK("https://api.typeform.com/responses/files/e968c3f4b66dc8f596f5d2fe892463c79c9166c0be33f04ef6650f55b6d5aecb/CV___AI_Engineer_Intern___Lâm_Nhật_Minh.pdf")</f>
        <v>https://api.typeform.com/responses/files/e968c3f4b66dc8f596f5d2fe892463c79c9166c0be33f04ef6650f55b6d5aecb/CV___AI_Engineer_Intern___Lâm_Nhật_Minh.pdf</v>
      </c>
      <c r="Y169" s="34">
        <v>46150.48556712963</v>
      </c>
      <c r="Z169" s="29" t="s">
        <v>6180</v>
      </c>
      <c r="AA169" s="6">
        <v>3.0</v>
      </c>
      <c r="AB169" s="6"/>
      <c r="AC169" s="28"/>
      <c r="AD169" s="20"/>
      <c r="AE169" s="28"/>
      <c r="AF169" s="6" t="str">
        <f t="shared" si="5"/>
        <v/>
      </c>
    </row>
    <row r="170" ht="23.25" hidden="1" customHeight="1">
      <c r="A170" s="29" t="s">
        <v>6181</v>
      </c>
      <c r="B170" s="30">
        <v>37618.0</v>
      </c>
      <c r="C170" s="29" t="s">
        <v>6182</v>
      </c>
      <c r="D170" s="31" t="s">
        <v>6183</v>
      </c>
      <c r="E170" s="29" t="s">
        <v>61</v>
      </c>
      <c r="F170" s="29" t="s">
        <v>99</v>
      </c>
      <c r="G170" s="29" t="s">
        <v>6184</v>
      </c>
      <c r="H170" s="29" t="s">
        <v>6185</v>
      </c>
      <c r="I170" s="29" t="s">
        <v>65</v>
      </c>
      <c r="J170" s="29" t="s">
        <v>961</v>
      </c>
      <c r="K170" s="29" t="s">
        <v>103</v>
      </c>
      <c r="L170" s="29" t="s">
        <v>278</v>
      </c>
      <c r="M170" s="33">
        <v>45976.0</v>
      </c>
      <c r="N170" s="31" t="s">
        <v>147</v>
      </c>
      <c r="O170" s="32" t="str">
        <f>HYPERLINK("https://api.typeform.com/responses/files/7eae848533cba60faf8ff67340a73b1aaffec81f85620edcccc1c73b992d594c/StudentTranscript_DE170764__LeDucManh.xls")</f>
        <v>https://api.typeform.com/responses/files/7eae848533cba60faf8ff67340a73b1aaffec81f85620edcccc1c73b992d594c/StudentTranscript_DE170764__LeDucManh.xls</v>
      </c>
      <c r="P170" s="29" t="b">
        <v>1</v>
      </c>
      <c r="Q170" s="29" t="s">
        <v>6186</v>
      </c>
      <c r="R170" s="29" t="s">
        <v>6187</v>
      </c>
      <c r="S170" s="29" t="s">
        <v>72</v>
      </c>
      <c r="T170" s="29" t="s">
        <v>72</v>
      </c>
      <c r="U170" s="29" t="s">
        <v>224</v>
      </c>
      <c r="W170" s="29" t="s">
        <v>6188</v>
      </c>
      <c r="X170" s="231" t="str">
        <f>HYPERLINK("https://api.typeform.com/responses/files/68bde0fb74306f5c80cfb5b68c597c692506eac4e653c6176903c07102f09494/LeDucManh_Unity_Programer_CV.pdf")</f>
        <v>https://api.typeform.com/responses/files/68bde0fb74306f5c80cfb5b68c597c692506eac4e653c6176903c07102f09494/LeDucManh_Unity_Programer_CV.pdf</v>
      </c>
      <c r="Y170" s="34">
        <v>46150.488125</v>
      </c>
      <c r="Z170" s="29" t="s">
        <v>6189</v>
      </c>
      <c r="AA170" s="6">
        <v>3.0</v>
      </c>
      <c r="AB170" s="6" t="s">
        <v>109</v>
      </c>
      <c r="AC170" s="28" t="s">
        <v>6376</v>
      </c>
      <c r="AD170" s="20"/>
      <c r="AE170" s="28"/>
      <c r="AF170" s="6" t="str">
        <f t="shared" si="5"/>
        <v/>
      </c>
    </row>
    <row r="171" ht="23.25" hidden="1" customHeight="1">
      <c r="A171" s="29" t="s">
        <v>6190</v>
      </c>
      <c r="B171" s="30">
        <v>38205.0</v>
      </c>
      <c r="C171" s="29" t="s">
        <v>6191</v>
      </c>
      <c r="D171" s="31" t="s">
        <v>6192</v>
      </c>
      <c r="E171" s="29" t="s">
        <v>61</v>
      </c>
      <c r="F171" s="29" t="s">
        <v>99</v>
      </c>
      <c r="G171" s="29" t="s">
        <v>6193</v>
      </c>
      <c r="H171" s="29" t="s">
        <v>6194</v>
      </c>
      <c r="I171" s="29" t="s">
        <v>65</v>
      </c>
      <c r="J171" s="29" t="s">
        <v>6195</v>
      </c>
      <c r="K171" s="29" t="s">
        <v>67</v>
      </c>
      <c r="L171" s="29" t="s">
        <v>551</v>
      </c>
      <c r="M171" s="33">
        <v>46357.0</v>
      </c>
      <c r="N171" s="31" t="s">
        <v>6196</v>
      </c>
      <c r="O171" s="32" t="str">
        <f>HYPERLINK("https://api.typeform.com/responses/files/09e76fc81ef2cd4dc1ce640382279e074be26f605bee3361a5d5ce26270f7500/bangdiem.pdf")</f>
        <v>https://api.typeform.com/responses/files/09e76fc81ef2cd4dc1ce640382279e074be26f605bee3361a5d5ce26270f7500/bangdiem.pdf</v>
      </c>
      <c r="P171" s="29" t="b">
        <v>1</v>
      </c>
      <c r="Q171" s="29" t="s">
        <v>6197</v>
      </c>
      <c r="R171" s="29" t="s">
        <v>6198</v>
      </c>
      <c r="S171" s="29" t="s">
        <v>72</v>
      </c>
      <c r="T171" s="29" t="s">
        <v>72</v>
      </c>
      <c r="U171" s="29" t="s">
        <v>174</v>
      </c>
      <c r="W171" s="29" t="s">
        <v>6199</v>
      </c>
      <c r="X171" s="231" t="str">
        <f>HYPERLINK("https://api.typeform.com/responses/files/cd81738f22c033d0d75580459419b76cb9c2073e73811d81152c5de2d301e9ef/Le_Minh_Truong_TopCV.vn_080526.184633.pdf")</f>
        <v>https://api.typeform.com/responses/files/cd81738f22c033d0d75580459419b76cb9c2073e73811d81152c5de2d301e9ef/Le_Minh_Truong_TopCV.vn_080526.184633.pdf</v>
      </c>
      <c r="Y171" s="34">
        <v>46150.51459490741</v>
      </c>
      <c r="Z171" s="29" t="s">
        <v>6200</v>
      </c>
      <c r="AA171" s="6">
        <v>3.0</v>
      </c>
      <c r="AB171" s="6" t="s">
        <v>109</v>
      </c>
      <c r="AC171" s="28" t="s">
        <v>6376</v>
      </c>
      <c r="AD171" s="20"/>
      <c r="AE171" s="28"/>
      <c r="AF171" s="6" t="str">
        <f t="shared" si="5"/>
        <v/>
      </c>
    </row>
    <row r="172" ht="23.25" hidden="1" customHeight="1">
      <c r="A172" s="29" t="s">
        <v>6201</v>
      </c>
      <c r="B172" s="30">
        <v>38171.0</v>
      </c>
      <c r="C172" s="29" t="s">
        <v>6202</v>
      </c>
      <c r="D172" s="31" t="s">
        <v>6203</v>
      </c>
      <c r="E172" s="29" t="s">
        <v>61</v>
      </c>
      <c r="F172" s="29" t="s">
        <v>99</v>
      </c>
      <c r="G172" s="29" t="s">
        <v>6204</v>
      </c>
      <c r="H172" s="29" t="s">
        <v>6205</v>
      </c>
      <c r="I172" s="29" t="s">
        <v>277</v>
      </c>
      <c r="K172" s="29" t="s">
        <v>67</v>
      </c>
      <c r="L172" s="29" t="s">
        <v>6206</v>
      </c>
      <c r="M172" s="33">
        <v>46447.0</v>
      </c>
      <c r="N172" s="31" t="s">
        <v>317</v>
      </c>
      <c r="O172" s="32" t="str">
        <f>HYPERLINK("https://api.typeform.com/responses/files/d99bba9225861d4965f8fb47f9c2d54cd580bac203e95d6a71227fdd1495572b/Transcript___Unity_Development_Intern___Nguyễn_Hữu_Sang.pdf")</f>
        <v>https://api.typeform.com/responses/files/d99bba9225861d4965f8fb47f9c2d54cd580bac203e95d6a71227fdd1495572b/Transcript___Unity_Development_Intern___Nguyễn_Hữu_Sang.pdf</v>
      </c>
      <c r="P172" s="29" t="b">
        <v>1</v>
      </c>
      <c r="Q172" s="29" t="s">
        <v>6207</v>
      </c>
      <c r="R172" s="29" t="s">
        <v>6208</v>
      </c>
      <c r="S172" s="29" t="s">
        <v>72</v>
      </c>
      <c r="T172" s="29" t="s">
        <v>72</v>
      </c>
      <c r="U172" s="29" t="s">
        <v>73</v>
      </c>
      <c r="W172" s="29" t="s">
        <v>6209</v>
      </c>
      <c r="X172" s="231" t="str">
        <f>HYPERLINK("https://api.typeform.com/responses/files/0a18ddfbfccdeb9663850f88f59862cbdff924a4b94858ccaf21529d6fab670b/CV___Unity_Development_Intern___Nguyễn_Hữu_Sang.pdf")</f>
        <v>https://api.typeform.com/responses/files/0a18ddfbfccdeb9663850f88f59862cbdff924a4b94858ccaf21529d6fab670b/CV___Unity_Development_Intern___Nguyễn_Hữu_Sang.pdf</v>
      </c>
      <c r="Y172" s="34">
        <v>46150.52652777778</v>
      </c>
      <c r="Z172" s="29" t="s">
        <v>6210</v>
      </c>
      <c r="AA172" s="6">
        <v>3.0</v>
      </c>
      <c r="AB172" s="6" t="s">
        <v>109</v>
      </c>
      <c r="AC172" s="28" t="s">
        <v>6377</v>
      </c>
      <c r="AD172" s="20"/>
      <c r="AE172" s="28" t="s">
        <v>6403</v>
      </c>
      <c r="AF172" s="6" t="str">
        <f t="shared" si="5"/>
        <v>Quỳnh</v>
      </c>
    </row>
    <row r="173" ht="23.25" hidden="1" customHeight="1">
      <c r="A173" s="29" t="s">
        <v>6211</v>
      </c>
      <c r="B173" s="30">
        <v>38075.0</v>
      </c>
      <c r="C173" s="29" t="s">
        <v>6212</v>
      </c>
      <c r="D173" s="31" t="s">
        <v>6213</v>
      </c>
      <c r="E173" s="29" t="s">
        <v>82</v>
      </c>
      <c r="F173" s="29" t="s">
        <v>62</v>
      </c>
      <c r="G173" s="29" t="s">
        <v>6214</v>
      </c>
      <c r="H173" s="29" t="s">
        <v>6215</v>
      </c>
      <c r="I173" s="29" t="s">
        <v>842</v>
      </c>
      <c r="K173" s="29" t="s">
        <v>219</v>
      </c>
      <c r="L173" s="29" t="s">
        <v>6216</v>
      </c>
      <c r="M173" s="33">
        <v>46466.0</v>
      </c>
      <c r="N173" s="31" t="s">
        <v>6217</v>
      </c>
      <c r="O173" s="32" t="str">
        <f>HYPERLINK("https://api.typeform.com/responses/files/a3800d928aaf803124ce4e3acececcc1e54cab75cc5244e92aadc071f1fd36ac/Transcript___Data_Analysis_Intern___Nguyễn_Công_Minh.pdf")</f>
        <v>https://api.typeform.com/responses/files/a3800d928aaf803124ce4e3acececcc1e54cab75cc5244e92aadc071f1fd36ac/Transcript___Data_Analysis_Intern___Nguyễn_Công_Minh.pdf</v>
      </c>
      <c r="P173" s="29" t="b">
        <v>0</v>
      </c>
      <c r="Q173" s="29" t="s">
        <v>6218</v>
      </c>
      <c r="R173" s="29" t="s">
        <v>6219</v>
      </c>
      <c r="S173" s="29" t="s">
        <v>72</v>
      </c>
      <c r="T173" s="29" t="s">
        <v>72</v>
      </c>
      <c r="U173" s="29" t="s">
        <v>90</v>
      </c>
      <c r="W173" s="29" t="s">
        <v>6220</v>
      </c>
      <c r="X173" s="231" t="str">
        <f>HYPERLINK("https://api.typeform.com/responses/files/79ccb9e78382cd9e540c2cea7f60daa9a67ae7f880bb660e96948090387166e0/CV___Data_Analysis_Intern___Nguyễn_Công_Minh.pdf")</f>
        <v>https://api.typeform.com/responses/files/79ccb9e78382cd9e540c2cea7f60daa9a67ae7f880bb660e96948090387166e0/CV___Data_Analysis_Intern___Nguyễn_Công_Minh.pdf</v>
      </c>
      <c r="Y173" s="34">
        <v>46150.5340162037</v>
      </c>
      <c r="Z173" s="29" t="s">
        <v>6221</v>
      </c>
      <c r="AA173" s="6">
        <v>3.0</v>
      </c>
      <c r="AB173" s="6" t="s">
        <v>109</v>
      </c>
      <c r="AC173" s="28" t="s">
        <v>6377</v>
      </c>
      <c r="AD173" s="20"/>
      <c r="AE173" s="28" t="s">
        <v>6403</v>
      </c>
      <c r="AF173" s="6" t="str">
        <f t="shared" si="5"/>
        <v>Quỳnh</v>
      </c>
    </row>
    <row r="174" ht="23.25" hidden="1" customHeight="1">
      <c r="A174" s="29" t="s">
        <v>6222</v>
      </c>
      <c r="B174" s="30">
        <v>37371.0</v>
      </c>
      <c r="C174" s="29" t="s">
        <v>6223</v>
      </c>
      <c r="D174" s="31" t="s">
        <v>6224</v>
      </c>
      <c r="E174" s="29" t="s">
        <v>99</v>
      </c>
      <c r="F174" s="29" t="s">
        <v>82</v>
      </c>
      <c r="G174" s="29" t="s">
        <v>6225</v>
      </c>
      <c r="H174" s="29" t="s">
        <v>6226</v>
      </c>
      <c r="I174" s="29" t="s">
        <v>65</v>
      </c>
      <c r="J174" s="29" t="s">
        <v>6227</v>
      </c>
      <c r="K174" s="29" t="s">
        <v>103</v>
      </c>
      <c r="L174" s="29" t="s">
        <v>104</v>
      </c>
      <c r="M174" s="33">
        <v>46137.0</v>
      </c>
      <c r="N174" s="31" t="s">
        <v>2375</v>
      </c>
      <c r="O174" s="32" t="str">
        <f>HYPERLINK("https://api.typeform.com/responses/files/868d275b38ae89ec57bc47ae4fb8706274b4b1af271723aeb3ebe105b8ad150b/Transcript___Game_Designer_Intern___Vo_Van_Chi_Thuan.xlsx")</f>
        <v>https://api.typeform.com/responses/files/868d275b38ae89ec57bc47ae4fb8706274b4b1af271723aeb3ebe105b8ad150b/Transcript___Game_Designer_Intern___Vo_Van_Chi_Thuan.xlsx</v>
      </c>
      <c r="P174" s="29" t="b">
        <v>1</v>
      </c>
      <c r="Q174" s="29" t="s">
        <v>6228</v>
      </c>
      <c r="R174" s="29" t="s">
        <v>6229</v>
      </c>
      <c r="S174" s="29" t="s">
        <v>72</v>
      </c>
      <c r="T174" s="29" t="s">
        <v>72</v>
      </c>
      <c r="U174" s="29" t="s">
        <v>73</v>
      </c>
      <c r="W174" s="29" t="s">
        <v>6230</v>
      </c>
      <c r="X174" s="231" t="str">
        <f>HYPERLINK("https://api.typeform.com/responses/files/d662685d834c56d06b684f3e6996ed8cf5c5a3d1c668e406cfcab9fc767142a3/CV___Game_Designer_Intern___Vo_Van_Chi_Thuan.pdf")</f>
        <v>https://api.typeform.com/responses/files/d662685d834c56d06b684f3e6996ed8cf5c5a3d1c668e406cfcab9fc767142a3/CV___Game_Designer_Intern___Vo_Van_Chi_Thuan.pdf</v>
      </c>
      <c r="Y174" s="34">
        <v>46150.568344907406</v>
      </c>
      <c r="Z174" s="29" t="s">
        <v>6231</v>
      </c>
      <c r="AA174" s="6">
        <v>3.0</v>
      </c>
      <c r="AB174" s="6"/>
      <c r="AC174" s="28" t="s">
        <v>6377</v>
      </c>
      <c r="AD174" s="20"/>
      <c r="AE174" s="28"/>
      <c r="AF174" s="6" t="str">
        <f t="shared" si="5"/>
        <v/>
      </c>
    </row>
    <row r="175" ht="23.25" hidden="1" customHeight="1">
      <c r="A175" s="29" t="s">
        <v>6232</v>
      </c>
      <c r="B175" s="30">
        <v>38566.0</v>
      </c>
      <c r="C175" s="29" t="s">
        <v>6233</v>
      </c>
      <c r="D175" s="31" t="s">
        <v>6234</v>
      </c>
      <c r="E175" s="29" t="s">
        <v>82</v>
      </c>
      <c r="F175" s="29" t="s">
        <v>82</v>
      </c>
      <c r="G175" s="29" t="s">
        <v>6235</v>
      </c>
      <c r="H175" s="29" t="s">
        <v>6236</v>
      </c>
      <c r="I175" s="29" t="s">
        <v>85</v>
      </c>
      <c r="K175" s="29" t="s">
        <v>219</v>
      </c>
      <c r="L175" s="29" t="s">
        <v>5453</v>
      </c>
      <c r="M175" s="33">
        <v>46387.0</v>
      </c>
      <c r="N175" s="31" t="s">
        <v>1382</v>
      </c>
      <c r="O175" s="32" t="str">
        <f>HYPERLINK("https://api.typeform.com/responses/files/bdbbf104ebaca25c2791166d6236a01028247767cdf5ed5062037708282bdaa6/Transcript___Data_Analysis_Intern___Tô_Trần_Nhã_Uyên.pdf")</f>
        <v>https://api.typeform.com/responses/files/bdbbf104ebaca25c2791166d6236a01028247767cdf5ed5062037708282bdaa6/Transcript___Data_Analysis_Intern___Tô_Trần_Nhã_Uyên.pdf</v>
      </c>
      <c r="P175" s="29" t="b">
        <v>1</v>
      </c>
      <c r="Q175" s="29" t="s">
        <v>6237</v>
      </c>
      <c r="R175" s="29" t="s">
        <v>6238</v>
      </c>
      <c r="S175" s="29" t="s">
        <v>72</v>
      </c>
      <c r="T175" s="29" t="s">
        <v>72</v>
      </c>
      <c r="U175" s="29" t="s">
        <v>6239</v>
      </c>
      <c r="W175" s="29" t="s">
        <v>6240</v>
      </c>
      <c r="X175" s="231" t="str">
        <f>HYPERLINK("https://api.typeform.com/responses/files/0dc5502dcc36e2cec5f8209e8487c141886e975da855c45aad7b6b7afff57c24/CV___Data_Analysis_Intern___Tô_Trần_Nhã_Uyên.pdf")</f>
        <v>https://api.typeform.com/responses/files/0dc5502dcc36e2cec5f8209e8487c141886e975da855c45aad7b6b7afff57c24/CV___Data_Analysis_Intern___Tô_Trần_Nhã_Uyên.pdf</v>
      </c>
      <c r="Y175" s="34">
        <v>46150.569652777776</v>
      </c>
      <c r="Z175" s="29" t="s">
        <v>6241</v>
      </c>
      <c r="AA175" s="6">
        <v>3.0</v>
      </c>
      <c r="AB175" s="6" t="s">
        <v>109</v>
      </c>
      <c r="AC175" s="28" t="s">
        <v>6377</v>
      </c>
      <c r="AD175" s="20"/>
      <c r="AE175" s="28" t="s">
        <v>6403</v>
      </c>
      <c r="AF175" s="6" t="str">
        <f t="shared" si="5"/>
        <v>Quỳnh</v>
      </c>
    </row>
    <row r="176" ht="23.25" hidden="1" customHeight="1">
      <c r="A176" s="29" t="s">
        <v>6242</v>
      </c>
      <c r="B176" s="30">
        <v>38550.0</v>
      </c>
      <c r="C176" s="29" t="s">
        <v>6243</v>
      </c>
      <c r="D176" s="31" t="s">
        <v>6244</v>
      </c>
      <c r="E176" s="29" t="s">
        <v>99</v>
      </c>
      <c r="F176" s="29" t="s">
        <v>61</v>
      </c>
      <c r="G176" s="29" t="s">
        <v>6245</v>
      </c>
      <c r="H176" s="29" t="s">
        <v>6246</v>
      </c>
      <c r="I176" s="29" t="s">
        <v>85</v>
      </c>
      <c r="K176" s="29" t="s">
        <v>219</v>
      </c>
      <c r="L176" s="29" t="s">
        <v>6247</v>
      </c>
      <c r="M176" s="33">
        <v>46539.0</v>
      </c>
      <c r="N176" s="31" t="s">
        <v>2220</v>
      </c>
      <c r="O176" s="32" t="str">
        <f>HYPERLINK("https://api.typeform.com/responses/files/4d4341fe7fa6204df48f084229b4c92bce0df6caf43538f51eb31d27206c9e11/Transcript___Game_Designer_Intern___Bùi_Bách_Nguyên.pdf")</f>
        <v>https://api.typeform.com/responses/files/4d4341fe7fa6204df48f084229b4c92bce0df6caf43538f51eb31d27206c9e11/Transcript___Game_Designer_Intern___Bùi_Bách_Nguyên.pdf</v>
      </c>
      <c r="P176" s="29" t="b">
        <v>1</v>
      </c>
      <c r="Q176" s="29" t="s">
        <v>6248</v>
      </c>
      <c r="R176" s="29" t="s">
        <v>6249</v>
      </c>
      <c r="S176" s="29" t="s">
        <v>72</v>
      </c>
      <c r="T176" s="29" t="s">
        <v>72</v>
      </c>
      <c r="U176" s="29" t="s">
        <v>6250</v>
      </c>
      <c r="W176" s="29" t="s">
        <v>6251</v>
      </c>
      <c r="X176" s="231" t="str">
        <f>HYPERLINK("https://api.typeform.com/responses/files/874e0551480b7cdebd5cee3899120d091d852bad18ab5297d6205ebf5f719eaf/CV___Game_Designer_Intern___Bùi_Bách_Nguyên.pdf")</f>
        <v>https://api.typeform.com/responses/files/874e0551480b7cdebd5cee3899120d091d852bad18ab5297d6205ebf5f719eaf/CV___Game_Designer_Intern___Bùi_Bách_Nguyên.pdf</v>
      </c>
      <c r="Y176" s="34">
        <v>46150.57059027778</v>
      </c>
      <c r="Z176" s="29" t="s">
        <v>6252</v>
      </c>
      <c r="AA176" s="6">
        <v>3.0</v>
      </c>
      <c r="AB176" s="6"/>
      <c r="AC176" s="28" t="s">
        <v>6377</v>
      </c>
      <c r="AD176" s="20"/>
      <c r="AE176" s="28"/>
      <c r="AF176" s="6" t="str">
        <f t="shared" si="5"/>
        <v/>
      </c>
    </row>
    <row r="177" ht="23.25" hidden="1" customHeight="1">
      <c r="A177" s="29" t="s">
        <v>6253</v>
      </c>
      <c r="B177" s="30">
        <v>36579.0</v>
      </c>
      <c r="C177" s="29" t="s">
        <v>6254</v>
      </c>
      <c r="D177" s="31" t="s">
        <v>6255</v>
      </c>
      <c r="E177" s="29" t="s">
        <v>774</v>
      </c>
      <c r="F177" s="29" t="s">
        <v>774</v>
      </c>
      <c r="G177" s="29" t="s">
        <v>6256</v>
      </c>
      <c r="H177" s="29" t="s">
        <v>6257</v>
      </c>
      <c r="I177" s="29" t="s">
        <v>1311</v>
      </c>
      <c r="K177" s="29" t="s">
        <v>6258</v>
      </c>
      <c r="L177" s="29" t="s">
        <v>6259</v>
      </c>
      <c r="M177" s="33">
        <v>45322.0</v>
      </c>
      <c r="N177" s="31" t="s">
        <v>6260</v>
      </c>
      <c r="O177" s="32" t="str">
        <f>HYPERLINK("https://api.typeform.com/responses/files/b682d2a15c5a2d88dcaaf4a2c906e8f469f1deb506d61d929897b52e024973a4/Transcript___Game_User_Acquisition_Intern___Pham_Ngoc_Yen_Nhi.pdf")</f>
        <v>https://api.typeform.com/responses/files/b682d2a15c5a2d88dcaaf4a2c906e8f469f1deb506d61d929897b52e024973a4/Transcript___Game_User_Acquisition_Intern___Pham_Ngoc_Yen_Nhi.pdf</v>
      </c>
      <c r="P177" s="29" t="b">
        <v>1</v>
      </c>
      <c r="Q177" s="29" t="s">
        <v>6261</v>
      </c>
      <c r="R177" s="29" t="s">
        <v>6262</v>
      </c>
      <c r="S177" s="29" t="s">
        <v>72</v>
      </c>
      <c r="T177" s="29" t="s">
        <v>72</v>
      </c>
      <c r="U177" s="29" t="s">
        <v>73</v>
      </c>
      <c r="W177" s="29" t="s">
        <v>6263</v>
      </c>
      <c r="X177" s="231" t="str">
        <f>HYPERLINK("https://api.typeform.com/responses/files/5364ae1c58fbb72d1d704104d6a7bc8f8678feb7fbbbd7b12d765d18af023b84/CV_Game_User_Acquisition_Intern__Pham_Ngoc_Yen_Nhi.pdf")</f>
        <v>https://api.typeform.com/responses/files/5364ae1c58fbb72d1d704104d6a7bc8f8678feb7fbbbd7b12d765d18af023b84/CV_Game_User_Acquisition_Intern__Pham_Ngoc_Yen_Nhi.pdf</v>
      </c>
      <c r="Y177" s="34">
        <v>46150.62385416667</v>
      </c>
      <c r="Z177" s="29" t="s">
        <v>6264</v>
      </c>
      <c r="AA177" s="6">
        <v>3.0</v>
      </c>
      <c r="AB177" s="6"/>
      <c r="AC177" s="28" t="s">
        <v>6376</v>
      </c>
      <c r="AD177" s="20"/>
      <c r="AE177" s="28"/>
      <c r="AF177" s="6" t="str">
        <f t="shared" si="5"/>
        <v/>
      </c>
    </row>
    <row r="178" ht="23.25" hidden="1" customHeight="1">
      <c r="A178" s="29" t="s">
        <v>6265</v>
      </c>
      <c r="B178" s="30">
        <v>37697.0</v>
      </c>
      <c r="C178" s="29" t="s">
        <v>6266</v>
      </c>
      <c r="D178" s="31" t="s">
        <v>6267</v>
      </c>
      <c r="E178" s="29" t="s">
        <v>82</v>
      </c>
      <c r="F178" s="29" t="s">
        <v>633</v>
      </c>
      <c r="G178" s="29" t="s">
        <v>6268</v>
      </c>
      <c r="H178" s="29" t="s">
        <v>6269</v>
      </c>
      <c r="I178" s="29" t="s">
        <v>244</v>
      </c>
      <c r="K178" s="29" t="s">
        <v>103</v>
      </c>
      <c r="L178" s="29" t="s">
        <v>6270</v>
      </c>
      <c r="M178" s="33">
        <v>45657.0</v>
      </c>
      <c r="N178" s="31" t="s">
        <v>6271</v>
      </c>
      <c r="O178" s="32" t="str">
        <f>HYPERLINK("https://api.typeform.com/responses/files/768a6b07b6d7567d80f726bf0f0670ae6adad21213eb8425c33ebea770d23ce2/Transcript___Data_Analysis_Intern___LÊ_HOÀNG_NHƯ.pdf")</f>
        <v>https://api.typeform.com/responses/files/768a6b07b6d7567d80f726bf0f0670ae6adad21213eb8425c33ebea770d23ce2/Transcript___Data_Analysis_Intern___LÊ_HOÀNG_NHƯ.pdf</v>
      </c>
      <c r="P178" s="29" t="b">
        <v>1</v>
      </c>
      <c r="Q178" s="29" t="s">
        <v>6272</v>
      </c>
      <c r="R178" s="29" t="s">
        <v>6273</v>
      </c>
      <c r="S178" s="29" t="s">
        <v>72</v>
      </c>
      <c r="T178" s="29" t="s">
        <v>72</v>
      </c>
      <c r="U178" s="29" t="s">
        <v>73</v>
      </c>
      <c r="W178" s="29" t="s">
        <v>6274</v>
      </c>
      <c r="X178" s="231" t="str">
        <f>HYPERLINK("https://api.typeform.com/responses/files/6c9a6b2aefb52ddec5622b41bc30dd4e47ab80d4e2e3bedcab5e3f1706dad1b3/CV___Data_Analysis_Intern___LÊ_HOÀNG_NHƯ.pdf")</f>
        <v>https://api.typeform.com/responses/files/6c9a6b2aefb52ddec5622b41bc30dd4e47ab80d4e2e3bedcab5e3f1706dad1b3/CV___Data_Analysis_Intern___LÊ_HOÀNG_NHƯ.pdf</v>
      </c>
      <c r="Y178" s="34">
        <v>46150.64141203704</v>
      </c>
      <c r="Z178" s="29" t="s">
        <v>6275</v>
      </c>
      <c r="AA178" s="6">
        <v>3.0</v>
      </c>
      <c r="AB178" s="6" t="s">
        <v>109</v>
      </c>
      <c r="AC178" s="28" t="s">
        <v>6376</v>
      </c>
      <c r="AD178" s="20"/>
      <c r="AE178" s="28"/>
      <c r="AF178" s="6" t="str">
        <f t="shared" si="5"/>
        <v/>
      </c>
    </row>
    <row r="179" ht="23.25" hidden="1" customHeight="1">
      <c r="A179" s="29" t="s">
        <v>6276</v>
      </c>
      <c r="B179" s="30">
        <v>38632.0</v>
      </c>
      <c r="C179" s="29" t="s">
        <v>6277</v>
      </c>
      <c r="D179" s="31" t="s">
        <v>6278</v>
      </c>
      <c r="E179" s="29" t="s">
        <v>82</v>
      </c>
      <c r="F179" s="29" t="s">
        <v>633</v>
      </c>
      <c r="G179" s="29" t="s">
        <v>6279</v>
      </c>
      <c r="H179" s="29" t="s">
        <v>6280</v>
      </c>
      <c r="I179" s="29" t="s">
        <v>1311</v>
      </c>
      <c r="K179" s="29" t="s">
        <v>67</v>
      </c>
      <c r="L179" s="29" t="s">
        <v>6259</v>
      </c>
      <c r="M179" s="33">
        <v>46495.0</v>
      </c>
      <c r="N179" s="31" t="s">
        <v>4088</v>
      </c>
      <c r="O179" s="32" t="str">
        <f>HYPERLINK("https://api.typeform.com/responses/files/fc3c566d694710b0bfab752d773dcb4324551ea0435c8eaa097095d89feb9274/Transcript___Data_Analysis_Intern___Huỳnh_Chơn_Thành_Nhân.pdf")</f>
        <v>https://api.typeform.com/responses/files/fc3c566d694710b0bfab752d773dcb4324551ea0435c8eaa097095d89feb9274/Transcript___Data_Analysis_Intern___Huỳnh_Chơn_Thành_Nhân.pdf</v>
      </c>
      <c r="P179" s="29" t="b">
        <v>0</v>
      </c>
      <c r="Q179" s="29" t="s">
        <v>300</v>
      </c>
      <c r="R179" s="29" t="s">
        <v>6281</v>
      </c>
      <c r="S179" s="29" t="s">
        <v>72</v>
      </c>
      <c r="T179" s="29" t="s">
        <v>72</v>
      </c>
      <c r="U179" s="29" t="s">
        <v>73</v>
      </c>
      <c r="W179" s="29" t="s">
        <v>300</v>
      </c>
      <c r="X179" s="231" t="str">
        <f>HYPERLINK("https://api.typeform.com/responses/files/b0af5f8a486b8b04f208d9f9c74f8341183f4571d21fb3661efc41b754c641ed/CV___Data_Analysis_Intern___Huỳnh_Chơn_Thành_Nhân.pdf")</f>
        <v>https://api.typeform.com/responses/files/b0af5f8a486b8b04f208d9f9c74f8341183f4571d21fb3661efc41b754c641ed/CV___Data_Analysis_Intern___Huỳnh_Chơn_Thành_Nhân.pdf</v>
      </c>
      <c r="Y179" s="34">
        <v>46150.658368055556</v>
      </c>
      <c r="Z179" s="29" t="s">
        <v>6282</v>
      </c>
      <c r="AA179" s="6">
        <v>3.0</v>
      </c>
      <c r="AB179" s="6" t="s">
        <v>109</v>
      </c>
      <c r="AC179" s="28" t="s">
        <v>6377</v>
      </c>
      <c r="AD179" s="20"/>
      <c r="AE179" s="28" t="s">
        <v>6403</v>
      </c>
      <c r="AF179" s="6" t="str">
        <f t="shared" si="5"/>
        <v>Quỳnh</v>
      </c>
    </row>
    <row r="180" ht="23.25" hidden="1" customHeight="1">
      <c r="A180" s="29" t="s">
        <v>6283</v>
      </c>
      <c r="B180" s="30">
        <v>38227.0</v>
      </c>
      <c r="C180" s="29" t="s">
        <v>6284</v>
      </c>
      <c r="D180" s="31" t="s">
        <v>6285</v>
      </c>
      <c r="E180" s="29" t="s">
        <v>62</v>
      </c>
      <c r="F180" s="29" t="s">
        <v>82</v>
      </c>
      <c r="G180" s="29" t="s">
        <v>6286</v>
      </c>
      <c r="H180" s="29" t="s">
        <v>6287</v>
      </c>
      <c r="I180" s="29" t="s">
        <v>65</v>
      </c>
      <c r="J180" s="29" t="s">
        <v>6288</v>
      </c>
      <c r="K180" s="29" t="s">
        <v>67</v>
      </c>
      <c r="L180" s="29" t="s">
        <v>684</v>
      </c>
      <c r="M180" s="33">
        <v>46196.0</v>
      </c>
      <c r="N180" s="31" t="s">
        <v>6289</v>
      </c>
      <c r="O180" s="32" t="str">
        <f>HYPERLINK("https://api.typeform.com/responses/files/4727cf3b0fd098f098cc5c8a7d20b2a2980032bb1c79ecd0a740be0b709e3bfd/Transcript___AI_Engineering_Intern___Võ_Công_Khanh.pdf")</f>
        <v>https://api.typeform.com/responses/files/4727cf3b0fd098f098cc5c8a7d20b2a2980032bb1c79ecd0a740be0b709e3bfd/Transcript___AI_Engineering_Intern___Võ_Công_Khanh.pdf</v>
      </c>
      <c r="P180" s="29" t="b">
        <v>0</v>
      </c>
      <c r="Q180" s="29" t="s">
        <v>6290</v>
      </c>
      <c r="R180" s="29" t="s">
        <v>6290</v>
      </c>
      <c r="S180" s="29" t="s">
        <v>72</v>
      </c>
      <c r="T180" s="29" t="s">
        <v>72</v>
      </c>
      <c r="U180" s="29" t="s">
        <v>73</v>
      </c>
      <c r="X180" s="231" t="str">
        <f>HYPERLINK("https://api.typeform.com/responses/files/0a868a82a1ce8298a5a2737b618868b9dd5922b1c12adc8dd5ccda177f4ddb6c/CV___AI_Engineering_Intern___Võ_Công_Khanh.pdf")</f>
        <v>https://api.typeform.com/responses/files/0a868a82a1ce8298a5a2737b618868b9dd5922b1c12adc8dd5ccda177f4ddb6c/CV___AI_Engineering_Intern___Võ_Công_Khanh.pdf</v>
      </c>
      <c r="Y180" s="34">
        <v>46150.66578703704</v>
      </c>
      <c r="Z180" s="29" t="s">
        <v>6291</v>
      </c>
      <c r="AA180" s="6">
        <v>3.0</v>
      </c>
      <c r="AB180" s="6"/>
      <c r="AC180" s="28"/>
      <c r="AD180" s="20"/>
      <c r="AE180" s="28"/>
      <c r="AF180" s="6" t="str">
        <f t="shared" si="5"/>
        <v/>
      </c>
    </row>
    <row r="181" ht="23.25" hidden="1" customHeight="1">
      <c r="A181" s="29" t="s">
        <v>6292</v>
      </c>
      <c r="B181" s="30">
        <v>38379.0</v>
      </c>
      <c r="C181" s="29" t="s">
        <v>6293</v>
      </c>
      <c r="D181" s="31" t="s">
        <v>6294</v>
      </c>
      <c r="E181" s="29" t="s">
        <v>61</v>
      </c>
      <c r="F181" s="29" t="s">
        <v>99</v>
      </c>
      <c r="G181" s="29" t="s">
        <v>6295</v>
      </c>
      <c r="H181" s="29" t="s">
        <v>6296</v>
      </c>
      <c r="I181" s="29" t="s">
        <v>85</v>
      </c>
      <c r="K181" s="29" t="s">
        <v>219</v>
      </c>
      <c r="L181" s="29" t="s">
        <v>4674</v>
      </c>
      <c r="M181" s="33">
        <v>46547.0</v>
      </c>
      <c r="N181" s="31" t="s">
        <v>6289</v>
      </c>
      <c r="O181" s="32" t="str">
        <f>HYPERLINK("https://api.typeform.com/responses/files/63424e1100dfe3186d771326b22fdf827b3a110be0f146389697680a804635b6/Transcript___Unity_Development_Intern___Nguyễn_Thanh_Vũ.pdf")</f>
        <v>https://api.typeform.com/responses/files/63424e1100dfe3186d771326b22fdf827b3a110be0f146389697680a804635b6/Transcript___Unity_Development_Intern___Nguyễn_Thanh_Vũ.pdf</v>
      </c>
      <c r="P181" s="29" t="b">
        <v>1</v>
      </c>
      <c r="Q181" s="29" t="s">
        <v>6297</v>
      </c>
      <c r="R181" s="29" t="s">
        <v>6298</v>
      </c>
      <c r="S181" s="29" t="s">
        <v>72</v>
      </c>
      <c r="T181" s="29" t="s">
        <v>72</v>
      </c>
      <c r="U181" s="29" t="s">
        <v>544</v>
      </c>
      <c r="W181" s="29" t="s">
        <v>6299</v>
      </c>
      <c r="X181" s="231" t="str">
        <f>HYPERLINK("https://api.typeform.com/responses/files/5243664a785779e46484bf37c623f595ca4a76cb8393e7d16ad11e993aeb8e9f/CV___Unity_Development_Intern___Nguyễn_Thanh_Vũ.pdf")</f>
        <v>https://api.typeform.com/responses/files/5243664a785779e46484bf37c623f595ca4a76cb8393e7d16ad11e993aeb8e9f/CV___Unity_Development_Intern___Nguyễn_Thanh_Vũ.pdf</v>
      </c>
      <c r="Y181" s="34">
        <v>46150.70741898148</v>
      </c>
      <c r="Z181" s="29" t="s">
        <v>6300</v>
      </c>
      <c r="AA181" s="6">
        <v>3.0</v>
      </c>
      <c r="AB181" s="6" t="s">
        <v>109</v>
      </c>
      <c r="AC181" s="28" t="s">
        <v>6377</v>
      </c>
      <c r="AD181" s="20"/>
      <c r="AE181" s="28" t="s">
        <v>6403</v>
      </c>
      <c r="AF181" s="6" t="str">
        <f t="shared" si="5"/>
        <v>Quỳnh</v>
      </c>
    </row>
    <row r="182" ht="23.25" hidden="1" customHeight="1">
      <c r="A182" s="242" t="s">
        <v>6301</v>
      </c>
      <c r="B182" s="243">
        <v>37678.0</v>
      </c>
      <c r="C182" s="242" t="s">
        <v>6302</v>
      </c>
      <c r="D182" s="244" t="s">
        <v>6303</v>
      </c>
      <c r="E182" s="242" t="s">
        <v>99</v>
      </c>
      <c r="F182" s="242" t="s">
        <v>82</v>
      </c>
      <c r="G182" s="242" t="s">
        <v>6304</v>
      </c>
      <c r="H182" s="242" t="s">
        <v>6305</v>
      </c>
      <c r="I182" s="242" t="s">
        <v>85</v>
      </c>
      <c r="J182" s="242"/>
      <c r="K182" s="242" t="s">
        <v>103</v>
      </c>
      <c r="L182" s="242" t="s">
        <v>1183</v>
      </c>
      <c r="M182" s="245">
        <v>46181.0</v>
      </c>
      <c r="N182" s="244" t="s">
        <v>1686</v>
      </c>
      <c r="O182" s="246" t="str">
        <f>HYPERLINK("https://api.typeform.com/responses/files/3c3c098192749fe9b8699c609bafbcbf255809e71b5391f0ae8eb1244a923f63/Transcript___Game_Design_Intern___Huỳnh_Phước_Tài.pdf")</f>
        <v>https://api.typeform.com/responses/files/3c3c098192749fe9b8699c609bafbcbf255809e71b5391f0ae8eb1244a923f63/Transcript___Game_Design_Intern___Huỳnh_Phước_Tài.pdf</v>
      </c>
      <c r="P182" s="242" t="b">
        <v>1</v>
      </c>
      <c r="Q182" s="242" t="s">
        <v>6306</v>
      </c>
      <c r="R182" s="242" t="s">
        <v>6307</v>
      </c>
      <c r="S182" s="242" t="s">
        <v>72</v>
      </c>
      <c r="T182" s="242" t="s">
        <v>72</v>
      </c>
      <c r="U182" s="242" t="s">
        <v>90</v>
      </c>
      <c r="V182" s="242"/>
      <c r="W182" s="242"/>
      <c r="X182" s="247" t="str">
        <f>HYPERLINK("https://api.typeform.com/responses/files/ff2462ddc35380accb6d96feb9b1e55b27132189cf5a0615d3e3fc55c59b2fac/CV___Game_Design_Intern___Huỳnh_Phước_Tài.pdf")</f>
        <v>https://api.typeform.com/responses/files/ff2462ddc35380accb6d96feb9b1e55b27132189cf5a0615d3e3fc55c59b2fac/CV___Game_Design_Intern___Huỳnh_Phước_Tài.pdf</v>
      </c>
      <c r="Y182" s="248">
        <v>46150.7084375</v>
      </c>
      <c r="Z182" s="242" t="s">
        <v>6308</v>
      </c>
      <c r="AA182" s="249">
        <v>3.0</v>
      </c>
      <c r="AB182" s="249"/>
      <c r="AC182" s="191" t="s">
        <v>6377</v>
      </c>
      <c r="AD182" s="250" t="s">
        <v>6565</v>
      </c>
      <c r="AE182" s="191"/>
      <c r="AF182" s="249" t="str">
        <f t="shared" si="5"/>
        <v/>
      </c>
    </row>
    <row r="183" ht="23.25" hidden="1" customHeight="1">
      <c r="A183" s="29" t="s">
        <v>6309</v>
      </c>
      <c r="B183" s="30">
        <v>37053.0</v>
      </c>
      <c r="C183" s="29" t="s">
        <v>6310</v>
      </c>
      <c r="D183" s="31" t="s">
        <v>6311</v>
      </c>
      <c r="E183" s="29" t="s">
        <v>774</v>
      </c>
      <c r="F183" s="29" t="s">
        <v>82</v>
      </c>
      <c r="G183" s="29" t="s">
        <v>6312</v>
      </c>
      <c r="H183" s="29" t="s">
        <v>6313</v>
      </c>
      <c r="I183" s="29" t="s">
        <v>65</v>
      </c>
      <c r="J183" s="29" t="s">
        <v>961</v>
      </c>
      <c r="K183" s="29" t="s">
        <v>6258</v>
      </c>
      <c r="L183" s="29" t="s">
        <v>6314</v>
      </c>
      <c r="M183" s="33">
        <v>45107.0</v>
      </c>
      <c r="N183" s="31" t="s">
        <v>1679</v>
      </c>
      <c r="O183" s="32" t="str">
        <f>HYPERLINK("https://api.typeform.com/responses/files/7b60266f23cd581a3ca8bd5d06b5f3ef2a135796f74fdbc5d5f87d7f18959caa/Transcript_Game_User_Acquisition_Marketing_Intern___Data_Analysis_Intern__Võ_Nguyễn_Lan_Nhi.pdf")</f>
        <v>https://api.typeform.com/responses/files/7b60266f23cd581a3ca8bd5d06b5f3ef2a135796f74fdbc5d5f87d7f18959caa/Transcript_Game_User_Acquisition_Marketing_Intern___Data_Analysis_Intern__Võ_Nguyễn_Lan_Nhi.pdf</v>
      </c>
      <c r="P183" s="29" t="b">
        <v>1</v>
      </c>
      <c r="Q183" s="29" t="s">
        <v>6315</v>
      </c>
      <c r="R183" s="29" t="s">
        <v>6316</v>
      </c>
      <c r="S183" s="29" t="s">
        <v>72</v>
      </c>
      <c r="T183" s="29" t="s">
        <v>72</v>
      </c>
      <c r="U183" s="29" t="s">
        <v>73</v>
      </c>
      <c r="W183" s="29" t="s">
        <v>6317</v>
      </c>
      <c r="X183" s="231" t="str">
        <f>HYPERLINK("https://api.typeform.com/responses/files/02f5950acc28cb1d5f85f123457dbe86562bad520966b53a2630f172170ed026/CV_Game_User_Acquisition_Marketing_Intern___Data_Analysis_Intern__Võ_Nguyễn_Lan_Nhi.pdf")</f>
        <v>https://api.typeform.com/responses/files/02f5950acc28cb1d5f85f123457dbe86562bad520966b53a2630f172170ed026/CV_Game_User_Acquisition_Marketing_Intern___Data_Analysis_Intern__Võ_Nguyễn_Lan_Nhi.pdf</v>
      </c>
      <c r="Y183" s="34">
        <v>46151.175983796296</v>
      </c>
      <c r="Z183" s="29" t="s">
        <v>6318</v>
      </c>
      <c r="AA183" s="6">
        <v>3.0</v>
      </c>
      <c r="AB183" s="6"/>
      <c r="AC183" s="28" t="s">
        <v>6377</v>
      </c>
      <c r="AD183" s="20"/>
      <c r="AE183" s="28" t="s">
        <v>6379</v>
      </c>
      <c r="AF183" s="6" t="str">
        <f t="shared" si="5"/>
        <v>Nhiên</v>
      </c>
    </row>
  </sheetData>
  <conditionalFormatting sqref="C1">
    <cfRule type="expression" dxfId="6" priority="1">
      <formula>COUNTIF(C:C, C1) &gt; 1</formula>
    </cfRule>
  </conditionalFormatting>
  <dataValidations>
    <dataValidation type="list" allowBlank="1" showErrorMessage="1" sqref="AC52 AE2:AE183">
      <formula1>"Test,Chờ test,Test Review,Passed,Failed,Withdraw"</formula1>
    </dataValidation>
    <dataValidation type="custom" allowBlank="1" showDropDown="1" sqref="B2:B183">
      <formula1>OR(NOT(ISERROR(DATEVALUE(B2))), AND(ISNUMBER(B2), LEFT(CELL("format", B2))="D"))</formula1>
    </dataValidation>
    <dataValidation type="custom" allowBlank="1" showDropDown="1" sqref="M2:M183">
      <formula1>OR(NOT(ISERROR(DATEVALUE(M2))), AND(ISNUMBER(M2), LEFT(CELL("format", M2))="D"))</formula1>
    </dataValidation>
    <dataValidation type="custom" allowBlank="1" showDropDown="1" sqref="Y2:Y183">
      <formula1>OR(NOT(ISERROR(DATEVALUE(Y2))), AND(ISNUMBER(Y2), LEFT(CELL("format", Y2))="D"))</formula1>
    </dataValidation>
    <dataValidation type="list" allowBlank="1" showErrorMessage="1" sqref="AC2:AC51 AC53:AC183">
      <formula1>"Failed,Waiting list,Passed"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2"/>
    <row r="13"/>
    <row r="14">
      <c r="G14" s="35"/>
      <c r="H14" s="35"/>
      <c r="I14" s="35"/>
      <c r="J14" s="35"/>
      <c r="K14" s="35"/>
      <c r="L14" s="35"/>
      <c r="M14" s="35"/>
      <c r="N14" s="35"/>
      <c r="O14" s="35"/>
      <c r="P14" s="35"/>
      <c r="Q14" s="35"/>
      <c r="R14" s="35"/>
      <c r="S14" s="35"/>
      <c r="T14" s="35"/>
      <c r="U14" s="35"/>
      <c r="V14" s="35"/>
      <c r="W14" s="35"/>
      <c r="X14" s="35"/>
      <c r="Y14" s="35"/>
      <c r="Z14" s="35"/>
    </row>
    <row r="15"/>
    <row r="16"/>
    <row r="17"/>
    <row r="18"/>
    <row r="19"/>
    <row r="20"/>
  </sheetData>
  <drawing r:id="rId3"/>
</worksheet>
</file>