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hphan/Desktop/Investment Banking/Analysis/"/>
    </mc:Choice>
  </mc:AlternateContent>
  <xr:revisionPtr revIDLastSave="0" documentId="13_ncr:1_{73280A6B-F1C6-934F-BEE0-E199AABE3E43}" xr6:coauthVersionLast="47" xr6:coauthVersionMax="47" xr10:uidLastSave="{00000000-0000-0000-0000-000000000000}"/>
  <bookViews>
    <workbookView xWindow="28800" yWindow="500" windowWidth="38400" windowHeight="21100" xr2:uid="{80B87938-F178-FC47-8043-B4E7C495DB2E}"/>
  </bookViews>
  <sheets>
    <sheet name="Revenue Build Final" sheetId="5" r:id="rId1"/>
    <sheet name="Revenue Build_1 unchanged Unit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6" i="5" l="1"/>
  <c r="C7" i="5"/>
  <c r="C9" i="5"/>
  <c r="C10" i="5"/>
  <c r="C11" i="5"/>
  <c r="C14" i="5"/>
  <c r="C15" i="5"/>
  <c r="L17" i="5"/>
  <c r="M17" i="5" s="1"/>
  <c r="N17" i="5" s="1"/>
  <c r="O17" i="5" s="1"/>
  <c r="P17" i="5" s="1"/>
  <c r="Q17" i="5" s="1"/>
  <c r="R17" i="5" s="1"/>
  <c r="S17" i="5" s="1"/>
  <c r="T17" i="5" s="1"/>
  <c r="V22" i="5" s="1"/>
  <c r="M22" i="5" s="1"/>
  <c r="N22" i="5" s="1"/>
  <c r="O22" i="5" s="1"/>
  <c r="P22" i="5" s="1"/>
  <c r="Q22" i="5" s="1"/>
  <c r="R22" i="5" s="1"/>
  <c r="S22" i="5" s="1"/>
  <c r="O136" i="5"/>
  <c r="O134" i="5" s="1"/>
  <c r="O146" i="5"/>
  <c r="O144" i="5" s="1"/>
  <c r="P146" i="5"/>
  <c r="L136" i="5"/>
  <c r="L134" i="5" s="1"/>
  <c r="K136" i="5"/>
  <c r="K135" i="5" s="1"/>
  <c r="M136" i="5"/>
  <c r="M134" i="5" s="1"/>
  <c r="N136" i="5"/>
  <c r="N134" i="5" s="1"/>
  <c r="P136" i="5"/>
  <c r="T136" i="5"/>
  <c r="T134" i="5" s="1"/>
  <c r="L146" i="5"/>
  <c r="L145" i="5" s="1"/>
  <c r="M146" i="5"/>
  <c r="M145" i="5" s="1"/>
  <c r="N146" i="5"/>
  <c r="N144" i="5" s="1"/>
  <c r="Q146" i="5"/>
  <c r="Q145" i="5" s="1"/>
  <c r="R146" i="5"/>
  <c r="T144" i="5"/>
  <c r="K146" i="5"/>
  <c r="K145" i="5" s="1"/>
  <c r="T106" i="5"/>
  <c r="T104" i="5" s="1"/>
  <c r="K106" i="5"/>
  <c r="K105" i="5" s="1"/>
  <c r="T126" i="5"/>
  <c r="T124" i="5" s="1"/>
  <c r="K126" i="5"/>
  <c r="K125" i="5" s="1"/>
  <c r="L116" i="5"/>
  <c r="L114" i="5" s="1"/>
  <c r="T116" i="5"/>
  <c r="T114" i="5" s="1"/>
  <c r="K116" i="5"/>
  <c r="K115" i="5" s="1"/>
  <c r="T95" i="5"/>
  <c r="T93" i="5" s="1"/>
  <c r="K95" i="5"/>
  <c r="K94" i="5" s="1"/>
  <c r="T78" i="5"/>
  <c r="T76" i="5" s="1"/>
  <c r="T61" i="5"/>
  <c r="T59" i="5" s="1"/>
  <c r="T45" i="5"/>
  <c r="T44" i="5" s="1"/>
  <c r="T29" i="5"/>
  <c r="T27" i="5" s="1"/>
  <c r="T223" i="5"/>
  <c r="M220" i="5"/>
  <c r="M116" i="5" s="1"/>
  <c r="M219" i="5"/>
  <c r="M126" i="5" s="1"/>
  <c r="L219" i="5"/>
  <c r="L126" i="5" s="1"/>
  <c r="L125" i="5" s="1"/>
  <c r="M218" i="5"/>
  <c r="M106" i="5" s="1"/>
  <c r="L218" i="5"/>
  <c r="L106" i="5" s="1"/>
  <c r="L105" i="5" s="1"/>
  <c r="M217" i="5"/>
  <c r="M95" i="5" s="1"/>
  <c r="L217" i="5"/>
  <c r="L95" i="5" s="1"/>
  <c r="L94" i="5" s="1"/>
  <c r="M216" i="5"/>
  <c r="M78" i="5" s="1"/>
  <c r="L216" i="5"/>
  <c r="L78" i="5" s="1"/>
  <c r="K216" i="5"/>
  <c r="K78" i="5" s="1"/>
  <c r="I216" i="5"/>
  <c r="H216" i="5"/>
  <c r="G216" i="5"/>
  <c r="F216" i="5"/>
  <c r="E216" i="5"/>
  <c r="D216" i="5"/>
  <c r="C216" i="5"/>
  <c r="M215" i="5"/>
  <c r="M61" i="5" s="1"/>
  <c r="L215" i="5"/>
  <c r="L61" i="5" s="1"/>
  <c r="L60" i="5" s="1"/>
  <c r="K215" i="5"/>
  <c r="K61" i="5" s="1"/>
  <c r="K60" i="5" s="1"/>
  <c r="F215" i="5"/>
  <c r="E215" i="5"/>
  <c r="D215" i="5"/>
  <c r="C215" i="5"/>
  <c r="M214" i="5"/>
  <c r="M45" i="5" s="1"/>
  <c r="K214" i="5"/>
  <c r="K45" i="5" s="1"/>
  <c r="D214" i="5"/>
  <c r="C214" i="5"/>
  <c r="M213" i="5"/>
  <c r="M29" i="5" s="1"/>
  <c r="L213" i="5"/>
  <c r="L29" i="5" s="1"/>
  <c r="L28" i="5" s="1"/>
  <c r="K213" i="5"/>
  <c r="K29" i="5" s="1"/>
  <c r="O197" i="5"/>
  <c r="N197" i="5"/>
  <c r="M197" i="5"/>
  <c r="L197" i="5"/>
  <c r="K197" i="5"/>
  <c r="T194" i="5"/>
  <c r="S192" i="5"/>
  <c r="Q191" i="5"/>
  <c r="R191" i="5" s="1"/>
  <c r="S191" i="5" s="1"/>
  <c r="T191" i="5" s="1"/>
  <c r="Q190" i="5"/>
  <c r="R190" i="5" s="1"/>
  <c r="S190" i="5" s="1"/>
  <c r="T190" i="5" s="1"/>
  <c r="R189" i="5"/>
  <c r="S189" i="5" s="1"/>
  <c r="T189" i="5" s="1"/>
  <c r="P188" i="5"/>
  <c r="Q188" i="5" s="1"/>
  <c r="R188" i="5" s="1"/>
  <c r="S188" i="5" s="1"/>
  <c r="P187" i="5"/>
  <c r="Q187" i="5" s="1"/>
  <c r="R187" i="5" s="1"/>
  <c r="S187" i="5" s="1"/>
  <c r="P186" i="5"/>
  <c r="P185" i="5"/>
  <c r="Q185" i="5" s="1"/>
  <c r="P174" i="5"/>
  <c r="O174" i="5"/>
  <c r="N174" i="5"/>
  <c r="M174" i="5"/>
  <c r="L174" i="5"/>
  <c r="K174" i="5"/>
  <c r="Q173" i="5"/>
  <c r="Q172" i="5" s="1"/>
  <c r="P172" i="5"/>
  <c r="O172" i="5"/>
  <c r="N172" i="5"/>
  <c r="M172" i="5"/>
  <c r="L172" i="5"/>
  <c r="K172" i="5"/>
  <c r="J171" i="5"/>
  <c r="J172" i="5" s="1"/>
  <c r="J173" i="5" s="1"/>
  <c r="J174" i="5" s="1"/>
  <c r="I171" i="5"/>
  <c r="I172" i="5" s="1"/>
  <c r="I173" i="5" s="1"/>
  <c r="I174" i="5" s="1"/>
  <c r="H171" i="5"/>
  <c r="H172" i="5" s="1"/>
  <c r="H173" i="5" s="1"/>
  <c r="H174" i="5" s="1"/>
  <c r="G171" i="5"/>
  <c r="G172" i="5" s="1"/>
  <c r="G173" i="5" s="1"/>
  <c r="G174" i="5" s="1"/>
  <c r="F171" i="5"/>
  <c r="F172" i="5" s="1"/>
  <c r="F173" i="5" s="1"/>
  <c r="F174" i="5" s="1"/>
  <c r="E171" i="5"/>
  <c r="E172" i="5" s="1"/>
  <c r="E173" i="5" s="1"/>
  <c r="E174" i="5" s="1"/>
  <c r="B171" i="5"/>
  <c r="P168" i="5"/>
  <c r="O168" i="5"/>
  <c r="N168" i="5"/>
  <c r="M168" i="5"/>
  <c r="L168" i="5"/>
  <c r="B168" i="5"/>
  <c r="B174" i="5" s="1"/>
  <c r="Q167" i="5"/>
  <c r="Q166" i="5" s="1"/>
  <c r="B167" i="5"/>
  <c r="B173" i="5" s="1"/>
  <c r="P166" i="5"/>
  <c r="O166" i="5"/>
  <c r="N166" i="5"/>
  <c r="M166" i="5"/>
  <c r="L166" i="5"/>
  <c r="B166" i="5"/>
  <c r="B172" i="5" s="1"/>
  <c r="J165" i="5"/>
  <c r="J166" i="5" s="1"/>
  <c r="J167" i="5" s="1"/>
  <c r="J168" i="5" s="1"/>
  <c r="I165" i="5"/>
  <c r="I166" i="5" s="1"/>
  <c r="I167" i="5" s="1"/>
  <c r="I168" i="5" s="1"/>
  <c r="H165" i="5"/>
  <c r="H166" i="5" s="1"/>
  <c r="H167" i="5" s="1"/>
  <c r="H168" i="5" s="1"/>
  <c r="G165" i="5"/>
  <c r="G166" i="5" s="1"/>
  <c r="G167" i="5" s="1"/>
  <c r="G168" i="5" s="1"/>
  <c r="F165" i="5"/>
  <c r="F166" i="5" s="1"/>
  <c r="F167" i="5" s="1"/>
  <c r="F168" i="5" s="1"/>
  <c r="E165" i="5"/>
  <c r="E166" i="5" s="1"/>
  <c r="E167" i="5" s="1"/>
  <c r="E168" i="5" s="1"/>
  <c r="D165" i="5"/>
  <c r="D166" i="5" s="1"/>
  <c r="D167" i="5" s="1"/>
  <c r="D168" i="5" s="1"/>
  <c r="J152" i="5"/>
  <c r="J153" i="5" s="1"/>
  <c r="J154" i="5" s="1"/>
  <c r="J155" i="5" s="1"/>
  <c r="I152" i="5"/>
  <c r="I153" i="5" s="1"/>
  <c r="I154" i="5" s="1"/>
  <c r="I155" i="5" s="1"/>
  <c r="H152" i="5"/>
  <c r="H153" i="5" s="1"/>
  <c r="H154" i="5" s="1"/>
  <c r="H155" i="5" s="1"/>
  <c r="G152" i="5"/>
  <c r="G153" i="5" s="1"/>
  <c r="G154" i="5" s="1"/>
  <c r="G155" i="5" s="1"/>
  <c r="F152" i="5"/>
  <c r="F153" i="5" s="1"/>
  <c r="F154" i="5" s="1"/>
  <c r="F155" i="5" s="1"/>
  <c r="E152" i="5"/>
  <c r="E153" i="5" s="1"/>
  <c r="E154" i="5" s="1"/>
  <c r="E155" i="5" s="1"/>
  <c r="D152" i="5"/>
  <c r="D153" i="5" s="1"/>
  <c r="D154" i="5" s="1"/>
  <c r="D155" i="5" s="1"/>
  <c r="C152" i="5"/>
  <c r="C153" i="5" s="1"/>
  <c r="C154" i="5" s="1"/>
  <c r="C155" i="5" s="1"/>
  <c r="J88" i="5"/>
  <c r="J77" i="5"/>
  <c r="J216" i="5" s="1"/>
  <c r="J71" i="5"/>
  <c r="I71" i="5"/>
  <c r="H71" i="5"/>
  <c r="G71" i="5"/>
  <c r="J70" i="5"/>
  <c r="K87" i="5" s="1"/>
  <c r="K86" i="5" s="1"/>
  <c r="I70" i="5"/>
  <c r="H70" i="5"/>
  <c r="J60" i="5"/>
  <c r="J215" i="5" s="1"/>
  <c r="I60" i="5"/>
  <c r="H60" i="5"/>
  <c r="H215" i="5" s="1"/>
  <c r="G60" i="5"/>
  <c r="G215" i="5" s="1"/>
  <c r="J59" i="5"/>
  <c r="I59" i="5"/>
  <c r="I61" i="5" s="1"/>
  <c r="H59" i="5"/>
  <c r="G59" i="5"/>
  <c r="G61" i="5" s="1"/>
  <c r="J54" i="5"/>
  <c r="I54" i="5"/>
  <c r="H54" i="5"/>
  <c r="G54" i="5"/>
  <c r="F54" i="5"/>
  <c r="E54" i="5"/>
  <c r="B54" i="5"/>
  <c r="B71" i="5" s="1"/>
  <c r="B88" i="5" s="1"/>
  <c r="B99" i="5" s="1"/>
  <c r="B109" i="5" s="1"/>
  <c r="B119" i="5" s="1"/>
  <c r="B129" i="5" s="1"/>
  <c r="B139" i="5" s="1"/>
  <c r="B149" i="5" s="1"/>
  <c r="J53" i="5"/>
  <c r="I53" i="5"/>
  <c r="H53" i="5"/>
  <c r="G53" i="5"/>
  <c r="F53" i="5"/>
  <c r="B52" i="5"/>
  <c r="B69" i="5" s="1"/>
  <c r="B86" i="5" s="1"/>
  <c r="B97" i="5" s="1"/>
  <c r="B108" i="5" s="1"/>
  <c r="B118" i="5" s="1"/>
  <c r="B128" i="5" s="1"/>
  <c r="B138" i="5" s="1"/>
  <c r="B148" i="5" s="1"/>
  <c r="J44" i="5"/>
  <c r="I44" i="5"/>
  <c r="H44" i="5"/>
  <c r="H214" i="5" s="1"/>
  <c r="G44" i="5"/>
  <c r="F44" i="5"/>
  <c r="F214" i="5" s="1"/>
  <c r="E44" i="5"/>
  <c r="E214" i="5" s="1"/>
  <c r="J43" i="5"/>
  <c r="I43" i="5"/>
  <c r="I45" i="5" s="1"/>
  <c r="H43" i="5"/>
  <c r="H45" i="5" s="1"/>
  <c r="G43" i="5"/>
  <c r="G45" i="5" s="1"/>
  <c r="F43" i="5"/>
  <c r="E43" i="5"/>
  <c r="E45" i="5" s="1"/>
  <c r="B42" i="5"/>
  <c r="B58" i="5" s="1"/>
  <c r="B75" i="5" s="1"/>
  <c r="B92" i="5" s="1"/>
  <c r="B103" i="5" s="1"/>
  <c r="B113" i="5" s="1"/>
  <c r="B123" i="5" s="1"/>
  <c r="B133" i="5" s="1"/>
  <c r="B143" i="5" s="1"/>
  <c r="J38" i="5"/>
  <c r="J160" i="5" s="1"/>
  <c r="I38" i="5"/>
  <c r="H38" i="5"/>
  <c r="G38" i="5"/>
  <c r="G160" i="5" s="1"/>
  <c r="F38" i="5"/>
  <c r="F160" i="5" s="1"/>
  <c r="E38" i="5"/>
  <c r="E160" i="5" s="1"/>
  <c r="D38" i="5"/>
  <c r="D160" i="5" s="1"/>
  <c r="C38" i="5"/>
  <c r="C160" i="5" s="1"/>
  <c r="J37" i="5"/>
  <c r="I37" i="5"/>
  <c r="H37" i="5"/>
  <c r="G37" i="5"/>
  <c r="F37" i="5"/>
  <c r="E37" i="5"/>
  <c r="D37" i="5"/>
  <c r="J29" i="5"/>
  <c r="I29" i="5"/>
  <c r="H29" i="5"/>
  <c r="G29" i="5"/>
  <c r="F29" i="5"/>
  <c r="E29" i="5"/>
  <c r="D29" i="5"/>
  <c r="C29" i="5"/>
  <c r="J28" i="5"/>
  <c r="J213" i="5" s="1"/>
  <c r="I28" i="5"/>
  <c r="I213" i="5" s="1"/>
  <c r="H28" i="5"/>
  <c r="H213" i="5" s="1"/>
  <c r="G28" i="5"/>
  <c r="G213" i="5" s="1"/>
  <c r="F28" i="5"/>
  <c r="F213" i="5" s="1"/>
  <c r="E28" i="5"/>
  <c r="E213" i="5" s="1"/>
  <c r="D28" i="5"/>
  <c r="D213" i="5" s="1"/>
  <c r="C28" i="5"/>
  <c r="C213" i="5" s="1"/>
  <c r="J27" i="5"/>
  <c r="I27" i="5"/>
  <c r="H27" i="5"/>
  <c r="G27" i="5"/>
  <c r="F27" i="5"/>
  <c r="E27" i="5"/>
  <c r="D27" i="5"/>
  <c r="C27" i="5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AB7" i="5"/>
  <c r="X7" i="5"/>
  <c r="T7" i="5"/>
  <c r="P7" i="5"/>
  <c r="I7" i="5"/>
  <c r="V211" i="3"/>
  <c r="V210" i="3"/>
  <c r="S210" i="3" s="1"/>
  <c r="L206" i="3"/>
  <c r="M206" i="3"/>
  <c r="V209" i="3"/>
  <c r="Q209" i="3" s="1"/>
  <c r="R209" i="3" s="1"/>
  <c r="S209" i="3" s="1"/>
  <c r="V201" i="3"/>
  <c r="N201" i="3" s="1"/>
  <c r="O201" i="3" s="1"/>
  <c r="P201" i="3" s="1"/>
  <c r="Q201" i="3" s="1"/>
  <c r="R201" i="3" s="1"/>
  <c r="S201" i="3" s="1"/>
  <c r="V202" i="3"/>
  <c r="V205" i="3"/>
  <c r="O206" i="3"/>
  <c r="N206" i="3"/>
  <c r="M205" i="3"/>
  <c r="M201" i="3"/>
  <c r="L201" i="3"/>
  <c r="M202" i="3"/>
  <c r="M203" i="3"/>
  <c r="N202" i="3"/>
  <c r="O202" i="3" s="1"/>
  <c r="P202" i="3" s="1"/>
  <c r="Q202" i="3" s="1"/>
  <c r="R202" i="3" s="1"/>
  <c r="S202" i="3" s="1"/>
  <c r="L202" i="3"/>
  <c r="K202" i="3"/>
  <c r="M208" i="3"/>
  <c r="P206" i="3"/>
  <c r="Q206" i="3" s="1"/>
  <c r="R206" i="3" s="1"/>
  <c r="S206" i="3" s="1"/>
  <c r="V207" i="3"/>
  <c r="N207" i="3" s="1"/>
  <c r="O207" i="3" s="1"/>
  <c r="P207" i="3" s="1"/>
  <c r="Q207" i="3" s="1"/>
  <c r="R207" i="3" s="1"/>
  <c r="S207" i="3" s="1"/>
  <c r="L203" i="3"/>
  <c r="M204" i="3"/>
  <c r="N204" i="3"/>
  <c r="O204" i="3" s="1"/>
  <c r="P204" i="3" s="1"/>
  <c r="Q204" i="3" s="1"/>
  <c r="R204" i="3" s="1"/>
  <c r="S204" i="3" s="1"/>
  <c r="V204" i="3"/>
  <c r="V208" i="3"/>
  <c r="M207" i="3"/>
  <c r="L207" i="3"/>
  <c r="L205" i="3"/>
  <c r="L204" i="3"/>
  <c r="D202" i="3"/>
  <c r="D203" i="3"/>
  <c r="E203" i="3"/>
  <c r="F203" i="3"/>
  <c r="K203" i="3"/>
  <c r="D204" i="3"/>
  <c r="E204" i="3"/>
  <c r="F204" i="3"/>
  <c r="G204" i="3"/>
  <c r="H204" i="3"/>
  <c r="I204" i="3"/>
  <c r="K204" i="3"/>
  <c r="C204" i="3"/>
  <c r="C202" i="3"/>
  <c r="C203" i="3"/>
  <c r="K201" i="3"/>
  <c r="S192" i="3"/>
  <c r="T194" i="3"/>
  <c r="Q191" i="3"/>
  <c r="R191" i="3" s="1"/>
  <c r="S191" i="3" s="1"/>
  <c r="T191" i="3" s="1"/>
  <c r="Q190" i="3"/>
  <c r="R190" i="3" s="1"/>
  <c r="S190" i="3" s="1"/>
  <c r="T190" i="3" s="1"/>
  <c r="R189" i="3"/>
  <c r="S189" i="3" s="1"/>
  <c r="T189" i="3" s="1"/>
  <c r="P188" i="3"/>
  <c r="Q188" i="3" s="1"/>
  <c r="R188" i="3" s="1"/>
  <c r="S188" i="3" s="1"/>
  <c r="P187" i="3"/>
  <c r="Q187" i="3" s="1"/>
  <c r="R187" i="3" s="1"/>
  <c r="S187" i="3" s="1"/>
  <c r="P186" i="3"/>
  <c r="P185" i="3"/>
  <c r="Q185" i="3" s="1"/>
  <c r="R185" i="3" s="1"/>
  <c r="S185" i="3" s="1"/>
  <c r="T185" i="3" s="1"/>
  <c r="L197" i="3"/>
  <c r="M197" i="3"/>
  <c r="N197" i="3"/>
  <c r="O197" i="3"/>
  <c r="K197" i="3"/>
  <c r="AB7" i="3"/>
  <c r="X7" i="3"/>
  <c r="K165" i="3" s="1"/>
  <c r="K164" i="3" s="1"/>
  <c r="T7" i="3"/>
  <c r="P7" i="3"/>
  <c r="I7" i="3"/>
  <c r="C7" i="3"/>
  <c r="Q173" i="3"/>
  <c r="Q172" i="3" s="1"/>
  <c r="P174" i="3"/>
  <c r="Q167" i="3"/>
  <c r="R167" i="3" s="1"/>
  <c r="S167" i="3" s="1"/>
  <c r="L174" i="3"/>
  <c r="K172" i="3"/>
  <c r="K174" i="3"/>
  <c r="B171" i="3"/>
  <c r="E171" i="3"/>
  <c r="E172" i="3" s="1"/>
  <c r="E173" i="3" s="1"/>
  <c r="E174" i="3" s="1"/>
  <c r="J171" i="3"/>
  <c r="J172" i="3" s="1"/>
  <c r="J173" i="3" s="1"/>
  <c r="J174" i="3" s="1"/>
  <c r="I171" i="3"/>
  <c r="I172" i="3" s="1"/>
  <c r="I173" i="3" s="1"/>
  <c r="I174" i="3" s="1"/>
  <c r="H171" i="3"/>
  <c r="H172" i="3" s="1"/>
  <c r="H173" i="3" s="1"/>
  <c r="H174" i="3" s="1"/>
  <c r="G171" i="3"/>
  <c r="G172" i="3" s="1"/>
  <c r="G173" i="3" s="1"/>
  <c r="G174" i="3" s="1"/>
  <c r="F171" i="3"/>
  <c r="F172" i="3" s="1"/>
  <c r="F173" i="3" s="1"/>
  <c r="F174" i="3" s="1"/>
  <c r="B167" i="3"/>
  <c r="B173" i="3" s="1"/>
  <c r="B168" i="3"/>
  <c r="B174" i="3" s="1"/>
  <c r="B166" i="3"/>
  <c r="B172" i="3" s="1"/>
  <c r="E165" i="3"/>
  <c r="E166" i="3" s="1"/>
  <c r="E167" i="3" s="1"/>
  <c r="E168" i="3" s="1"/>
  <c r="F165" i="3"/>
  <c r="F166" i="3" s="1"/>
  <c r="F167" i="3" s="1"/>
  <c r="F168" i="3" s="1"/>
  <c r="G165" i="3"/>
  <c r="G166" i="3" s="1"/>
  <c r="G167" i="3" s="1"/>
  <c r="G168" i="3" s="1"/>
  <c r="H165" i="3"/>
  <c r="H166" i="3" s="1"/>
  <c r="H167" i="3" s="1"/>
  <c r="H168" i="3" s="1"/>
  <c r="I165" i="3"/>
  <c r="I166" i="3" s="1"/>
  <c r="I167" i="3" s="1"/>
  <c r="I168" i="3" s="1"/>
  <c r="J165" i="3"/>
  <c r="J166" i="3" s="1"/>
  <c r="J167" i="3" s="1"/>
  <c r="J168" i="3" s="1"/>
  <c r="D165" i="3"/>
  <c r="D166" i="3" s="1"/>
  <c r="D167" i="3" s="1"/>
  <c r="D168" i="3" s="1"/>
  <c r="L42" i="3"/>
  <c r="L147" i="3"/>
  <c r="M38" i="3"/>
  <c r="N69" i="3"/>
  <c r="M69" i="3"/>
  <c r="L69" i="3"/>
  <c r="O36" i="3"/>
  <c r="N36" i="3"/>
  <c r="M36" i="3"/>
  <c r="L36" i="3"/>
  <c r="J81" i="3"/>
  <c r="L75" i="3"/>
  <c r="M71" i="3"/>
  <c r="N71" i="3"/>
  <c r="O71" i="3"/>
  <c r="O69" i="3"/>
  <c r="L71" i="3"/>
  <c r="J64" i="3"/>
  <c r="I63" i="3"/>
  <c r="J63" i="3"/>
  <c r="K80" i="3" s="1"/>
  <c r="K79" i="3" s="1"/>
  <c r="H63" i="3"/>
  <c r="D30" i="3"/>
  <c r="M58" i="3"/>
  <c r="M57" i="3" s="1"/>
  <c r="N58" i="3"/>
  <c r="N57" i="3" s="1"/>
  <c r="O58" i="3"/>
  <c r="O57" i="3" s="1"/>
  <c r="L58" i="3"/>
  <c r="L59" i="3" s="1"/>
  <c r="M75" i="3"/>
  <c r="N75" i="3"/>
  <c r="O75" i="3"/>
  <c r="K36" i="3"/>
  <c r="K52" i="3"/>
  <c r="J46" i="3"/>
  <c r="M42" i="3"/>
  <c r="N42" i="3"/>
  <c r="O42" i="3"/>
  <c r="N38" i="3"/>
  <c r="O38" i="3"/>
  <c r="L38" i="3"/>
  <c r="J31" i="3"/>
  <c r="J47" i="3"/>
  <c r="G46" i="3"/>
  <c r="H46" i="3"/>
  <c r="I46" i="3"/>
  <c r="F46" i="3"/>
  <c r="B45" i="3"/>
  <c r="B62" i="3" s="1"/>
  <c r="B47" i="3"/>
  <c r="E47" i="3"/>
  <c r="F47" i="3"/>
  <c r="G47" i="3"/>
  <c r="H47" i="3"/>
  <c r="I47" i="3"/>
  <c r="I53" i="3"/>
  <c r="I203" i="3" s="1"/>
  <c r="H52" i="3"/>
  <c r="H54" i="3" s="1"/>
  <c r="I52" i="3"/>
  <c r="I54" i="3" s="1"/>
  <c r="J52" i="3"/>
  <c r="J54" i="3" s="1"/>
  <c r="G52" i="3"/>
  <c r="G54" i="3" s="1"/>
  <c r="F36" i="3"/>
  <c r="F38" i="3" s="1"/>
  <c r="G36" i="3"/>
  <c r="G38" i="3" s="1"/>
  <c r="H36" i="3"/>
  <c r="H38" i="3" s="1"/>
  <c r="I36" i="3"/>
  <c r="I38" i="3" s="1"/>
  <c r="J36" i="3"/>
  <c r="J38" i="3" s="1"/>
  <c r="E36" i="3"/>
  <c r="E38" i="3" s="1"/>
  <c r="E30" i="3"/>
  <c r="F30" i="3"/>
  <c r="G30" i="3"/>
  <c r="H30" i="3"/>
  <c r="I30" i="3"/>
  <c r="J30" i="3"/>
  <c r="E37" i="3"/>
  <c r="E202" i="3" s="1"/>
  <c r="D20" i="3"/>
  <c r="E20" i="3"/>
  <c r="F20" i="3"/>
  <c r="G20" i="3"/>
  <c r="H20" i="3"/>
  <c r="I20" i="3"/>
  <c r="J20" i="3"/>
  <c r="D21" i="3"/>
  <c r="D201" i="3" s="1"/>
  <c r="E21" i="3"/>
  <c r="E201" i="3" s="1"/>
  <c r="F21" i="3"/>
  <c r="F201" i="3" s="1"/>
  <c r="G21" i="3"/>
  <c r="G201" i="3" s="1"/>
  <c r="G211" i="3" s="1"/>
  <c r="H21" i="3"/>
  <c r="H201" i="3" s="1"/>
  <c r="I21" i="3"/>
  <c r="I201" i="3" s="1"/>
  <c r="J21" i="3"/>
  <c r="K26" i="3" s="1"/>
  <c r="D22" i="3"/>
  <c r="E22" i="3"/>
  <c r="F22" i="3"/>
  <c r="G22" i="3"/>
  <c r="H22" i="3"/>
  <c r="I22" i="3"/>
  <c r="J22" i="3"/>
  <c r="C22" i="3"/>
  <c r="C20" i="3"/>
  <c r="C21" i="3"/>
  <c r="C201" i="3" s="1"/>
  <c r="K20" i="3"/>
  <c r="M26" i="3"/>
  <c r="M25" i="3" s="1"/>
  <c r="L26" i="3"/>
  <c r="L27" i="3" s="1"/>
  <c r="K54" i="3"/>
  <c r="K71" i="3"/>
  <c r="K69" i="3"/>
  <c r="K38" i="3"/>
  <c r="K22" i="3"/>
  <c r="K147" i="3"/>
  <c r="M147" i="3"/>
  <c r="N147" i="3"/>
  <c r="O147" i="3"/>
  <c r="D145" i="3"/>
  <c r="D146" i="3" s="1"/>
  <c r="D147" i="3" s="1"/>
  <c r="D148" i="3" s="1"/>
  <c r="E145" i="3"/>
  <c r="E146" i="3" s="1"/>
  <c r="E147" i="3" s="1"/>
  <c r="E148" i="3" s="1"/>
  <c r="F145" i="3"/>
  <c r="F146" i="3" s="1"/>
  <c r="F147" i="3" s="1"/>
  <c r="F148" i="3" s="1"/>
  <c r="G145" i="3"/>
  <c r="G146" i="3" s="1"/>
  <c r="G147" i="3" s="1"/>
  <c r="G148" i="3" s="1"/>
  <c r="H145" i="3"/>
  <c r="H146" i="3" s="1"/>
  <c r="H147" i="3" s="1"/>
  <c r="H148" i="3" s="1"/>
  <c r="I145" i="3"/>
  <c r="I146" i="3" s="1"/>
  <c r="I147" i="3" s="1"/>
  <c r="I148" i="3" s="1"/>
  <c r="J145" i="3"/>
  <c r="J146" i="3" s="1"/>
  <c r="J147" i="3" s="1"/>
  <c r="J148" i="3" s="1"/>
  <c r="C145" i="3"/>
  <c r="C146" i="3" s="1"/>
  <c r="C147" i="3" s="1"/>
  <c r="C148" i="3" s="1"/>
  <c r="J70" i="3"/>
  <c r="K75" i="3" s="1"/>
  <c r="H53" i="3"/>
  <c r="H203" i="3" s="1"/>
  <c r="J53" i="3"/>
  <c r="K58" i="3" s="1"/>
  <c r="K59" i="3" s="1"/>
  <c r="G53" i="3"/>
  <c r="G203" i="3" s="1"/>
  <c r="N26" i="3"/>
  <c r="N27" i="3" s="1"/>
  <c r="O26" i="3"/>
  <c r="O27" i="3" s="1"/>
  <c r="F37" i="3"/>
  <c r="F202" i="3" s="1"/>
  <c r="G37" i="3"/>
  <c r="G202" i="3" s="1"/>
  <c r="H37" i="3"/>
  <c r="H202" i="3" s="1"/>
  <c r="I37" i="3"/>
  <c r="I202" i="3" s="1"/>
  <c r="J37" i="3"/>
  <c r="K42" i="3" s="1"/>
  <c r="K41" i="3" s="1"/>
  <c r="L14" i="3"/>
  <c r="M14" i="3" s="1"/>
  <c r="N14" i="3" s="1"/>
  <c r="O14" i="3" s="1"/>
  <c r="P14" i="3" s="1"/>
  <c r="Q14" i="3" s="1"/>
  <c r="R14" i="3" s="1"/>
  <c r="S14" i="3" s="1"/>
  <c r="H160" i="5" l="1"/>
  <c r="I160" i="5"/>
  <c r="N133" i="5"/>
  <c r="T133" i="5"/>
  <c r="T139" i="5" s="1"/>
  <c r="T58" i="5"/>
  <c r="L133" i="5"/>
  <c r="T92" i="5"/>
  <c r="T99" i="5" s="1"/>
  <c r="M133" i="5"/>
  <c r="O133" i="5"/>
  <c r="T75" i="5"/>
  <c r="T123" i="5"/>
  <c r="T129" i="5" s="1"/>
  <c r="C13" i="5"/>
  <c r="C8" i="5"/>
  <c r="C16" i="5"/>
  <c r="C12" i="5"/>
  <c r="L65" i="5"/>
  <c r="M83" i="5"/>
  <c r="T28" i="5"/>
  <c r="L83" i="5"/>
  <c r="L77" i="5"/>
  <c r="L104" i="5"/>
  <c r="T145" i="5"/>
  <c r="J32" i="5"/>
  <c r="T43" i="5"/>
  <c r="K65" i="5"/>
  <c r="R145" i="5"/>
  <c r="T60" i="5"/>
  <c r="T94" i="5"/>
  <c r="T125" i="5"/>
  <c r="M28" i="5"/>
  <c r="M33" i="5" s="1"/>
  <c r="M115" i="5"/>
  <c r="L76" i="5"/>
  <c r="L75" i="5" s="1"/>
  <c r="M34" i="5"/>
  <c r="K34" i="5"/>
  <c r="T77" i="5"/>
  <c r="M66" i="5"/>
  <c r="M44" i="5"/>
  <c r="M105" i="5"/>
  <c r="T115" i="5"/>
  <c r="P135" i="5"/>
  <c r="L66" i="5"/>
  <c r="L27" i="5"/>
  <c r="L59" i="5"/>
  <c r="L58" i="5" s="1"/>
  <c r="L93" i="5"/>
  <c r="L92" i="5" s="1"/>
  <c r="L99" i="5" s="1"/>
  <c r="T105" i="5"/>
  <c r="L124" i="5"/>
  <c r="L123" i="5" s="1"/>
  <c r="L129" i="5" s="1"/>
  <c r="T135" i="5"/>
  <c r="L34" i="5"/>
  <c r="M60" i="5"/>
  <c r="M65" i="5" s="1"/>
  <c r="M77" i="5"/>
  <c r="M94" i="5"/>
  <c r="M125" i="5"/>
  <c r="V21" i="5"/>
  <c r="M21" i="5" s="1"/>
  <c r="M27" i="5" s="1"/>
  <c r="K154" i="5"/>
  <c r="O145" i="5"/>
  <c r="M135" i="5"/>
  <c r="M144" i="5"/>
  <c r="K104" i="5"/>
  <c r="K28" i="5"/>
  <c r="K33" i="5" s="1"/>
  <c r="K27" i="5"/>
  <c r="K32" i="5" s="1"/>
  <c r="K44" i="5"/>
  <c r="K49" i="5" s="1"/>
  <c r="K43" i="5"/>
  <c r="K48" i="5" s="1"/>
  <c r="K77" i="5"/>
  <c r="K82" i="5" s="1"/>
  <c r="K76" i="5"/>
  <c r="K75" i="5" s="1"/>
  <c r="K124" i="5"/>
  <c r="K123" i="5" s="1"/>
  <c r="K144" i="5"/>
  <c r="Q144" i="5"/>
  <c r="N145" i="5"/>
  <c r="P144" i="5"/>
  <c r="L144" i="5"/>
  <c r="L135" i="5"/>
  <c r="K59" i="5"/>
  <c r="K64" i="5" s="1"/>
  <c r="K93" i="5"/>
  <c r="K92" i="5" s="1"/>
  <c r="K114" i="5"/>
  <c r="K134" i="5"/>
  <c r="K133" i="5" s="1"/>
  <c r="O135" i="5"/>
  <c r="L115" i="5"/>
  <c r="P145" i="5"/>
  <c r="N135" i="5"/>
  <c r="L214" i="5"/>
  <c r="H223" i="5"/>
  <c r="G48" i="5"/>
  <c r="H49" i="5"/>
  <c r="C223" i="5"/>
  <c r="E32" i="5"/>
  <c r="I32" i="5"/>
  <c r="D223" i="5"/>
  <c r="G34" i="5"/>
  <c r="H50" i="5"/>
  <c r="K223" i="5"/>
  <c r="K225" i="5" s="1"/>
  <c r="K155" i="5"/>
  <c r="H48" i="5"/>
  <c r="D34" i="5"/>
  <c r="H34" i="5"/>
  <c r="I50" i="5"/>
  <c r="H64" i="5"/>
  <c r="F32" i="5"/>
  <c r="G32" i="5"/>
  <c r="E223" i="5"/>
  <c r="E34" i="5"/>
  <c r="I34" i="5"/>
  <c r="J48" i="5"/>
  <c r="J76" i="5"/>
  <c r="J78" i="5" s="1"/>
  <c r="K83" i="5" s="1"/>
  <c r="D32" i="5"/>
  <c r="H32" i="5"/>
  <c r="F223" i="5"/>
  <c r="J64" i="5"/>
  <c r="V221" i="5"/>
  <c r="Q221" i="5" s="1"/>
  <c r="V218" i="5"/>
  <c r="N218" i="5" s="1"/>
  <c r="V215" i="5"/>
  <c r="V213" i="5"/>
  <c r="N213" i="5" s="1"/>
  <c r="N29" i="5" s="1"/>
  <c r="V222" i="5"/>
  <c r="S222" i="5" s="1"/>
  <c r="S146" i="5" s="1"/>
  <c r="V216" i="5"/>
  <c r="N216" i="5" s="1"/>
  <c r="V214" i="5"/>
  <c r="G33" i="5"/>
  <c r="F34" i="5"/>
  <c r="J34" i="5"/>
  <c r="K37" i="5"/>
  <c r="L37" i="5" s="1"/>
  <c r="J214" i="5"/>
  <c r="J223" i="5" s="1"/>
  <c r="J49" i="5"/>
  <c r="I215" i="5"/>
  <c r="I65" i="5"/>
  <c r="D33" i="5"/>
  <c r="H33" i="5"/>
  <c r="G214" i="5"/>
  <c r="G223" i="5" s="1"/>
  <c r="G49" i="5"/>
  <c r="I48" i="5"/>
  <c r="E33" i="5"/>
  <c r="I33" i="5"/>
  <c r="F48" i="5"/>
  <c r="F49" i="5"/>
  <c r="F33" i="5"/>
  <c r="J33" i="5"/>
  <c r="I214" i="5"/>
  <c r="I49" i="5"/>
  <c r="F45" i="5"/>
  <c r="F50" i="5" s="1"/>
  <c r="J45" i="5"/>
  <c r="K53" i="5"/>
  <c r="J61" i="5"/>
  <c r="J66" i="5" s="1"/>
  <c r="I64" i="5"/>
  <c r="H65" i="5"/>
  <c r="K70" i="5"/>
  <c r="L70" i="5" s="1"/>
  <c r="M87" i="5" s="1"/>
  <c r="V219" i="5"/>
  <c r="N219" i="5" s="1"/>
  <c r="Q168" i="5"/>
  <c r="R167" i="5"/>
  <c r="S167" i="5" s="1"/>
  <c r="T167" i="5" s="1"/>
  <c r="V220" i="5"/>
  <c r="N220" i="5" s="1"/>
  <c r="H61" i="5"/>
  <c r="H66" i="5" s="1"/>
  <c r="J65" i="5"/>
  <c r="R185" i="5"/>
  <c r="Q197" i="5"/>
  <c r="R173" i="5"/>
  <c r="Q174" i="5"/>
  <c r="P197" i="5"/>
  <c r="M223" i="5"/>
  <c r="V217" i="5"/>
  <c r="N217" i="5" s="1"/>
  <c r="N205" i="3"/>
  <c r="O205" i="3" s="1"/>
  <c r="P205" i="3" s="1"/>
  <c r="Q205" i="3" s="1"/>
  <c r="R205" i="3" s="1"/>
  <c r="S205" i="3" s="1"/>
  <c r="L211" i="3"/>
  <c r="I211" i="3"/>
  <c r="E211" i="3"/>
  <c r="E212" i="3" s="1"/>
  <c r="K211" i="3"/>
  <c r="F211" i="3"/>
  <c r="C211" i="3"/>
  <c r="H211" i="3"/>
  <c r="H212" i="3" s="1"/>
  <c r="D211" i="3"/>
  <c r="K213" i="3"/>
  <c r="J153" i="3"/>
  <c r="J202" i="3"/>
  <c r="J203" i="3"/>
  <c r="J201" i="3"/>
  <c r="J211" i="3" s="1"/>
  <c r="K46" i="3"/>
  <c r="K45" i="3" s="1"/>
  <c r="J204" i="3"/>
  <c r="Q197" i="3"/>
  <c r="T197" i="3"/>
  <c r="R197" i="3"/>
  <c r="P197" i="3"/>
  <c r="S197" i="3"/>
  <c r="K171" i="3"/>
  <c r="K170" i="3" s="1"/>
  <c r="K19" i="3"/>
  <c r="L68" i="3"/>
  <c r="R173" i="3"/>
  <c r="S173" i="3" s="1"/>
  <c r="T173" i="3" s="1"/>
  <c r="O68" i="3"/>
  <c r="K51" i="3"/>
  <c r="L172" i="3"/>
  <c r="L171" i="3" s="1"/>
  <c r="M174" i="3"/>
  <c r="T167" i="3"/>
  <c r="L166" i="3"/>
  <c r="L168" i="3"/>
  <c r="M74" i="3"/>
  <c r="K63" i="3"/>
  <c r="K62" i="3" s="1"/>
  <c r="P70" i="3"/>
  <c r="M68" i="3"/>
  <c r="N74" i="3"/>
  <c r="M43" i="3"/>
  <c r="K148" i="3"/>
  <c r="P37" i="3"/>
  <c r="K146" i="3"/>
  <c r="L41" i="3"/>
  <c r="M76" i="3"/>
  <c r="O76" i="3"/>
  <c r="L74" i="3"/>
  <c r="O74" i="3"/>
  <c r="N76" i="3"/>
  <c r="N68" i="3"/>
  <c r="K74" i="3"/>
  <c r="K76" i="3"/>
  <c r="L57" i="3"/>
  <c r="L52" i="3" s="1"/>
  <c r="L76" i="3"/>
  <c r="H58" i="3"/>
  <c r="K68" i="3"/>
  <c r="K81" i="3" s="1"/>
  <c r="K30" i="3"/>
  <c r="N59" i="3"/>
  <c r="L25" i="3"/>
  <c r="L20" i="3" s="1"/>
  <c r="M59" i="3"/>
  <c r="J69" i="3"/>
  <c r="J58" i="3"/>
  <c r="L54" i="3"/>
  <c r="O59" i="3"/>
  <c r="H59" i="3"/>
  <c r="K57" i="3"/>
  <c r="I58" i="3"/>
  <c r="J59" i="3"/>
  <c r="I59" i="3"/>
  <c r="I57" i="3"/>
  <c r="H57" i="3"/>
  <c r="J57" i="3"/>
  <c r="O41" i="3"/>
  <c r="O43" i="3"/>
  <c r="M41" i="3"/>
  <c r="L43" i="3"/>
  <c r="P21" i="3"/>
  <c r="N41" i="3"/>
  <c r="N43" i="3"/>
  <c r="G43" i="3"/>
  <c r="F43" i="3"/>
  <c r="F42" i="3"/>
  <c r="J27" i="3"/>
  <c r="F27" i="3"/>
  <c r="D25" i="3"/>
  <c r="I43" i="3"/>
  <c r="I42" i="3"/>
  <c r="I27" i="3"/>
  <c r="E27" i="3"/>
  <c r="G25" i="3"/>
  <c r="H43" i="3"/>
  <c r="H42" i="3"/>
  <c r="H27" i="3"/>
  <c r="D27" i="3"/>
  <c r="J25" i="3"/>
  <c r="F25" i="3"/>
  <c r="G41" i="3"/>
  <c r="G42" i="3"/>
  <c r="G27" i="3"/>
  <c r="I25" i="3"/>
  <c r="E25" i="3"/>
  <c r="J43" i="3"/>
  <c r="H25" i="3"/>
  <c r="H41" i="3"/>
  <c r="I41" i="3"/>
  <c r="F41" i="3"/>
  <c r="J41" i="3"/>
  <c r="N25" i="3"/>
  <c r="M27" i="3"/>
  <c r="J42" i="3"/>
  <c r="K43" i="3"/>
  <c r="D26" i="3"/>
  <c r="L22" i="3"/>
  <c r="O25" i="3"/>
  <c r="K25" i="3"/>
  <c r="K27" i="3"/>
  <c r="H26" i="3"/>
  <c r="F26" i="3"/>
  <c r="P53" i="3"/>
  <c r="I26" i="3"/>
  <c r="E26" i="3"/>
  <c r="J26" i="3"/>
  <c r="G26" i="3"/>
  <c r="B79" i="3"/>
  <c r="B90" i="3" s="1"/>
  <c r="B101" i="3" s="1"/>
  <c r="B111" i="3" s="1"/>
  <c r="B121" i="3" s="1"/>
  <c r="B131" i="3" s="1"/>
  <c r="B141" i="3" s="1"/>
  <c r="B64" i="3"/>
  <c r="B35" i="3"/>
  <c r="B51" i="3" s="1"/>
  <c r="B68" i="3" s="1"/>
  <c r="B85" i="3" s="1"/>
  <c r="B96" i="3" s="1"/>
  <c r="B106" i="3" s="1"/>
  <c r="B116" i="3" s="1"/>
  <c r="B126" i="3" s="1"/>
  <c r="B136" i="3" s="1"/>
  <c r="I64" i="3"/>
  <c r="H64" i="3"/>
  <c r="G64" i="3"/>
  <c r="D31" i="3"/>
  <c r="D153" i="3" s="1"/>
  <c r="E31" i="3"/>
  <c r="F31" i="3"/>
  <c r="F153" i="3" s="1"/>
  <c r="G31" i="3"/>
  <c r="H31" i="3"/>
  <c r="I31" i="3"/>
  <c r="C31" i="3"/>
  <c r="C153" i="3" s="1"/>
  <c r="T14" i="3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K58" i="5" l="1"/>
  <c r="K26" i="5"/>
  <c r="L113" i="5"/>
  <c r="T113" i="5"/>
  <c r="T119" i="5" s="1"/>
  <c r="K113" i="5"/>
  <c r="L103" i="5"/>
  <c r="L109" i="5" s="1"/>
  <c r="T103" i="5"/>
  <c r="T109" i="5" s="1"/>
  <c r="K103" i="5"/>
  <c r="L143" i="5"/>
  <c r="P143" i="5"/>
  <c r="T143" i="5"/>
  <c r="T149" i="5" s="1"/>
  <c r="M143" i="5"/>
  <c r="Q143" i="5"/>
  <c r="K143" i="5"/>
  <c r="N143" i="5"/>
  <c r="O143" i="5"/>
  <c r="T42" i="5"/>
  <c r="K42" i="5"/>
  <c r="M32" i="5"/>
  <c r="M82" i="5"/>
  <c r="M154" i="5"/>
  <c r="L33" i="5"/>
  <c r="M76" i="5"/>
  <c r="M124" i="5"/>
  <c r="M123" i="5" s="1"/>
  <c r="M129" i="5" s="1"/>
  <c r="K81" i="5"/>
  <c r="M93" i="5"/>
  <c r="M92" i="5" s="1"/>
  <c r="M99" i="5" s="1"/>
  <c r="L82" i="5"/>
  <c r="M114" i="5"/>
  <c r="M113" i="5" s="1"/>
  <c r="M119" i="5" s="1"/>
  <c r="L81" i="5"/>
  <c r="K66" i="5"/>
  <c r="L64" i="5"/>
  <c r="J50" i="5"/>
  <c r="K50" i="5"/>
  <c r="S145" i="5"/>
  <c r="N28" i="5"/>
  <c r="N33" i="5" s="1"/>
  <c r="N34" i="5"/>
  <c r="N21" i="5"/>
  <c r="O21" i="5" s="1"/>
  <c r="P21" i="5" s="1"/>
  <c r="M43" i="5"/>
  <c r="M42" i="5" s="1"/>
  <c r="L32" i="5"/>
  <c r="M59" i="5"/>
  <c r="M104" i="5"/>
  <c r="M103" i="5" s="1"/>
  <c r="M109" i="5" s="1"/>
  <c r="L154" i="5"/>
  <c r="K153" i="5"/>
  <c r="K156" i="5"/>
  <c r="L223" i="5"/>
  <c r="L225" i="5" s="1"/>
  <c r="L45" i="5"/>
  <c r="O217" i="5"/>
  <c r="N95" i="5"/>
  <c r="O220" i="5"/>
  <c r="N116" i="5"/>
  <c r="R221" i="5"/>
  <c r="Q136" i="5"/>
  <c r="N78" i="5"/>
  <c r="N83" i="5" s="1"/>
  <c r="O216" i="5"/>
  <c r="O78" i="5" s="1"/>
  <c r="O218" i="5"/>
  <c r="N106" i="5"/>
  <c r="O219" i="5"/>
  <c r="N126" i="5"/>
  <c r="N214" i="5"/>
  <c r="D224" i="5"/>
  <c r="L224" i="5"/>
  <c r="I223" i="5"/>
  <c r="I224" i="5" s="1"/>
  <c r="V223" i="5"/>
  <c r="E224" i="5"/>
  <c r="G224" i="5"/>
  <c r="H224" i="5"/>
  <c r="M70" i="5"/>
  <c r="N87" i="5" s="1"/>
  <c r="F224" i="5"/>
  <c r="K224" i="5"/>
  <c r="M155" i="5"/>
  <c r="M156" i="5" s="1"/>
  <c r="R168" i="5"/>
  <c r="R166" i="5"/>
  <c r="G50" i="5"/>
  <c r="O213" i="5"/>
  <c r="O29" i="5" s="1"/>
  <c r="R174" i="5"/>
  <c r="R172" i="5"/>
  <c r="S173" i="5"/>
  <c r="T173" i="5" s="1"/>
  <c r="S185" i="5"/>
  <c r="R197" i="5"/>
  <c r="I66" i="5"/>
  <c r="N215" i="5"/>
  <c r="M225" i="5"/>
  <c r="T168" i="5"/>
  <c r="T166" i="5"/>
  <c r="S166" i="5"/>
  <c r="S168" i="5"/>
  <c r="K36" i="5"/>
  <c r="L36" i="5" s="1"/>
  <c r="M37" i="5"/>
  <c r="K69" i="5"/>
  <c r="L69" i="5" s="1"/>
  <c r="L87" i="5"/>
  <c r="L86" i="5" s="1"/>
  <c r="M86" i="5" s="1"/>
  <c r="K52" i="5"/>
  <c r="L53" i="5"/>
  <c r="J212" i="3"/>
  <c r="L212" i="3"/>
  <c r="L213" i="3"/>
  <c r="F212" i="3"/>
  <c r="I212" i="3"/>
  <c r="D212" i="3"/>
  <c r="K212" i="3"/>
  <c r="G212" i="3"/>
  <c r="L63" i="3"/>
  <c r="M80" i="3" s="1"/>
  <c r="P58" i="3"/>
  <c r="P59" i="3" s="1"/>
  <c r="P26" i="3"/>
  <c r="P36" i="3"/>
  <c r="P41" i="3" s="1"/>
  <c r="P75" i="3"/>
  <c r="Q70" i="3" s="1"/>
  <c r="L170" i="3"/>
  <c r="L165" i="3"/>
  <c r="L164" i="3" s="1"/>
  <c r="M172" i="3"/>
  <c r="M171" i="3" s="1"/>
  <c r="N166" i="3"/>
  <c r="M166" i="3"/>
  <c r="N168" i="3"/>
  <c r="M168" i="3"/>
  <c r="O166" i="3"/>
  <c r="O168" i="3"/>
  <c r="L80" i="3"/>
  <c r="L79" i="3" s="1"/>
  <c r="L81" i="3" s="1"/>
  <c r="P71" i="3"/>
  <c r="P76" i="3" s="1"/>
  <c r="L148" i="3"/>
  <c r="L19" i="3"/>
  <c r="L146" i="3"/>
  <c r="K29" i="3"/>
  <c r="K31" i="3" s="1"/>
  <c r="B81" i="3"/>
  <c r="B92" i="3" s="1"/>
  <c r="B102" i="3" s="1"/>
  <c r="B112" i="3" s="1"/>
  <c r="B122" i="3" s="1"/>
  <c r="B132" i="3" s="1"/>
  <c r="B142" i="3" s="1"/>
  <c r="P69" i="3"/>
  <c r="L30" i="3"/>
  <c r="L46" i="3"/>
  <c r="M46" i="3" s="1"/>
  <c r="K64" i="3"/>
  <c r="J71" i="3"/>
  <c r="M54" i="3"/>
  <c r="N54" i="3" s="1"/>
  <c r="O54" i="3" s="1"/>
  <c r="M52" i="3"/>
  <c r="L51" i="3"/>
  <c r="P57" i="3"/>
  <c r="P38" i="3"/>
  <c r="P43" i="3" s="1"/>
  <c r="P42" i="3"/>
  <c r="Q37" i="3" s="1"/>
  <c r="M20" i="3"/>
  <c r="M22" i="3"/>
  <c r="H153" i="3"/>
  <c r="E153" i="3"/>
  <c r="I153" i="3"/>
  <c r="G153" i="3"/>
  <c r="M64" i="5" l="1"/>
  <c r="M58" i="5"/>
  <c r="M81" i="5"/>
  <c r="M75" i="5"/>
  <c r="O83" i="5"/>
  <c r="N76" i="5"/>
  <c r="N77" i="5"/>
  <c r="N82" i="5" s="1"/>
  <c r="N104" i="5"/>
  <c r="N103" i="5" s="1"/>
  <c r="N109" i="5" s="1"/>
  <c r="N105" i="5"/>
  <c r="Q135" i="5"/>
  <c r="N93" i="5"/>
  <c r="N92" i="5" s="1"/>
  <c r="N99" i="5" s="1"/>
  <c r="N94" i="5"/>
  <c r="Q21" i="5"/>
  <c r="R21" i="5" s="1"/>
  <c r="P134" i="5"/>
  <c r="P133" i="5" s="1"/>
  <c r="P139" i="5" s="1"/>
  <c r="O34" i="5"/>
  <c r="O28" i="5"/>
  <c r="O33" i="5" s="1"/>
  <c r="O27" i="5"/>
  <c r="N124" i="5"/>
  <c r="N123" i="5" s="1"/>
  <c r="N129" i="5" s="1"/>
  <c r="N125" i="5"/>
  <c r="O76" i="5"/>
  <c r="O75" i="5" s="1"/>
  <c r="O77" i="5"/>
  <c r="N115" i="5"/>
  <c r="N114" i="5"/>
  <c r="N113" i="5" s="1"/>
  <c r="N119" i="5" s="1"/>
  <c r="L44" i="5"/>
  <c r="L50" i="5"/>
  <c r="L43" i="5"/>
  <c r="M50" i="5"/>
  <c r="N27" i="5"/>
  <c r="N32" i="5" s="1"/>
  <c r="P216" i="5"/>
  <c r="P78" i="5" s="1"/>
  <c r="P83" i="5" s="1"/>
  <c r="M224" i="5"/>
  <c r="N45" i="5"/>
  <c r="O214" i="5"/>
  <c r="O45" i="5" s="1"/>
  <c r="P218" i="5"/>
  <c r="O106" i="5"/>
  <c r="N223" i="5"/>
  <c r="N225" i="5" s="1"/>
  <c r="N61" i="5"/>
  <c r="O215" i="5"/>
  <c r="S221" i="5"/>
  <c r="S136" i="5" s="1"/>
  <c r="R136" i="5"/>
  <c r="P217" i="5"/>
  <c r="O95" i="5"/>
  <c r="P219" i="5"/>
  <c r="O126" i="5"/>
  <c r="L155" i="5"/>
  <c r="L156" i="5" s="1"/>
  <c r="Q216" i="5"/>
  <c r="P220" i="5"/>
  <c r="O116" i="5"/>
  <c r="J224" i="5"/>
  <c r="N86" i="5"/>
  <c r="M69" i="5"/>
  <c r="L52" i="5"/>
  <c r="T174" i="5"/>
  <c r="T172" i="5"/>
  <c r="M36" i="5"/>
  <c r="S197" i="5"/>
  <c r="T185" i="5"/>
  <c r="T197" i="5" s="1"/>
  <c r="T225" i="5" s="1"/>
  <c r="M53" i="5"/>
  <c r="S174" i="5"/>
  <c r="S172" i="5"/>
  <c r="P213" i="5"/>
  <c r="P29" i="5" s="1"/>
  <c r="N37" i="5"/>
  <c r="N70" i="5"/>
  <c r="O87" i="5" s="1"/>
  <c r="M63" i="3"/>
  <c r="N80" i="3" s="1"/>
  <c r="Q53" i="3"/>
  <c r="L62" i="3"/>
  <c r="M62" i="3" s="1"/>
  <c r="Q38" i="3"/>
  <c r="Q43" i="3" s="1"/>
  <c r="M170" i="3"/>
  <c r="N165" i="3"/>
  <c r="M165" i="3"/>
  <c r="M164" i="3" s="1"/>
  <c r="O165" i="3"/>
  <c r="N172" i="3"/>
  <c r="N174" i="3"/>
  <c r="P166" i="3"/>
  <c r="P168" i="3"/>
  <c r="M79" i="3"/>
  <c r="M81" i="3" s="1"/>
  <c r="M146" i="3"/>
  <c r="N22" i="3"/>
  <c r="M148" i="3"/>
  <c r="P68" i="3"/>
  <c r="P74" i="3"/>
  <c r="Q75" i="3"/>
  <c r="R70" i="3" s="1"/>
  <c r="P54" i="3"/>
  <c r="M30" i="3"/>
  <c r="N63" i="3" s="1"/>
  <c r="O80" i="3" s="1"/>
  <c r="L29" i="3"/>
  <c r="N52" i="3"/>
  <c r="O52" i="3" s="1"/>
  <c r="M51" i="3"/>
  <c r="Q42" i="3"/>
  <c r="R37" i="3" s="1"/>
  <c r="N46" i="3"/>
  <c r="O46" i="3" s="1"/>
  <c r="Q36" i="3"/>
  <c r="Q41" i="3" s="1"/>
  <c r="N20" i="3"/>
  <c r="M19" i="3"/>
  <c r="L48" i="5" l="1"/>
  <c r="L42" i="5"/>
  <c r="N81" i="5"/>
  <c r="N75" i="5"/>
  <c r="O81" i="5"/>
  <c r="O82" i="5"/>
  <c r="M48" i="5"/>
  <c r="N224" i="5"/>
  <c r="N66" i="5"/>
  <c r="N59" i="5"/>
  <c r="N60" i="5"/>
  <c r="N65" i="5" s="1"/>
  <c r="S135" i="5"/>
  <c r="O104" i="5"/>
  <c r="O103" i="5" s="1"/>
  <c r="O109" i="5" s="1"/>
  <c r="O105" i="5"/>
  <c r="O32" i="5"/>
  <c r="S21" i="5"/>
  <c r="S144" i="5" s="1"/>
  <c r="S143" i="5" s="1"/>
  <c r="S149" i="5" s="1"/>
  <c r="R144" i="5"/>
  <c r="R143" i="5" s="1"/>
  <c r="R149" i="5" s="1"/>
  <c r="Q134" i="5"/>
  <c r="Q133" i="5" s="1"/>
  <c r="Q139" i="5" s="1"/>
  <c r="O44" i="5"/>
  <c r="O43" i="5"/>
  <c r="O42" i="5" s="1"/>
  <c r="O50" i="5"/>
  <c r="L49" i="5"/>
  <c r="M49" i="5"/>
  <c r="P27" i="5"/>
  <c r="P32" i="5" s="1"/>
  <c r="P34" i="5"/>
  <c r="P28" i="5"/>
  <c r="P33" i="5" s="1"/>
  <c r="O114" i="5"/>
  <c r="O113" i="5" s="1"/>
  <c r="O119" i="5" s="1"/>
  <c r="O115" i="5"/>
  <c r="O124" i="5"/>
  <c r="O123" i="5" s="1"/>
  <c r="O129" i="5" s="1"/>
  <c r="O125" i="5"/>
  <c r="R134" i="5"/>
  <c r="R133" i="5" s="1"/>
  <c r="R139" i="5" s="1"/>
  <c r="R135" i="5"/>
  <c r="N43" i="5"/>
  <c r="N50" i="5"/>
  <c r="N44" i="5"/>
  <c r="N49" i="5" s="1"/>
  <c r="O93" i="5"/>
  <c r="O92" i="5" s="1"/>
  <c r="O99" i="5" s="1"/>
  <c r="O94" i="5"/>
  <c r="P76" i="5"/>
  <c r="P77" i="5"/>
  <c r="P82" i="5" s="1"/>
  <c r="N154" i="5"/>
  <c r="L153" i="5"/>
  <c r="N155" i="5"/>
  <c r="N156" i="5" s="1"/>
  <c r="P214" i="5"/>
  <c r="Q214" i="5" s="1"/>
  <c r="Q217" i="5"/>
  <c r="P95" i="5"/>
  <c r="P215" i="5"/>
  <c r="O61" i="5"/>
  <c r="Q218" i="5"/>
  <c r="P106" i="5"/>
  <c r="Q220" i="5"/>
  <c r="P116" i="5"/>
  <c r="O223" i="5"/>
  <c r="O224" i="5" s="1"/>
  <c r="Q219" i="5"/>
  <c r="P126" i="5"/>
  <c r="R216" i="5"/>
  <c r="Q78" i="5"/>
  <c r="Q83" i="5" s="1"/>
  <c r="O86" i="5"/>
  <c r="M52" i="5"/>
  <c r="N69" i="5"/>
  <c r="Q213" i="5"/>
  <c r="Q29" i="5" s="1"/>
  <c r="O70" i="5"/>
  <c r="P87" i="5" s="1"/>
  <c r="N53" i="5"/>
  <c r="O37" i="5"/>
  <c r="P70" i="5" s="1"/>
  <c r="Q87" i="5" s="1"/>
  <c r="N36" i="5"/>
  <c r="L64" i="3"/>
  <c r="Q58" i="3"/>
  <c r="R53" i="3" s="1"/>
  <c r="Q59" i="3"/>
  <c r="Q54" i="3" s="1"/>
  <c r="Q57" i="3"/>
  <c r="R75" i="3"/>
  <c r="S70" i="3" s="1"/>
  <c r="R58" i="3"/>
  <c r="R57" i="3" s="1"/>
  <c r="R42" i="3"/>
  <c r="S37" i="3" s="1"/>
  <c r="P165" i="3"/>
  <c r="N164" i="3"/>
  <c r="O164" i="3" s="1"/>
  <c r="N171" i="3"/>
  <c r="N170" i="3" s="1"/>
  <c r="O174" i="3"/>
  <c r="O172" i="3"/>
  <c r="Q166" i="3"/>
  <c r="Q168" i="3"/>
  <c r="N146" i="3"/>
  <c r="N30" i="3"/>
  <c r="N62" i="3"/>
  <c r="O22" i="3"/>
  <c r="O148" i="3" s="1"/>
  <c r="N148" i="3"/>
  <c r="Q71" i="3"/>
  <c r="Q76" i="3" s="1"/>
  <c r="Q69" i="3"/>
  <c r="M64" i="3"/>
  <c r="M29" i="3"/>
  <c r="M31" i="3" s="1"/>
  <c r="N51" i="3"/>
  <c r="L31" i="3"/>
  <c r="R38" i="3"/>
  <c r="R43" i="3" s="1"/>
  <c r="R36" i="3"/>
  <c r="R41" i="3" s="1"/>
  <c r="O20" i="3"/>
  <c r="N19" i="3"/>
  <c r="P81" i="5" l="1"/>
  <c r="P75" i="5"/>
  <c r="N64" i="5"/>
  <c r="N58" i="5"/>
  <c r="N48" i="5"/>
  <c r="N42" i="5"/>
  <c r="S134" i="5"/>
  <c r="S133" i="5" s="1"/>
  <c r="S139" i="5" s="1"/>
  <c r="P115" i="5"/>
  <c r="P114" i="5"/>
  <c r="P113" i="5" s="1"/>
  <c r="P119" i="5" s="1"/>
  <c r="O155" i="5"/>
  <c r="O156" i="5" s="1"/>
  <c r="O66" i="5"/>
  <c r="O59" i="5"/>
  <c r="O60" i="5"/>
  <c r="O65" i="5" s="1"/>
  <c r="P124" i="5"/>
  <c r="P123" i="5" s="1"/>
  <c r="P129" i="5" s="1"/>
  <c r="P125" i="5"/>
  <c r="Q28" i="5"/>
  <c r="Q33" i="5" s="1"/>
  <c r="Q27" i="5"/>
  <c r="Q32" i="5" s="1"/>
  <c r="Q34" i="5"/>
  <c r="P104" i="5"/>
  <c r="P103" i="5" s="1"/>
  <c r="P109" i="5" s="1"/>
  <c r="P105" i="5"/>
  <c r="P93" i="5"/>
  <c r="P92" i="5" s="1"/>
  <c r="P99" i="5" s="1"/>
  <c r="P94" i="5"/>
  <c r="O48" i="5"/>
  <c r="Q76" i="5"/>
  <c r="Q77" i="5"/>
  <c r="Q82" i="5" s="1"/>
  <c r="O154" i="5"/>
  <c r="O49" i="5"/>
  <c r="P45" i="5"/>
  <c r="P223" i="5"/>
  <c r="P225" i="5" s="1"/>
  <c r="O225" i="5"/>
  <c r="S216" i="5"/>
  <c r="S78" i="5" s="1"/>
  <c r="R78" i="5"/>
  <c r="R83" i="5" s="1"/>
  <c r="R218" i="5"/>
  <c r="Q106" i="5"/>
  <c r="R217" i="5"/>
  <c r="Q95" i="5"/>
  <c r="R214" i="5"/>
  <c r="Q45" i="5"/>
  <c r="R219" i="5"/>
  <c r="Q126" i="5"/>
  <c r="Q215" i="5"/>
  <c r="Q223" i="5" s="1"/>
  <c r="P61" i="5"/>
  <c r="R220" i="5"/>
  <c r="Q116" i="5"/>
  <c r="P86" i="5"/>
  <c r="Q86" i="5" s="1"/>
  <c r="O36" i="5"/>
  <c r="N52" i="5"/>
  <c r="R213" i="5"/>
  <c r="R29" i="5" s="1"/>
  <c r="P37" i="5"/>
  <c r="O69" i="5"/>
  <c r="P69" i="5" s="1"/>
  <c r="O53" i="5"/>
  <c r="S53" i="3"/>
  <c r="S42" i="3"/>
  <c r="T37" i="3" s="1"/>
  <c r="R59" i="3"/>
  <c r="S58" i="3"/>
  <c r="S57" i="3" s="1"/>
  <c r="O171" i="3"/>
  <c r="O170" i="3" s="1"/>
  <c r="P164" i="3"/>
  <c r="Q165" i="3"/>
  <c r="P172" i="3"/>
  <c r="P171" i="3" s="1"/>
  <c r="R168" i="3"/>
  <c r="R166" i="3"/>
  <c r="N64" i="3"/>
  <c r="O63" i="3"/>
  <c r="P80" i="3" s="1"/>
  <c r="O19" i="3"/>
  <c r="O146" i="3"/>
  <c r="O30" i="3"/>
  <c r="P63" i="3" s="1"/>
  <c r="Q80" i="3" s="1"/>
  <c r="R54" i="3"/>
  <c r="R71" i="3"/>
  <c r="R76" i="3" s="1"/>
  <c r="R69" i="3"/>
  <c r="Q68" i="3"/>
  <c r="Q74" i="3"/>
  <c r="N29" i="3"/>
  <c r="P52" i="3"/>
  <c r="O51" i="3"/>
  <c r="S59" i="3"/>
  <c r="P46" i="3"/>
  <c r="S36" i="3"/>
  <c r="S41" i="3" s="1"/>
  <c r="S38" i="3"/>
  <c r="S43" i="3" s="1"/>
  <c r="P147" i="3"/>
  <c r="Q81" i="5" l="1"/>
  <c r="Q75" i="5"/>
  <c r="O64" i="5"/>
  <c r="O58" i="5"/>
  <c r="T83" i="5"/>
  <c r="S83" i="5"/>
  <c r="R28" i="5"/>
  <c r="R33" i="5" s="1"/>
  <c r="R27" i="5"/>
  <c r="R32" i="5" s="1"/>
  <c r="R34" i="5"/>
  <c r="S76" i="5"/>
  <c r="S75" i="5" s="1"/>
  <c r="S77" i="5"/>
  <c r="P44" i="5"/>
  <c r="P49" i="5" s="1"/>
  <c r="P43" i="5"/>
  <c r="P50" i="5"/>
  <c r="Q115" i="5"/>
  <c r="Q114" i="5"/>
  <c r="Q113" i="5" s="1"/>
  <c r="Q119" i="5" s="1"/>
  <c r="Q124" i="5"/>
  <c r="Q123" i="5" s="1"/>
  <c r="Q129" i="5" s="1"/>
  <c r="Q125" i="5"/>
  <c r="Q93" i="5"/>
  <c r="Q92" i="5" s="1"/>
  <c r="Q99" i="5" s="1"/>
  <c r="Q94" i="5"/>
  <c r="R76" i="5"/>
  <c r="R77" i="5"/>
  <c r="R82" i="5" s="1"/>
  <c r="P154" i="5"/>
  <c r="P155" i="5"/>
  <c r="P156" i="5" s="1"/>
  <c r="P66" i="5"/>
  <c r="P59" i="5"/>
  <c r="P60" i="5"/>
  <c r="P65" i="5" s="1"/>
  <c r="Q50" i="5"/>
  <c r="Q44" i="5"/>
  <c r="Q43" i="5"/>
  <c r="Q42" i="5" s="1"/>
  <c r="Q104" i="5"/>
  <c r="Q103" i="5" s="1"/>
  <c r="Q109" i="5" s="1"/>
  <c r="Q105" i="5"/>
  <c r="P224" i="5"/>
  <c r="S214" i="5"/>
  <c r="S45" i="5" s="1"/>
  <c r="R45" i="5"/>
  <c r="S218" i="5"/>
  <c r="S106" i="5" s="1"/>
  <c r="R106" i="5"/>
  <c r="R215" i="5"/>
  <c r="R223" i="5" s="1"/>
  <c r="Q61" i="5"/>
  <c r="S220" i="5"/>
  <c r="S116" i="5" s="1"/>
  <c r="R116" i="5"/>
  <c r="S219" i="5"/>
  <c r="S126" i="5" s="1"/>
  <c r="R126" i="5"/>
  <c r="S217" i="5"/>
  <c r="S95" i="5" s="1"/>
  <c r="R95" i="5"/>
  <c r="P53" i="5"/>
  <c r="Q53" i="5" s="1"/>
  <c r="Q37" i="5"/>
  <c r="Q70" i="5"/>
  <c r="R87" i="5" s="1"/>
  <c r="R86" i="5" s="1"/>
  <c r="S213" i="5"/>
  <c r="S29" i="5" s="1"/>
  <c r="Q224" i="5"/>
  <c r="Q225" i="5"/>
  <c r="O52" i="5"/>
  <c r="P36" i="5"/>
  <c r="T36" i="3"/>
  <c r="T41" i="3" s="1"/>
  <c r="T53" i="3"/>
  <c r="T42" i="3"/>
  <c r="Q164" i="3"/>
  <c r="P170" i="3"/>
  <c r="R165" i="3"/>
  <c r="Q174" i="3"/>
  <c r="Q171" i="3" s="1"/>
  <c r="S166" i="3"/>
  <c r="S168" i="3"/>
  <c r="O29" i="3"/>
  <c r="O31" i="3" s="1"/>
  <c r="N31" i="3"/>
  <c r="O62" i="3"/>
  <c r="P62" i="3" s="1"/>
  <c r="P30" i="3"/>
  <c r="Q63" i="3" s="1"/>
  <c r="S54" i="3"/>
  <c r="Q46" i="3"/>
  <c r="R46" i="3" s="1"/>
  <c r="S46" i="3" s="1"/>
  <c r="T46" i="3" s="1"/>
  <c r="R74" i="3"/>
  <c r="R68" i="3"/>
  <c r="S71" i="3"/>
  <c r="S76" i="3" s="1"/>
  <c r="S69" i="3"/>
  <c r="S75" i="3"/>
  <c r="T70" i="3" s="1"/>
  <c r="Q52" i="3"/>
  <c r="P51" i="3"/>
  <c r="T38" i="3"/>
  <c r="Q21" i="3"/>
  <c r="P64" i="5" l="1"/>
  <c r="P58" i="5"/>
  <c r="R81" i="5"/>
  <c r="R75" i="5"/>
  <c r="P48" i="5"/>
  <c r="P42" i="5"/>
  <c r="Q48" i="5"/>
  <c r="S82" i="5"/>
  <c r="T82" i="5"/>
  <c r="S81" i="5"/>
  <c r="T81" i="5"/>
  <c r="P153" i="5"/>
  <c r="Q154" i="5"/>
  <c r="S34" i="5"/>
  <c r="S28" i="5"/>
  <c r="S27" i="5"/>
  <c r="T34" i="5"/>
  <c r="S93" i="5"/>
  <c r="S92" i="5" s="1"/>
  <c r="S99" i="5" s="1"/>
  <c r="S94" i="5"/>
  <c r="S104" i="5"/>
  <c r="S103" i="5" s="1"/>
  <c r="S109" i="5" s="1"/>
  <c r="S105" i="5"/>
  <c r="R124" i="5"/>
  <c r="R123" i="5" s="1"/>
  <c r="R129" i="5" s="1"/>
  <c r="R125" i="5"/>
  <c r="R43" i="5"/>
  <c r="R50" i="5"/>
  <c r="R44" i="5"/>
  <c r="R49" i="5" s="1"/>
  <c r="S124" i="5"/>
  <c r="S123" i="5" s="1"/>
  <c r="S129" i="5" s="1"/>
  <c r="S125" i="5"/>
  <c r="S44" i="5"/>
  <c r="S43" i="5"/>
  <c r="S42" i="5" s="1"/>
  <c r="S50" i="5"/>
  <c r="T50" i="5"/>
  <c r="S114" i="5"/>
  <c r="S113" i="5" s="1"/>
  <c r="S119" i="5" s="1"/>
  <c r="S115" i="5"/>
  <c r="Q155" i="5"/>
  <c r="Q156" i="5" s="1"/>
  <c r="Q59" i="5"/>
  <c r="Q60" i="5"/>
  <c r="Q65" i="5" s="1"/>
  <c r="Q66" i="5"/>
  <c r="Q49" i="5"/>
  <c r="R93" i="5"/>
  <c r="R92" i="5" s="1"/>
  <c r="R99" i="5" s="1"/>
  <c r="R94" i="5"/>
  <c r="R115" i="5"/>
  <c r="R114" i="5"/>
  <c r="R113" i="5" s="1"/>
  <c r="R119" i="5" s="1"/>
  <c r="R104" i="5"/>
  <c r="R103" i="5" s="1"/>
  <c r="R109" i="5" s="1"/>
  <c r="R105" i="5"/>
  <c r="S215" i="5"/>
  <c r="S61" i="5" s="1"/>
  <c r="R61" i="5"/>
  <c r="Q36" i="5"/>
  <c r="Q69" i="5"/>
  <c r="P52" i="5"/>
  <c r="R70" i="5"/>
  <c r="S87" i="5" s="1"/>
  <c r="S86" i="5" s="1"/>
  <c r="R53" i="5"/>
  <c r="S53" i="5" s="1"/>
  <c r="R37" i="5"/>
  <c r="R155" i="5"/>
  <c r="R156" i="5" s="1"/>
  <c r="R224" i="5"/>
  <c r="R225" i="5"/>
  <c r="T58" i="3"/>
  <c r="S165" i="3"/>
  <c r="R164" i="3"/>
  <c r="Q170" i="3"/>
  <c r="T43" i="3"/>
  <c r="R172" i="3"/>
  <c r="R174" i="3"/>
  <c r="T166" i="3"/>
  <c r="T168" i="3"/>
  <c r="Q30" i="3"/>
  <c r="R30" i="3" s="1"/>
  <c r="S30" i="3" s="1"/>
  <c r="T30" i="3" s="1"/>
  <c r="O64" i="3"/>
  <c r="P64" i="3"/>
  <c r="P29" i="3"/>
  <c r="T75" i="3"/>
  <c r="T69" i="3"/>
  <c r="R80" i="3"/>
  <c r="Q62" i="3"/>
  <c r="S74" i="3"/>
  <c r="S68" i="3"/>
  <c r="T71" i="3"/>
  <c r="T76" i="3" s="1"/>
  <c r="R52" i="3"/>
  <c r="Q51" i="3"/>
  <c r="P27" i="3"/>
  <c r="P22" i="3" s="1"/>
  <c r="P148" i="3" s="1"/>
  <c r="P25" i="3"/>
  <c r="P20" i="3" s="1"/>
  <c r="P146" i="3" s="1"/>
  <c r="Q147" i="3"/>
  <c r="Q26" i="3"/>
  <c r="R48" i="5" l="1"/>
  <c r="R42" i="5"/>
  <c r="Q64" i="5"/>
  <c r="Q58" i="5"/>
  <c r="Q153" i="5"/>
  <c r="R154" i="5"/>
  <c r="S32" i="5"/>
  <c r="T32" i="5"/>
  <c r="R59" i="5"/>
  <c r="R60" i="5"/>
  <c r="R65" i="5" s="1"/>
  <c r="R66" i="5"/>
  <c r="S33" i="5"/>
  <c r="T33" i="5"/>
  <c r="S49" i="5"/>
  <c r="T49" i="5"/>
  <c r="S66" i="5"/>
  <c r="S59" i="5"/>
  <c r="S58" i="5" s="1"/>
  <c r="S60" i="5"/>
  <c r="T66" i="5"/>
  <c r="S48" i="5"/>
  <c r="T48" i="5"/>
  <c r="S223" i="5"/>
  <c r="S225" i="5" s="1"/>
  <c r="S154" i="5"/>
  <c r="S70" i="5"/>
  <c r="T87" i="5" s="1"/>
  <c r="T86" i="5" s="1"/>
  <c r="Q52" i="5"/>
  <c r="T53" i="5"/>
  <c r="S37" i="5"/>
  <c r="T70" i="5" s="1"/>
  <c r="R36" i="5"/>
  <c r="R69" i="5"/>
  <c r="Q29" i="3"/>
  <c r="T59" i="3"/>
  <c r="T54" i="3" s="1"/>
  <c r="T57" i="3"/>
  <c r="S164" i="3"/>
  <c r="R171" i="3"/>
  <c r="R170" i="3" s="1"/>
  <c r="T165" i="3"/>
  <c r="S172" i="3"/>
  <c r="S174" i="3"/>
  <c r="R29" i="3"/>
  <c r="S29" i="3" s="1"/>
  <c r="T29" i="3" s="1"/>
  <c r="S63" i="3"/>
  <c r="T80" i="3" s="1"/>
  <c r="T63" i="3"/>
  <c r="R63" i="3"/>
  <c r="S80" i="3" s="1"/>
  <c r="Q64" i="3"/>
  <c r="T74" i="3"/>
  <c r="T68" i="3"/>
  <c r="R51" i="3"/>
  <c r="S52" i="3"/>
  <c r="Q25" i="3"/>
  <c r="Q20" i="3" s="1"/>
  <c r="Q146" i="3" s="1"/>
  <c r="Q27" i="3"/>
  <c r="Q22" i="3" s="1"/>
  <c r="Q148" i="3" s="1"/>
  <c r="P19" i="3"/>
  <c r="R21" i="3"/>
  <c r="R64" i="5" l="1"/>
  <c r="R58" i="5"/>
  <c r="R153" i="5"/>
  <c r="S65" i="5"/>
  <c r="T65" i="5"/>
  <c r="S64" i="5"/>
  <c r="T64" i="5"/>
  <c r="S224" i="5"/>
  <c r="T224" i="5"/>
  <c r="S69" i="5"/>
  <c r="T69" i="5" s="1"/>
  <c r="S36" i="5"/>
  <c r="R52" i="5"/>
  <c r="T37" i="5"/>
  <c r="S155" i="5"/>
  <c r="S156" i="5" s="1"/>
  <c r="T164" i="3"/>
  <c r="S171" i="3"/>
  <c r="S170" i="3" s="1"/>
  <c r="T174" i="3"/>
  <c r="T172" i="3"/>
  <c r="R62" i="3"/>
  <c r="S62" i="3" s="1"/>
  <c r="T62" i="3" s="1"/>
  <c r="T52" i="3"/>
  <c r="T51" i="3" s="1"/>
  <c r="S51" i="3"/>
  <c r="P31" i="3"/>
  <c r="Q19" i="3"/>
  <c r="R26" i="3"/>
  <c r="R147" i="3"/>
  <c r="T154" i="5" l="1"/>
  <c r="T36" i="5"/>
  <c r="T155" i="5"/>
  <c r="T156" i="5" s="1"/>
  <c r="S52" i="5"/>
  <c r="T171" i="3"/>
  <c r="T170" i="3" s="1"/>
  <c r="S64" i="3"/>
  <c r="T64" i="3"/>
  <c r="R64" i="3"/>
  <c r="Q31" i="3"/>
  <c r="R25" i="3"/>
  <c r="R20" i="3" s="1"/>
  <c r="R146" i="3" s="1"/>
  <c r="R27" i="3"/>
  <c r="R22" i="3" s="1"/>
  <c r="R148" i="3" s="1"/>
  <c r="S21" i="3"/>
  <c r="T52" i="5" l="1"/>
  <c r="R19" i="3"/>
  <c r="S147" i="3"/>
  <c r="S26" i="3"/>
  <c r="R31" i="3" l="1"/>
  <c r="T21" i="3"/>
  <c r="S27" i="3"/>
  <c r="S22" i="3" s="1"/>
  <c r="S148" i="3" s="1"/>
  <c r="S25" i="3"/>
  <c r="S20" i="3" s="1"/>
  <c r="S146" i="3" s="1"/>
  <c r="T147" i="3" l="1"/>
  <c r="T26" i="3"/>
  <c r="T27" i="3" s="1"/>
  <c r="T22" i="3" s="1"/>
  <c r="T148" i="3" s="1"/>
  <c r="S19" i="3"/>
  <c r="T25" i="3" l="1"/>
  <c r="T20" i="3" s="1"/>
  <c r="S31" i="3"/>
  <c r="T19" i="3" l="1"/>
  <c r="T31" i="3" s="1"/>
  <c r="T146" i="3"/>
  <c r="L45" i="3"/>
  <c r="M45" i="3" s="1"/>
  <c r="N45" i="3" l="1"/>
  <c r="O45" i="3" l="1"/>
  <c r="P45" i="3" s="1"/>
  <c r="Q45" i="3" l="1"/>
  <c r="R45" i="3" l="1"/>
  <c r="S45" i="3" l="1"/>
  <c r="T45" i="3" l="1"/>
  <c r="N79" i="3" l="1"/>
  <c r="R35" i="3"/>
  <c r="R47" i="3" s="1"/>
  <c r="S35" i="3"/>
  <c r="S47" i="3" s="1"/>
  <c r="T35" i="3"/>
  <c r="T145" i="3" s="1"/>
  <c r="Q35" i="3"/>
  <c r="Q145" i="3" s="1"/>
  <c r="P35" i="3"/>
  <c r="P47" i="3" s="1"/>
  <c r="O35" i="3"/>
  <c r="O47" i="3" s="1"/>
  <c r="N35" i="3"/>
  <c r="N47" i="3" s="1"/>
  <c r="M35" i="3"/>
  <c r="M145" i="3" s="1"/>
  <c r="K35" i="3"/>
  <c r="K145" i="3" s="1"/>
  <c r="L35" i="3"/>
  <c r="L47" i="3" s="1"/>
  <c r="L153" i="3" s="1"/>
  <c r="N81" i="3" l="1"/>
  <c r="N153" i="3" s="1"/>
  <c r="O79" i="3"/>
  <c r="K47" i="3"/>
  <c r="K153" i="3" s="1"/>
  <c r="N145" i="3"/>
  <c r="P145" i="3"/>
  <c r="T47" i="3"/>
  <c r="R145" i="3"/>
  <c r="L145" i="3"/>
  <c r="M47" i="3"/>
  <c r="M153" i="3" s="1"/>
  <c r="O145" i="3"/>
  <c r="Q47" i="3"/>
  <c r="S145" i="3"/>
  <c r="P79" i="3" l="1"/>
  <c r="O81" i="3"/>
  <c r="O153" i="3" s="1"/>
  <c r="P81" i="3" l="1"/>
  <c r="P153" i="3" s="1"/>
  <c r="Q79" i="3"/>
  <c r="Q81" i="3" l="1"/>
  <c r="Q153" i="3" s="1"/>
  <c r="R79" i="3"/>
  <c r="R81" i="3" l="1"/>
  <c r="R153" i="3" s="1"/>
  <c r="S79" i="3"/>
  <c r="S81" i="3" l="1"/>
  <c r="S153" i="3" s="1"/>
  <c r="T79" i="3"/>
  <c r="T81" i="3" s="1"/>
  <c r="T153" i="3" s="1"/>
  <c r="N208" i="3"/>
  <c r="O208" i="3" s="1"/>
  <c r="P208" i="3" s="1"/>
  <c r="Q208" i="3" l="1"/>
  <c r="R208" i="3" l="1"/>
  <c r="S208" i="3" l="1"/>
  <c r="T211" i="3" l="1"/>
  <c r="T213" i="3" l="1"/>
  <c r="V203" i="3"/>
  <c r="M211" i="3"/>
  <c r="M213" i="3" s="1"/>
  <c r="V206" i="3"/>
  <c r="N203" i="3" l="1"/>
  <c r="N211" i="3" s="1"/>
  <c r="R203" i="3"/>
  <c r="O203" i="3"/>
  <c r="S203" i="3"/>
  <c r="P203" i="3"/>
  <c r="Q203" i="3"/>
  <c r="M212" i="3"/>
  <c r="O211" i="3" l="1"/>
  <c r="N212" i="3"/>
  <c r="N213" i="3"/>
  <c r="O213" i="3" l="1"/>
  <c r="O212" i="3"/>
  <c r="P211" i="3"/>
  <c r="P212" i="3" l="1"/>
  <c r="P213" i="3"/>
  <c r="Q211" i="3"/>
  <c r="Q212" i="3" l="1"/>
  <c r="Q213" i="3"/>
  <c r="R211" i="3"/>
  <c r="S211" i="3"/>
  <c r="T212" i="3" l="1"/>
  <c r="S213" i="3"/>
  <c r="S212" i="3"/>
  <c r="R213" i="3"/>
  <c r="R212" i="3"/>
  <c r="T153" i="5"/>
  <c r="S153" i="5"/>
  <c r="N153" i="5"/>
  <c r="M153" i="5"/>
  <c r="O153" i="5"/>
  <c r="T26" i="5"/>
  <c r="T38" i="5" s="1"/>
  <c r="T54" i="5"/>
  <c r="S71" i="5"/>
  <c r="S54" i="5"/>
  <c r="T71" i="5"/>
  <c r="R71" i="5"/>
  <c r="S26" i="5"/>
  <c r="S38" i="5" s="1"/>
  <c r="Q71" i="5"/>
  <c r="R26" i="5"/>
  <c r="R38" i="5" s="1"/>
  <c r="R54" i="5"/>
  <c r="P54" i="5"/>
  <c r="Q26" i="5"/>
  <c r="Q54" i="5"/>
  <c r="P71" i="5"/>
  <c r="O71" i="5"/>
  <c r="P26" i="5"/>
  <c r="N71" i="5"/>
  <c r="K171" i="5"/>
  <c r="K170" i="5" s="1"/>
  <c r="O54" i="5"/>
  <c r="T171" i="5"/>
  <c r="O26" i="5"/>
  <c r="N54" i="5"/>
  <c r="S171" i="5"/>
  <c r="M71" i="5"/>
  <c r="S165" i="5"/>
  <c r="K165" i="5"/>
  <c r="K164" i="5" s="1"/>
  <c r="R165" i="5"/>
  <c r="L54" i="5"/>
  <c r="L26" i="5"/>
  <c r="R171" i="5"/>
  <c r="N26" i="5"/>
  <c r="N38" i="5" s="1"/>
  <c r="O88" i="5"/>
  <c r="T165" i="5"/>
  <c r="Q165" i="5"/>
  <c r="M26" i="5"/>
  <c r="M38" i="5" s="1"/>
  <c r="L71" i="5"/>
  <c r="Q171" i="5"/>
  <c r="K71" i="5"/>
  <c r="M54" i="5"/>
  <c r="M171" i="5"/>
  <c r="L171" i="5"/>
  <c r="K54" i="5"/>
  <c r="M165" i="5"/>
  <c r="L165" i="5"/>
  <c r="O171" i="5"/>
  <c r="O165" i="5"/>
  <c r="N171" i="5"/>
  <c r="P171" i="5"/>
  <c r="N165" i="5"/>
  <c r="P165" i="5"/>
  <c r="K88" i="5"/>
  <c r="L170" i="5" l="1"/>
  <c r="M170" i="5" s="1"/>
  <c r="N170" i="5" s="1"/>
  <c r="O170" i="5" s="1"/>
  <c r="P170" i="5" s="1"/>
  <c r="Q170" i="5" s="1"/>
  <c r="R170" i="5" s="1"/>
  <c r="S170" i="5" s="1"/>
  <c r="T170" i="5" s="1"/>
  <c r="L164" i="5"/>
  <c r="M164" i="5" s="1"/>
  <c r="N164" i="5" s="1"/>
  <c r="O164" i="5" s="1"/>
  <c r="P164" i="5" s="1"/>
  <c r="Q164" i="5" s="1"/>
  <c r="R164" i="5" s="1"/>
  <c r="S164" i="5" s="1"/>
  <c r="T164" i="5" s="1"/>
  <c r="P38" i="5"/>
  <c r="K152" i="5"/>
  <c r="L38" i="5"/>
  <c r="O152" i="5"/>
  <c r="K38" i="5"/>
  <c r="K160" i="5" s="1"/>
  <c r="O38" i="5"/>
  <c r="Q38" i="5"/>
  <c r="N88" i="5"/>
  <c r="N160" i="5" s="1"/>
  <c r="T152" i="5"/>
  <c r="R88" i="5"/>
  <c r="Q88" i="5"/>
  <c r="M88" i="5"/>
  <c r="M160" i="5" s="1"/>
  <c r="P88" i="5"/>
  <c r="S152" i="5"/>
  <c r="L152" i="5"/>
  <c r="T88" i="5"/>
  <c r="T160" i="5" s="1"/>
  <c r="R152" i="5"/>
  <c r="N152" i="5"/>
  <c r="M152" i="5"/>
  <c r="Q152" i="5"/>
  <c r="P152" i="5"/>
  <c r="S88" i="5"/>
  <c r="L88" i="5"/>
  <c r="O160" i="5" l="1"/>
  <c r="P2" i="5" s="1"/>
  <c r="S160" i="5"/>
  <c r="T2" i="5" s="1"/>
  <c r="P160" i="5"/>
  <c r="Q2" i="5" s="1"/>
  <c r="N2" i="5"/>
  <c r="O2" i="5"/>
  <c r="Q160" i="5"/>
  <c r="R2" i="5" s="1"/>
  <c r="L160" i="5"/>
  <c r="M2" i="5" s="1"/>
  <c r="R160" i="5"/>
  <c r="S2" i="5" s="1"/>
</calcChain>
</file>

<file path=xl/sharedStrings.xml><?xml version="1.0" encoding="utf-8"?>
<sst xmlns="http://schemas.openxmlformats.org/spreadsheetml/2006/main" count="429" uniqueCount="92">
  <si>
    <t xml:space="preserve"> </t>
  </si>
  <si>
    <t>TESLA REVENUE BUILD</t>
  </si>
  <si>
    <t>Model S</t>
  </si>
  <si>
    <t>Model X</t>
  </si>
  <si>
    <t>Model 3</t>
  </si>
  <si>
    <t>Model Y</t>
  </si>
  <si>
    <t>Price</t>
  </si>
  <si>
    <t>Unit (# k)</t>
  </si>
  <si>
    <t>*</t>
  </si>
  <si>
    <t>Price (# k)</t>
  </si>
  <si>
    <t>Revenue ($m)</t>
  </si>
  <si>
    <t>--</t>
  </si>
  <si>
    <t>Total Revenue</t>
  </si>
  <si>
    <t>Cybertruck</t>
  </si>
  <si>
    <t>Semi Trucks</t>
  </si>
  <si>
    <t>Mass Market Sedan</t>
  </si>
  <si>
    <t>Roadster</t>
  </si>
  <si>
    <t>New Car 1 (Assumption)</t>
  </si>
  <si>
    <t>New Car 2 (Assumption)</t>
  </si>
  <si>
    <t>x</t>
  </si>
  <si>
    <t>Assumptions</t>
  </si>
  <si>
    <t xml:space="preserve">  Base Case</t>
  </si>
  <si>
    <t xml:space="preserve">  Elon Case</t>
  </si>
  <si>
    <t xml:space="preserve">  Conservative Case</t>
  </si>
  <si>
    <t>Management discussion, or something else</t>
  </si>
  <si>
    <t xml:space="preserve">  Street Growth Rate</t>
  </si>
  <si>
    <t>Revenue Summary</t>
  </si>
  <si>
    <t>Units</t>
  </si>
  <si>
    <t>Units (base on rows)</t>
  </si>
  <si>
    <t>(1: con, 2: base, 3: elon)</t>
  </si>
  <si>
    <t>Units (Growth Rate)</t>
  </si>
  <si>
    <t>Switches</t>
  </si>
  <si>
    <t>Units - Conservative</t>
  </si>
  <si>
    <t>Units - Elon</t>
  </si>
  <si>
    <t xml:space="preserve">  % Growth </t>
  </si>
  <si>
    <t xml:space="preserve">  % Growth</t>
  </si>
  <si>
    <t>Model X (Because a big jump in growth rate, assumption in units instead)</t>
  </si>
  <si>
    <t>Do some pricing models to accurately predict close to the price</t>
  </si>
  <si>
    <t>Research price</t>
  </si>
  <si>
    <t>Total Auto Revenue</t>
  </si>
  <si>
    <t xml:space="preserve">Vehicles </t>
  </si>
  <si>
    <t>Autonomous Drving</t>
  </si>
  <si>
    <t>Energy Products</t>
  </si>
  <si>
    <t>Regulatory Credits</t>
  </si>
  <si>
    <t>Service and other - Revenue</t>
  </si>
  <si>
    <t>Energy generation and storage</t>
  </si>
  <si>
    <t>Service &amp; Other</t>
  </si>
  <si>
    <t xml:space="preserve">Energy Generation </t>
  </si>
  <si>
    <t>Revenue Growth</t>
  </si>
  <si>
    <t>Switch</t>
  </si>
  <si>
    <t>Current Capacities (000s)</t>
  </si>
  <si>
    <t>Fremont (1159 hectares)</t>
  </si>
  <si>
    <t>Shanghai (86 hectares)</t>
  </si>
  <si>
    <t>Berlin (300 hectares)</t>
  </si>
  <si>
    <t>Texas (1000 hectares)</t>
  </si>
  <si>
    <t>Gigafactory #5</t>
  </si>
  <si>
    <t>Gigafactory #6</t>
  </si>
  <si>
    <t>Gigafactory #7</t>
  </si>
  <si>
    <t>Gigafactory #8</t>
  </si>
  <si>
    <t>Gigafactory #9</t>
  </si>
  <si>
    <t>Gigafactory #10</t>
  </si>
  <si>
    <t>Gigafactory #11</t>
  </si>
  <si>
    <t>Gigafactory #12</t>
  </si>
  <si>
    <t xml:space="preserve">Total </t>
  </si>
  <si>
    <t>Gigafactories (Real and Assumption)</t>
  </si>
  <si>
    <t>Base Estimate for Car Units</t>
  </si>
  <si>
    <t>Total</t>
  </si>
  <si>
    <t xml:space="preserve">  % of total capacity</t>
  </si>
  <si>
    <t>Manually getting data from SEC, 10-q, 10-k, earning calls and research, % ramp up, production capacity, management goals</t>
  </si>
  <si>
    <t>Street Est</t>
  </si>
  <si>
    <t>longterm growth rate goal is 50%</t>
  </si>
  <si>
    <t xml:space="preserve">Increased Street Case/Optimistic </t>
  </si>
  <si>
    <t>MMC</t>
  </si>
  <si>
    <t>MMC + ST</t>
  </si>
  <si>
    <t>Ford-150 sells 1m/year</t>
  </si>
  <si>
    <t>Toyota Corolla 1.5m/year</t>
  </si>
  <si>
    <t xml:space="preserve">Assumption based on </t>
  </si>
  <si>
    <t>CAGR</t>
  </si>
  <si>
    <t>Do the same using similar brand/model</t>
  </si>
  <si>
    <t xml:space="preserve">Goal </t>
  </si>
  <si>
    <t>Mass Market Car (sell for $25k/car)</t>
  </si>
  <si>
    <t>New Car 1 (sell for $15k/car)</t>
  </si>
  <si>
    <t>Mass Market Car comes out 2023 and Truck comes out 2025</t>
  </si>
  <si>
    <t>New Car 2 (Bus)</t>
  </si>
  <si>
    <t>630k busses sold globally in 2016</t>
  </si>
  <si>
    <t>Street Estimate (Car Units)</t>
  </si>
  <si>
    <t>Optimistic Estimate for Car Units</t>
  </si>
  <si>
    <t>Linking to something in the sames sheet</t>
  </si>
  <si>
    <t>CHECK</t>
  </si>
  <si>
    <t>Hard code inpt</t>
  </si>
  <si>
    <t xml:space="preserve">  Conservative Case </t>
  </si>
  <si>
    <t>Unit Ramp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</si>
</sst>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A"/>
    <numFmt numFmtId="167" formatCode="0&quot;E&quot;"/>
    <numFmt numFmtId="174" formatCode="_(&quot;$&quot;* #,##0_);_(&quot;$&quot;* \(#,##0\);_(&quot;$&quot;* &quot;-&quot;??_);_(@_)"/>
    <numFmt numFmtId="179" formatCode="\X\X\X;\X\x\x;&quot;--&quot;"/>
    <numFmt numFmtId="187" formatCode="_(* #,##0.0_);_(* \(#,##0.0\);_(* &quot;-&quot;??_);_(@_)"/>
    <numFmt numFmtId="188" formatCode="_(* #,##0_);_(* \(#,##0\);_(* &quot;-&quot;??_);_(@_)"/>
    <numFmt numFmtId="189" formatCode="0.0%"/>
    <numFmt numFmtId="191" formatCode="_(* #,##0.0_);_(* \(#,##0.0\);_(* &quot;-&quot;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1" fontId="6" fillId="2" borderId="0" xfId="0" applyNumberFormat="1" applyFont="1" applyFill="1"/>
    <xf numFmtId="2" fontId="0" fillId="2" borderId="0" xfId="0" applyNumberFormat="1" applyFill="1"/>
    <xf numFmtId="174" fontId="0" fillId="2" borderId="0" xfId="2" applyNumberFormat="1" applyFont="1" applyFill="1"/>
    <xf numFmtId="0" fontId="7" fillId="3" borderId="0" xfId="0" applyFont="1" applyFill="1"/>
    <xf numFmtId="0" fontId="8" fillId="3" borderId="0" xfId="0" applyFont="1" applyFill="1"/>
    <xf numFmtId="179" fontId="0" fillId="2" borderId="0" xfId="0" quotePrefix="1" applyNumberFormat="1" applyFill="1" applyAlignment="1">
      <alignment horizontal="center"/>
    </xf>
    <xf numFmtId="0" fontId="0" fillId="2" borderId="0" xfId="0" applyFill="1" applyBorder="1"/>
    <xf numFmtId="0" fontId="0" fillId="2" borderId="0" xfId="0" applyFont="1" applyFill="1" applyBorder="1"/>
    <xf numFmtId="0" fontId="9" fillId="2" borderId="0" xfId="0" applyFont="1" applyFill="1"/>
    <xf numFmtId="0" fontId="0" fillId="0" borderId="0" xfId="0" applyFill="1"/>
    <xf numFmtId="0" fontId="0" fillId="4" borderId="3" xfId="0" applyFill="1" applyBorder="1"/>
    <xf numFmtId="179" fontId="0" fillId="4" borderId="3" xfId="0" quotePrefix="1" applyNumberFormat="1" applyFill="1" applyBorder="1" applyAlignment="1">
      <alignment horizontal="center"/>
    </xf>
    <xf numFmtId="174" fontId="0" fillId="4" borderId="3" xfId="2" applyNumberFormat="1" applyFont="1" applyFill="1" applyBorder="1"/>
    <xf numFmtId="0" fontId="3" fillId="4" borderId="3" xfId="0" applyFont="1" applyFill="1" applyBorder="1"/>
    <xf numFmtId="0" fontId="0" fillId="0" borderId="0" xfId="0" applyFill="1" applyBorder="1"/>
    <xf numFmtId="9" fontId="6" fillId="2" borderId="0" xfId="3" applyFont="1" applyFill="1"/>
    <xf numFmtId="9" fontId="1" fillId="2" borderId="0" xfId="3" applyFont="1" applyFill="1"/>
    <xf numFmtId="43" fontId="0" fillId="2" borderId="0" xfId="1" quotePrefix="1" applyFont="1" applyFill="1" applyAlignment="1">
      <alignment horizontal="center"/>
    </xf>
    <xf numFmtId="43" fontId="10" fillId="2" borderId="0" xfId="1" quotePrefix="1" applyFont="1" applyFill="1" applyAlignment="1">
      <alignment horizontal="center"/>
    </xf>
    <xf numFmtId="1" fontId="10" fillId="2" borderId="0" xfId="0" applyNumberFormat="1" applyFont="1" applyFill="1"/>
    <xf numFmtId="0" fontId="0" fillId="5" borderId="2" xfId="0" applyFill="1" applyBorder="1"/>
    <xf numFmtId="0" fontId="6" fillId="5" borderId="2" xfId="0" applyFont="1" applyFill="1" applyBorder="1"/>
    <xf numFmtId="0" fontId="2" fillId="5" borderId="2" xfId="0" applyFont="1" applyFill="1" applyBorder="1"/>
    <xf numFmtId="9" fontId="0" fillId="5" borderId="2" xfId="3" applyFont="1" applyFill="1" applyBorder="1"/>
    <xf numFmtId="0" fontId="0" fillId="2" borderId="0" xfId="0" applyFont="1" applyFill="1"/>
    <xf numFmtId="9" fontId="2" fillId="5" borderId="2" xfId="3" applyFont="1" applyFill="1" applyBorder="1"/>
    <xf numFmtId="2" fontId="2" fillId="5" borderId="2" xfId="0" applyNumberFormat="1" applyFont="1" applyFill="1" applyBorder="1"/>
    <xf numFmtId="9" fontId="2" fillId="5" borderId="2" xfId="0" applyNumberFormat="1" applyFont="1" applyFill="1" applyBorder="1"/>
    <xf numFmtId="0" fontId="5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9" fontId="0" fillId="5" borderId="2" xfId="0" applyNumberFormat="1" applyFill="1" applyBorder="1"/>
    <xf numFmtId="9" fontId="0" fillId="5" borderId="0" xfId="3" applyFont="1" applyFill="1" applyBorder="1" applyAlignment="1">
      <alignment horizontal="center" vertical="center"/>
    </xf>
    <xf numFmtId="2" fontId="0" fillId="5" borderId="2" xfId="0" applyNumberFormat="1" applyFill="1" applyBorder="1"/>
    <xf numFmtId="9" fontId="0" fillId="2" borderId="0" xfId="0" applyNumberFormat="1" applyFill="1"/>
    <xf numFmtId="0" fontId="3" fillId="0" borderId="0" xfId="0" applyFont="1" applyFill="1" applyBorder="1"/>
    <xf numFmtId="174" fontId="3" fillId="4" borderId="3" xfId="2" applyNumberFormat="1" applyFont="1" applyFill="1" applyBorder="1"/>
    <xf numFmtId="179" fontId="7" fillId="3" borderId="0" xfId="0" applyNumberFormat="1" applyFont="1" applyFill="1" applyAlignment="1">
      <alignment horizontal="center"/>
    </xf>
    <xf numFmtId="9" fontId="10" fillId="2" borderId="0" xfId="3" applyFont="1" applyFill="1"/>
    <xf numFmtId="9" fontId="0" fillId="2" borderId="0" xfId="3" applyFont="1" applyFill="1"/>
    <xf numFmtId="9" fontId="0" fillId="5" borderId="2" xfId="0" applyNumberFormat="1" applyFont="1" applyFill="1" applyBorder="1"/>
    <xf numFmtId="2" fontId="6" fillId="5" borderId="2" xfId="0" applyNumberFormat="1" applyFont="1" applyFill="1" applyBorder="1"/>
    <xf numFmtId="164" fontId="4" fillId="6" borderId="0" xfId="0" applyNumberFormat="1" applyFont="1" applyFill="1"/>
    <xf numFmtId="167" fontId="4" fillId="6" borderId="0" xfId="0" applyNumberFormat="1" applyFont="1" applyFill="1"/>
    <xf numFmtId="0" fontId="4" fillId="6" borderId="0" xfId="0" applyFont="1" applyFill="1" applyBorder="1"/>
    <xf numFmtId="0" fontId="0" fillId="6" borderId="0" xfId="0" applyFill="1" applyBorder="1"/>
    <xf numFmtId="43" fontId="0" fillId="2" borderId="0" xfId="1" applyFont="1" applyFill="1"/>
    <xf numFmtId="174" fontId="0" fillId="4" borderId="3" xfId="2" applyNumberFormat="1" applyFont="1" applyFill="1" applyBorder="1" applyAlignment="1">
      <alignment horizontal="center"/>
    </xf>
    <xf numFmtId="9" fontId="6" fillId="5" borderId="2" xfId="0" applyNumberFormat="1" applyFont="1" applyFill="1" applyBorder="1"/>
    <xf numFmtId="2" fontId="0" fillId="5" borderId="2" xfId="0" applyNumberFormat="1" applyFont="1" applyFill="1" applyBorder="1"/>
    <xf numFmtId="0" fontId="4" fillId="6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7" borderId="0" xfId="0" applyFont="1" applyFill="1"/>
    <xf numFmtId="164" fontId="4" fillId="7" borderId="0" xfId="0" applyNumberFormat="1" applyFont="1" applyFill="1"/>
    <xf numFmtId="167" fontId="4" fillId="7" borderId="0" xfId="0" applyNumberFormat="1" applyFont="1" applyFill="1"/>
    <xf numFmtId="0" fontId="0" fillId="7" borderId="0" xfId="0" applyFill="1"/>
    <xf numFmtId="0" fontId="3" fillId="8" borderId="3" xfId="0" applyFont="1" applyFill="1" applyBorder="1"/>
    <xf numFmtId="174" fontId="0" fillId="8" borderId="3" xfId="2" applyNumberFormat="1" applyFont="1" applyFill="1" applyBorder="1"/>
    <xf numFmtId="0" fontId="0" fillId="8" borderId="3" xfId="0" applyFont="1" applyFill="1" applyBorder="1"/>
    <xf numFmtId="0" fontId="0" fillId="0" borderId="0" xfId="0" applyFont="1" applyFill="1" applyBorder="1"/>
    <xf numFmtId="9" fontId="0" fillId="0" borderId="0" xfId="3" applyFont="1" applyFill="1" applyBorder="1" applyAlignment="1">
      <alignment horizontal="center" vertical="center"/>
    </xf>
    <xf numFmtId="179" fontId="4" fillId="7" borderId="0" xfId="0" quotePrefix="1" applyNumberFormat="1" applyFont="1" applyFill="1" applyAlignment="1">
      <alignment horizontal="center"/>
    </xf>
    <xf numFmtId="174" fontId="4" fillId="7" borderId="0" xfId="2" applyNumberFormat="1" applyFont="1" applyFill="1"/>
    <xf numFmtId="0" fontId="0" fillId="0" borderId="0" xfId="0" applyFont="1" applyFill="1"/>
    <xf numFmtId="187" fontId="12" fillId="2" borderId="0" xfId="1" quotePrefix="1" applyNumberFormat="1" applyFont="1" applyFill="1" applyAlignment="1">
      <alignment horizontal="center"/>
    </xf>
    <xf numFmtId="9" fontId="1" fillId="2" borderId="0" xfId="3" quotePrefix="1" applyFont="1" applyFill="1" applyAlignment="1">
      <alignment horizontal="center"/>
    </xf>
    <xf numFmtId="9" fontId="0" fillId="2" borderId="0" xfId="3" quotePrefix="1" applyFont="1" applyFill="1" applyAlignment="1">
      <alignment horizontal="center"/>
    </xf>
    <xf numFmtId="9" fontId="9" fillId="2" borderId="0" xfId="3" applyFont="1" applyFill="1"/>
    <xf numFmtId="9" fontId="6" fillId="5" borderId="2" xfId="3" applyFont="1" applyFill="1" applyBorder="1"/>
    <xf numFmtId="191" fontId="0" fillId="2" borderId="0" xfId="0" applyNumberFormat="1" applyFill="1"/>
    <xf numFmtId="43" fontId="0" fillId="2" borderId="0" xfId="0" applyNumberFormat="1" applyFill="1"/>
    <xf numFmtId="9" fontId="1" fillId="5" borderId="2" xfId="3" applyFont="1" applyFill="1" applyBorder="1"/>
    <xf numFmtId="0" fontId="4" fillId="0" borderId="0" xfId="0" applyFont="1" applyFill="1" applyBorder="1"/>
    <xf numFmtId="188" fontId="0" fillId="4" borderId="3" xfId="1" applyNumberFormat="1" applyFont="1" applyFill="1" applyBorder="1"/>
    <xf numFmtId="43" fontId="0" fillId="2" borderId="0" xfId="1" applyFont="1" applyFill="1" applyBorder="1"/>
    <xf numFmtId="43" fontId="12" fillId="2" borderId="0" xfId="1" applyFont="1" applyFill="1"/>
    <xf numFmtId="9" fontId="0" fillId="5" borderId="0" xfId="3" applyFont="1" applyFill="1"/>
    <xf numFmtId="0" fontId="0" fillId="5" borderId="0" xfId="0" applyFill="1"/>
    <xf numFmtId="9" fontId="7" fillId="9" borderId="0" xfId="3" applyFont="1" applyFill="1"/>
    <xf numFmtId="43" fontId="6" fillId="2" borderId="0" xfId="1" applyFont="1" applyFill="1"/>
    <xf numFmtId="43" fontId="6" fillId="2" borderId="0" xfId="1" applyFont="1" applyFill="1" applyBorder="1"/>
    <xf numFmtId="43" fontId="13" fillId="2" borderId="0" xfId="1" applyFont="1" applyFill="1"/>
    <xf numFmtId="9" fontId="0" fillId="5" borderId="0" xfId="3" applyFont="1" applyFill="1" applyBorder="1"/>
    <xf numFmtId="43" fontId="1" fillId="2" borderId="0" xfId="1" applyFont="1" applyFill="1"/>
    <xf numFmtId="9" fontId="0" fillId="0" borderId="0" xfId="3" applyFont="1" applyFill="1"/>
    <xf numFmtId="43" fontId="6" fillId="2" borderId="0" xfId="0" applyNumberFormat="1" applyFont="1" applyFill="1"/>
    <xf numFmtId="0" fontId="6" fillId="2" borderId="1" xfId="0" applyFont="1" applyFill="1" applyBorder="1"/>
    <xf numFmtId="179" fontId="0" fillId="2" borderId="1" xfId="0" quotePrefix="1" applyNumberFormat="1" applyFill="1" applyBorder="1" applyAlignment="1">
      <alignment horizontal="center"/>
    </xf>
    <xf numFmtId="179" fontId="7" fillId="3" borderId="1" xfId="0" applyNumberFormat="1" applyFont="1" applyFill="1" applyBorder="1" applyAlignment="1">
      <alignment horizontal="center"/>
    </xf>
    <xf numFmtId="0" fontId="11" fillId="0" borderId="0" xfId="0" applyFont="1" applyFill="1"/>
    <xf numFmtId="0" fontId="6" fillId="0" borderId="0" xfId="0" applyFont="1" applyFill="1" applyBorder="1"/>
    <xf numFmtId="2" fontId="2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6" xfId="0" applyFill="1" applyBorder="1"/>
    <xf numFmtId="0" fontId="3" fillId="10" borderId="6" xfId="0" applyFont="1" applyFill="1" applyBorder="1"/>
    <xf numFmtId="0" fontId="0" fillId="10" borderId="6" xfId="0" applyFill="1" applyBorder="1"/>
    <xf numFmtId="188" fontId="0" fillId="10" borderId="6" xfId="1" applyNumberFormat="1" applyFont="1" applyFill="1" applyBorder="1"/>
    <xf numFmtId="0" fontId="5" fillId="0" borderId="0" xfId="0" applyFont="1" applyFill="1" applyBorder="1"/>
    <xf numFmtId="43" fontId="2" fillId="5" borderId="2" xfId="0" applyNumberFormat="1" applyFont="1" applyFill="1" applyBorder="1"/>
    <xf numFmtId="43" fontId="10" fillId="5" borderId="2" xfId="0" applyNumberFormat="1" applyFont="1" applyFill="1" applyBorder="1"/>
    <xf numFmtId="0" fontId="0" fillId="11" borderId="0" xfId="0" applyFill="1"/>
    <xf numFmtId="43" fontId="10" fillId="5" borderId="2" xfId="1" applyFont="1" applyFill="1" applyBorder="1"/>
    <xf numFmtId="179" fontId="10" fillId="5" borderId="2" xfId="1" applyNumberFormat="1" applyFont="1" applyFill="1" applyBorder="1"/>
    <xf numFmtId="0" fontId="0" fillId="5" borderId="2" xfId="0" applyNumberFormat="1" applyFont="1" applyFill="1" applyBorder="1"/>
    <xf numFmtId="0" fontId="14" fillId="2" borderId="0" xfId="0" applyFont="1" applyFill="1"/>
    <xf numFmtId="0" fontId="2" fillId="2" borderId="0" xfId="0" applyFont="1" applyFill="1"/>
    <xf numFmtId="0" fontId="0" fillId="12" borderId="0" xfId="0" applyFill="1"/>
    <xf numFmtId="164" fontId="4" fillId="0" borderId="0" xfId="0" applyNumberFormat="1" applyFont="1" applyFill="1" applyBorder="1"/>
    <xf numFmtId="43" fontId="2" fillId="0" borderId="0" xfId="0" applyNumberFormat="1" applyFont="1" applyFill="1" applyBorder="1"/>
    <xf numFmtId="2" fontId="0" fillId="0" borderId="0" xfId="0" applyNumberFormat="1" applyFill="1" applyBorder="1"/>
    <xf numFmtId="43" fontId="10" fillId="0" borderId="8" xfId="0" applyNumberFormat="1" applyFont="1" applyFill="1" applyBorder="1"/>
    <xf numFmtId="43" fontId="2" fillId="7" borderId="0" xfId="0" applyNumberFormat="1" applyFont="1" applyFill="1" applyBorder="1"/>
    <xf numFmtId="2" fontId="0" fillId="7" borderId="5" xfId="0" applyNumberFormat="1" applyFill="1" applyBorder="1"/>
    <xf numFmtId="0" fontId="9" fillId="0" borderId="0" xfId="0" applyFont="1" applyFill="1"/>
    <xf numFmtId="9" fontId="10" fillId="5" borderId="2" xfId="3" applyFont="1" applyFill="1" applyBorder="1"/>
    <xf numFmtId="189" fontId="6" fillId="5" borderId="9" xfId="3" applyNumberFormat="1" applyFont="1" applyFill="1" applyBorder="1"/>
    <xf numFmtId="189" fontId="6" fillId="5" borderId="4" xfId="3" applyNumberFormat="1" applyFont="1" applyFill="1" applyBorder="1"/>
    <xf numFmtId="189" fontId="6" fillId="5" borderId="7" xfId="3" applyNumberFormat="1" applyFont="1" applyFill="1" applyBorder="1"/>
    <xf numFmtId="189" fontId="6" fillId="5" borderId="2" xfId="3" applyNumberFormat="1" applyFont="1" applyFill="1" applyBorder="1"/>
    <xf numFmtId="174" fontId="0" fillId="2" borderId="1" xfId="0" applyNumberFormat="1" applyFill="1" applyBorder="1"/>
    <xf numFmtId="43" fontId="0" fillId="2" borderId="0" xfId="1" applyNumberFormat="1" applyFont="1" applyFill="1"/>
    <xf numFmtId="43" fontId="0" fillId="4" borderId="3" xfId="1" quotePrefix="1" applyFont="1" applyFill="1" applyBorder="1" applyAlignment="1">
      <alignment horizontal="center"/>
    </xf>
    <xf numFmtId="43" fontId="0" fillId="4" borderId="3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5CE9-BA04-B248-8CE0-AB9226570EB6}">
  <dimension ref="A1:AB225"/>
  <sheetViews>
    <sheetView showGridLines="0" tabSelected="1" zoomScale="125" zoomScaleNormal="100" workbookViewId="0">
      <pane xSplit="2" ySplit="20" topLeftCell="E21" activePane="bottomRight" state="frozen"/>
      <selection pane="topRight" activeCell="C1" sqref="C1"/>
      <selection pane="bottomLeft" activeCell="A24" sqref="A24"/>
      <selection pane="bottomRight" activeCell="F84" sqref="F84"/>
    </sheetView>
  </sheetViews>
  <sheetFormatPr baseColWidth="10" defaultRowHeight="16" x14ac:dyDescent="0.2"/>
  <cols>
    <col min="1" max="1" width="2.33203125" style="1" customWidth="1"/>
    <col min="2" max="2" width="30" style="1" customWidth="1"/>
    <col min="3" max="19" width="10.83203125" style="1"/>
    <col min="20" max="20" width="13" style="1" customWidth="1"/>
    <col min="21" max="16384" width="10.83203125" style="1"/>
  </cols>
  <sheetData>
    <row r="1" spans="1:28" x14ac:dyDescent="0.2">
      <c r="A1" s="1" t="s">
        <v>8</v>
      </c>
      <c r="B1" s="1" t="s">
        <v>68</v>
      </c>
    </row>
    <row r="2" spans="1:28" s="2" customFormat="1" x14ac:dyDescent="0.2">
      <c r="B2" s="3" t="s">
        <v>1</v>
      </c>
      <c r="G2" s="2" t="s">
        <v>12</v>
      </c>
      <c r="I2" s="127"/>
      <c r="J2" s="127"/>
      <c r="K2" s="127"/>
      <c r="L2" s="127"/>
      <c r="M2" s="127">
        <f t="shared" ref="J2:T2" ca="1" si="0">L160</f>
        <v>85580.448788148322</v>
      </c>
      <c r="N2" s="127">
        <f t="shared" ca="1" si="0"/>
        <v>109839.64500093872</v>
      </c>
      <c r="O2" s="127">
        <f t="shared" ca="1" si="0"/>
        <v>133901.95299654183</v>
      </c>
      <c r="P2" s="127">
        <f t="shared" ca="1" si="0"/>
        <v>154981.16351707661</v>
      </c>
      <c r="Q2" s="127">
        <f t="shared" ca="1" si="0"/>
        <v>185870.48560640932</v>
      </c>
      <c r="R2" s="127">
        <f t="shared" ca="1" si="0"/>
        <v>221152.48246449701</v>
      </c>
      <c r="S2" s="127">
        <f t="shared" ca="1" si="0"/>
        <v>266745.63521336357</v>
      </c>
      <c r="T2" s="127">
        <f t="shared" ca="1" si="0"/>
        <v>323331.73075931927</v>
      </c>
    </row>
    <row r="3" spans="1:28" s="12" customFormat="1" x14ac:dyDescent="0.2">
      <c r="B3" s="50" t="s">
        <v>49</v>
      </c>
      <c r="C3" s="36">
        <v>1</v>
      </c>
      <c r="D3" s="12" t="s">
        <v>29</v>
      </c>
    </row>
    <row r="4" spans="1:28" s="12" customFormat="1" ht="5" customHeight="1" x14ac:dyDescent="0.2">
      <c r="B4" s="80"/>
      <c r="C4" s="12">
        <v>1</v>
      </c>
    </row>
    <row r="5" spans="1:28" s="12" customFormat="1" x14ac:dyDescent="0.2">
      <c r="A5" s="20" t="s">
        <v>19</v>
      </c>
      <c r="B5" s="50" t="s">
        <v>31</v>
      </c>
      <c r="C5" s="51"/>
      <c r="D5" s="20"/>
      <c r="E5" s="20"/>
      <c r="F5" s="20"/>
      <c r="G5" s="50" t="s">
        <v>36</v>
      </c>
      <c r="H5" s="50"/>
      <c r="I5" s="50"/>
      <c r="J5" s="50"/>
      <c r="K5" s="50"/>
      <c r="L5" s="50"/>
      <c r="N5" s="50" t="s">
        <v>4</v>
      </c>
      <c r="O5" s="50"/>
      <c r="P5" s="50"/>
      <c r="R5" s="50" t="s">
        <v>5</v>
      </c>
      <c r="S5" s="50"/>
      <c r="T5" s="50"/>
      <c r="V5" s="50" t="s">
        <v>46</v>
      </c>
      <c r="W5" s="50"/>
      <c r="X5" s="50"/>
      <c r="Z5" s="50" t="s">
        <v>47</v>
      </c>
      <c r="AA5" s="50"/>
      <c r="AB5" s="50"/>
    </row>
    <row r="6" spans="1:28" s="12" customFormat="1" x14ac:dyDescent="0.2">
      <c r="B6" s="34" t="s">
        <v>27</v>
      </c>
      <c r="G6" s="34" t="s">
        <v>31</v>
      </c>
      <c r="N6" s="34" t="s">
        <v>31</v>
      </c>
      <c r="R6" s="34" t="s">
        <v>31</v>
      </c>
      <c r="V6" s="34" t="s">
        <v>31</v>
      </c>
      <c r="Z6" s="34" t="s">
        <v>31</v>
      </c>
    </row>
    <row r="7" spans="1:28" s="12" customFormat="1" x14ac:dyDescent="0.2">
      <c r="B7" s="1" t="s">
        <v>2</v>
      </c>
      <c r="C7" s="36">
        <f>$C$3</f>
        <v>1</v>
      </c>
      <c r="G7" s="13" t="s">
        <v>27</v>
      </c>
      <c r="I7" s="36">
        <f>C3</f>
        <v>1</v>
      </c>
      <c r="N7" s="13" t="s">
        <v>27</v>
      </c>
      <c r="P7" s="36">
        <f>C3</f>
        <v>1</v>
      </c>
      <c r="R7" s="13" t="s">
        <v>27</v>
      </c>
      <c r="T7" s="36">
        <f>C3</f>
        <v>1</v>
      </c>
      <c r="V7" s="13" t="s">
        <v>48</v>
      </c>
      <c r="X7" s="36">
        <f>C3</f>
        <v>1</v>
      </c>
      <c r="Z7" s="13" t="s">
        <v>48</v>
      </c>
      <c r="AB7" s="36">
        <f>C3</f>
        <v>1</v>
      </c>
    </row>
    <row r="8" spans="1:28" s="12" customFormat="1" x14ac:dyDescent="0.2">
      <c r="B8" s="1" t="s">
        <v>3</v>
      </c>
      <c r="C8" s="36">
        <f t="shared" ref="C8:C16" si="1">$C$3</f>
        <v>1</v>
      </c>
      <c r="D8" s="12" t="s">
        <v>0</v>
      </c>
      <c r="G8" s="13"/>
      <c r="H8" s="35"/>
      <c r="N8" s="13"/>
      <c r="O8" s="35"/>
      <c r="R8" s="13"/>
      <c r="S8" s="35"/>
      <c r="V8" s="13"/>
      <c r="W8" s="35"/>
      <c r="X8" s="13"/>
      <c r="Z8" s="13"/>
      <c r="AA8" s="35"/>
      <c r="AB8" s="13"/>
    </row>
    <row r="9" spans="1:28" s="12" customFormat="1" x14ac:dyDescent="0.2">
      <c r="B9" s="1" t="s">
        <v>4</v>
      </c>
      <c r="C9" s="36">
        <f t="shared" si="1"/>
        <v>1</v>
      </c>
      <c r="G9" s="13"/>
      <c r="H9" s="35"/>
      <c r="N9" s="13"/>
      <c r="O9" s="35"/>
      <c r="R9" s="13"/>
      <c r="S9" s="35"/>
      <c r="V9" s="13"/>
      <c r="W9" s="35"/>
      <c r="Z9" s="13"/>
      <c r="AA9" s="35"/>
    </row>
    <row r="10" spans="1:28" s="12" customFormat="1" x14ac:dyDescent="0.2">
      <c r="B10" s="12" t="s">
        <v>5</v>
      </c>
      <c r="C10" s="36">
        <f t="shared" si="1"/>
        <v>1</v>
      </c>
      <c r="G10" s="34" t="s">
        <v>20</v>
      </c>
      <c r="H10" s="35"/>
      <c r="N10" s="34" t="s">
        <v>20</v>
      </c>
      <c r="O10" s="35"/>
      <c r="R10" s="34" t="s">
        <v>20</v>
      </c>
      <c r="S10" s="35"/>
      <c r="V10" s="34" t="s">
        <v>20</v>
      </c>
      <c r="W10" s="35"/>
      <c r="Z10" s="34" t="s">
        <v>20</v>
      </c>
      <c r="AA10" s="35"/>
    </row>
    <row r="11" spans="1:28" s="12" customFormat="1" x14ac:dyDescent="0.2">
      <c r="B11" s="1" t="s">
        <v>13</v>
      </c>
      <c r="C11" s="36">
        <f t="shared" si="1"/>
        <v>1</v>
      </c>
      <c r="G11" s="13" t="s">
        <v>32</v>
      </c>
      <c r="I11" s="38">
        <v>0.9</v>
      </c>
      <c r="N11" s="13" t="s">
        <v>32</v>
      </c>
      <c r="P11" s="38">
        <v>0.9</v>
      </c>
      <c r="R11" s="13" t="s">
        <v>32</v>
      </c>
      <c r="T11" s="38">
        <v>0.9</v>
      </c>
      <c r="V11" s="13" t="s">
        <v>32</v>
      </c>
      <c r="X11" s="38">
        <v>0.9</v>
      </c>
      <c r="Z11" s="13" t="s">
        <v>32</v>
      </c>
      <c r="AB11" s="38">
        <v>0.9</v>
      </c>
    </row>
    <row r="12" spans="1:28" s="12" customFormat="1" x14ac:dyDescent="0.2">
      <c r="B12" s="1" t="s">
        <v>14</v>
      </c>
      <c r="C12" s="36">
        <f t="shared" si="1"/>
        <v>1</v>
      </c>
      <c r="G12" s="13" t="s">
        <v>33</v>
      </c>
      <c r="I12" s="38">
        <v>1.5</v>
      </c>
      <c r="N12" s="13" t="s">
        <v>33</v>
      </c>
      <c r="P12" s="38">
        <v>1.5</v>
      </c>
      <c r="R12" s="13" t="s">
        <v>33</v>
      </c>
      <c r="T12" s="38">
        <v>1.5</v>
      </c>
      <c r="V12" s="13" t="s">
        <v>33</v>
      </c>
      <c r="X12" s="38">
        <v>1.5</v>
      </c>
      <c r="Z12" s="13" t="s">
        <v>33</v>
      </c>
      <c r="AB12" s="38">
        <v>1.5</v>
      </c>
    </row>
    <row r="13" spans="1:28" s="20" customFormat="1" x14ac:dyDescent="0.2">
      <c r="B13" s="1" t="s">
        <v>16</v>
      </c>
      <c r="C13" s="36">
        <f t="shared" si="1"/>
        <v>1</v>
      </c>
      <c r="G13" s="67"/>
      <c r="I13" s="68"/>
      <c r="N13" s="67"/>
      <c r="P13" s="68"/>
      <c r="R13" s="67"/>
      <c r="T13" s="68"/>
      <c r="V13" s="1"/>
      <c r="W13" s="1"/>
      <c r="X13" s="1"/>
      <c r="Y13" s="1"/>
      <c r="Z13" s="1"/>
      <c r="AA13" s="1"/>
      <c r="AB13" s="1"/>
    </row>
    <row r="14" spans="1:28" s="20" customFormat="1" x14ac:dyDescent="0.2">
      <c r="B14" s="1" t="s">
        <v>80</v>
      </c>
      <c r="C14" s="36">
        <f t="shared" si="1"/>
        <v>1</v>
      </c>
      <c r="G14" s="67"/>
      <c r="I14" s="68"/>
      <c r="N14" s="67"/>
      <c r="P14" s="68"/>
      <c r="R14" s="67"/>
      <c r="T14" s="68"/>
      <c r="V14" s="1"/>
      <c r="W14" s="1"/>
      <c r="X14" s="1"/>
      <c r="Y14" s="1"/>
      <c r="Z14" s="1"/>
      <c r="AA14" s="1"/>
      <c r="AB14" s="1"/>
    </row>
    <row r="15" spans="1:28" s="20" customFormat="1" x14ac:dyDescent="0.2">
      <c r="B15" s="1" t="s">
        <v>81</v>
      </c>
      <c r="C15" s="36">
        <f t="shared" si="1"/>
        <v>1</v>
      </c>
      <c r="G15" s="67"/>
      <c r="I15" s="68"/>
      <c r="N15" s="67"/>
      <c r="P15" s="68"/>
      <c r="R15" s="67"/>
      <c r="T15" s="68"/>
      <c r="V15" s="1"/>
      <c r="W15" s="1"/>
      <c r="X15" s="1"/>
      <c r="Y15" s="1"/>
      <c r="Z15" s="1"/>
      <c r="AA15" s="1"/>
      <c r="AB15" s="1"/>
    </row>
    <row r="16" spans="1:28" s="20" customFormat="1" x14ac:dyDescent="0.2">
      <c r="B16" s="12" t="s">
        <v>83</v>
      </c>
      <c r="C16" s="36">
        <f t="shared" si="1"/>
        <v>1</v>
      </c>
      <c r="G16" s="67"/>
      <c r="I16" s="68"/>
      <c r="N16" s="67"/>
      <c r="P16" s="68"/>
      <c r="R16" s="67"/>
      <c r="T16" s="68"/>
      <c r="V16" s="1"/>
      <c r="W16" s="1"/>
      <c r="X16" s="1"/>
      <c r="Y16" s="1"/>
      <c r="Z16" s="1"/>
      <c r="AA16" s="1"/>
      <c r="AB16" s="1"/>
    </row>
    <row r="17" spans="1:23" x14ac:dyDescent="0.2">
      <c r="K17" s="1">
        <v>1</v>
      </c>
      <c r="L17" s="1">
        <f>K17+1</f>
        <v>2</v>
      </c>
      <c r="M17" s="1">
        <f t="shared" ref="M17:T17" si="2">L17+1</f>
        <v>3</v>
      </c>
      <c r="N17" s="1">
        <f t="shared" si="2"/>
        <v>4</v>
      </c>
      <c r="O17" s="1">
        <f t="shared" si="2"/>
        <v>5</v>
      </c>
      <c r="P17" s="1">
        <f t="shared" si="2"/>
        <v>6</v>
      </c>
      <c r="Q17" s="1">
        <f t="shared" si="2"/>
        <v>7</v>
      </c>
      <c r="R17" s="1">
        <f t="shared" si="2"/>
        <v>8</v>
      </c>
      <c r="S17" s="1">
        <f t="shared" si="2"/>
        <v>9</v>
      </c>
      <c r="T17" s="1">
        <f t="shared" si="2"/>
        <v>10</v>
      </c>
    </row>
    <row r="18" spans="1:23" x14ac:dyDescent="0.2">
      <c r="A18" s="20" t="s">
        <v>19</v>
      </c>
      <c r="B18" s="56"/>
      <c r="C18" s="48">
        <v>2013</v>
      </c>
      <c r="D18" s="48">
        <f>C18+1</f>
        <v>2014</v>
      </c>
      <c r="E18" s="48">
        <f t="shared" ref="E18:T18" si="3">D18+1</f>
        <v>2015</v>
      </c>
      <c r="F18" s="48">
        <f t="shared" si="3"/>
        <v>2016</v>
      </c>
      <c r="G18" s="48">
        <f t="shared" si="3"/>
        <v>2017</v>
      </c>
      <c r="H18" s="48">
        <f t="shared" si="3"/>
        <v>2018</v>
      </c>
      <c r="I18" s="48">
        <f t="shared" si="3"/>
        <v>2019</v>
      </c>
      <c r="J18" s="48">
        <f t="shared" si="3"/>
        <v>2020</v>
      </c>
      <c r="K18" s="49">
        <f t="shared" si="3"/>
        <v>2021</v>
      </c>
      <c r="L18" s="49">
        <f t="shared" si="3"/>
        <v>2022</v>
      </c>
      <c r="M18" s="49">
        <f t="shared" si="3"/>
        <v>2023</v>
      </c>
      <c r="N18" s="49">
        <f t="shared" si="3"/>
        <v>2024</v>
      </c>
      <c r="O18" s="49">
        <f t="shared" si="3"/>
        <v>2025</v>
      </c>
      <c r="P18" s="49">
        <f t="shared" si="3"/>
        <v>2026</v>
      </c>
      <c r="Q18" s="49">
        <f t="shared" si="3"/>
        <v>2027</v>
      </c>
      <c r="R18" s="49">
        <f t="shared" si="3"/>
        <v>2028</v>
      </c>
      <c r="S18" s="49">
        <f t="shared" si="3"/>
        <v>2029</v>
      </c>
      <c r="T18" s="49">
        <f t="shared" si="3"/>
        <v>2030</v>
      </c>
    </row>
    <row r="19" spans="1:23" s="20" customFormat="1" ht="7" customHeight="1" x14ac:dyDescent="0.2">
      <c r="B19" s="80"/>
      <c r="C19" s="115"/>
      <c r="D19" s="115"/>
      <c r="E19" s="115"/>
      <c r="F19" s="115"/>
      <c r="G19" s="115"/>
      <c r="H19" s="115"/>
      <c r="I19" s="115"/>
      <c r="J19" s="115"/>
      <c r="K19" s="116"/>
      <c r="L19" s="117"/>
      <c r="M19" s="117"/>
      <c r="N19" s="117"/>
      <c r="O19" s="117"/>
      <c r="P19" s="117"/>
      <c r="Q19" s="117"/>
      <c r="R19" s="117"/>
      <c r="S19" s="117"/>
      <c r="T19" s="117"/>
    </row>
    <row r="20" spans="1:23" s="15" customFormat="1" x14ac:dyDescent="0.2">
      <c r="A20" s="20"/>
      <c r="B20" s="60" t="s">
        <v>91</v>
      </c>
      <c r="C20" s="61"/>
      <c r="D20" s="61"/>
      <c r="E20" s="61"/>
      <c r="F20" s="61"/>
      <c r="G20" s="61"/>
      <c r="H20" s="61"/>
      <c r="I20" s="61"/>
      <c r="J20" s="61"/>
      <c r="K20" s="119"/>
      <c r="L20" s="120"/>
      <c r="M20" s="120"/>
      <c r="N20" s="120"/>
      <c r="O20" s="120"/>
      <c r="P20" s="120"/>
      <c r="Q20" s="120"/>
      <c r="R20" s="120"/>
      <c r="S20" s="120"/>
      <c r="T20" s="120"/>
      <c r="V20" s="15" t="s">
        <v>77</v>
      </c>
    </row>
    <row r="21" spans="1:23" s="15" customFormat="1" x14ac:dyDescent="0.2">
      <c r="A21" s="20"/>
      <c r="B21" s="121" t="s">
        <v>90</v>
      </c>
      <c r="C21" s="58"/>
      <c r="D21" s="58"/>
      <c r="E21" s="58"/>
      <c r="F21" s="58"/>
      <c r="G21" s="58"/>
      <c r="H21" s="58"/>
      <c r="I21" s="58"/>
      <c r="J21" s="58"/>
      <c r="K21" s="118"/>
      <c r="L21" s="123">
        <v>7.4999999999999997E-2</v>
      </c>
      <c r="M21" s="124">
        <f>L21*(1+$V$21)</f>
        <v>9.5071392716880573E-2</v>
      </c>
      <c r="N21" s="124">
        <f t="shared" ref="N21:S21" si="4">M21*(1+$V$21)</f>
        <v>0.12051426284169776</v>
      </c>
      <c r="O21" s="124">
        <f t="shared" si="4"/>
        <v>0.15276611747477889</v>
      </c>
      <c r="P21" s="124">
        <f t="shared" si="4"/>
        <v>0.19364916731037088</v>
      </c>
      <c r="Q21" s="124">
        <f t="shared" si="4"/>
        <v>0.24547328046214908</v>
      </c>
      <c r="R21" s="124">
        <f t="shared" si="4"/>
        <v>0.31116648864423924</v>
      </c>
      <c r="S21" s="124">
        <f t="shared" si="4"/>
        <v>0.39444041922972306</v>
      </c>
      <c r="T21" s="124">
        <v>0.5</v>
      </c>
      <c r="V21" s="84">
        <f>(T21/L21)^(1/(T17-L17))-1</f>
        <v>0.26761856955840768</v>
      </c>
    </row>
    <row r="22" spans="1:23" s="15" customFormat="1" x14ac:dyDescent="0.2">
      <c r="A22" s="20"/>
      <c r="B22" s="121" t="s">
        <v>21</v>
      </c>
      <c r="C22" s="58"/>
      <c r="D22" s="58"/>
      <c r="E22" s="58"/>
      <c r="F22" s="58"/>
      <c r="G22" s="58"/>
      <c r="H22" s="58"/>
      <c r="I22" s="58"/>
      <c r="J22" s="58"/>
      <c r="K22" s="118"/>
      <c r="L22" s="125">
        <v>0.05</v>
      </c>
      <c r="M22" s="124">
        <f>L22*(1+$V$22)</f>
        <v>6.2551670242953702E-2</v>
      </c>
      <c r="N22" s="124">
        <f t="shared" ref="N22:S22" si="5">M22*(1+$V$22)</f>
        <v>7.8254229003664383E-2</v>
      </c>
      <c r="O22" s="124">
        <f t="shared" si="5"/>
        <v>9.7898654555075945E-2</v>
      </c>
      <c r="P22" s="124">
        <f t="shared" si="5"/>
        <v>0.12247448713915894</v>
      </c>
      <c r="Q22" s="124">
        <f t="shared" si="5"/>
        <v>0.15321967465407085</v>
      </c>
      <c r="R22" s="124">
        <f t="shared" si="5"/>
        <v>0.19168293127388181</v>
      </c>
      <c r="S22" s="124">
        <f t="shared" si="5"/>
        <v>0.23980175016493221</v>
      </c>
      <c r="T22" s="126">
        <v>0.3</v>
      </c>
      <c r="V22" s="84">
        <f>(T22/L22)^(1/(T17-L17))-1</f>
        <v>0.25103340485907388</v>
      </c>
    </row>
    <row r="23" spans="1:23" s="15" customFormat="1" x14ac:dyDescent="0.2">
      <c r="A23" s="20"/>
      <c r="B23" s="71"/>
      <c r="C23" s="58"/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3" s="63" customFormat="1" x14ac:dyDescent="0.2">
      <c r="A24" s="20"/>
      <c r="B24" s="60" t="s">
        <v>40</v>
      </c>
      <c r="C24" s="61"/>
      <c r="D24" s="61"/>
      <c r="E24" s="61"/>
      <c r="F24" s="61"/>
      <c r="G24" s="61"/>
      <c r="H24" s="61"/>
      <c r="I24" s="61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3" x14ac:dyDescent="0.2">
      <c r="B25" s="4" t="s">
        <v>2</v>
      </c>
    </row>
    <row r="26" spans="1:23" x14ac:dyDescent="0.2">
      <c r="B26" s="1" t="s">
        <v>7</v>
      </c>
      <c r="C26" s="6">
        <v>22.48</v>
      </c>
      <c r="D26" s="6">
        <v>31.66</v>
      </c>
      <c r="E26" s="6">
        <v>50.45</v>
      </c>
      <c r="F26" s="6">
        <v>50.93</v>
      </c>
      <c r="G26" s="6">
        <v>54.48</v>
      </c>
      <c r="H26" s="6">
        <v>51.46</v>
      </c>
      <c r="I26" s="6">
        <v>32.97</v>
      </c>
      <c r="J26" s="6">
        <v>28.54</v>
      </c>
      <c r="K26" s="1">
        <f ca="1">OFFSET(K26,$C$7,0)</f>
        <v>19.100000000000001</v>
      </c>
      <c r="L26" s="7">
        <f ca="1">OFFSET(L26,$C$7,0)</f>
        <v>35.510750000000002</v>
      </c>
      <c r="M26" s="7">
        <f t="shared" ref="M26:T26" ca="1" si="6">OFFSET(M26,$C$7,0)</f>
        <v>31.654402682763521</v>
      </c>
      <c r="N26" s="7">
        <f t="shared" ca="1" si="6"/>
        <v>34.623655473991477</v>
      </c>
      <c r="O26" s="7">
        <f t="shared" ca="1" si="6"/>
        <v>37.538053094662011</v>
      </c>
      <c r="P26" s="7">
        <f t="shared" ca="1" si="6"/>
        <v>40.208398822479602</v>
      </c>
      <c r="Q26" s="7">
        <f t="shared" ca="1" si="6"/>
        <v>42.343979981887884</v>
      </c>
      <c r="R26" s="7">
        <f t="shared" ca="1" si="6"/>
        <v>43.506648669486751</v>
      </c>
      <c r="S26" s="7">
        <f t="shared" ca="1" si="6"/>
        <v>43.044984418249328</v>
      </c>
      <c r="T26" s="7">
        <f t="shared" ca="1" si="6"/>
        <v>40</v>
      </c>
    </row>
    <row r="27" spans="1:23" x14ac:dyDescent="0.2">
      <c r="B27" s="14" t="s">
        <v>23</v>
      </c>
      <c r="C27" s="25">
        <f>C26</f>
        <v>22.48</v>
      </c>
      <c r="D27" s="25">
        <f t="shared" ref="D27:J27" si="7">D26</f>
        <v>31.66</v>
      </c>
      <c r="E27" s="25">
        <f t="shared" si="7"/>
        <v>50.45</v>
      </c>
      <c r="F27" s="25">
        <f t="shared" si="7"/>
        <v>50.93</v>
      </c>
      <c r="G27" s="25">
        <f t="shared" si="7"/>
        <v>54.48</v>
      </c>
      <c r="H27" s="25">
        <f t="shared" si="7"/>
        <v>51.46</v>
      </c>
      <c r="I27" s="25">
        <f t="shared" si="7"/>
        <v>32.97</v>
      </c>
      <c r="J27" s="25">
        <f t="shared" si="7"/>
        <v>28.54</v>
      </c>
      <c r="K27" s="106">
        <f>K29</f>
        <v>19.100000000000001</v>
      </c>
      <c r="L27" s="39">
        <f>L29*(1-L21)</f>
        <v>35.510750000000002</v>
      </c>
      <c r="M27" s="39">
        <f t="shared" ref="M27:T27" si="8">M29*(1-M21)</f>
        <v>31.654402682763521</v>
      </c>
      <c r="N27" s="39">
        <f t="shared" si="8"/>
        <v>34.623655473991477</v>
      </c>
      <c r="O27" s="39">
        <f t="shared" si="8"/>
        <v>37.538053094662011</v>
      </c>
      <c r="P27" s="39">
        <f t="shared" si="8"/>
        <v>40.208398822479602</v>
      </c>
      <c r="Q27" s="39">
        <f t="shared" si="8"/>
        <v>42.343979981887884</v>
      </c>
      <c r="R27" s="39">
        <f t="shared" si="8"/>
        <v>43.506648669486751</v>
      </c>
      <c r="S27" s="39">
        <f t="shared" si="8"/>
        <v>43.044984418249328</v>
      </c>
      <c r="T27" s="39">
        <f t="shared" si="8"/>
        <v>40</v>
      </c>
    </row>
    <row r="28" spans="1:23" x14ac:dyDescent="0.2">
      <c r="A28" s="9" t="s">
        <v>8</v>
      </c>
      <c r="B28" s="14" t="s">
        <v>21</v>
      </c>
      <c r="C28" s="25">
        <f>C26</f>
        <v>22.48</v>
      </c>
      <c r="D28" s="25">
        <f t="shared" ref="D28:J28" si="9">D26</f>
        <v>31.66</v>
      </c>
      <c r="E28" s="25">
        <f t="shared" si="9"/>
        <v>50.45</v>
      </c>
      <c r="F28" s="25">
        <f t="shared" si="9"/>
        <v>50.93</v>
      </c>
      <c r="G28" s="25">
        <f t="shared" si="9"/>
        <v>54.48</v>
      </c>
      <c r="H28" s="25">
        <f t="shared" si="9"/>
        <v>51.46</v>
      </c>
      <c r="I28" s="25">
        <f t="shared" si="9"/>
        <v>32.97</v>
      </c>
      <c r="J28" s="25">
        <f t="shared" si="9"/>
        <v>28.54</v>
      </c>
      <c r="K28" s="106">
        <f>K29</f>
        <v>19.100000000000001</v>
      </c>
      <c r="L28" s="39">
        <f>L29*(1-L22)</f>
        <v>36.470500000000001</v>
      </c>
      <c r="M28" s="39">
        <f t="shared" ref="M28:T28" si="10">M29*(1-M22)</f>
        <v>32.791942574901483</v>
      </c>
      <c r="N28" s="39">
        <f t="shared" si="10"/>
        <v>36.287351415957531</v>
      </c>
      <c r="O28" s="39">
        <f t="shared" si="10"/>
        <v>39.96904385026118</v>
      </c>
      <c r="P28" s="39">
        <f t="shared" si="10"/>
        <v>43.757499053257256</v>
      </c>
      <c r="Q28" s="39">
        <f t="shared" si="10"/>
        <v>47.521245062688351</v>
      </c>
      <c r="R28" s="39">
        <f t="shared" si="10"/>
        <v>51.053216986207097</v>
      </c>
      <c r="S28" s="39">
        <f t="shared" si="10"/>
        <v>54.0371630770127</v>
      </c>
      <c r="T28" s="39">
        <f t="shared" si="10"/>
        <v>56</v>
      </c>
      <c r="V28" s="1" t="s">
        <v>24</v>
      </c>
    </row>
    <row r="29" spans="1:23" x14ac:dyDescent="0.2">
      <c r="B29" s="14" t="s">
        <v>22</v>
      </c>
      <c r="C29" s="25">
        <f>C26</f>
        <v>22.48</v>
      </c>
      <c r="D29" s="25">
        <f t="shared" ref="D29:J29" si="11">D26</f>
        <v>31.66</v>
      </c>
      <c r="E29" s="25">
        <f t="shared" si="11"/>
        <v>50.45</v>
      </c>
      <c r="F29" s="25">
        <f t="shared" si="11"/>
        <v>50.93</v>
      </c>
      <c r="G29" s="25">
        <f t="shared" si="11"/>
        <v>54.48</v>
      </c>
      <c r="H29" s="25">
        <f t="shared" si="11"/>
        <v>51.46</v>
      </c>
      <c r="I29" s="25">
        <f t="shared" si="11"/>
        <v>32.97</v>
      </c>
      <c r="J29" s="25">
        <f t="shared" si="11"/>
        <v>28.54</v>
      </c>
      <c r="K29" s="107">
        <f>K213</f>
        <v>19.100000000000001</v>
      </c>
      <c r="L29" s="107">
        <f t="shared" ref="L29:T29" si="12">L213</f>
        <v>38.39</v>
      </c>
      <c r="M29" s="107">
        <f t="shared" si="12"/>
        <v>34.980000000000004</v>
      </c>
      <c r="N29" s="107">
        <f t="shared" si="12"/>
        <v>39.368069328632473</v>
      </c>
      <c r="O29" s="107">
        <f t="shared" si="12"/>
        <v>44.306600419211335</v>
      </c>
      <c r="P29" s="107">
        <f t="shared" si="12"/>
        <v>49.864645998271243</v>
      </c>
      <c r="Q29" s="107">
        <f t="shared" si="12"/>
        <v>56.119921118000505</v>
      </c>
      <c r="R29" s="107">
        <f t="shared" si="12"/>
        <v>63.159889802482247</v>
      </c>
      <c r="S29" s="107">
        <f t="shared" si="12"/>
        <v>71.082988008373576</v>
      </c>
      <c r="T29" s="107">
        <f t="shared" si="12"/>
        <v>80</v>
      </c>
      <c r="V29" s="108"/>
      <c r="W29" s="1" t="s">
        <v>87</v>
      </c>
    </row>
    <row r="30" spans="1:23" ht="8" customHeight="1" x14ac:dyDescent="0.2">
      <c r="B30" s="14"/>
      <c r="C30" s="6"/>
      <c r="D30" s="6"/>
      <c r="E30" s="6"/>
      <c r="F30" s="6"/>
      <c r="G30" s="6"/>
      <c r="H30" s="6"/>
      <c r="I30" s="6"/>
      <c r="J30" s="6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3" ht="14" customHeight="1" x14ac:dyDescent="0.2">
      <c r="B31" s="30" t="s">
        <v>30</v>
      </c>
      <c r="C31" s="6"/>
      <c r="D31" s="6"/>
      <c r="E31" s="6"/>
      <c r="F31" s="6"/>
      <c r="G31" s="6"/>
      <c r="H31" s="6"/>
      <c r="I31" s="6"/>
      <c r="J31" s="6"/>
      <c r="K31" s="20"/>
      <c r="L31" s="20"/>
      <c r="M31" s="20"/>
      <c r="N31" s="20"/>
      <c r="O31" s="20"/>
      <c r="P31" s="20"/>
      <c r="Q31" s="20"/>
      <c r="R31" s="20"/>
      <c r="S31" s="20"/>
      <c r="T31" s="20"/>
      <c r="V31" s="114"/>
      <c r="W31" s="1" t="s">
        <v>89</v>
      </c>
    </row>
    <row r="32" spans="1:23" x14ac:dyDescent="0.2">
      <c r="B32" s="14" t="s">
        <v>23</v>
      </c>
      <c r="C32" s="6"/>
      <c r="D32" s="44">
        <f>D27/C27-1</f>
        <v>0.40836298932384341</v>
      </c>
      <c r="E32" s="44">
        <f>E27/D27-1</f>
        <v>0.59349336702463695</v>
      </c>
      <c r="F32" s="44">
        <f>F27/E27-1</f>
        <v>9.5143706640237191E-3</v>
      </c>
      <c r="G32" s="44">
        <f>G27/F27-1</f>
        <v>6.9703514627920571E-2</v>
      </c>
      <c r="H32" s="44">
        <f>H27/G27-1</f>
        <v>-5.5433186490455144E-2</v>
      </c>
      <c r="I32" s="44">
        <f>I27/H27-1</f>
        <v>-0.35930820054411194</v>
      </c>
      <c r="J32" s="44">
        <f>J27/I27-1</f>
        <v>-0.13436457385501976</v>
      </c>
      <c r="K32" s="122">
        <f t="shared" ref="K32:T32" si="13">K27/J27-1</f>
        <v>-0.33076384022424665</v>
      </c>
      <c r="L32" s="122">
        <f t="shared" si="13"/>
        <v>0.85920157068062819</v>
      </c>
      <c r="M32" s="122">
        <f t="shared" si="13"/>
        <v>-0.10859661700292111</v>
      </c>
      <c r="N32" s="122">
        <f t="shared" si="13"/>
        <v>9.3802205683216844E-2</v>
      </c>
      <c r="O32" s="122">
        <f t="shared" si="13"/>
        <v>8.417359694616211E-2</v>
      </c>
      <c r="P32" s="122">
        <f t="shared" si="13"/>
        <v>7.1137033161619012E-2</v>
      </c>
      <c r="Q32" s="122">
        <f t="shared" si="13"/>
        <v>5.3112812794085418E-2</v>
      </c>
      <c r="R32" s="122">
        <f t="shared" si="13"/>
        <v>2.7457709173681399E-2</v>
      </c>
      <c r="S32" s="122">
        <f t="shared" si="13"/>
        <v>-1.0611349422581684E-2</v>
      </c>
      <c r="T32" s="122">
        <f t="shared" si="13"/>
        <v>-7.0739586955417266E-2</v>
      </c>
    </row>
    <row r="33" spans="1:22" x14ac:dyDescent="0.2">
      <c r="B33" s="14" t="s">
        <v>25</v>
      </c>
      <c r="C33" s="6"/>
      <c r="D33" s="44">
        <f>D28/C28-1</f>
        <v>0.40836298932384341</v>
      </c>
      <c r="E33" s="44">
        <f>E28/D28-1</f>
        <v>0.59349336702463695</v>
      </c>
      <c r="F33" s="44">
        <f>F28/E28-1</f>
        <v>9.5143706640237191E-3</v>
      </c>
      <c r="G33" s="44">
        <f>G28/F28-1</f>
        <v>6.9703514627920571E-2</v>
      </c>
      <c r="H33" s="44">
        <f>H28/G28-1</f>
        <v>-5.5433186490455144E-2</v>
      </c>
      <c r="I33" s="44">
        <f>I28/H28-1</f>
        <v>-0.35930820054411194</v>
      </c>
      <c r="J33" s="44">
        <f>J28/I28-1</f>
        <v>-0.13436457385501976</v>
      </c>
      <c r="K33" s="122">
        <f t="shared" ref="K33:T33" si="14">K28/J28-1</f>
        <v>-0.33076384022424665</v>
      </c>
      <c r="L33" s="122">
        <f t="shared" si="14"/>
        <v>0.90945026178010457</v>
      </c>
      <c r="M33" s="122">
        <f t="shared" si="14"/>
        <v>-0.10086391535894812</v>
      </c>
      <c r="N33" s="122">
        <f t="shared" si="14"/>
        <v>0.10659352775676623</v>
      </c>
      <c r="O33" s="122">
        <f t="shared" si="14"/>
        <v>0.10145938710436186</v>
      </c>
      <c r="P33" s="122">
        <f t="shared" si="14"/>
        <v>9.4784734335628062E-2</v>
      </c>
      <c r="Q33" s="122">
        <f t="shared" si="14"/>
        <v>8.6013736864857027E-2</v>
      </c>
      <c r="R33" s="122">
        <f t="shared" si="14"/>
        <v>7.4324061140643272E-2</v>
      </c>
      <c r="S33" s="122">
        <f t="shared" si="14"/>
        <v>5.8447758377533132E-2</v>
      </c>
      <c r="T33" s="122">
        <f t="shared" si="14"/>
        <v>3.6323833658512106E-2</v>
      </c>
    </row>
    <row r="34" spans="1:22" x14ac:dyDescent="0.2">
      <c r="B34" s="14" t="s">
        <v>22</v>
      </c>
      <c r="C34" s="6"/>
      <c r="D34" s="44">
        <f>D29/C29-1</f>
        <v>0.40836298932384341</v>
      </c>
      <c r="E34" s="44">
        <f>E29/D29-1</f>
        <v>0.59349336702463695</v>
      </c>
      <c r="F34" s="44">
        <f>F29/E29-1</f>
        <v>9.5143706640237191E-3</v>
      </c>
      <c r="G34" s="44">
        <f>G29/F29-1</f>
        <v>6.9703514627920571E-2</v>
      </c>
      <c r="H34" s="44">
        <f>H29/G29-1</f>
        <v>-5.5433186490455144E-2</v>
      </c>
      <c r="I34" s="44">
        <f>I29/H29-1</f>
        <v>-0.35930820054411194</v>
      </c>
      <c r="J34" s="44">
        <f>J29/I29-1</f>
        <v>-0.13436457385501976</v>
      </c>
      <c r="K34" s="122">
        <f t="shared" ref="K34:T34" si="15">K29/J29-1</f>
        <v>-0.33076384022424665</v>
      </c>
      <c r="L34" s="122">
        <f t="shared" si="15"/>
        <v>1.0099476439790576</v>
      </c>
      <c r="M34" s="122">
        <f t="shared" si="15"/>
        <v>-8.8825214899713401E-2</v>
      </c>
      <c r="N34" s="122">
        <f t="shared" si="15"/>
        <v>0.12544509229938439</v>
      </c>
      <c r="O34" s="122">
        <f t="shared" si="15"/>
        <v>0.12544509229938439</v>
      </c>
      <c r="P34" s="122">
        <f t="shared" si="15"/>
        <v>0.12544509229938439</v>
      </c>
      <c r="Q34" s="122">
        <f t="shared" si="15"/>
        <v>0.12544509229938439</v>
      </c>
      <c r="R34" s="122">
        <f t="shared" si="15"/>
        <v>0.12544509229938439</v>
      </c>
      <c r="S34" s="122">
        <f t="shared" si="15"/>
        <v>0.12544509229938439</v>
      </c>
      <c r="T34" s="122">
        <f t="shared" si="15"/>
        <v>0.12544509229938394</v>
      </c>
    </row>
    <row r="35" spans="1:22" ht="6" customHeight="1" x14ac:dyDescent="0.2">
      <c r="A35" s="1" t="s">
        <v>0</v>
      </c>
      <c r="C35" s="6"/>
      <c r="D35" s="6"/>
      <c r="E35" s="6"/>
      <c r="F35" s="6"/>
      <c r="G35" s="6"/>
      <c r="H35" s="6"/>
      <c r="I35" s="6"/>
      <c r="J35" s="6"/>
    </row>
    <row r="36" spans="1:22" x14ac:dyDescent="0.2">
      <c r="A36" s="1" t="s">
        <v>8</v>
      </c>
      <c r="B36" s="1" t="s">
        <v>9</v>
      </c>
      <c r="C36" s="6">
        <v>97.61</v>
      </c>
      <c r="D36" s="6">
        <v>101.41</v>
      </c>
      <c r="E36" s="6">
        <v>84.06</v>
      </c>
      <c r="F36" s="6">
        <v>85.99</v>
      </c>
      <c r="G36" s="6">
        <v>83.95</v>
      </c>
      <c r="H36" s="6">
        <v>91.88</v>
      </c>
      <c r="I36" s="6">
        <v>82.55</v>
      </c>
      <c r="J36" s="6">
        <v>80.849999999999994</v>
      </c>
      <c r="K36" s="7">
        <f>J36*(1+K37)</f>
        <v>80.390093130637183</v>
      </c>
      <c r="L36" s="7">
        <f>K36*(1+L37)</f>
        <v>79.47219630530455</v>
      </c>
      <c r="M36" s="7">
        <f>L36*(1+M37)</f>
        <v>78.760371538312995</v>
      </c>
      <c r="N36" s="7">
        <f t="shared" ref="N36:T36" si="16">M36*(1+N37)</f>
        <v>76.425876199615672</v>
      </c>
      <c r="O36" s="7">
        <f t="shared" si="16"/>
        <v>75.259657144861393</v>
      </c>
      <c r="P36" s="7">
        <f t="shared" si="16"/>
        <v>74.191522502149553</v>
      </c>
      <c r="Q36" s="7">
        <f t="shared" si="16"/>
        <v>73.0123586973165</v>
      </c>
      <c r="R36" s="7">
        <f t="shared" si="16"/>
        <v>71.786582915879379</v>
      </c>
      <c r="S36" s="7">
        <f t="shared" si="16"/>
        <v>70.468943953705278</v>
      </c>
      <c r="T36" s="7">
        <f t="shared" si="16"/>
        <v>69.334546118386484</v>
      </c>
    </row>
    <row r="37" spans="1:22" x14ac:dyDescent="0.2">
      <c r="B37" s="1" t="s">
        <v>34</v>
      </c>
      <c r="C37" s="6"/>
      <c r="D37" s="22">
        <f>D36/C36-1</f>
        <v>3.8930437455178657E-2</v>
      </c>
      <c r="E37" s="22">
        <f t="shared" ref="E37:J37" si="17">E36/D36-1</f>
        <v>-0.17108766393846753</v>
      </c>
      <c r="F37" s="22">
        <f t="shared" si="17"/>
        <v>2.2959790625743492E-2</v>
      </c>
      <c r="G37" s="22">
        <f t="shared" si="17"/>
        <v>-2.3723688801023268E-2</v>
      </c>
      <c r="H37" s="22">
        <f t="shared" si="17"/>
        <v>9.4460988683740199E-2</v>
      </c>
      <c r="I37" s="22">
        <f t="shared" si="17"/>
        <v>-0.10154549412276881</v>
      </c>
      <c r="J37" s="22">
        <f t="shared" si="17"/>
        <v>-2.0593579648697791E-2</v>
      </c>
      <c r="K37" s="40">
        <f>AVERAGE(F37:J37)</f>
        <v>-5.6883966526012353E-3</v>
      </c>
      <c r="L37" s="40">
        <f>AVERAGE(G37:K37)</f>
        <v>-1.1418034108270182E-2</v>
      </c>
      <c r="M37" s="40">
        <f t="shared" ref="M37:T37" si="18">AVERAGE(H37:L37)</f>
        <v>-8.9569031697195635E-3</v>
      </c>
      <c r="N37" s="40">
        <f>AVERAGE(I37:M37)</f>
        <v>-2.9640481540411517E-2</v>
      </c>
      <c r="O37" s="40">
        <f t="shared" si="18"/>
        <v>-1.5259479023940056E-2</v>
      </c>
      <c r="P37" s="40">
        <f t="shared" si="18"/>
        <v>-1.4192658898988511E-2</v>
      </c>
      <c r="Q37" s="40">
        <f t="shared" si="18"/>
        <v>-1.5893511348265964E-2</v>
      </c>
      <c r="R37" s="40">
        <f t="shared" si="18"/>
        <v>-1.6788606796265121E-2</v>
      </c>
      <c r="S37" s="40">
        <f t="shared" si="18"/>
        <v>-1.8354947521574232E-2</v>
      </c>
      <c r="T37" s="40">
        <f t="shared" si="18"/>
        <v>-1.6097840717806778E-2</v>
      </c>
      <c r="V37" s="1" t="s">
        <v>37</v>
      </c>
    </row>
    <row r="38" spans="1:22" s="19" customFormat="1" x14ac:dyDescent="0.2">
      <c r="A38" s="41"/>
      <c r="B38" s="19" t="s">
        <v>10</v>
      </c>
      <c r="C38" s="42">
        <f>C26*C36</f>
        <v>2194.2728000000002</v>
      </c>
      <c r="D38" s="42">
        <f>D26*D36</f>
        <v>3210.6405999999997</v>
      </c>
      <c r="E38" s="42">
        <f>E26*E36</f>
        <v>4240.8270000000002</v>
      </c>
      <c r="F38" s="42">
        <f>F26*F36</f>
        <v>4379.4706999999999</v>
      </c>
      <c r="G38" s="42">
        <f>G26*G36</f>
        <v>4573.5959999999995</v>
      </c>
      <c r="H38" s="42">
        <f>H26*H36</f>
        <v>4728.1448</v>
      </c>
      <c r="I38" s="42">
        <f>I26*I36</f>
        <v>2721.6734999999999</v>
      </c>
      <c r="J38" s="42">
        <f>J26*J36</f>
        <v>2307.4589999999998</v>
      </c>
      <c r="K38" s="42">
        <f ca="1">K26*K36</f>
        <v>1535.4507787951702</v>
      </c>
      <c r="L38" s="42">
        <f ca="1">L26*L36</f>
        <v>2822.1172949485936</v>
      </c>
      <c r="M38" s="42">
        <f t="shared" ref="M38:T38" ca="1" si="19">M26*M36</f>
        <v>2493.1125161178265</v>
      </c>
      <c r="N38" s="42">
        <f t="shared" ca="1" si="19"/>
        <v>2646.1432068334179</v>
      </c>
      <c r="O38" s="42">
        <f t="shared" ca="1" si="19"/>
        <v>2825.1010057898661</v>
      </c>
      <c r="P38" s="42">
        <f t="shared" ca="1" si="19"/>
        <v>2983.1223260133988</v>
      </c>
      <c r="Q38" s="42">
        <f t="shared" ca="1" si="19"/>
        <v>3091.6338551095878</v>
      </c>
      <c r="R38" s="42">
        <f t="shared" ca="1" si="19"/>
        <v>3123.1936421041437</v>
      </c>
      <c r="S38" s="42">
        <f t="shared" ca="1" si="19"/>
        <v>3033.3345944577291</v>
      </c>
      <c r="T38" s="42">
        <f t="shared" ca="1" si="19"/>
        <v>2773.3818447354593</v>
      </c>
    </row>
    <row r="41" spans="1:22" x14ac:dyDescent="0.2">
      <c r="B41" s="4" t="s">
        <v>3</v>
      </c>
    </row>
    <row r="42" spans="1:22" x14ac:dyDescent="0.2">
      <c r="A42" s="9"/>
      <c r="B42" s="1" t="str">
        <f>B26</f>
        <v>Unit (# k)</v>
      </c>
      <c r="C42" s="11">
        <v>0</v>
      </c>
      <c r="D42" s="11">
        <v>0</v>
      </c>
      <c r="E42" s="6">
        <v>0.21</v>
      </c>
      <c r="F42" s="6">
        <v>25.31</v>
      </c>
      <c r="G42" s="6">
        <v>46.91</v>
      </c>
      <c r="H42" s="6">
        <v>47.96</v>
      </c>
      <c r="I42" s="6">
        <v>34.409999999999997</v>
      </c>
      <c r="J42" s="6">
        <v>28.54</v>
      </c>
      <c r="K42" s="7">
        <f ca="1">OFFSET(K42,$C$8,0)</f>
        <v>6.8</v>
      </c>
      <c r="L42" s="7">
        <f t="shared" ref="L42:T42" ca="1" si="20">OFFSET(L42,$C$8,0)</f>
        <v>31.644250000000003</v>
      </c>
      <c r="M42" s="7">
        <f t="shared" ca="1" si="20"/>
        <v>30.061728333945226</v>
      </c>
      <c r="N42" s="7">
        <f t="shared" ca="1" si="20"/>
        <v>30.973881001691581</v>
      </c>
      <c r="O42" s="7">
        <f t="shared" ca="1" si="20"/>
        <v>31.632778261096913</v>
      </c>
      <c r="P42" s="7">
        <f t="shared" ca="1" si="20"/>
        <v>31.917234665463962</v>
      </c>
      <c r="Q42" s="7">
        <f t="shared" ca="1" si="20"/>
        <v>31.662342195162218</v>
      </c>
      <c r="R42" s="7">
        <f t="shared" ca="1" si="20"/>
        <v>30.644312203200901</v>
      </c>
      <c r="S42" s="7">
        <f t="shared" ca="1" si="20"/>
        <v>28.56009760877004</v>
      </c>
      <c r="T42" s="7">
        <f t="shared" ca="1" si="20"/>
        <v>25</v>
      </c>
    </row>
    <row r="43" spans="1:22" x14ac:dyDescent="0.2">
      <c r="B43" s="14" t="s">
        <v>23</v>
      </c>
      <c r="C43" s="11">
        <v>0</v>
      </c>
      <c r="D43" s="11">
        <v>0</v>
      </c>
      <c r="E43" s="25">
        <f>E42</f>
        <v>0.21</v>
      </c>
      <c r="F43" s="25">
        <f t="shared" ref="F43:J43" si="21">F42</f>
        <v>25.31</v>
      </c>
      <c r="G43" s="25">
        <f t="shared" si="21"/>
        <v>46.91</v>
      </c>
      <c r="H43" s="25">
        <f t="shared" si="21"/>
        <v>47.96</v>
      </c>
      <c r="I43" s="25">
        <f t="shared" si="21"/>
        <v>34.409999999999997</v>
      </c>
      <c r="J43" s="25">
        <f t="shared" si="21"/>
        <v>28.54</v>
      </c>
      <c r="K43" s="106">
        <f>K45</f>
        <v>6.8</v>
      </c>
      <c r="L43" s="39">
        <f>L45*(1-L21)</f>
        <v>31.644250000000003</v>
      </c>
      <c r="M43" s="39">
        <f t="shared" ref="M43:T43" si="22">M45*(1-M21)</f>
        <v>30.061728333945226</v>
      </c>
      <c r="N43" s="39">
        <f t="shared" si="22"/>
        <v>30.973881001691581</v>
      </c>
      <c r="O43" s="39">
        <f t="shared" si="22"/>
        <v>31.632778261096913</v>
      </c>
      <c r="P43" s="39">
        <f t="shared" si="22"/>
        <v>31.917234665463962</v>
      </c>
      <c r="Q43" s="39">
        <f t="shared" si="22"/>
        <v>31.662342195162218</v>
      </c>
      <c r="R43" s="39">
        <f t="shared" si="22"/>
        <v>30.644312203200901</v>
      </c>
      <c r="S43" s="39">
        <f t="shared" si="22"/>
        <v>28.56009760877004</v>
      </c>
      <c r="T43" s="39">
        <f t="shared" si="22"/>
        <v>25</v>
      </c>
    </row>
    <row r="44" spans="1:22" x14ac:dyDescent="0.2">
      <c r="A44" s="9" t="s">
        <v>8</v>
      </c>
      <c r="B44" s="14" t="s">
        <v>21</v>
      </c>
      <c r="C44" s="11">
        <v>0</v>
      </c>
      <c r="D44" s="11">
        <v>0</v>
      </c>
      <c r="E44" s="25">
        <f>E42</f>
        <v>0.21</v>
      </c>
      <c r="F44" s="25">
        <f t="shared" ref="F44:J45" si="23">F42</f>
        <v>25.31</v>
      </c>
      <c r="G44" s="25">
        <f t="shared" si="23"/>
        <v>46.91</v>
      </c>
      <c r="H44" s="25">
        <f t="shared" si="23"/>
        <v>47.96</v>
      </c>
      <c r="I44" s="25">
        <f t="shared" si="23"/>
        <v>34.409999999999997</v>
      </c>
      <c r="J44" s="25">
        <f t="shared" si="23"/>
        <v>28.54</v>
      </c>
      <c r="K44" s="106">
        <f>K45</f>
        <v>6.8</v>
      </c>
      <c r="L44" s="39">
        <f>L45*(1-L22)</f>
        <v>32.499499999999998</v>
      </c>
      <c r="M44" s="39">
        <f t="shared" ref="M44:T44" si="24">M45*(1-M22)</f>
        <v>31.142033514529075</v>
      </c>
      <c r="N44" s="39">
        <f t="shared" si="24"/>
        <v>32.46220219204546</v>
      </c>
      <c r="O44" s="39">
        <f t="shared" si="24"/>
        <v>33.68133925952494</v>
      </c>
      <c r="P44" s="39">
        <f t="shared" si="24"/>
        <v>34.734493453039754</v>
      </c>
      <c r="Q44" s="39">
        <f t="shared" si="24"/>
        <v>35.533597062878599</v>
      </c>
      <c r="R44" s="39">
        <f t="shared" si="24"/>
        <v>35.959807710961201</v>
      </c>
      <c r="S44" s="39">
        <f t="shared" si="24"/>
        <v>35.853344421846458</v>
      </c>
      <c r="T44" s="39">
        <f t="shared" si="24"/>
        <v>35</v>
      </c>
    </row>
    <row r="45" spans="1:22" x14ac:dyDescent="0.2">
      <c r="B45" s="14" t="s">
        <v>22</v>
      </c>
      <c r="C45" s="11">
        <v>0</v>
      </c>
      <c r="D45" s="11">
        <v>0</v>
      </c>
      <c r="E45" s="25">
        <f>E43</f>
        <v>0.21</v>
      </c>
      <c r="F45" s="25">
        <f>F43</f>
        <v>25.31</v>
      </c>
      <c r="G45" s="25">
        <f t="shared" si="23"/>
        <v>46.91</v>
      </c>
      <c r="H45" s="25">
        <f t="shared" si="23"/>
        <v>47.96</v>
      </c>
      <c r="I45" s="25">
        <f t="shared" si="23"/>
        <v>34.409999999999997</v>
      </c>
      <c r="J45" s="25">
        <f t="shared" si="23"/>
        <v>28.54</v>
      </c>
      <c r="K45" s="107">
        <f>K214</f>
        <v>6.8</v>
      </c>
      <c r="L45" s="107">
        <f t="shared" ref="L45:T45" si="25">L214</f>
        <v>34.21</v>
      </c>
      <c r="M45" s="107">
        <f t="shared" si="25"/>
        <v>33.22</v>
      </c>
      <c r="N45" s="107">
        <f t="shared" si="25"/>
        <v>35.218173181262706</v>
      </c>
      <c r="O45" s="107">
        <f t="shared" si="25"/>
        <v>37.336535888784219</v>
      </c>
      <c r="P45" s="107">
        <f t="shared" si="25"/>
        <v>39.582317487044946</v>
      </c>
      <c r="Q45" s="107">
        <f t="shared" si="25"/>
        <v>41.963182184662017</v>
      </c>
      <c r="R45" s="107">
        <f t="shared" si="25"/>
        <v>44.487255190135606</v>
      </c>
      <c r="S45" s="107">
        <f t="shared" si="25"/>
        <v>47.163150440855631</v>
      </c>
      <c r="T45" s="107">
        <f t="shared" si="25"/>
        <v>50</v>
      </c>
    </row>
    <row r="46" spans="1:22" ht="7" customHeight="1" x14ac:dyDescent="0.2">
      <c r="B46" s="14"/>
      <c r="C46" s="6"/>
      <c r="D46" s="6"/>
      <c r="E46" s="6"/>
      <c r="F46" s="6"/>
      <c r="G46" s="6"/>
      <c r="H46" s="6"/>
      <c r="I46" s="6"/>
      <c r="J46" s="6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2" ht="14" customHeight="1" x14ac:dyDescent="0.2">
      <c r="B47" s="30" t="s">
        <v>30</v>
      </c>
      <c r="C47" s="6"/>
      <c r="D47" s="6"/>
      <c r="E47" s="6"/>
      <c r="F47" s="6"/>
      <c r="G47" s="6"/>
      <c r="H47" s="6"/>
      <c r="I47" s="6"/>
      <c r="J47" s="6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2" x14ac:dyDescent="0.2">
      <c r="B48" s="14" t="s">
        <v>23</v>
      </c>
      <c r="C48" s="6"/>
      <c r="D48" s="6"/>
      <c r="E48" s="6"/>
      <c r="F48" s="44">
        <f>F43/E43-1</f>
        <v>119.52380952380952</v>
      </c>
      <c r="G48" s="44">
        <f>G43/F43-1</f>
        <v>0.85341762149348077</v>
      </c>
      <c r="H48" s="44">
        <f>H43/G43-1</f>
        <v>2.2383287145598008E-2</v>
      </c>
      <c r="I48" s="44">
        <f>I43/H43-1</f>
        <v>-0.28252710592160146</v>
      </c>
      <c r="J48" s="44">
        <f>J43/I43-1</f>
        <v>-0.1705899447834931</v>
      </c>
      <c r="K48" s="122">
        <f t="shared" ref="K48:T48" si="26">K43/J43-1</f>
        <v>-0.76173791170287319</v>
      </c>
      <c r="L48" s="122">
        <f t="shared" si="26"/>
        <v>3.6535661764705889</v>
      </c>
      <c r="M48" s="122">
        <f t="shared" si="26"/>
        <v>-5.0009770054742275E-2</v>
      </c>
      <c r="N48" s="122">
        <f t="shared" si="26"/>
        <v>3.0342655539081775E-2</v>
      </c>
      <c r="O48" s="122">
        <f t="shared" si="26"/>
        <v>2.1272673559033395E-2</v>
      </c>
      <c r="P48" s="122">
        <f t="shared" si="26"/>
        <v>8.9924571916872864E-3</v>
      </c>
      <c r="Q48" s="122">
        <f t="shared" si="26"/>
        <v>-7.9860449369553166E-3</v>
      </c>
      <c r="R48" s="122">
        <f t="shared" si="26"/>
        <v>-3.2152706381806007E-2</v>
      </c>
      <c r="S48" s="122">
        <f t="shared" si="26"/>
        <v>-6.8013097523956123E-2</v>
      </c>
      <c r="T48" s="122">
        <f t="shared" si="26"/>
        <v>-0.12465285159518602</v>
      </c>
    </row>
    <row r="49" spans="1:20" x14ac:dyDescent="0.2">
      <c r="B49" s="14" t="s">
        <v>25</v>
      </c>
      <c r="C49" s="6"/>
      <c r="D49" s="11">
        <v>0</v>
      </c>
      <c r="E49" s="43" t="s">
        <v>11</v>
      </c>
      <c r="F49" s="44">
        <f>F44/E44-1</f>
        <v>119.52380952380952</v>
      </c>
      <c r="G49" s="44">
        <f>G44/F44-1</f>
        <v>0.85341762149348077</v>
      </c>
      <c r="H49" s="44">
        <f>H44/G44-1</f>
        <v>2.2383287145598008E-2</v>
      </c>
      <c r="I49" s="44">
        <f>I44/H44-1</f>
        <v>-0.28252710592160146</v>
      </c>
      <c r="J49" s="44">
        <f>J44/I44-1</f>
        <v>-0.1705899447834931</v>
      </c>
      <c r="K49" s="122">
        <f t="shared" ref="K49:T49" si="27">K44/J44-1</f>
        <v>-0.76173791170287319</v>
      </c>
      <c r="L49" s="122">
        <f t="shared" si="27"/>
        <v>3.7793382352941176</v>
      </c>
      <c r="M49" s="122">
        <f t="shared" si="27"/>
        <v>-4.1768842150523011E-2</v>
      </c>
      <c r="N49" s="122">
        <f t="shared" si="27"/>
        <v>4.2391858479648326E-2</v>
      </c>
      <c r="O49" s="122">
        <f t="shared" si="27"/>
        <v>3.7555587272456226E-2</v>
      </c>
      <c r="P49" s="122">
        <f t="shared" si="27"/>
        <v>3.1268180442586946E-2</v>
      </c>
      <c r="Q49" s="122">
        <f t="shared" si="27"/>
        <v>2.3006053360738132E-2</v>
      </c>
      <c r="R49" s="122">
        <f t="shared" si="27"/>
        <v>1.1994582122614839E-2</v>
      </c>
      <c r="S49" s="122">
        <f t="shared" si="27"/>
        <v>-2.9606189768999203E-3</v>
      </c>
      <c r="T49" s="122">
        <f t="shared" si="27"/>
        <v>-2.3800971307058605E-2</v>
      </c>
    </row>
    <row r="50" spans="1:20" x14ac:dyDescent="0.2">
      <c r="B50" s="14" t="s">
        <v>22</v>
      </c>
      <c r="C50" s="6"/>
      <c r="D50" s="6"/>
      <c r="E50" s="6"/>
      <c r="F50" s="44">
        <f>F45/E45-1</f>
        <v>119.52380952380952</v>
      </c>
      <c r="G50" s="44">
        <f>G45/F45-1</f>
        <v>0.85341762149348077</v>
      </c>
      <c r="H50" s="44">
        <f>H45/G45-1</f>
        <v>2.2383287145598008E-2</v>
      </c>
      <c r="I50" s="44">
        <f>I45/H45-1</f>
        <v>-0.28252710592160146</v>
      </c>
      <c r="J50" s="44">
        <f>J45/I45-1</f>
        <v>-0.1705899447834931</v>
      </c>
      <c r="K50" s="122">
        <f t="shared" ref="K50:T50" si="28">K45/J45-1</f>
        <v>-0.76173791170287319</v>
      </c>
      <c r="L50" s="122">
        <f t="shared" si="28"/>
        <v>4.0308823529411768</v>
      </c>
      <c r="M50" s="122">
        <f t="shared" si="28"/>
        <v>-2.8938906752411619E-2</v>
      </c>
      <c r="N50" s="122">
        <f t="shared" si="28"/>
        <v>6.014970443295331E-2</v>
      </c>
      <c r="O50" s="122">
        <f t="shared" si="28"/>
        <v>6.014970443295331E-2</v>
      </c>
      <c r="P50" s="122">
        <f t="shared" si="28"/>
        <v>6.014970443295331E-2</v>
      </c>
      <c r="Q50" s="122">
        <f t="shared" si="28"/>
        <v>6.014970443295331E-2</v>
      </c>
      <c r="R50" s="122">
        <f t="shared" si="28"/>
        <v>6.014970443295331E-2</v>
      </c>
      <c r="S50" s="122">
        <f t="shared" si="28"/>
        <v>6.014970443295331E-2</v>
      </c>
      <c r="T50" s="122">
        <f t="shared" si="28"/>
        <v>6.0149704432953088E-2</v>
      </c>
    </row>
    <row r="51" spans="1:20" ht="6" customHeight="1" x14ac:dyDescent="0.2">
      <c r="A51" s="1" t="s">
        <v>0</v>
      </c>
      <c r="C51" s="6"/>
      <c r="D51" s="6"/>
      <c r="E51" s="6"/>
      <c r="F51" s="6"/>
      <c r="G51" s="6"/>
      <c r="H51" s="6"/>
      <c r="I51" s="6"/>
      <c r="J51" s="6"/>
    </row>
    <row r="52" spans="1:20" x14ac:dyDescent="0.2">
      <c r="A52" s="9" t="s">
        <v>8</v>
      </c>
      <c r="B52" s="1" t="str">
        <f>B36</f>
        <v>Price (# k)</v>
      </c>
      <c r="C52" s="11">
        <v>0</v>
      </c>
      <c r="D52" s="11">
        <v>0</v>
      </c>
      <c r="E52" s="6">
        <v>116.36</v>
      </c>
      <c r="F52" s="6">
        <v>97.3</v>
      </c>
      <c r="G52" s="6">
        <v>100.3</v>
      </c>
      <c r="H52" s="6">
        <v>102.4</v>
      </c>
      <c r="I52" s="6">
        <v>87.8</v>
      </c>
      <c r="J52" s="6">
        <v>87.1</v>
      </c>
      <c r="K52" s="7">
        <f>J52*(1+K53)</f>
        <v>82.525802073116438</v>
      </c>
      <c r="L52" s="7">
        <f t="shared" ref="L52:T52" si="29">K52*(1+L53)</f>
        <v>80.028608462634679</v>
      </c>
      <c r="M52" s="7">
        <f t="shared" si="29"/>
        <v>76.629156831134637</v>
      </c>
      <c r="N52" s="7">
        <f t="shared" si="29"/>
        <v>72.40221715834258</v>
      </c>
      <c r="O52" s="7">
        <f t="shared" si="29"/>
        <v>69.674278605242876</v>
      </c>
      <c r="P52" s="7">
        <f>O52*(1+P53)</f>
        <v>66.63518874745597</v>
      </c>
      <c r="Q52" s="7">
        <f t="shared" si="29"/>
        <v>63.847244716486273</v>
      </c>
      <c r="R52" s="7">
        <f t="shared" si="29"/>
        <v>61.028083120095339</v>
      </c>
      <c r="S52" s="7">
        <f t="shared" si="29"/>
        <v>58.31293421986485</v>
      </c>
      <c r="T52" s="7">
        <f t="shared" si="29"/>
        <v>55.843032178399291</v>
      </c>
    </row>
    <row r="53" spans="1:20" x14ac:dyDescent="0.2">
      <c r="B53" s="1" t="s">
        <v>35</v>
      </c>
      <c r="C53" s="11">
        <v>0</v>
      </c>
      <c r="D53" s="11">
        <v>0</v>
      </c>
      <c r="E53" s="11">
        <v>0</v>
      </c>
      <c r="F53" s="21">
        <f>F52/E52-1</f>
        <v>-0.16380199381230665</v>
      </c>
      <c r="G53" s="21">
        <f t="shared" ref="G53:I53" si="30">G52/F52-1</f>
        <v>3.0832476875642278E-2</v>
      </c>
      <c r="H53" s="21">
        <f t="shared" si="30"/>
        <v>2.0937188434696052E-2</v>
      </c>
      <c r="I53" s="21">
        <f t="shared" si="30"/>
        <v>-0.14257812500000011</v>
      </c>
      <c r="J53" s="21">
        <f>J52/I52-1</f>
        <v>-7.9726651480638289E-3</v>
      </c>
      <c r="K53" s="45">
        <f>AVERAGE(F53:J53)</f>
        <v>-5.251662373000645E-2</v>
      </c>
      <c r="L53" s="45">
        <f>AVERAGE(G53:K53)</f>
        <v>-3.0259549713546413E-2</v>
      </c>
      <c r="M53" s="45">
        <f t="shared" ref="M53:T53" si="31">AVERAGE(H53:L53)</f>
        <v>-4.247795503138415E-2</v>
      </c>
      <c r="N53" s="45">
        <f t="shared" si="31"/>
        <v>-5.5160983724600189E-2</v>
      </c>
      <c r="O53" s="45">
        <f>AVERAGE(J53:N53)</f>
        <v>-3.7677555469520209E-2</v>
      </c>
      <c r="P53" s="45">
        <f t="shared" si="31"/>
        <v>-4.3618533533811482E-2</v>
      </c>
      <c r="Q53" s="45">
        <f t="shared" si="31"/>
        <v>-4.1838915494572484E-2</v>
      </c>
      <c r="R53" s="45">
        <f t="shared" si="31"/>
        <v>-4.4154788650777696E-2</v>
      </c>
      <c r="S53" s="45">
        <f t="shared" si="31"/>
        <v>-4.4490155374656414E-2</v>
      </c>
      <c r="T53" s="45">
        <f t="shared" si="31"/>
        <v>-4.2355989704667654E-2</v>
      </c>
    </row>
    <row r="54" spans="1:20" s="16" customFormat="1" x14ac:dyDescent="0.2">
      <c r="A54" s="20"/>
      <c r="B54" s="16" t="str">
        <f>B38</f>
        <v>Revenue ($m)</v>
      </c>
      <c r="C54" s="17">
        <v>0</v>
      </c>
      <c r="D54" s="17">
        <v>0</v>
      </c>
      <c r="E54" s="18">
        <f>E42*E52</f>
        <v>24.435599999999997</v>
      </c>
      <c r="F54" s="18">
        <f>F42*F52</f>
        <v>2462.663</v>
      </c>
      <c r="G54" s="18">
        <f>G42*G52</f>
        <v>4705.0729999999994</v>
      </c>
      <c r="H54" s="18">
        <f>H42*H52</f>
        <v>4911.1040000000003</v>
      </c>
      <c r="I54" s="18">
        <f>I42*I52</f>
        <v>3021.1979999999994</v>
      </c>
      <c r="J54" s="18">
        <f>J42*J52</f>
        <v>2485.8339999999998</v>
      </c>
      <c r="K54" s="18">
        <f ca="1">K42*K52</f>
        <v>561.17545409719173</v>
      </c>
      <c r="L54" s="18">
        <f ca="1">L42*L52</f>
        <v>2532.4452933437278</v>
      </c>
      <c r="M54" s="18">
        <f t="shared" ref="M54:T54" ca="1" si="32">M42*M52</f>
        <v>2303.6048951168523</v>
      </c>
      <c r="N54" s="18">
        <f t="shared" ca="1" si="32"/>
        <v>2242.5776585211356</v>
      </c>
      <c r="O54" s="18">
        <f t="shared" ca="1" si="32"/>
        <v>2203.9910056215367</v>
      </c>
      <c r="P54" s="18">
        <f t="shared" ca="1" si="32"/>
        <v>2126.810956230036</v>
      </c>
      <c r="Q54" s="18">
        <f t="shared" ca="1" si="32"/>
        <v>2021.5533104316512</v>
      </c>
      <c r="R54" s="18">
        <f t="shared" ca="1" si="32"/>
        <v>1870.1636322950965</v>
      </c>
      <c r="S54" s="18">
        <f t="shared" ca="1" si="32"/>
        <v>1665.4230931731267</v>
      </c>
      <c r="T54" s="18">
        <f t="shared" ca="1" si="32"/>
        <v>1396.0758044599822</v>
      </c>
    </row>
    <row r="57" spans="1:20" x14ac:dyDescent="0.2">
      <c r="B57" s="4" t="s">
        <v>4</v>
      </c>
    </row>
    <row r="58" spans="1:20" x14ac:dyDescent="0.2">
      <c r="A58" s="9"/>
      <c r="B58" s="1" t="str">
        <f>B42</f>
        <v>Unit (# k)</v>
      </c>
      <c r="C58" s="11">
        <v>0</v>
      </c>
      <c r="D58" s="11">
        <v>0</v>
      </c>
      <c r="E58" s="11">
        <v>0</v>
      </c>
      <c r="F58" s="11">
        <v>0</v>
      </c>
      <c r="G58" s="6">
        <v>1.76</v>
      </c>
      <c r="H58" s="6">
        <v>146.06</v>
      </c>
      <c r="I58" s="6">
        <v>300.89</v>
      </c>
      <c r="J58" s="6">
        <v>356.56</v>
      </c>
      <c r="K58" s="7">
        <f ca="1">OFFSET(K58,$C$9,0)</f>
        <v>473</v>
      </c>
      <c r="L58" s="7">
        <f t="shared" ref="L58:T58" ca="1" si="33">OFFSET(L58,$C$9,0)</f>
        <v>560.23550000000012</v>
      </c>
      <c r="M58" s="7">
        <f t="shared" ca="1" si="33"/>
        <v>661.95527622760198</v>
      </c>
      <c r="N58" s="7">
        <f t="shared" ca="1" si="33"/>
        <v>767.86161021656073</v>
      </c>
      <c r="O58" s="7">
        <f t="shared" ca="1" si="33"/>
        <v>881.66580187334569</v>
      </c>
      <c r="P58" s="7">
        <f t="shared" ca="1" si="33"/>
        <v>1000.1640592156286</v>
      </c>
      <c r="Q58" s="7">
        <f t="shared" ca="1" si="33"/>
        <v>1115.4968663879067</v>
      </c>
      <c r="R58" s="7">
        <f t="shared" ca="1" si="33"/>
        <v>1213.8206551677297</v>
      </c>
      <c r="S58" s="7">
        <f t="shared" ca="1" si="33"/>
        <v>1271.8727464977674</v>
      </c>
      <c r="T58" s="7">
        <f t="shared" ca="1" si="33"/>
        <v>1250</v>
      </c>
    </row>
    <row r="59" spans="1:20" x14ac:dyDescent="0.2">
      <c r="B59" s="14" t="s">
        <v>23</v>
      </c>
      <c r="C59" s="11">
        <v>0</v>
      </c>
      <c r="D59" s="11">
        <v>0</v>
      </c>
      <c r="E59" s="11">
        <v>0</v>
      </c>
      <c r="F59" s="11">
        <v>0</v>
      </c>
      <c r="G59" s="25">
        <f>G58</f>
        <v>1.76</v>
      </c>
      <c r="H59" s="25">
        <f t="shared" ref="H59:J59" si="34">H58</f>
        <v>146.06</v>
      </c>
      <c r="I59" s="25">
        <f t="shared" si="34"/>
        <v>300.89</v>
      </c>
      <c r="J59" s="25">
        <f t="shared" si="34"/>
        <v>356.56</v>
      </c>
      <c r="K59" s="106">
        <f>K61</f>
        <v>473</v>
      </c>
      <c r="L59" s="39">
        <f>L61*(1-L21)</f>
        <v>560.23550000000012</v>
      </c>
      <c r="M59" s="39">
        <f t="shared" ref="M59:T59" si="35">M61*(1-M21)</f>
        <v>661.95527622760198</v>
      </c>
      <c r="N59" s="39">
        <f t="shared" si="35"/>
        <v>767.86161021656073</v>
      </c>
      <c r="O59" s="39">
        <f t="shared" si="35"/>
        <v>881.66580187334569</v>
      </c>
      <c r="P59" s="39">
        <f t="shared" si="35"/>
        <v>1000.1640592156286</v>
      </c>
      <c r="Q59" s="39">
        <f t="shared" si="35"/>
        <v>1115.4968663879067</v>
      </c>
      <c r="R59" s="39">
        <f t="shared" si="35"/>
        <v>1213.8206551677297</v>
      </c>
      <c r="S59" s="39">
        <f t="shared" si="35"/>
        <v>1271.8727464977674</v>
      </c>
      <c r="T59" s="39">
        <f t="shared" si="35"/>
        <v>1250</v>
      </c>
    </row>
    <row r="60" spans="1:20" x14ac:dyDescent="0.2">
      <c r="A60" s="9" t="s">
        <v>8</v>
      </c>
      <c r="B60" s="14" t="s">
        <v>21</v>
      </c>
      <c r="C60" s="11">
        <v>0</v>
      </c>
      <c r="D60" s="11">
        <v>0</v>
      </c>
      <c r="E60" s="11">
        <v>0</v>
      </c>
      <c r="F60" s="11">
        <v>0</v>
      </c>
      <c r="G60" s="25">
        <f>G58</f>
        <v>1.76</v>
      </c>
      <c r="H60" s="25">
        <f t="shared" ref="H60:J61" si="36">H58</f>
        <v>146.06</v>
      </c>
      <c r="I60" s="25">
        <f>I58</f>
        <v>300.89</v>
      </c>
      <c r="J60" s="25">
        <f t="shared" si="36"/>
        <v>356.56</v>
      </c>
      <c r="K60" s="106">
        <f>K61</f>
        <v>473</v>
      </c>
      <c r="L60" s="39">
        <f>L61*(1-L22)</f>
        <v>575.37700000000007</v>
      </c>
      <c r="M60" s="39">
        <f t="shared" ref="M60:T60" si="37">M61*(1-M22)</f>
        <v>685.74345321727947</v>
      </c>
      <c r="N60" s="39">
        <f t="shared" si="37"/>
        <v>804.75801030546609</v>
      </c>
      <c r="O60" s="39">
        <f t="shared" si="37"/>
        <v>938.76310013964337</v>
      </c>
      <c r="P60" s="39">
        <f t="shared" si="37"/>
        <v>1088.4461743291795</v>
      </c>
      <c r="Q60" s="39">
        <f t="shared" si="37"/>
        <v>1251.8851552677602</v>
      </c>
      <c r="R60" s="39">
        <f t="shared" si="37"/>
        <v>1424.3673366199826</v>
      </c>
      <c r="S60" s="39">
        <f t="shared" si="37"/>
        <v>1596.6644185046991</v>
      </c>
      <c r="T60" s="39">
        <f t="shared" si="37"/>
        <v>1750</v>
      </c>
    </row>
    <row r="61" spans="1:20" x14ac:dyDescent="0.2">
      <c r="B61" s="14" t="s">
        <v>22</v>
      </c>
      <c r="C61" s="11">
        <v>0</v>
      </c>
      <c r="D61" s="11">
        <v>0</v>
      </c>
      <c r="E61" s="11">
        <v>0</v>
      </c>
      <c r="F61" s="11">
        <v>0</v>
      </c>
      <c r="G61" s="25">
        <f>G59</f>
        <v>1.76</v>
      </c>
      <c r="H61" s="25">
        <f t="shared" si="36"/>
        <v>146.06</v>
      </c>
      <c r="I61" s="25">
        <f>I59</f>
        <v>300.89</v>
      </c>
      <c r="J61" s="25">
        <f t="shared" si="36"/>
        <v>356.56</v>
      </c>
      <c r="K61" s="107">
        <f>K215</f>
        <v>473</v>
      </c>
      <c r="L61" s="107">
        <f t="shared" ref="L61:T61" si="38">L215</f>
        <v>605.66000000000008</v>
      </c>
      <c r="M61" s="107">
        <f t="shared" si="38"/>
        <v>731.50000000000011</v>
      </c>
      <c r="N61" s="107">
        <f t="shared" si="38"/>
        <v>873.08023061020958</v>
      </c>
      <c r="O61" s="107">
        <f t="shared" si="38"/>
        <v>1040.6403946517089</v>
      </c>
      <c r="P61" s="107">
        <f t="shared" si="38"/>
        <v>1240.3584378768785</v>
      </c>
      <c r="Q61" s="107">
        <f t="shared" si="38"/>
        <v>1478.406049120634</v>
      </c>
      <c r="R61" s="107">
        <f t="shared" si="38"/>
        <v>1762.139377886378</v>
      </c>
      <c r="S61" s="107">
        <f t="shared" si="38"/>
        <v>2100.3263541465803</v>
      </c>
      <c r="T61" s="107">
        <f t="shared" si="38"/>
        <v>2500</v>
      </c>
    </row>
    <row r="62" spans="1:20" x14ac:dyDescent="0.2">
      <c r="B62" s="14"/>
      <c r="C62" s="6"/>
      <c r="D62" s="6"/>
      <c r="E62" s="6"/>
      <c r="F62" s="6"/>
      <c r="G62" s="6"/>
      <c r="H62" s="6"/>
      <c r="I62" s="6"/>
      <c r="J62" s="6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ht="14" customHeight="1" x14ac:dyDescent="0.2">
      <c r="B63" s="30" t="s">
        <v>30</v>
      </c>
      <c r="C63" s="6"/>
      <c r="D63" s="6"/>
      <c r="E63" s="6"/>
      <c r="F63" s="6"/>
      <c r="G63" s="6"/>
      <c r="H63" s="6"/>
      <c r="I63" s="6"/>
      <c r="J63" s="6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x14ac:dyDescent="0.2">
      <c r="B64" s="14" t="s">
        <v>23</v>
      </c>
      <c r="C64" s="6"/>
      <c r="D64" s="11">
        <v>0</v>
      </c>
      <c r="E64" s="11">
        <v>0</v>
      </c>
      <c r="F64" s="11">
        <v>0</v>
      </c>
      <c r="G64" s="11">
        <v>0</v>
      </c>
      <c r="H64" s="44">
        <f>H59/G59-1</f>
        <v>81.98863636363636</v>
      </c>
      <c r="I64" s="44">
        <f>I59/H59-1</f>
        <v>1.0600438176092015</v>
      </c>
      <c r="J64" s="44">
        <f>J59/I59-1</f>
        <v>0.18501778058426677</v>
      </c>
      <c r="K64" s="122">
        <f>K59/J59-1</f>
        <v>0.32656495400493601</v>
      </c>
      <c r="L64" s="122">
        <f>L59/K59-1</f>
        <v>0.18443023255813973</v>
      </c>
      <c r="M64" s="122">
        <f>M59/L59-1</f>
        <v>0.18156610251867633</v>
      </c>
      <c r="N64" s="122">
        <f>N59/M59-1</f>
        <v>0.15999016518533593</v>
      </c>
      <c r="O64" s="122">
        <f>O59/N59-1</f>
        <v>0.14820924778970079</v>
      </c>
      <c r="P64" s="122">
        <f>P59/O59-1</f>
        <v>0.1344026921431003</v>
      </c>
      <c r="Q64" s="122">
        <f>Q59/P59-1</f>
        <v>0.1153138888661196</v>
      </c>
      <c r="R64" s="122">
        <f>R59/Q59-1</f>
        <v>8.8143491696400345E-2</v>
      </c>
      <c r="S64" s="122">
        <f>S59/R59-1</f>
        <v>4.7825921467793631E-2</v>
      </c>
      <c r="T64" s="122">
        <f>T59/S59-1</f>
        <v>-1.7197275873703788E-2</v>
      </c>
    </row>
    <row r="65" spans="1:20" x14ac:dyDescent="0.2">
      <c r="B65" s="14" t="s">
        <v>25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44">
        <f>H60/G60-1</f>
        <v>81.98863636363636</v>
      </c>
      <c r="I65" s="44">
        <f>I60/H60-1</f>
        <v>1.0600438176092015</v>
      </c>
      <c r="J65" s="44">
        <f>J60/I60-1</f>
        <v>0.18501778058426677</v>
      </c>
      <c r="K65" s="122">
        <f>K60/J60-1</f>
        <v>0.32656495400493601</v>
      </c>
      <c r="L65" s="122">
        <f>L60/K60-1</f>
        <v>0.21644186046511638</v>
      </c>
      <c r="M65" s="122">
        <f>M60/L60-1</f>
        <v>0.19181589326177328</v>
      </c>
      <c r="N65" s="122">
        <f>N60/M60-1</f>
        <v>0.17355551340637665</v>
      </c>
      <c r="O65" s="122">
        <f>O60/N60-1</f>
        <v>0.16651600620081086</v>
      </c>
      <c r="P65" s="122">
        <f>P60/O60-1</f>
        <v>0.15944712160849783</v>
      </c>
      <c r="Q65" s="122">
        <f>Q60/P60-1</f>
        <v>0.15015807376906798</v>
      </c>
      <c r="R65" s="122">
        <f>R60/Q60-1</f>
        <v>0.13777795880591848</v>
      </c>
      <c r="S65" s="122">
        <f>S60/R60-1</f>
        <v>0.12096393778137093</v>
      </c>
      <c r="T65" s="122">
        <f>T60/S60-1</f>
        <v>9.6034946177921299E-2</v>
      </c>
    </row>
    <row r="66" spans="1:20" x14ac:dyDescent="0.2">
      <c r="B66" s="14" t="s">
        <v>22</v>
      </c>
      <c r="C66" s="6"/>
      <c r="D66" s="11">
        <v>0</v>
      </c>
      <c r="E66" s="11">
        <v>0</v>
      </c>
      <c r="F66" s="11">
        <v>0</v>
      </c>
      <c r="G66" s="11">
        <v>0</v>
      </c>
      <c r="H66" s="44">
        <f>H61/G61-1</f>
        <v>81.98863636363636</v>
      </c>
      <c r="I66" s="44">
        <f>I61/H61-1</f>
        <v>1.0600438176092015</v>
      </c>
      <c r="J66" s="44">
        <f>J61/I61-1</f>
        <v>0.18501778058426677</v>
      </c>
      <c r="K66" s="122">
        <f>K61/J61-1</f>
        <v>0.32656495400493601</v>
      </c>
      <c r="L66" s="122">
        <f>L61/K61-1</f>
        <v>0.28046511627906989</v>
      </c>
      <c r="M66" s="122">
        <f>M61/L61-1</f>
        <v>0.20777333817653476</v>
      </c>
      <c r="N66" s="122">
        <f>N61/M61-1</f>
        <v>0.1935478203830614</v>
      </c>
      <c r="O66" s="122">
        <f>O61/N61-1</f>
        <v>0.19191840356342604</v>
      </c>
      <c r="P66" s="122">
        <f>P61/O61-1</f>
        <v>0.19191840356342604</v>
      </c>
      <c r="Q66" s="122">
        <f>Q61/P61-1</f>
        <v>0.19191840356342604</v>
      </c>
      <c r="R66" s="122">
        <f>R61/Q61-1</f>
        <v>0.19191840356342604</v>
      </c>
      <c r="S66" s="122">
        <f>S61/R61-1</f>
        <v>0.19191840356342604</v>
      </c>
      <c r="T66" s="122">
        <f>T61/S61-1</f>
        <v>0.19029121120361214</v>
      </c>
    </row>
    <row r="68" spans="1:20" ht="6" customHeight="1" x14ac:dyDescent="0.2">
      <c r="A68" s="1" t="s">
        <v>0</v>
      </c>
      <c r="C68" s="6"/>
      <c r="D68" s="6"/>
      <c r="E68" s="6"/>
      <c r="F68" s="6"/>
      <c r="G68" s="6"/>
      <c r="H68" s="6"/>
      <c r="I68" s="6"/>
      <c r="J68" s="6"/>
    </row>
    <row r="69" spans="1:20" x14ac:dyDescent="0.2">
      <c r="A69" s="9" t="s">
        <v>8</v>
      </c>
      <c r="B69" s="1" t="str">
        <f>B52</f>
        <v>Price (# k)</v>
      </c>
      <c r="C69" s="11">
        <v>0</v>
      </c>
      <c r="D69" s="11">
        <v>0</v>
      </c>
      <c r="E69" s="11">
        <v>0</v>
      </c>
      <c r="F69" s="11">
        <v>0</v>
      </c>
      <c r="G69" s="6">
        <v>42.5</v>
      </c>
      <c r="H69" s="6">
        <v>42.5</v>
      </c>
      <c r="I69" s="6">
        <v>55.46</v>
      </c>
      <c r="J69" s="6">
        <v>57.91</v>
      </c>
      <c r="K69" s="7">
        <f>J69*(1+K70)</f>
        <v>61.953474937400564</v>
      </c>
      <c r="L69" s="7">
        <f t="shared" ref="L69:T69" si="39">K69*(1+L70)</f>
        <v>67.144440018269222</v>
      </c>
      <c r="M69" s="7">
        <f t="shared" si="39"/>
        <v>73.895527550224344</v>
      </c>
      <c r="N69" s="7">
        <f t="shared" si="39"/>
        <v>71.705228529952947</v>
      </c>
      <c r="O69" s="7">
        <f t="shared" si="39"/>
        <v>70.611044099293295</v>
      </c>
      <c r="P69" s="7">
        <f t="shared" si="39"/>
        <v>69.608885635890587</v>
      </c>
      <c r="Q69" s="7">
        <f t="shared" si="39"/>
        <v>68.502556022096414</v>
      </c>
      <c r="R69" s="7">
        <f t="shared" si="39"/>
        <v>67.352493544502309</v>
      </c>
      <c r="S69" s="7">
        <f t="shared" si="39"/>
        <v>66.116242060045806</v>
      </c>
      <c r="T69" s="7">
        <f t="shared" si="39"/>
        <v>65.051913326503239</v>
      </c>
    </row>
    <row r="70" spans="1:20" x14ac:dyDescent="0.2">
      <c r="B70" s="1" t="s">
        <v>35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21">
        <f>H69/G69-1</f>
        <v>0</v>
      </c>
      <c r="I70" s="21">
        <f>I69/H69-1</f>
        <v>0.30494117647058827</v>
      </c>
      <c r="J70" s="21">
        <f t="shared" ref="J70" si="40">J69/I69-1</f>
        <v>4.4175982690227045E-2</v>
      </c>
      <c r="K70" s="45">
        <f>AVERAGE(F70:J70)</f>
        <v>6.9823431832163066E-2</v>
      </c>
      <c r="L70" s="45">
        <f t="shared" ref="L70:M70" si="41">AVERAGE(G70:K70)</f>
        <v>8.3788118198595676E-2</v>
      </c>
      <c r="M70" s="45">
        <f t="shared" si="41"/>
        <v>0.10054574183831481</v>
      </c>
      <c r="N70" s="45">
        <f>AVERAGE(I37:M37)</f>
        <v>-2.9640481540411517E-2</v>
      </c>
      <c r="O70" s="45">
        <f>AVERAGE(J37:N37)</f>
        <v>-1.5259479023940056E-2</v>
      </c>
      <c r="P70" s="45">
        <f t="shared" ref="P70:T70" si="42">AVERAGE(K37:O37)</f>
        <v>-1.4192658898988511E-2</v>
      </c>
      <c r="Q70" s="45">
        <f t="shared" si="42"/>
        <v>-1.5893511348265964E-2</v>
      </c>
      <c r="R70" s="45">
        <f t="shared" si="42"/>
        <v>-1.6788606796265121E-2</v>
      </c>
      <c r="S70" s="45">
        <f t="shared" si="42"/>
        <v>-1.8354947521574232E-2</v>
      </c>
      <c r="T70" s="45">
        <f t="shared" si="42"/>
        <v>-1.6097840717806778E-2</v>
      </c>
    </row>
    <row r="71" spans="1:20" s="16" customFormat="1" x14ac:dyDescent="0.2">
      <c r="A71" s="20"/>
      <c r="B71" s="16" t="str">
        <f>B54</f>
        <v>Revenue ($m)</v>
      </c>
      <c r="C71" s="17">
        <v>0</v>
      </c>
      <c r="D71" s="17">
        <v>0</v>
      </c>
      <c r="E71" s="17">
        <v>0</v>
      </c>
      <c r="F71" s="17">
        <v>0</v>
      </c>
      <c r="G71" s="18">
        <f>G58*G69</f>
        <v>74.8</v>
      </c>
      <c r="H71" s="18">
        <f>H58*H69</f>
        <v>6207.55</v>
      </c>
      <c r="I71" s="18">
        <f>I58*I69</f>
        <v>16687.359400000001</v>
      </c>
      <c r="J71" s="53">
        <f>J58*J69</f>
        <v>20648.389599999999</v>
      </c>
      <c r="K71" s="53">
        <f t="shared" ref="K71:T71" ca="1" si="43">K58*K69</f>
        <v>29303.993645390467</v>
      </c>
      <c r="L71" s="53">
        <f ca="1">L58*L69</f>
        <v>37616.698925855075</v>
      </c>
      <c r="M71" s="53">
        <f ca="1">M58*M69</f>
        <v>48915.53435149313</v>
      </c>
      <c r="N71" s="53">
        <f ca="1">N58*N69</f>
        <v>55059.692239956137</v>
      </c>
      <c r="O71" s="53">
        <f t="shared" ca="1" si="43"/>
        <v>62255.342816917597</v>
      </c>
      <c r="P71" s="53">
        <f t="shared" ca="1" si="43"/>
        <v>69620.305615068792</v>
      </c>
      <c r="Q71" s="53">
        <f t="shared" ca="1" si="43"/>
        <v>76414.386582210573</v>
      </c>
      <c r="R71" s="53">
        <f t="shared" ca="1" si="43"/>
        <v>81753.847841368071</v>
      </c>
      <c r="S71" s="53">
        <f t="shared" ca="1" si="43"/>
        <v>84091.446377021668</v>
      </c>
      <c r="T71" s="53">
        <f t="shared" ca="1" si="43"/>
        <v>81314.891658129054</v>
      </c>
    </row>
    <row r="74" spans="1:20" x14ac:dyDescent="0.2">
      <c r="B74" s="10" t="s">
        <v>5</v>
      </c>
    </row>
    <row r="75" spans="1:20" x14ac:dyDescent="0.2">
      <c r="B75" s="1" t="str">
        <f>B58</f>
        <v>Unit (# k)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6">
        <v>86</v>
      </c>
      <c r="K75" s="128">
        <f ca="1">OFFSET(K75,$C$10,0)</f>
        <v>379.7</v>
      </c>
      <c r="L75" s="128">
        <f t="shared" ref="L75:T75" ca="1" si="44">OFFSET(L75,$C$10,0)</f>
        <v>678.36725000000013</v>
      </c>
      <c r="M75" s="128">
        <f t="shared" ca="1" si="44"/>
        <v>755.02718348667065</v>
      </c>
      <c r="N75" s="128">
        <f t="shared" ca="1" si="44"/>
        <v>880.99452953310879</v>
      </c>
      <c r="O75" s="128">
        <f t="shared" ca="1" si="44"/>
        <v>1018.9288692964602</v>
      </c>
      <c r="P75" s="128">
        <f t="shared" ca="1" si="44"/>
        <v>1164.2888300563388</v>
      </c>
      <c r="Q75" s="128">
        <f t="shared" ca="1" si="44"/>
        <v>1307.999134372265</v>
      </c>
      <c r="R75" s="128">
        <f t="shared" ca="1" si="44"/>
        <v>1433.6503352117368</v>
      </c>
      <c r="S75" s="128">
        <f t="shared" ca="1" si="44"/>
        <v>1513.1500402364595</v>
      </c>
      <c r="T75" s="128">
        <f t="shared" ca="1" si="44"/>
        <v>1500</v>
      </c>
    </row>
    <row r="76" spans="1:20" x14ac:dyDescent="0.2">
      <c r="B76" s="14" t="s">
        <v>23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25">
        <f>J77</f>
        <v>86</v>
      </c>
      <c r="K76" s="106">
        <f>K78</f>
        <v>379.7</v>
      </c>
      <c r="L76" s="39">
        <f>L78*(1-L21)</f>
        <v>678.36725000000013</v>
      </c>
      <c r="M76" s="39">
        <f t="shared" ref="M76:T76" si="45">M78*(1-M21)</f>
        <v>755.02718348667065</v>
      </c>
      <c r="N76" s="39">
        <f t="shared" si="45"/>
        <v>880.99452953310879</v>
      </c>
      <c r="O76" s="39">
        <f t="shared" si="45"/>
        <v>1018.9288692964602</v>
      </c>
      <c r="P76" s="39">
        <f t="shared" si="45"/>
        <v>1164.2888300563388</v>
      </c>
      <c r="Q76" s="39">
        <f t="shared" si="45"/>
        <v>1307.999134372265</v>
      </c>
      <c r="R76" s="39">
        <f t="shared" si="45"/>
        <v>1433.6503352117368</v>
      </c>
      <c r="S76" s="39">
        <f t="shared" si="45"/>
        <v>1513.1500402364595</v>
      </c>
      <c r="T76" s="39">
        <f t="shared" si="45"/>
        <v>1500</v>
      </c>
    </row>
    <row r="77" spans="1:20" x14ac:dyDescent="0.2">
      <c r="A77" s="9" t="s">
        <v>8</v>
      </c>
      <c r="B77" s="14" t="s">
        <v>21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25">
        <f>J75</f>
        <v>86</v>
      </c>
      <c r="K77" s="106">
        <f>K78</f>
        <v>379.7</v>
      </c>
      <c r="L77" s="39">
        <f>L78*(1-L22)</f>
        <v>696.70150000000012</v>
      </c>
      <c r="M77" s="39">
        <f t="shared" ref="M77:T77" si="46">M78*(1-M22)</f>
        <v>782.16001393279157</v>
      </c>
      <c r="N77" s="39">
        <f t="shared" si="46"/>
        <v>923.32706212140033</v>
      </c>
      <c r="O77" s="39">
        <f t="shared" si="46"/>
        <v>1084.9154204803053</v>
      </c>
      <c r="P77" s="39">
        <f t="shared" si="46"/>
        <v>1267.05785037193</v>
      </c>
      <c r="Q77" s="39">
        <f t="shared" si="46"/>
        <v>1467.9240693216805</v>
      </c>
      <c r="R77" s="39">
        <f t="shared" si="46"/>
        <v>1682.3281931445715</v>
      </c>
      <c r="S77" s="39">
        <f t="shared" si="46"/>
        <v>1899.5554671308068</v>
      </c>
      <c r="T77" s="39">
        <f t="shared" si="46"/>
        <v>2100</v>
      </c>
    </row>
    <row r="78" spans="1:20" x14ac:dyDescent="0.2">
      <c r="B78" s="14" t="s">
        <v>22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25">
        <f>J76</f>
        <v>86</v>
      </c>
      <c r="K78" s="106">
        <f>K216</f>
        <v>379.7</v>
      </c>
      <c r="L78" s="106">
        <f t="shared" ref="L78:T78" si="47">L216</f>
        <v>733.37000000000012</v>
      </c>
      <c r="M78" s="106">
        <f t="shared" si="47"/>
        <v>834.35</v>
      </c>
      <c r="N78" s="106">
        <f t="shared" si="47"/>
        <v>1001.7155393328851</v>
      </c>
      <c r="O78" s="106">
        <f t="shared" si="47"/>
        <v>1202.6535887109401</v>
      </c>
      <c r="P78" s="106">
        <f t="shared" si="47"/>
        <v>1443.8985896161191</v>
      </c>
      <c r="Q78" s="106">
        <f t="shared" si="47"/>
        <v>1733.5358715638554</v>
      </c>
      <c r="R78" s="106">
        <f t="shared" si="47"/>
        <v>2081.2726320327083</v>
      </c>
      <c r="S78" s="106">
        <f t="shared" si="47"/>
        <v>2498.7632733210494</v>
      </c>
      <c r="T78" s="106">
        <f t="shared" si="47"/>
        <v>3000</v>
      </c>
    </row>
    <row r="79" spans="1:20" ht="18" customHeight="1" x14ac:dyDescent="0.2">
      <c r="A79" s="1" t="s">
        <v>0</v>
      </c>
      <c r="C79" s="6"/>
      <c r="D79" s="6"/>
      <c r="E79" s="6"/>
      <c r="F79" s="6"/>
      <c r="G79" s="6"/>
      <c r="H79" s="6"/>
      <c r="I79" s="6"/>
      <c r="J79" s="6"/>
    </row>
    <row r="80" spans="1:20" ht="14" customHeight="1" x14ac:dyDescent="0.2">
      <c r="B80" s="30" t="s">
        <v>30</v>
      </c>
      <c r="C80" s="6"/>
      <c r="D80" s="6"/>
      <c r="E80" s="6"/>
      <c r="F80" s="6"/>
      <c r="G80" s="6"/>
      <c r="H80" s="6"/>
      <c r="I80" s="6"/>
      <c r="J80" s="6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 spans="1:20" x14ac:dyDescent="0.2">
      <c r="B81" s="14" t="s">
        <v>23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22">
        <f>K76/J76-1</f>
        <v>3.4151162790697676</v>
      </c>
      <c r="L81" s="122">
        <f t="shared" ref="L81:T81" si="48">L76/K76-1</f>
        <v>0.78658743745061921</v>
      </c>
      <c r="M81" s="122">
        <f t="shared" si="48"/>
        <v>0.11300653663140503</v>
      </c>
      <c r="N81" s="122">
        <f t="shared" si="48"/>
        <v>0.16683816000468799</v>
      </c>
      <c r="O81" s="122">
        <f t="shared" si="48"/>
        <v>0.15656662458102999</v>
      </c>
      <c r="P81" s="122">
        <f t="shared" si="48"/>
        <v>0.14265957628646375</v>
      </c>
      <c r="Q81" s="122">
        <f t="shared" si="48"/>
        <v>0.12343183289748816</v>
      </c>
      <c r="R81" s="122">
        <f t="shared" si="48"/>
        <v>9.6063672778938347E-2</v>
      </c>
      <c r="S81" s="122">
        <f t="shared" si="48"/>
        <v>5.5452646347675438E-2</v>
      </c>
      <c r="T81" s="122">
        <f t="shared" si="48"/>
        <v>-8.690506484343441E-3</v>
      </c>
    </row>
    <row r="82" spans="1:20" x14ac:dyDescent="0.2">
      <c r="B82" s="14" t="s">
        <v>25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22">
        <f>K77/J77-1</f>
        <v>3.4151162790697676</v>
      </c>
      <c r="L82" s="122">
        <f t="shared" ref="L82:T82" si="49">L77/K77-1</f>
        <v>0.83487358440874404</v>
      </c>
      <c r="M82" s="122">
        <f t="shared" si="49"/>
        <v>0.12266159026899093</v>
      </c>
      <c r="N82" s="122">
        <f t="shared" si="49"/>
        <v>0.18048359117567836</v>
      </c>
      <c r="O82" s="122">
        <f t="shared" si="49"/>
        <v>0.17500663089809798</v>
      </c>
      <c r="P82" s="122">
        <f t="shared" si="49"/>
        <v>0.16788629459334992</v>
      </c>
      <c r="Q82" s="122">
        <f t="shared" si="49"/>
        <v>0.15852963532074593</v>
      </c>
      <c r="R82" s="122">
        <f t="shared" si="49"/>
        <v>0.14605941022682867</v>
      </c>
      <c r="S82" s="122">
        <f t="shared" si="49"/>
        <v>0.12912300636191487</v>
      </c>
      <c r="T82" s="122">
        <f t="shared" si="49"/>
        <v>0.10552181093819568</v>
      </c>
    </row>
    <row r="83" spans="1:20" x14ac:dyDescent="0.2">
      <c r="B83" s="14" t="s">
        <v>22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22">
        <f>K78/J78-1</f>
        <v>3.4151162790697676</v>
      </c>
      <c r="L83" s="122">
        <f t="shared" ref="L83:T83" si="50">L78/K78-1</f>
        <v>0.9314458783249937</v>
      </c>
      <c r="M83" s="122">
        <f t="shared" si="50"/>
        <v>0.13769311534423267</v>
      </c>
      <c r="N83" s="122">
        <f t="shared" si="50"/>
        <v>0.2005939226138731</v>
      </c>
      <c r="O83" s="122">
        <f t="shared" si="50"/>
        <v>0.2005939226138731</v>
      </c>
      <c r="P83" s="122">
        <f t="shared" si="50"/>
        <v>0.2005939226138731</v>
      </c>
      <c r="Q83" s="122">
        <f t="shared" si="50"/>
        <v>0.2005939226138731</v>
      </c>
      <c r="R83" s="122">
        <f t="shared" si="50"/>
        <v>0.2005939226138731</v>
      </c>
      <c r="S83" s="122">
        <f t="shared" si="50"/>
        <v>0.2005939226138731</v>
      </c>
      <c r="T83" s="122">
        <f t="shared" si="50"/>
        <v>0.2005939226138731</v>
      </c>
    </row>
    <row r="85" spans="1:20" ht="6" customHeight="1" x14ac:dyDescent="0.2">
      <c r="A85" s="1" t="s">
        <v>0</v>
      </c>
      <c r="C85" s="6"/>
      <c r="D85" s="6"/>
      <c r="E85" s="6"/>
      <c r="F85" s="6"/>
      <c r="G85" s="6"/>
      <c r="H85" s="6"/>
      <c r="I85" s="6"/>
      <c r="J85" s="6"/>
    </row>
    <row r="86" spans="1:20" x14ac:dyDescent="0.2">
      <c r="A86" s="9" t="s">
        <v>8</v>
      </c>
      <c r="B86" s="1" t="str">
        <f>B69</f>
        <v>Price (# k)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6">
        <v>54.13</v>
      </c>
      <c r="K86" s="7">
        <f>J86*(1+K87)</f>
        <v>56.521245943021995</v>
      </c>
      <c r="L86" s="7">
        <f t="shared" ref="L86:T86" si="51">K86*(1+L87)</f>
        <v>60.467753306193515</v>
      </c>
      <c r="M86" s="7">
        <f t="shared" si="51"/>
        <v>65.534232567416382</v>
      </c>
      <c r="N86" s="7">
        <f t="shared" si="51"/>
        <v>72.123420596711924</v>
      </c>
      <c r="O86" s="7">
        <f t="shared" si="51"/>
        <v>69.985647679883741</v>
      </c>
      <c r="P86" s="7">
        <f t="shared" si="51"/>
        <v>68.917703157135691</v>
      </c>
      <c r="Q86" s="7">
        <f t="shared" si="51"/>
        <v>67.93957770412473</v>
      </c>
      <c r="R86" s="7">
        <f t="shared" si="51"/>
        <v>66.859779254887826</v>
      </c>
      <c r="S86" s="7">
        <f t="shared" si="51"/>
        <v>65.73729671049243</v>
      </c>
      <c r="T86" s="7">
        <f t="shared" si="51"/>
        <v>64.530692079161184</v>
      </c>
    </row>
    <row r="87" spans="1:20" x14ac:dyDescent="0.2">
      <c r="B87" s="1" t="s">
        <v>35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40">
        <f>J70</f>
        <v>4.4175982690227045E-2</v>
      </c>
      <c r="L87" s="40">
        <f t="shared" ref="L87:T87" si="52">K70</f>
        <v>6.9823431832163066E-2</v>
      </c>
      <c r="M87" s="40">
        <f t="shared" si="52"/>
        <v>8.3788118198595676E-2</v>
      </c>
      <c r="N87" s="40">
        <f>M70</f>
        <v>0.10054574183831481</v>
      </c>
      <c r="O87" s="40">
        <f>N70</f>
        <v>-2.9640481540411517E-2</v>
      </c>
      <c r="P87" s="40">
        <f>O70</f>
        <v>-1.5259479023940056E-2</v>
      </c>
      <c r="Q87" s="40">
        <f t="shared" si="52"/>
        <v>-1.4192658898988511E-2</v>
      </c>
      <c r="R87" s="40">
        <f t="shared" si="52"/>
        <v>-1.5893511348265964E-2</v>
      </c>
      <c r="S87" s="40">
        <f t="shared" si="52"/>
        <v>-1.6788606796265121E-2</v>
      </c>
      <c r="T87" s="40">
        <f t="shared" si="52"/>
        <v>-1.8354947521574232E-2</v>
      </c>
    </row>
    <row r="88" spans="1:20" s="16" customFormat="1" x14ac:dyDescent="0.2">
      <c r="A88" s="20"/>
      <c r="B88" s="16" t="str">
        <f>B71</f>
        <v>Revenue ($m)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8">
        <f>J75*J86</f>
        <v>4655.18</v>
      </c>
      <c r="K88" s="18">
        <f ca="1">K75*K86</f>
        <v>21461.117084565452</v>
      </c>
      <c r="L88" s="18">
        <f t="shared" ref="L88:S88" ca="1" si="53">L75*L86</f>
        <v>41019.343524000913</v>
      </c>
      <c r="M88" s="18">
        <f t="shared" ca="1" si="53"/>
        <v>49480.127037336839</v>
      </c>
      <c r="N88" s="18">
        <f t="shared" ca="1" si="53"/>
        <v>63540.338996918748</v>
      </c>
      <c r="O88" s="18">
        <f t="shared" ca="1" si="53"/>
        <v>71310.396857444372</v>
      </c>
      <c r="P88" s="18">
        <f t="shared" ca="1" si="53"/>
        <v>80240.111978991568</v>
      </c>
      <c r="Q88" s="18">
        <f t="shared" ca="1" si="53"/>
        <v>88864.908826612373</v>
      </c>
      <c r="R88" s="18">
        <f t="shared" ca="1" si="53"/>
        <v>95853.544940952663</v>
      </c>
      <c r="S88" s="18">
        <f t="shared" ca="1" si="53"/>
        <v>99470.393162517692</v>
      </c>
      <c r="T88" s="18">
        <f ca="1">T75*T86</f>
        <v>96796.038118741781</v>
      </c>
    </row>
    <row r="89" spans="1:20" x14ac:dyDescent="0.2">
      <c r="C89" s="11"/>
      <c r="D89" s="11"/>
      <c r="E89" s="11"/>
      <c r="F89" s="11"/>
      <c r="G89" s="11"/>
      <c r="H89" s="11"/>
      <c r="I89" s="11"/>
      <c r="J89" s="8"/>
    </row>
    <row r="91" spans="1:20" x14ac:dyDescent="0.2">
      <c r="B91" s="4" t="s">
        <v>13</v>
      </c>
      <c r="C91" s="11"/>
      <c r="D91" s="11"/>
      <c r="E91" s="11"/>
      <c r="F91" s="11"/>
      <c r="G91" s="11"/>
      <c r="H91" s="11"/>
      <c r="I91" s="11"/>
      <c r="J91" s="8"/>
    </row>
    <row r="92" spans="1:20" x14ac:dyDescent="0.2">
      <c r="B92" s="1" t="str">
        <f>B75</f>
        <v>Unit (# k)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28">
        <f ca="1">OFFSET(K92,$C$11,0)</f>
        <v>0</v>
      </c>
      <c r="L92" s="128">
        <f t="shared" ref="L92:T92" ca="1" si="54">OFFSET(L92,$C$11,0)</f>
        <v>16.28</v>
      </c>
      <c r="M92" s="128">
        <f t="shared" ca="1" si="54"/>
        <v>75.968756581417864</v>
      </c>
      <c r="N92" s="128">
        <f t="shared" ca="1" si="54"/>
        <v>111.45940591608496</v>
      </c>
      <c r="O92" s="128">
        <f t="shared" ca="1" si="54"/>
        <v>162.09083574819121</v>
      </c>
      <c r="P92" s="128">
        <f t="shared" ca="1" si="54"/>
        <v>232.88762245572539</v>
      </c>
      <c r="Q92" s="128">
        <f t="shared" ca="1" si="54"/>
        <v>328.97599932665912</v>
      </c>
      <c r="R92" s="128">
        <f t="shared" ca="1" si="54"/>
        <v>453.38910617110122</v>
      </c>
      <c r="S92" s="128">
        <f t="shared" ca="1" si="54"/>
        <v>601.70125323101638</v>
      </c>
      <c r="T92" s="128">
        <f t="shared" ca="1" si="54"/>
        <v>750</v>
      </c>
    </row>
    <row r="93" spans="1:20" x14ac:dyDescent="0.2">
      <c r="B93" s="14" t="s">
        <v>23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06">
        <f>K95</f>
        <v>0</v>
      </c>
      <c r="L93" s="39">
        <f>L95*(1-L21)</f>
        <v>16.28</v>
      </c>
      <c r="M93" s="39">
        <f t="shared" ref="M93:T93" si="55">M95*(1-M21)</f>
        <v>75.968756581417864</v>
      </c>
      <c r="N93" s="39">
        <f t="shared" si="55"/>
        <v>111.45940591608496</v>
      </c>
      <c r="O93" s="39">
        <f t="shared" si="55"/>
        <v>162.09083574819121</v>
      </c>
      <c r="P93" s="39">
        <f t="shared" si="55"/>
        <v>232.88762245572539</v>
      </c>
      <c r="Q93" s="39">
        <f t="shared" si="55"/>
        <v>328.97599932665912</v>
      </c>
      <c r="R93" s="39">
        <f t="shared" si="55"/>
        <v>453.38910617110122</v>
      </c>
      <c r="S93" s="39">
        <f t="shared" si="55"/>
        <v>601.70125323101638</v>
      </c>
      <c r="T93" s="39">
        <f t="shared" si="55"/>
        <v>750</v>
      </c>
    </row>
    <row r="94" spans="1:20" x14ac:dyDescent="0.2">
      <c r="B94" s="14" t="s">
        <v>21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06">
        <f>K95</f>
        <v>0</v>
      </c>
      <c r="L94" s="39">
        <f>L95*(1-L22)</f>
        <v>16.72</v>
      </c>
      <c r="M94" s="39">
        <f t="shared" ref="M94:T94" si="56">M95*(1-M22)</f>
        <v>78.698787283104025</v>
      </c>
      <c r="N94" s="39">
        <f t="shared" si="56"/>
        <v>116.81512468055313</v>
      </c>
      <c r="O94" s="39">
        <f t="shared" si="56"/>
        <v>172.58795242809779</v>
      </c>
      <c r="P94" s="39">
        <f t="shared" si="56"/>
        <v>253.44406187655539</v>
      </c>
      <c r="Q94" s="39">
        <f t="shared" si="56"/>
        <v>369.19885873817105</v>
      </c>
      <c r="R94" s="39">
        <f t="shared" si="56"/>
        <v>532.03299092006989</v>
      </c>
      <c r="S94" s="39">
        <f t="shared" si="56"/>
        <v>755.35464082320914</v>
      </c>
      <c r="T94" s="39">
        <f t="shared" si="56"/>
        <v>1050</v>
      </c>
    </row>
    <row r="95" spans="1:20" x14ac:dyDescent="0.2">
      <c r="B95" s="14" t="s">
        <v>22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09">
        <f>K217</f>
        <v>0</v>
      </c>
      <c r="L95" s="109">
        <f t="shared" ref="L95:T95" si="57">L217</f>
        <v>17.600000000000001</v>
      </c>
      <c r="M95" s="109">
        <f t="shared" si="57"/>
        <v>83.949999999999989</v>
      </c>
      <c r="N95" s="109">
        <f t="shared" si="57"/>
        <v>126.73247695433965</v>
      </c>
      <c r="O95" s="109">
        <f t="shared" si="57"/>
        <v>191.31769761741788</v>
      </c>
      <c r="P95" s="109">
        <f t="shared" si="57"/>
        <v>288.81674454147389</v>
      </c>
      <c r="Q95" s="109">
        <f t="shared" si="57"/>
        <v>436.00311401583974</v>
      </c>
      <c r="R95" s="109">
        <f t="shared" si="57"/>
        <v>658.19838712367766</v>
      </c>
      <c r="S95" s="109">
        <f t="shared" si="57"/>
        <v>993.62849228749269</v>
      </c>
      <c r="T95" s="109">
        <f t="shared" si="57"/>
        <v>1500</v>
      </c>
    </row>
    <row r="96" spans="1:20" ht="6" customHeight="1" x14ac:dyDescent="0.2">
      <c r="A96" s="1" t="s">
        <v>0</v>
      </c>
      <c r="C96" s="6"/>
      <c r="D96" s="6"/>
      <c r="E96" s="6"/>
      <c r="F96" s="6"/>
      <c r="G96" s="6"/>
      <c r="H96" s="6"/>
      <c r="I96" s="6"/>
      <c r="J96" s="6"/>
    </row>
    <row r="97" spans="1:21" x14ac:dyDescent="0.2">
      <c r="B97" s="1" t="str">
        <f>B86</f>
        <v>Price (# k)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6">
        <v>60</v>
      </c>
      <c r="M97" s="6">
        <v>60</v>
      </c>
      <c r="N97" s="6">
        <v>60</v>
      </c>
      <c r="O97" s="6">
        <v>60</v>
      </c>
      <c r="P97" s="6">
        <v>60</v>
      </c>
      <c r="Q97" s="6">
        <v>60</v>
      </c>
      <c r="R97" s="6">
        <v>60</v>
      </c>
      <c r="S97" s="6">
        <v>60</v>
      </c>
      <c r="T97" s="6">
        <v>60</v>
      </c>
      <c r="U97" s="1" t="s">
        <v>38</v>
      </c>
    </row>
    <row r="98" spans="1:21" x14ac:dyDescent="0.2">
      <c r="B98" s="1" t="s">
        <v>35</v>
      </c>
      <c r="C98" s="11"/>
      <c r="D98" s="11"/>
      <c r="E98" s="11"/>
      <c r="F98" s="11"/>
      <c r="G98" s="11"/>
      <c r="H98" s="11"/>
      <c r="I98" s="11"/>
      <c r="J98" s="11"/>
    </row>
    <row r="99" spans="1:21" s="16" customFormat="1" x14ac:dyDescent="0.2">
      <c r="A99" s="20"/>
      <c r="B99" s="16" t="str">
        <f>B88</f>
        <v>Revenue ($m)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29">
        <f ca="1">L97*L92</f>
        <v>976.80000000000007</v>
      </c>
      <c r="M99" s="129">
        <f t="shared" ref="M99:T99" ca="1" si="58">M97*M92</f>
        <v>4558.1253948850717</v>
      </c>
      <c r="N99" s="129">
        <f t="shared" ca="1" si="58"/>
        <v>6687.5643549650977</v>
      </c>
      <c r="O99" s="129">
        <f t="shared" ca="1" si="58"/>
        <v>9725.4501448914725</v>
      </c>
      <c r="P99" s="129">
        <f t="shared" ca="1" si="58"/>
        <v>13973.257347343524</v>
      </c>
      <c r="Q99" s="129">
        <f t="shared" ca="1" si="58"/>
        <v>19738.559959599548</v>
      </c>
      <c r="R99" s="129">
        <f t="shared" ca="1" si="58"/>
        <v>27203.346370266074</v>
      </c>
      <c r="S99" s="129">
        <f t="shared" ca="1" si="58"/>
        <v>36102.075193860983</v>
      </c>
      <c r="T99" s="129">
        <f t="shared" ca="1" si="58"/>
        <v>45000</v>
      </c>
    </row>
    <row r="100" spans="1:21" x14ac:dyDescent="0.2">
      <c r="C100" s="11"/>
      <c r="D100" s="11"/>
      <c r="E100" s="11"/>
      <c r="F100" s="11"/>
      <c r="G100" s="11"/>
      <c r="H100" s="11"/>
      <c r="I100" s="11"/>
      <c r="J100" s="8"/>
    </row>
    <row r="101" spans="1:21" x14ac:dyDescent="0.2">
      <c r="C101" s="11"/>
      <c r="D101" s="11"/>
      <c r="E101" s="11"/>
      <c r="F101" s="11"/>
      <c r="G101" s="11"/>
      <c r="H101" s="11"/>
      <c r="I101" s="11"/>
      <c r="J101" s="8"/>
    </row>
    <row r="102" spans="1:21" x14ac:dyDescent="0.2">
      <c r="B102" s="4" t="s">
        <v>14</v>
      </c>
      <c r="C102" s="11"/>
      <c r="D102" s="11"/>
      <c r="E102" s="11"/>
      <c r="F102" s="11"/>
      <c r="G102" s="11"/>
      <c r="H102" s="11"/>
      <c r="I102" s="11"/>
      <c r="J102" s="8"/>
    </row>
    <row r="103" spans="1:21" x14ac:dyDescent="0.2">
      <c r="B103" s="1" t="str">
        <f>B92</f>
        <v>Unit (# k)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28">
        <f ca="1">OFFSET(K103,$C$12,0)</f>
        <v>0</v>
      </c>
      <c r="L103" s="128">
        <f t="shared" ref="L103:T103" ca="1" si="59">OFFSET(L103,$C$12,0)</f>
        <v>1.0175000000000001</v>
      </c>
      <c r="M103" s="128">
        <f t="shared" ca="1" si="59"/>
        <v>3.1220036951267618</v>
      </c>
      <c r="N103" s="128">
        <f t="shared" ca="1" si="59"/>
        <v>4.9082975465858389</v>
      </c>
      <c r="O103" s="128">
        <f t="shared" ca="1" si="59"/>
        <v>7.648713322072231</v>
      </c>
      <c r="P103" s="128">
        <f t="shared" ca="1" si="59"/>
        <v>11.775845338388605</v>
      </c>
      <c r="Q103" s="128">
        <f t="shared" ca="1" si="59"/>
        <v>17.824840997008653</v>
      </c>
      <c r="R103" s="128">
        <f t="shared" ca="1" si="59"/>
        <v>26.323782531053425</v>
      </c>
      <c r="S103" s="128">
        <f t="shared" ca="1" si="59"/>
        <v>37.434660019099624</v>
      </c>
      <c r="T103" s="128">
        <f t="shared" ca="1" si="59"/>
        <v>50</v>
      </c>
    </row>
    <row r="104" spans="1:21" x14ac:dyDescent="0.2">
      <c r="B104" s="14" t="s">
        <v>23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06">
        <f>K106</f>
        <v>0</v>
      </c>
      <c r="L104" s="39">
        <f>L106*(1-L21)</f>
        <v>1.0175000000000001</v>
      </c>
      <c r="M104" s="39">
        <f t="shared" ref="M104:T104" si="60">M106*(1-M21)</f>
        <v>3.1220036951267618</v>
      </c>
      <c r="N104" s="39">
        <f t="shared" si="60"/>
        <v>4.9082975465858389</v>
      </c>
      <c r="O104" s="39">
        <f t="shared" si="60"/>
        <v>7.648713322072231</v>
      </c>
      <c r="P104" s="39">
        <f t="shared" si="60"/>
        <v>11.775845338388605</v>
      </c>
      <c r="Q104" s="39">
        <f t="shared" si="60"/>
        <v>17.824840997008653</v>
      </c>
      <c r="R104" s="39">
        <f t="shared" si="60"/>
        <v>26.323782531053425</v>
      </c>
      <c r="S104" s="39">
        <f t="shared" si="60"/>
        <v>37.434660019099624</v>
      </c>
      <c r="T104" s="39">
        <f t="shared" si="60"/>
        <v>50</v>
      </c>
    </row>
    <row r="105" spans="1:21" x14ac:dyDescent="0.2">
      <c r="B105" s="14" t="s">
        <v>21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06">
        <f>K106</f>
        <v>0</v>
      </c>
      <c r="L105" s="39">
        <f>L106*(1-L22)</f>
        <v>1.0449999999999999</v>
      </c>
      <c r="M105" s="39">
        <f t="shared" ref="M105:T105" si="61">M106*(1-M22)</f>
        <v>3.2341967376618093</v>
      </c>
      <c r="N105" s="39">
        <f t="shared" si="61"/>
        <v>5.1441453968034692</v>
      </c>
      <c r="O105" s="39">
        <f t="shared" si="61"/>
        <v>8.1440493836227947</v>
      </c>
      <c r="P105" s="39">
        <f t="shared" si="61"/>
        <v>12.815271344696299</v>
      </c>
      <c r="Q105" s="39">
        <f t="shared" si="61"/>
        <v>20.004228170914054</v>
      </c>
      <c r="R105" s="39">
        <f t="shared" si="61"/>
        <v>30.889848392256145</v>
      </c>
      <c r="S105" s="39">
        <f t="shared" si="61"/>
        <v>46.994158681284176</v>
      </c>
      <c r="T105" s="39">
        <f t="shared" si="61"/>
        <v>70</v>
      </c>
    </row>
    <row r="106" spans="1:21" x14ac:dyDescent="0.2">
      <c r="B106" s="14" t="s">
        <v>22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09">
        <f>K218</f>
        <v>0</v>
      </c>
      <c r="L106" s="109">
        <f t="shared" ref="L106:T106" si="62">L218</f>
        <v>1.1000000000000001</v>
      </c>
      <c r="M106" s="109">
        <f t="shared" si="62"/>
        <v>3.4499999999999997</v>
      </c>
      <c r="N106" s="109">
        <f t="shared" si="62"/>
        <v>5.5808722520560607</v>
      </c>
      <c r="O106" s="109">
        <f t="shared" si="62"/>
        <v>9.0278652445708083</v>
      </c>
      <c r="P106" s="109">
        <f t="shared" si="62"/>
        <v>14.603873228616385</v>
      </c>
      <c r="Q106" s="109">
        <f t="shared" si="62"/>
        <v>23.623869818588272</v>
      </c>
      <c r="R106" s="109">
        <f t="shared" si="62"/>
        <v>38.215014364273607</v>
      </c>
      <c r="S106" s="109">
        <f t="shared" si="62"/>
        <v>61.818293703622714</v>
      </c>
      <c r="T106" s="109">
        <f t="shared" si="62"/>
        <v>100</v>
      </c>
    </row>
    <row r="107" spans="1:21" ht="6" customHeight="1" x14ac:dyDescent="0.2">
      <c r="A107" s="1" t="s">
        <v>0</v>
      </c>
      <c r="C107" s="6"/>
      <c r="D107" s="6"/>
      <c r="E107" s="6"/>
      <c r="F107" s="6"/>
      <c r="G107" s="6"/>
      <c r="H107" s="6"/>
      <c r="I107" s="6"/>
      <c r="J107" s="6"/>
    </row>
    <row r="108" spans="1:21" x14ac:dyDescent="0.2">
      <c r="B108" s="1" t="str">
        <f>B97</f>
        <v>Price (# k)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">
        <v>182.5</v>
      </c>
      <c r="M108" s="1">
        <v>182.5</v>
      </c>
      <c r="N108" s="1">
        <v>182.5</v>
      </c>
      <c r="O108" s="1">
        <v>182.5</v>
      </c>
      <c r="P108" s="1">
        <v>182.5</v>
      </c>
      <c r="Q108" s="1">
        <v>182.5</v>
      </c>
      <c r="R108" s="1">
        <v>182.5</v>
      </c>
      <c r="S108" s="1">
        <v>182.5</v>
      </c>
      <c r="T108" s="1">
        <v>182.5</v>
      </c>
      <c r="U108" s="1" t="s">
        <v>38</v>
      </c>
    </row>
    <row r="109" spans="1:21" s="16" customFormat="1" x14ac:dyDescent="0.2">
      <c r="A109" s="20"/>
      <c r="B109" s="16" t="str">
        <f t="shared" ref="B109" si="63">B99</f>
        <v>Revenue ($m)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29">
        <f ca="1">L108*L103</f>
        <v>185.69375000000002</v>
      </c>
      <c r="M109" s="129">
        <f t="shared" ref="M109:T109" ca="1" si="64">M108*M103</f>
        <v>569.76567436063408</v>
      </c>
      <c r="N109" s="129">
        <f t="shared" ca="1" si="64"/>
        <v>895.76430225191564</v>
      </c>
      <c r="O109" s="129">
        <f t="shared" ca="1" si="64"/>
        <v>1395.8901812781821</v>
      </c>
      <c r="P109" s="129">
        <f t="shared" ca="1" si="64"/>
        <v>2149.0917742559204</v>
      </c>
      <c r="Q109" s="129">
        <f t="shared" ca="1" si="64"/>
        <v>3253.0334819540794</v>
      </c>
      <c r="R109" s="129">
        <f t="shared" ca="1" si="64"/>
        <v>4804.0903119172499</v>
      </c>
      <c r="S109" s="129">
        <f t="shared" ca="1" si="64"/>
        <v>6831.8254534856815</v>
      </c>
      <c r="T109" s="129">
        <f t="shared" ca="1" si="64"/>
        <v>9125</v>
      </c>
    </row>
    <row r="110" spans="1:21" x14ac:dyDescent="0.2">
      <c r="C110" s="11"/>
      <c r="D110" s="11"/>
      <c r="E110" s="11"/>
      <c r="F110" s="11"/>
      <c r="G110" s="11"/>
      <c r="H110" s="11"/>
      <c r="I110" s="11"/>
      <c r="J110" s="8"/>
    </row>
    <row r="111" spans="1:21" x14ac:dyDescent="0.2">
      <c r="C111" s="11"/>
      <c r="D111" s="11"/>
      <c r="E111" s="11"/>
      <c r="F111" s="11"/>
      <c r="G111" s="11"/>
      <c r="H111" s="11"/>
      <c r="I111" s="11"/>
      <c r="J111" s="8"/>
    </row>
    <row r="112" spans="1:21" x14ac:dyDescent="0.2">
      <c r="B112" s="4" t="s">
        <v>15</v>
      </c>
      <c r="C112" s="11"/>
      <c r="D112" s="11"/>
      <c r="E112" s="11"/>
      <c r="F112" s="11"/>
      <c r="G112" s="11"/>
      <c r="H112" s="11"/>
      <c r="I112" s="11"/>
      <c r="J112" s="8"/>
    </row>
    <row r="113" spans="1:20" x14ac:dyDescent="0.2">
      <c r="B113" s="1" t="str">
        <f>B103</f>
        <v>Unit (# k)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28">
        <f ca="1">OFFSET(K113,$C$13,0)</f>
        <v>0</v>
      </c>
      <c r="L113" s="128">
        <f t="shared" ref="L113:T113" ca="1" si="65">OFFSET(L113,$C$13,0)</f>
        <v>0</v>
      </c>
      <c r="M113" s="128">
        <f t="shared" ca="1" si="65"/>
        <v>52.033394918779358</v>
      </c>
      <c r="N113" s="128">
        <f t="shared" ca="1" si="65"/>
        <v>100.41885029997015</v>
      </c>
      <c r="O113" s="128">
        <f t="shared" ca="1" si="65"/>
        <v>192.09159342064498</v>
      </c>
      <c r="P113" s="128">
        <f t="shared" ca="1" si="65"/>
        <v>363.03431815047213</v>
      </c>
      <c r="Q113" s="128">
        <f t="shared" ca="1" si="65"/>
        <v>674.55422342284214</v>
      </c>
      <c r="R113" s="128">
        <f t="shared" ca="1" si="65"/>
        <v>1222.8554078729476</v>
      </c>
      <c r="S113" s="128">
        <f t="shared" ca="1" si="65"/>
        <v>2134.6973960584064</v>
      </c>
      <c r="T113" s="128">
        <f t="shared" ca="1" si="65"/>
        <v>3500</v>
      </c>
    </row>
    <row r="114" spans="1:20" x14ac:dyDescent="0.2">
      <c r="B114" s="14" t="s">
        <v>23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06">
        <f>K116</f>
        <v>0</v>
      </c>
      <c r="L114" s="106">
        <f>L116</f>
        <v>0</v>
      </c>
      <c r="M114" s="39">
        <f>M116*(1-M21)</f>
        <v>52.033394918779358</v>
      </c>
      <c r="N114" s="39">
        <f t="shared" ref="N114:T114" si="66">N116*(1-N21)</f>
        <v>100.41885029997015</v>
      </c>
      <c r="O114" s="39">
        <f t="shared" si="66"/>
        <v>192.09159342064498</v>
      </c>
      <c r="P114" s="39">
        <f t="shared" si="66"/>
        <v>363.03431815047213</v>
      </c>
      <c r="Q114" s="39">
        <f t="shared" si="66"/>
        <v>674.55422342284214</v>
      </c>
      <c r="R114" s="39">
        <f t="shared" si="66"/>
        <v>1222.8554078729476</v>
      </c>
      <c r="S114" s="39">
        <f t="shared" si="66"/>
        <v>2134.6973960584064</v>
      </c>
      <c r="T114" s="39">
        <f t="shared" si="66"/>
        <v>3500</v>
      </c>
    </row>
    <row r="115" spans="1:20" x14ac:dyDescent="0.2">
      <c r="B115" s="14" t="s">
        <v>21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06">
        <f>K116</f>
        <v>0</v>
      </c>
      <c r="L115" s="106">
        <f>L116</f>
        <v>0</v>
      </c>
      <c r="M115" s="39">
        <f>M116*(1-M22)</f>
        <v>53.903278961030153</v>
      </c>
      <c r="N115" s="39">
        <f t="shared" ref="N115:S115" si="67">N116*(1-N22)</f>
        <v>105.24406102523436</v>
      </c>
      <c r="O115" s="39">
        <f t="shared" si="67"/>
        <v>204.53158029626445</v>
      </c>
      <c r="P115" s="39">
        <f t="shared" si="67"/>
        <v>395.07849847251248</v>
      </c>
      <c r="Q115" s="39">
        <f t="shared" si="67"/>
        <v>757.02984398395529</v>
      </c>
      <c r="R115" s="39">
        <f t="shared" si="67"/>
        <v>1434.9692378093914</v>
      </c>
      <c r="S115" s="39">
        <f t="shared" si="67"/>
        <v>2679.8242087869708</v>
      </c>
      <c r="T115" s="39">
        <f>T116*(1-T22)</f>
        <v>4900</v>
      </c>
    </row>
    <row r="116" spans="1:20" x14ac:dyDescent="0.2">
      <c r="B116" s="14" t="s">
        <v>22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09">
        <f>K220</f>
        <v>0</v>
      </c>
      <c r="L116" s="109">
        <f t="shared" ref="L116:T116" si="68">L220</f>
        <v>0</v>
      </c>
      <c r="M116" s="109">
        <f t="shared" si="68"/>
        <v>57.499999999999993</v>
      </c>
      <c r="N116" s="109">
        <f t="shared" si="68"/>
        <v>114.17905493775545</v>
      </c>
      <c r="O116" s="109">
        <f t="shared" si="68"/>
        <v>226.72794063441702</v>
      </c>
      <c r="P116" s="109">
        <f t="shared" si="68"/>
        <v>450.2188172108045</v>
      </c>
      <c r="Q116" s="109">
        <f t="shared" si="68"/>
        <v>894.00972285780404</v>
      </c>
      <c r="R116" s="109">
        <f t="shared" si="68"/>
        <v>1775.2553958446738</v>
      </c>
      <c r="S116" s="109">
        <f t="shared" si="68"/>
        <v>3525.1649281860145</v>
      </c>
      <c r="T116" s="109">
        <f t="shared" si="68"/>
        <v>7000</v>
      </c>
    </row>
    <row r="117" spans="1:20" ht="6" customHeight="1" x14ac:dyDescent="0.2">
      <c r="A117" s="1" t="s">
        <v>0</v>
      </c>
      <c r="C117" s="6"/>
      <c r="D117" s="6"/>
      <c r="E117" s="6"/>
      <c r="F117" s="6"/>
      <c r="G117" s="6"/>
      <c r="H117" s="6"/>
      <c r="I117" s="6"/>
      <c r="J117" s="6"/>
    </row>
    <row r="118" spans="1:20" x14ac:dyDescent="0.2">
      <c r="B118" s="1" t="str">
        <f t="shared" ref="B118:B119" si="69">B108</f>
        <v>Price (# k)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">
        <v>25</v>
      </c>
      <c r="N118" s="1">
        <v>25</v>
      </c>
      <c r="O118" s="1">
        <v>25</v>
      </c>
      <c r="P118" s="1">
        <v>25</v>
      </c>
      <c r="Q118" s="1">
        <v>25</v>
      </c>
      <c r="R118" s="1">
        <v>25</v>
      </c>
      <c r="S118" s="1">
        <v>25</v>
      </c>
      <c r="T118" s="1">
        <v>25</v>
      </c>
    </row>
    <row r="119" spans="1:20" s="16" customFormat="1" x14ac:dyDescent="0.2">
      <c r="A119" s="20"/>
      <c r="B119" s="16" t="str">
        <f t="shared" si="69"/>
        <v>Revenue ($m)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30">
        <f ca="1">M118*M113</f>
        <v>1300.834872969484</v>
      </c>
      <c r="N119" s="130">
        <f t="shared" ref="N119:T119" ca="1" si="70">N118*N113</f>
        <v>2510.4712574992536</v>
      </c>
      <c r="O119" s="130">
        <f t="shared" ca="1" si="70"/>
        <v>4802.2898355161242</v>
      </c>
      <c r="P119" s="130">
        <f t="shared" ca="1" si="70"/>
        <v>9075.8579537618025</v>
      </c>
      <c r="Q119" s="130">
        <f t="shared" ca="1" si="70"/>
        <v>16863.855585571055</v>
      </c>
      <c r="R119" s="130">
        <f t="shared" ca="1" si="70"/>
        <v>30571.385196823689</v>
      </c>
      <c r="S119" s="130">
        <f t="shared" ca="1" si="70"/>
        <v>53367.434901460161</v>
      </c>
      <c r="T119" s="130">
        <f t="shared" ca="1" si="70"/>
        <v>87500</v>
      </c>
    </row>
    <row r="120" spans="1:20" x14ac:dyDescent="0.2">
      <c r="C120" s="11"/>
      <c r="D120" s="11"/>
      <c r="E120" s="11"/>
      <c r="F120" s="11"/>
      <c r="G120" s="11"/>
      <c r="H120" s="11"/>
      <c r="I120" s="11"/>
      <c r="J120" s="8"/>
    </row>
    <row r="121" spans="1:20" x14ac:dyDescent="0.2">
      <c r="C121" s="11"/>
      <c r="D121" s="11"/>
      <c r="E121" s="11"/>
      <c r="F121" s="11"/>
      <c r="G121" s="11"/>
      <c r="H121" s="11"/>
      <c r="I121" s="11"/>
      <c r="J121" s="8"/>
    </row>
    <row r="122" spans="1:20" x14ac:dyDescent="0.2">
      <c r="B122" s="4" t="s">
        <v>16</v>
      </c>
      <c r="C122" s="11"/>
      <c r="D122" s="11"/>
      <c r="E122" s="11"/>
      <c r="F122" s="11"/>
      <c r="G122" s="11"/>
      <c r="H122" s="11"/>
      <c r="I122" s="11"/>
      <c r="J122" s="8"/>
    </row>
    <row r="123" spans="1:20" x14ac:dyDescent="0.2">
      <c r="B123" s="1" t="str">
        <f>B113</f>
        <v>Unit (# k)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28">
        <f ca="1">OFFSET(K123,$C$14,0)</f>
        <v>0</v>
      </c>
      <c r="L123" s="128">
        <f t="shared" ref="L123:T123" ca="1" si="71">OFFSET(L123,$C$14,0)</f>
        <v>2.0350000000000001</v>
      </c>
      <c r="M123" s="128">
        <f t="shared" ca="1" si="71"/>
        <v>1.0406678983755873</v>
      </c>
      <c r="N123" s="128">
        <f t="shared" ca="1" si="71"/>
        <v>1.5209570456958708</v>
      </c>
      <c r="O123" s="128">
        <f t="shared" ca="1" si="71"/>
        <v>2.2033412838926081</v>
      </c>
      <c r="P123" s="128">
        <f t="shared" ca="1" si="71"/>
        <v>3.1534997639719751</v>
      </c>
      <c r="Q123" s="128">
        <f t="shared" ca="1" si="71"/>
        <v>4.4374522799553695</v>
      </c>
      <c r="R123" s="128">
        <f t="shared" ca="1" si="71"/>
        <v>6.0920526355284954</v>
      </c>
      <c r="S123" s="128">
        <f t="shared" ca="1" si="71"/>
        <v>8.0537207564577162</v>
      </c>
      <c r="T123" s="128">
        <f t="shared" ca="1" si="71"/>
        <v>10</v>
      </c>
    </row>
    <row r="124" spans="1:20" x14ac:dyDescent="0.2">
      <c r="B124" s="14" t="s">
        <v>23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06">
        <f>K126</f>
        <v>0</v>
      </c>
      <c r="L124" s="39">
        <f>L126*(1-L21)</f>
        <v>2.0350000000000001</v>
      </c>
      <c r="M124" s="39">
        <f t="shared" ref="M124:T124" si="72">M126*(1-M21)</f>
        <v>1.0406678983755873</v>
      </c>
      <c r="N124" s="39">
        <f t="shared" si="72"/>
        <v>1.5209570456958708</v>
      </c>
      <c r="O124" s="39">
        <f t="shared" si="72"/>
        <v>2.2033412838926081</v>
      </c>
      <c r="P124" s="39">
        <f t="shared" si="72"/>
        <v>3.1534997639719751</v>
      </c>
      <c r="Q124" s="39">
        <f t="shared" si="72"/>
        <v>4.4374522799553695</v>
      </c>
      <c r="R124" s="39">
        <f t="shared" si="72"/>
        <v>6.0920526355284954</v>
      </c>
      <c r="S124" s="39">
        <f t="shared" si="72"/>
        <v>8.0537207564577162</v>
      </c>
      <c r="T124" s="39">
        <f t="shared" si="72"/>
        <v>10</v>
      </c>
    </row>
    <row r="125" spans="1:20" x14ac:dyDescent="0.2">
      <c r="B125" s="14" t="s">
        <v>21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06">
        <f>K126</f>
        <v>0</v>
      </c>
      <c r="L125" s="39">
        <f>L126*(1-L22)</f>
        <v>2.09</v>
      </c>
      <c r="M125" s="39">
        <f t="shared" ref="M125:T125" si="73">M126*(1-M22)</f>
        <v>1.0780655792206031</v>
      </c>
      <c r="N125" s="39">
        <f t="shared" si="73"/>
        <v>1.5940403186833139</v>
      </c>
      <c r="O125" s="39">
        <f t="shared" si="73"/>
        <v>2.3460312172001676</v>
      </c>
      <c r="P125" s="39">
        <f t="shared" si="73"/>
        <v>3.4318517269407907</v>
      </c>
      <c r="Q125" s="39">
        <f t="shared" si="73"/>
        <v>4.9800055955992493</v>
      </c>
      <c r="R125" s="39">
        <f t="shared" si="73"/>
        <v>7.148766788630244</v>
      </c>
      <c r="S125" s="39">
        <f t="shared" si="73"/>
        <v>10.110358448844519</v>
      </c>
      <c r="T125" s="39">
        <f t="shared" si="73"/>
        <v>14</v>
      </c>
    </row>
    <row r="126" spans="1:20" x14ac:dyDescent="0.2">
      <c r="B126" s="14" t="s">
        <v>22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09">
        <f>K219</f>
        <v>0</v>
      </c>
      <c r="L126" s="109">
        <f t="shared" ref="L126:T126" si="74">L219</f>
        <v>2.2000000000000002</v>
      </c>
      <c r="M126" s="109">
        <f t="shared" si="74"/>
        <v>1.1499999999999999</v>
      </c>
      <c r="N126" s="109">
        <f t="shared" si="74"/>
        <v>1.7293709055592195</v>
      </c>
      <c r="O126" s="109">
        <f t="shared" si="74"/>
        <v>2.6006293295606215</v>
      </c>
      <c r="P126" s="109">
        <f t="shared" si="74"/>
        <v>3.9108284336401029</v>
      </c>
      <c r="Q126" s="109">
        <f t="shared" si="74"/>
        <v>5.8811068780616775</v>
      </c>
      <c r="R126" s="109">
        <f t="shared" si="74"/>
        <v>8.8440131542644167</v>
      </c>
      <c r="S126" s="109">
        <f t="shared" si="74"/>
        <v>13.299633945537309</v>
      </c>
      <c r="T126" s="109">
        <f t="shared" si="74"/>
        <v>20</v>
      </c>
    </row>
    <row r="127" spans="1:20" ht="6" customHeight="1" x14ac:dyDescent="0.2">
      <c r="A127" s="1" t="s">
        <v>0</v>
      </c>
      <c r="C127" s="6"/>
      <c r="D127" s="6"/>
      <c r="E127" s="6"/>
      <c r="F127" s="6"/>
      <c r="G127" s="6"/>
      <c r="H127" s="6"/>
      <c r="I127" s="6"/>
      <c r="J127" s="6"/>
    </row>
    <row r="128" spans="1:20" x14ac:dyDescent="0.2">
      <c r="B128" s="1" t="str">
        <f t="shared" ref="B128:B129" si="75">B118</f>
        <v>Price (# k)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7">
        <v>0</v>
      </c>
      <c r="L128" s="1">
        <v>210</v>
      </c>
      <c r="M128" s="1">
        <v>210</v>
      </c>
      <c r="N128" s="1">
        <v>210</v>
      </c>
      <c r="O128" s="1">
        <v>210</v>
      </c>
      <c r="P128" s="1">
        <v>210</v>
      </c>
      <c r="Q128" s="1">
        <v>210</v>
      </c>
      <c r="R128" s="1">
        <v>210</v>
      </c>
      <c r="S128" s="1">
        <v>210</v>
      </c>
      <c r="T128" s="1">
        <v>210</v>
      </c>
    </row>
    <row r="129" spans="1:20" s="16" customFormat="1" x14ac:dyDescent="0.2">
      <c r="A129" s="20"/>
      <c r="B129" s="16" t="str">
        <f t="shared" si="75"/>
        <v>Revenue ($m)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30">
        <f ca="1">L128*L123</f>
        <v>427.35</v>
      </c>
      <c r="M129" s="130">
        <f t="shared" ref="M129:T129" ca="1" si="76">M128*M123</f>
        <v>218.54025865887331</v>
      </c>
      <c r="N129" s="130">
        <f t="shared" ca="1" si="76"/>
        <v>319.40097959613286</v>
      </c>
      <c r="O129" s="130">
        <f t="shared" ca="1" si="76"/>
        <v>462.70166961744769</v>
      </c>
      <c r="P129" s="130">
        <f t="shared" ca="1" si="76"/>
        <v>662.23495043411481</v>
      </c>
      <c r="Q129" s="130">
        <f t="shared" ca="1" si="76"/>
        <v>931.86497879062756</v>
      </c>
      <c r="R129" s="130">
        <f t="shared" ca="1" si="76"/>
        <v>1279.3310534609841</v>
      </c>
      <c r="S129" s="130">
        <f t="shared" ca="1" si="76"/>
        <v>1691.2813588561205</v>
      </c>
      <c r="T129" s="130">
        <f t="shared" ca="1" si="76"/>
        <v>2100</v>
      </c>
    </row>
    <row r="130" spans="1:20" x14ac:dyDescent="0.2">
      <c r="C130" s="11"/>
      <c r="D130" s="11"/>
      <c r="E130" s="11"/>
      <c r="F130" s="11"/>
      <c r="G130" s="11"/>
      <c r="H130" s="11"/>
      <c r="I130" s="11"/>
      <c r="J130" s="11"/>
    </row>
    <row r="131" spans="1:20" x14ac:dyDescent="0.2">
      <c r="C131" s="11"/>
      <c r="D131" s="11"/>
      <c r="E131" s="11"/>
      <c r="F131" s="11"/>
      <c r="G131" s="11"/>
      <c r="H131" s="11"/>
      <c r="I131" s="11"/>
      <c r="J131" s="11"/>
    </row>
    <row r="132" spans="1:20" x14ac:dyDescent="0.2">
      <c r="B132" s="4" t="s">
        <v>17</v>
      </c>
      <c r="C132" s="11"/>
      <c r="D132" s="11"/>
      <c r="E132" s="11"/>
      <c r="F132" s="11"/>
      <c r="G132" s="11"/>
      <c r="H132" s="11"/>
      <c r="I132" s="11"/>
      <c r="J132" s="8"/>
    </row>
    <row r="133" spans="1:20" x14ac:dyDescent="0.2">
      <c r="B133" s="1" t="str">
        <f>B123</f>
        <v>Unit (# k)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28">
        <f ca="1">OFFSET(K133,$C$15,0)</f>
        <v>0</v>
      </c>
      <c r="L133" s="128">
        <f t="shared" ref="L133:T133" ca="1" si="77">OFFSET(L133,$C$15,0)</f>
        <v>0</v>
      </c>
      <c r="M133" s="128">
        <f t="shared" ca="1" si="77"/>
        <v>0</v>
      </c>
      <c r="N133" s="128">
        <f t="shared" ca="1" si="77"/>
        <v>0</v>
      </c>
      <c r="O133" s="128">
        <f t="shared" ca="1" si="77"/>
        <v>0</v>
      </c>
      <c r="P133" s="128">
        <f t="shared" ca="1" si="77"/>
        <v>201.58770817240728</v>
      </c>
      <c r="Q133" s="128">
        <f t="shared" ca="1" si="77"/>
        <v>398.90743536870076</v>
      </c>
      <c r="R133" s="128">
        <f t="shared" ca="1" si="77"/>
        <v>770.13927828567705</v>
      </c>
      <c r="S133" s="128">
        <f t="shared" ca="1" si="77"/>
        <v>1431.7572306624256</v>
      </c>
      <c r="T133" s="128">
        <f t="shared" ca="1" si="77"/>
        <v>2500</v>
      </c>
    </row>
    <row r="134" spans="1:20" x14ac:dyDescent="0.2">
      <c r="B134" s="14" t="s">
        <v>23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06">
        <f>K136</f>
        <v>0</v>
      </c>
      <c r="L134" s="106">
        <f t="shared" ref="L134:O134" si="78">L136</f>
        <v>0</v>
      </c>
      <c r="M134" s="106">
        <f t="shared" si="78"/>
        <v>0</v>
      </c>
      <c r="N134" s="106">
        <f t="shared" si="78"/>
        <v>0</v>
      </c>
      <c r="O134" s="106">
        <f t="shared" si="78"/>
        <v>0</v>
      </c>
      <c r="P134" s="39">
        <f>P136*(1-P21)</f>
        <v>201.58770817240728</v>
      </c>
      <c r="Q134" s="39">
        <f t="shared" ref="Q134:T134" si="79">Q136*(1-Q21)</f>
        <v>398.90743536870076</v>
      </c>
      <c r="R134" s="39">
        <f t="shared" si="79"/>
        <v>770.13927828567705</v>
      </c>
      <c r="S134" s="39">
        <f t="shared" si="79"/>
        <v>1431.7572306624256</v>
      </c>
      <c r="T134" s="39">
        <f t="shared" si="79"/>
        <v>2500</v>
      </c>
    </row>
    <row r="135" spans="1:20" x14ac:dyDescent="0.2">
      <c r="B135" s="14" t="s">
        <v>21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06">
        <f>K136</f>
        <v>0</v>
      </c>
      <c r="L135" s="106">
        <f t="shared" ref="L135:O135" si="80">L136</f>
        <v>0</v>
      </c>
      <c r="M135" s="106">
        <f t="shared" si="80"/>
        <v>0</v>
      </c>
      <c r="N135" s="106">
        <f t="shared" si="80"/>
        <v>0</v>
      </c>
      <c r="O135" s="106">
        <f t="shared" si="80"/>
        <v>0</v>
      </c>
      <c r="P135" s="39">
        <f>P136*(1-P22)</f>
        <v>219.38137821521025</v>
      </c>
      <c r="Q135" s="39">
        <f t="shared" ref="Q135:T135" si="81">Q136*(1-Q22)</f>
        <v>447.68059123381846</v>
      </c>
      <c r="R135" s="39">
        <f t="shared" si="81"/>
        <v>903.72595652248469</v>
      </c>
      <c r="S135" s="39">
        <f t="shared" si="81"/>
        <v>1797.3777899010379</v>
      </c>
      <c r="T135" s="39">
        <f t="shared" si="81"/>
        <v>3500</v>
      </c>
    </row>
    <row r="136" spans="1:20" x14ac:dyDescent="0.2">
      <c r="B136" s="14" t="s">
        <v>22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09">
        <f>K221</f>
        <v>0</v>
      </c>
      <c r="L136" s="109">
        <f>L221</f>
        <v>0</v>
      </c>
      <c r="M136" s="109">
        <f t="shared" ref="M136:T136" si="82">M221</f>
        <v>0</v>
      </c>
      <c r="N136" s="109">
        <f t="shared" si="82"/>
        <v>0</v>
      </c>
      <c r="O136" s="110">
        <f>O221</f>
        <v>0</v>
      </c>
      <c r="P136" s="109">
        <f t="shared" si="82"/>
        <v>250</v>
      </c>
      <c r="Q136" s="109">
        <f t="shared" si="82"/>
        <v>528.685631720282</v>
      </c>
      <c r="R136" s="109">
        <f t="shared" si="82"/>
        <v>1118.0339887498947</v>
      </c>
      <c r="S136" s="109">
        <f t="shared" si="82"/>
        <v>2364.3540225079391</v>
      </c>
      <c r="T136" s="109">
        <f t="shared" si="82"/>
        <v>5000</v>
      </c>
    </row>
    <row r="137" spans="1:20" ht="6" customHeight="1" x14ac:dyDescent="0.2">
      <c r="A137" s="1" t="s">
        <v>0</v>
      </c>
      <c r="C137" s="6"/>
      <c r="D137" s="6"/>
      <c r="E137" s="6"/>
      <c r="F137" s="6"/>
      <c r="G137" s="6"/>
      <c r="H137" s="6"/>
      <c r="I137" s="6"/>
      <c r="J137" s="6"/>
    </row>
    <row r="138" spans="1:20" x14ac:dyDescent="0.2">
      <c r="B138" s="1" t="str">
        <f t="shared" ref="B138:B139" si="83">B128</f>
        <v>Price (# k)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">
        <v>25</v>
      </c>
      <c r="Q138" s="1">
        <v>25</v>
      </c>
      <c r="R138" s="1">
        <v>25</v>
      </c>
      <c r="S138" s="1">
        <v>25</v>
      </c>
      <c r="T138" s="1">
        <v>25</v>
      </c>
    </row>
    <row r="139" spans="1:20" s="16" customFormat="1" x14ac:dyDescent="0.2">
      <c r="A139" s="20"/>
      <c r="B139" s="16" t="str">
        <f t="shared" si="83"/>
        <v>Revenue ($m)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30">
        <f ca="1">P138*P133</f>
        <v>5039.6927043101823</v>
      </c>
      <c r="Q139" s="130">
        <f t="shared" ref="Q139:T139" ca="1" si="84">Q138*Q133</f>
        <v>9972.6858842175188</v>
      </c>
      <c r="R139" s="130">
        <f t="shared" ca="1" si="84"/>
        <v>19253.481957141925</v>
      </c>
      <c r="S139" s="130">
        <f t="shared" ca="1" si="84"/>
        <v>35793.930766560639</v>
      </c>
      <c r="T139" s="130">
        <f t="shared" ca="1" si="84"/>
        <v>62500</v>
      </c>
    </row>
    <row r="140" spans="1:20" x14ac:dyDescent="0.2">
      <c r="C140" s="11"/>
      <c r="D140" s="11"/>
      <c r="E140" s="11"/>
      <c r="F140" s="11"/>
      <c r="G140" s="11"/>
      <c r="H140" s="11"/>
      <c r="I140" s="11"/>
      <c r="J140" s="11"/>
    </row>
    <row r="141" spans="1:20" x14ac:dyDescent="0.2">
      <c r="C141" s="11"/>
      <c r="D141" s="11"/>
      <c r="E141" s="11"/>
      <c r="F141" s="11"/>
      <c r="G141" s="11"/>
      <c r="H141" s="11"/>
      <c r="I141" s="11"/>
      <c r="J141" s="11"/>
    </row>
    <row r="142" spans="1:20" x14ac:dyDescent="0.2">
      <c r="B142" s="4" t="s">
        <v>18</v>
      </c>
      <c r="C142" s="11"/>
      <c r="D142" s="11"/>
      <c r="E142" s="11"/>
      <c r="F142" s="11"/>
      <c r="G142" s="11"/>
      <c r="H142" s="11"/>
      <c r="I142" s="11"/>
      <c r="J142" s="8"/>
    </row>
    <row r="143" spans="1:20" x14ac:dyDescent="0.2">
      <c r="B143" s="1" t="str">
        <f>B133</f>
        <v>Unit (# k)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28">
        <f ca="1">OFFSET(K143,$C$16,0)</f>
        <v>0</v>
      </c>
      <c r="L143" s="128">
        <f t="shared" ref="L143:T143" ca="1" si="85">OFFSET(L143,$C$16,0)</f>
        <v>0</v>
      </c>
      <c r="M143" s="128">
        <f t="shared" ca="1" si="85"/>
        <v>0</v>
      </c>
      <c r="N143" s="128">
        <f t="shared" ca="1" si="85"/>
        <v>0</v>
      </c>
      <c r="O143" s="128">
        <f t="shared" ca="1" si="85"/>
        <v>0</v>
      </c>
      <c r="P143" s="128">
        <f t="shared" ca="1" si="85"/>
        <v>0</v>
      </c>
      <c r="Q143" s="128">
        <f t="shared" ca="1" si="85"/>
        <v>0</v>
      </c>
      <c r="R143" s="128">
        <f t="shared" ca="1" si="85"/>
        <v>68.883351135576078</v>
      </c>
      <c r="S143" s="128">
        <f t="shared" ca="1" si="85"/>
        <v>85.639057195029139</v>
      </c>
      <c r="T143" s="128">
        <f t="shared" ca="1" si="85"/>
        <v>100</v>
      </c>
    </row>
    <row r="144" spans="1:20" x14ac:dyDescent="0.2">
      <c r="B144" s="14" t="s">
        <v>23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06">
        <f>K146</f>
        <v>0</v>
      </c>
      <c r="L144" s="106">
        <f t="shared" ref="L144:Q144" si="86">L146</f>
        <v>0</v>
      </c>
      <c r="M144" s="106">
        <f t="shared" si="86"/>
        <v>0</v>
      </c>
      <c r="N144" s="106">
        <f t="shared" si="86"/>
        <v>0</v>
      </c>
      <c r="O144" s="106">
        <f t="shared" si="86"/>
        <v>0</v>
      </c>
      <c r="P144" s="106">
        <f t="shared" si="86"/>
        <v>0</v>
      </c>
      <c r="Q144" s="106">
        <f t="shared" si="86"/>
        <v>0</v>
      </c>
      <c r="R144" s="39">
        <f>R146*(1-R21)</f>
        <v>68.883351135576078</v>
      </c>
      <c r="S144" s="39">
        <f t="shared" ref="S144:T144" si="87">S146*(1-S21)</f>
        <v>85.639057195029139</v>
      </c>
      <c r="T144" s="39">
        <f t="shared" si="87"/>
        <v>100</v>
      </c>
    </row>
    <row r="145" spans="1:20" x14ac:dyDescent="0.2">
      <c r="B145" s="14" t="s">
        <v>21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06">
        <f>K146</f>
        <v>0</v>
      </c>
      <c r="L145" s="106">
        <f t="shared" ref="L145:Q145" si="88">L146</f>
        <v>0</v>
      </c>
      <c r="M145" s="106">
        <f t="shared" si="88"/>
        <v>0</v>
      </c>
      <c r="N145" s="106">
        <f t="shared" si="88"/>
        <v>0</v>
      </c>
      <c r="O145" s="106">
        <f t="shared" si="88"/>
        <v>0</v>
      </c>
      <c r="P145" s="106">
        <f t="shared" si="88"/>
        <v>0</v>
      </c>
      <c r="Q145" s="106">
        <f t="shared" si="88"/>
        <v>0</v>
      </c>
      <c r="R145" s="39">
        <f>R146*(1-R22)</f>
        <v>80.831706872611818</v>
      </c>
      <c r="S145" s="39">
        <f t="shared" ref="S145:T145" si="89">S146*(1-S22)</f>
        <v>107.50826750090434</v>
      </c>
      <c r="T145" s="39">
        <f t="shared" si="89"/>
        <v>140</v>
      </c>
    </row>
    <row r="146" spans="1:20" x14ac:dyDescent="0.2">
      <c r="B146" s="14" t="s">
        <v>22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09">
        <f>K222</f>
        <v>0</v>
      </c>
      <c r="L146" s="109">
        <f>L222</f>
        <v>0</v>
      </c>
      <c r="M146" s="109">
        <f>M222</f>
        <v>0</v>
      </c>
      <c r="N146" s="109">
        <f>N222</f>
        <v>0</v>
      </c>
      <c r="O146" s="110">
        <f>O222</f>
        <v>0</v>
      </c>
      <c r="P146" s="110">
        <f>P222</f>
        <v>0</v>
      </c>
      <c r="Q146" s="109">
        <f>Q222</f>
        <v>0</v>
      </c>
      <c r="R146" s="109">
        <f>R222</f>
        <v>100</v>
      </c>
      <c r="S146" s="109">
        <f>S222</f>
        <v>141.42135623730951</v>
      </c>
      <c r="T146" s="109">
        <f>T222</f>
        <v>200</v>
      </c>
    </row>
    <row r="147" spans="1:20" ht="6" customHeight="1" x14ac:dyDescent="0.2">
      <c r="A147" s="1" t="s">
        <v>0</v>
      </c>
      <c r="C147" s="6"/>
      <c r="D147" s="6"/>
      <c r="E147" s="6"/>
      <c r="F147" s="6"/>
      <c r="G147" s="6"/>
      <c r="H147" s="6"/>
      <c r="I147" s="6"/>
      <c r="J147" s="6"/>
    </row>
    <row r="148" spans="1:20" x14ac:dyDescent="0.2">
      <c r="B148" s="1" t="str">
        <f t="shared" ref="B148:B149" si="90">B138</f>
        <v>Price (# k)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">
        <v>15</v>
      </c>
      <c r="S148" s="1">
        <v>15</v>
      </c>
      <c r="T148" s="1">
        <v>15</v>
      </c>
    </row>
    <row r="149" spans="1:20" s="16" customFormat="1" x14ac:dyDescent="0.2">
      <c r="A149" s="20"/>
      <c r="B149" s="16" t="str">
        <f t="shared" si="90"/>
        <v>Revenue ($m)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30">
        <f ca="1">R148*R143</f>
        <v>1033.2502670336412</v>
      </c>
      <c r="S149" s="130">
        <f t="shared" ref="S149:T149" ca="1" si="91">S148*S143</f>
        <v>1284.585857925437</v>
      </c>
      <c r="T149" s="130">
        <f t="shared" ca="1" si="91"/>
        <v>1500</v>
      </c>
    </row>
    <row r="150" spans="1:20" x14ac:dyDescent="0.2">
      <c r="C150" s="11"/>
      <c r="D150" s="11"/>
      <c r="E150" s="11"/>
      <c r="F150" s="11"/>
      <c r="G150" s="11"/>
      <c r="H150" s="11"/>
      <c r="I150" s="11"/>
      <c r="J150" s="11"/>
    </row>
    <row r="151" spans="1:20" x14ac:dyDescent="0.2">
      <c r="B151" s="4" t="s">
        <v>26</v>
      </c>
      <c r="C151" s="11"/>
      <c r="D151" s="11"/>
      <c r="E151" s="11"/>
      <c r="F151" s="11"/>
      <c r="G151" s="11"/>
      <c r="H151" s="11"/>
      <c r="I151" s="11"/>
      <c r="J151" s="11"/>
    </row>
    <row r="152" spans="1:20" x14ac:dyDescent="0.2">
      <c r="B152" s="1" t="s">
        <v>27</v>
      </c>
      <c r="C152" s="23">
        <f>C26+C42+C58+C75+C92+C103+C113+C123+C133+C143</f>
        <v>22.48</v>
      </c>
      <c r="D152" s="23">
        <f>D26+D42+D58+D75+D92+D103+D113+D123+D133+D143</f>
        <v>31.66</v>
      </c>
      <c r="E152" s="23">
        <f>E26+E42+E58+E75+E92+E103+E113+E123+E133+E143</f>
        <v>50.660000000000004</v>
      </c>
      <c r="F152" s="23">
        <f>F26+F42+F58+F75+F92+F103+F113+F123+F133+F143</f>
        <v>76.239999999999995</v>
      </c>
      <c r="G152" s="23">
        <f>G26+G42+G58+G75+G92+G103+G113+G123+G133+G143</f>
        <v>103.14999999999999</v>
      </c>
      <c r="H152" s="23">
        <f>H26+H42+H58+H75+H92+H103+H113+H123+H133+H143</f>
        <v>245.48000000000002</v>
      </c>
      <c r="I152" s="23">
        <f>I26+I42+I58+I75+I92+I103+I113+I123+I133+I143</f>
        <v>368.27</v>
      </c>
      <c r="J152" s="23">
        <f>J26+J42+J58+J75+J92+J103+J113+J123+J133+J143</f>
        <v>499.64</v>
      </c>
      <c r="K152" s="23">
        <f ca="1">K26+K42+K58+K75+K92+K103+K113+K123+K133+K143</f>
        <v>878.59999999999991</v>
      </c>
      <c r="L152" s="23">
        <f ca="1">L26+L42+L58+L75+L92+L103+L113+L123+L133+L143</f>
        <v>1325.0902500000002</v>
      </c>
      <c r="M152" s="23">
        <f ca="1">M26+M42+M58+M75+M92+M103+M113+M123+M133+M143</f>
        <v>1610.8634138246809</v>
      </c>
      <c r="N152" s="23">
        <f ca="1">N26+N42+N58+N75+N92+N103+N113+N123+N133+N143</f>
        <v>1932.7611870336896</v>
      </c>
      <c r="O152" s="23">
        <f ca="1">O26+O42+O58+O75+O92+O103+O113+O123+O133+O143</f>
        <v>2333.7999863003661</v>
      </c>
      <c r="P152" s="23">
        <f ca="1">P26+P42+P58+P75+P92+P103+P113+P123+P133+P143</f>
        <v>3049.0175166408762</v>
      </c>
      <c r="Q152" s="23">
        <f ca="1">Q26+Q42+Q58+Q75+Q92+Q103+Q113+Q123+Q133+Q143</f>
        <v>3922.2022743323873</v>
      </c>
      <c r="R152" s="23">
        <f ca="1">R26+R42+R58+R75+R92+R103+R113+R123+R133+R143</f>
        <v>5269.3049298840378</v>
      </c>
      <c r="S152" s="23">
        <f ca="1">S26+S42+S58+S75+S92+S103+S113+S123+S133+S143</f>
        <v>7155.9111866836811</v>
      </c>
      <c r="T152" s="23">
        <f ca="1">T26+T42+T58+T75+T92+T103+T113+T123+T133+T143</f>
        <v>9725</v>
      </c>
    </row>
    <row r="153" spans="1:20" x14ac:dyDescent="0.2">
      <c r="B153" s="14" t="s">
        <v>23</v>
      </c>
      <c r="C153" s="24">
        <f>C152</f>
        <v>22.48</v>
      </c>
      <c r="D153" s="24">
        <f t="shared" ref="D153:J155" si="92">D152</f>
        <v>31.66</v>
      </c>
      <c r="E153" s="24">
        <f t="shared" si="92"/>
        <v>50.660000000000004</v>
      </c>
      <c r="F153" s="24">
        <f t="shared" si="92"/>
        <v>76.239999999999995</v>
      </c>
      <c r="G153" s="24">
        <f t="shared" si="92"/>
        <v>103.14999999999999</v>
      </c>
      <c r="H153" s="24">
        <f t="shared" si="92"/>
        <v>245.48000000000002</v>
      </c>
      <c r="I153" s="24">
        <f t="shared" si="92"/>
        <v>368.27</v>
      </c>
      <c r="J153" s="24">
        <f t="shared" si="92"/>
        <v>499.64</v>
      </c>
      <c r="K153" s="55">
        <f>K27+K43+K59+K76+K93+K104+K114+K124+K134+K144</f>
        <v>878.59999999999991</v>
      </c>
      <c r="L153" s="55">
        <f>L27+L43+L59+L76+L93+L104+L114+L124+L134+L144</f>
        <v>1325.0902500000002</v>
      </c>
      <c r="M153" s="55">
        <f>M27+M43+M59+M76+M93+M104+M114+M124+M134+M144</f>
        <v>1610.8634138246809</v>
      </c>
      <c r="N153" s="55">
        <f>N27+N43+N59+N76+N93+N104+N114+N124+N134+N144</f>
        <v>1932.7611870336896</v>
      </c>
      <c r="O153" s="55">
        <f>O27+O43+O59+O76+O93+O104+O114+O124+O134+O144</f>
        <v>2333.7999863003661</v>
      </c>
      <c r="P153" s="55">
        <f>P27+P43+P59+P76+P93+P104+P114+P124+P134+P144</f>
        <v>3049.0175166408762</v>
      </c>
      <c r="Q153" s="55">
        <f>Q27+Q43+Q59+Q76+Q93+Q104+Q114+Q124+Q134+Q144</f>
        <v>3922.2022743323873</v>
      </c>
      <c r="R153" s="55">
        <f>R27+R43+R59+R76+R93+R104+R114+R124+R134+R144</f>
        <v>5269.3049298840378</v>
      </c>
      <c r="S153" s="55">
        <f>S27+S43+S59+S76+S93+S104+S114+S124+S134+S144</f>
        <v>7155.9111866836811</v>
      </c>
      <c r="T153" s="55">
        <f>T27+T43+T59+T76+T93+T104+T114+T124+T134+T144</f>
        <v>9725</v>
      </c>
    </row>
    <row r="154" spans="1:20" x14ac:dyDescent="0.2">
      <c r="B154" s="14" t="s">
        <v>21</v>
      </c>
      <c r="C154" s="24">
        <f t="shared" ref="C154:C155" si="93">C153</f>
        <v>22.48</v>
      </c>
      <c r="D154" s="24">
        <f t="shared" si="92"/>
        <v>31.66</v>
      </c>
      <c r="E154" s="24">
        <f t="shared" si="92"/>
        <v>50.660000000000004</v>
      </c>
      <c r="F154" s="24">
        <f t="shared" si="92"/>
        <v>76.239999999999995</v>
      </c>
      <c r="G154" s="24">
        <f t="shared" si="92"/>
        <v>103.14999999999999</v>
      </c>
      <c r="H154" s="24">
        <f t="shared" si="92"/>
        <v>245.48000000000002</v>
      </c>
      <c r="I154" s="24">
        <f t="shared" si="92"/>
        <v>368.27</v>
      </c>
      <c r="J154" s="24">
        <f t="shared" si="92"/>
        <v>499.64</v>
      </c>
      <c r="K154" s="55">
        <f>K203+K204+K205+K206+K94+K105+K115+K125+K135+K145</f>
        <v>878.59999999999991</v>
      </c>
      <c r="L154" s="55">
        <f>L203+L204+L205+L206+L94+L105+L115+L125+L135+L145</f>
        <v>1303.1550000000002</v>
      </c>
      <c r="M154" s="55">
        <f>M203+M204+M205+M206+M94+M105+M115+M125+M135+M145</f>
        <v>1622.4143285610164</v>
      </c>
      <c r="N154" s="55">
        <f>N203+N204+N205+N206+N94+N105+N115+N125+N135+N145</f>
        <v>1905.6973714212741</v>
      </c>
      <c r="O154" s="55">
        <f>O203+O204+O205+O206+O94+O105+O115+O125+O135+O145</f>
        <v>2285.8096133251847</v>
      </c>
      <c r="P154" s="55">
        <f>P203+P204+P205+P206+P94+P105+P115+P125+P135+P145</f>
        <v>884.1510616359152</v>
      </c>
      <c r="Q154" s="55">
        <f>Q203+Q204+Q205+Q206+Q94+Q105+Q115+Q125+Q135+Q145</f>
        <v>1598.8935277224582</v>
      </c>
      <c r="R154" s="55">
        <f>R203+R204+R205+R206+R94+R105+R115+R125+R135+R145</f>
        <v>2989.5985073054444</v>
      </c>
      <c r="S154" s="55">
        <f>S203+S204+S205+S206+S94+S105+S115+S125+S135+S145</f>
        <v>5397.169424142251</v>
      </c>
      <c r="T154" s="55">
        <f>T203+T204+T205+T206+T94+T105+T115+T125+T135+T145</f>
        <v>9674</v>
      </c>
    </row>
    <row r="155" spans="1:20" x14ac:dyDescent="0.2">
      <c r="B155" s="14" t="s">
        <v>22</v>
      </c>
      <c r="C155" s="24">
        <f t="shared" si="93"/>
        <v>22.48</v>
      </c>
      <c r="D155" s="24">
        <f t="shared" si="92"/>
        <v>31.66</v>
      </c>
      <c r="E155" s="24">
        <f t="shared" si="92"/>
        <v>50.660000000000004</v>
      </c>
      <c r="F155" s="24">
        <f t="shared" si="92"/>
        <v>76.239999999999995</v>
      </c>
      <c r="G155" s="24">
        <f t="shared" si="92"/>
        <v>103.14999999999999</v>
      </c>
      <c r="H155" s="24">
        <f t="shared" si="92"/>
        <v>245.48000000000002</v>
      </c>
      <c r="I155" s="24">
        <f t="shared" si="92"/>
        <v>368.27</v>
      </c>
      <c r="J155" s="24">
        <f t="shared" si="92"/>
        <v>499.64</v>
      </c>
      <c r="K155" s="55">
        <f>K29+K45+K61+K78+K95+K106+K116+K126+K136+K146</f>
        <v>878.59999999999991</v>
      </c>
      <c r="L155" s="55">
        <f t="shared" ref="L155:S155" si="94">L29+L45+L61+L78+L95+L106+L116+L126+L136+L146</f>
        <v>1432.53</v>
      </c>
      <c r="M155" s="55">
        <f t="shared" si="94"/>
        <v>1780.1000000000004</v>
      </c>
      <c r="N155" s="55">
        <f t="shared" si="94"/>
        <v>2197.6037875027005</v>
      </c>
      <c r="O155" s="111">
        <f>O29+O45+O61+O78+O95+O106+O116+O126+O136+O146</f>
        <v>2754.6112524966102</v>
      </c>
      <c r="P155" s="111">
        <f>P29+P45+P61+P78+P95+P106+P116+P126+P136+P146</f>
        <v>3781.2542543928489</v>
      </c>
      <c r="Q155" s="55">
        <f t="shared" si="94"/>
        <v>5198.2284692777275</v>
      </c>
      <c r="R155" s="55">
        <f t="shared" si="94"/>
        <v>7649.6059541484892</v>
      </c>
      <c r="S155" s="55">
        <f t="shared" si="94"/>
        <v>11817.022492784776</v>
      </c>
      <c r="T155" s="55">
        <f>T29+T45+T61+T78+T95+T106+T116+T126+T136+T146</f>
        <v>19450</v>
      </c>
    </row>
    <row r="156" spans="1:20" x14ac:dyDescent="0.2">
      <c r="B156" s="112" t="s">
        <v>88</v>
      </c>
      <c r="C156" s="11"/>
      <c r="D156" s="11"/>
      <c r="E156" s="11"/>
      <c r="F156" s="11"/>
      <c r="G156" s="11"/>
      <c r="H156" s="11"/>
      <c r="I156" s="11"/>
      <c r="J156" s="11"/>
      <c r="K156" s="113" t="b">
        <f>K155=K223</f>
        <v>1</v>
      </c>
      <c r="L156" s="113" t="b">
        <f>L155=L223</f>
        <v>1</v>
      </c>
      <c r="M156" s="113" t="b">
        <f>M155=M223</f>
        <v>1</v>
      </c>
      <c r="N156" s="113" t="b">
        <f>N155=N223</f>
        <v>1</v>
      </c>
      <c r="O156" s="113" t="b">
        <f>O155=O223</f>
        <v>1</v>
      </c>
      <c r="P156" s="113" t="b">
        <f>P155=P223</f>
        <v>1</v>
      </c>
      <c r="Q156" s="113" t="b">
        <f>Q155=Q223</f>
        <v>1</v>
      </c>
      <c r="R156" s="113" t="b">
        <f>R155=R223</f>
        <v>1</v>
      </c>
      <c r="S156" s="113" t="b">
        <f>S155=S223</f>
        <v>1</v>
      </c>
      <c r="T156" s="113" t="b">
        <f>T155=T223</f>
        <v>1</v>
      </c>
    </row>
    <row r="157" spans="1:20" x14ac:dyDescent="0.2">
      <c r="C157" s="11"/>
      <c r="D157" s="11"/>
      <c r="E157" s="11"/>
      <c r="F157" s="11"/>
      <c r="G157" s="11"/>
      <c r="H157" s="11"/>
      <c r="I157" s="11"/>
      <c r="J157" s="11"/>
    </row>
    <row r="158" spans="1:20" x14ac:dyDescent="0.2">
      <c r="B158" s="1" t="s">
        <v>6</v>
      </c>
      <c r="C158" s="11"/>
      <c r="D158" s="11"/>
      <c r="E158" s="11"/>
      <c r="F158" s="11"/>
      <c r="G158" s="11"/>
      <c r="H158" s="11"/>
      <c r="I158" s="11"/>
      <c r="J158" s="11"/>
    </row>
    <row r="159" spans="1:20" x14ac:dyDescent="0.2">
      <c r="C159" s="11"/>
      <c r="D159" s="11"/>
      <c r="E159" s="11"/>
      <c r="F159" s="11"/>
      <c r="G159" s="11"/>
      <c r="H159" s="11"/>
      <c r="I159" s="11"/>
      <c r="J159" s="11"/>
    </row>
    <row r="160" spans="1:20" s="66" customFormat="1" x14ac:dyDescent="0.2">
      <c r="A160" s="67" t="s">
        <v>19</v>
      </c>
      <c r="B160" s="64" t="s">
        <v>39</v>
      </c>
      <c r="C160" s="65">
        <f t="shared" ref="C160:S160" si="95">C38+C54+C71+C88+C99+C109+C119+C129+C139+C149</f>
        <v>2194.2728000000002</v>
      </c>
      <c r="D160" s="65">
        <f t="shared" si="95"/>
        <v>3210.6405999999997</v>
      </c>
      <c r="E160" s="65">
        <f t="shared" si="95"/>
        <v>4265.2626</v>
      </c>
      <c r="F160" s="65">
        <f t="shared" si="95"/>
        <v>6842.1337000000003</v>
      </c>
      <c r="G160" s="65">
        <f t="shared" si="95"/>
        <v>9353.4689999999973</v>
      </c>
      <c r="H160" s="65">
        <f t="shared" si="95"/>
        <v>15846.7988</v>
      </c>
      <c r="I160" s="65">
        <f t="shared" si="95"/>
        <v>22430.230900000002</v>
      </c>
      <c r="J160" s="65">
        <f t="shared" si="95"/>
        <v>30096.8626</v>
      </c>
      <c r="K160" s="65">
        <f t="shared" ca="1" si="95"/>
        <v>52861.736962848285</v>
      </c>
      <c r="L160" s="65">
        <f t="shared" ca="1" si="95"/>
        <v>85580.448788148322</v>
      </c>
      <c r="M160" s="65">
        <f t="shared" ca="1" si="95"/>
        <v>109839.64500093872</v>
      </c>
      <c r="N160" s="65">
        <f t="shared" ca="1" si="95"/>
        <v>133901.95299654183</v>
      </c>
      <c r="O160" s="65">
        <f t="shared" ca="1" si="95"/>
        <v>154981.16351707661</v>
      </c>
      <c r="P160" s="65">
        <f t="shared" ca="1" si="95"/>
        <v>185870.48560640932</v>
      </c>
      <c r="Q160" s="65">
        <f t="shared" ca="1" si="95"/>
        <v>221152.48246449701</v>
      </c>
      <c r="R160" s="65">
        <f t="shared" ca="1" si="95"/>
        <v>266745.63521336357</v>
      </c>
      <c r="S160" s="65">
        <f t="shared" ca="1" si="95"/>
        <v>323331.73075931927</v>
      </c>
      <c r="T160" s="65">
        <f ca="1">T38+T54+T71+T88+T99+T109+T119+T129+T139+T149</f>
        <v>390005.38742606627</v>
      </c>
    </row>
    <row r="162" spans="1:20" x14ac:dyDescent="0.2">
      <c r="A162" s="71"/>
    </row>
    <row r="163" spans="1:20" s="60" customFormat="1" x14ac:dyDescent="0.2">
      <c r="A163" s="71" t="s">
        <v>19</v>
      </c>
      <c r="B163" s="60" t="s">
        <v>42</v>
      </c>
      <c r="C163" s="69"/>
      <c r="D163" s="69"/>
      <c r="E163" s="69"/>
      <c r="F163" s="69"/>
      <c r="G163" s="69"/>
      <c r="H163" s="69"/>
      <c r="I163" s="69"/>
      <c r="J163" s="70"/>
    </row>
    <row r="164" spans="1:20" x14ac:dyDescent="0.2">
      <c r="A164" s="9" t="s">
        <v>8</v>
      </c>
      <c r="B164" s="1" t="s">
        <v>44</v>
      </c>
      <c r="C164" s="72">
        <v>15.7</v>
      </c>
      <c r="D164" s="72">
        <v>5.6</v>
      </c>
      <c r="E164" s="72">
        <v>290.60000000000002</v>
      </c>
      <c r="F164" s="72">
        <v>468</v>
      </c>
      <c r="G164" s="72">
        <v>1001.2</v>
      </c>
      <c r="H164" s="72">
        <v>1391</v>
      </c>
      <c r="I164" s="72">
        <v>2226</v>
      </c>
      <c r="J164" s="72">
        <v>2306</v>
      </c>
      <c r="K164" s="78">
        <f ca="1">J164*(1+K165)</f>
        <v>3735.7200000000003</v>
      </c>
      <c r="L164" s="78">
        <f t="shared" ref="L164:S164" ca="1" si="96">K164*(1+L165)</f>
        <v>4475.3925600000002</v>
      </c>
      <c r="M164" s="78">
        <f t="shared" ca="1" si="96"/>
        <v>5562.9129520800007</v>
      </c>
      <c r="N164" s="78">
        <f t="shared" ca="1" si="96"/>
        <v>6113.6413343359209</v>
      </c>
      <c r="O164" s="78">
        <f t="shared" ca="1" si="96"/>
        <v>6883.9601424622479</v>
      </c>
      <c r="P164" s="78">
        <f t="shared" ca="1" si="96"/>
        <v>7813.2947616946512</v>
      </c>
      <c r="Q164" s="78">
        <f t="shared" ca="1" si="96"/>
        <v>8750.8901330980098</v>
      </c>
      <c r="R164" s="78">
        <f ca="1">Q164*(1+R165)</f>
        <v>9862.2531800014567</v>
      </c>
      <c r="S164" s="78">
        <f t="shared" ca="1" si="96"/>
        <v>11118.046751588308</v>
      </c>
      <c r="T164" s="78">
        <f ca="1">S164*(1+T165)</f>
        <v>12505.331918480939</v>
      </c>
    </row>
    <row r="165" spans="1:20" x14ac:dyDescent="0.2">
      <c r="A165" s="9"/>
      <c r="B165" s="1" t="s">
        <v>35</v>
      </c>
      <c r="C165" s="11">
        <v>0</v>
      </c>
      <c r="D165" s="73">
        <f>D164/C164-1</f>
        <v>-0.6433121019108281</v>
      </c>
      <c r="E165" s="73">
        <f t="shared" ref="E165:J165" si="97">E164/D164-1</f>
        <v>50.892857142857153</v>
      </c>
      <c r="F165" s="73">
        <f t="shared" si="97"/>
        <v>0.61046111493461797</v>
      </c>
      <c r="G165" s="73">
        <f t="shared" si="97"/>
        <v>1.1393162393162393</v>
      </c>
      <c r="H165" s="73">
        <f t="shared" si="97"/>
        <v>0.38933280063923292</v>
      </c>
      <c r="I165" s="73">
        <f t="shared" si="97"/>
        <v>0.60028756290438534</v>
      </c>
      <c r="J165" s="73">
        <f t="shared" si="97"/>
        <v>3.5938903863432126E-2</v>
      </c>
      <c r="K165" s="45">
        <f ca="1">OFFSET(K165,$X$7,0)</f>
        <v>0.62</v>
      </c>
      <c r="L165" s="45">
        <f t="shared" ref="L165:T165" ca="1" si="98">OFFSET(L165,$X$7,0)</f>
        <v>0.19800000000000001</v>
      </c>
      <c r="M165" s="45">
        <f t="shared" ca="1" si="98"/>
        <v>0.24300000000000002</v>
      </c>
      <c r="N165" s="45">
        <f t="shared" ca="1" si="98"/>
        <v>9.9000000000000005E-2</v>
      </c>
      <c r="O165" s="45">
        <f t="shared" ca="1" si="98"/>
        <v>0.12600000000000003</v>
      </c>
      <c r="P165" s="45">
        <f t="shared" ca="1" si="98"/>
        <v>0.13500000000000001</v>
      </c>
      <c r="Q165" s="45">
        <f t="shared" ca="1" si="98"/>
        <v>0.12</v>
      </c>
      <c r="R165" s="45">
        <f t="shared" ca="1" si="98"/>
        <v>0.127</v>
      </c>
      <c r="S165" s="45">
        <f t="shared" ca="1" si="98"/>
        <v>0.12733333333333333</v>
      </c>
      <c r="T165" s="45">
        <f t="shared" ca="1" si="98"/>
        <v>0.12477777777777778</v>
      </c>
    </row>
    <row r="166" spans="1:20" x14ac:dyDescent="0.2">
      <c r="A166" s="9"/>
      <c r="B166" s="14" t="str">
        <f>B153</f>
        <v xml:space="preserve">  Conservative Case</v>
      </c>
      <c r="C166" s="11">
        <v>0</v>
      </c>
      <c r="D166" s="73">
        <f>D165</f>
        <v>-0.6433121019108281</v>
      </c>
      <c r="E166" s="73">
        <f t="shared" ref="E166:J168" si="99">E165</f>
        <v>50.892857142857153</v>
      </c>
      <c r="F166" s="73">
        <f t="shared" si="99"/>
        <v>0.61046111493461797</v>
      </c>
      <c r="G166" s="73">
        <f t="shared" si="99"/>
        <v>1.1393162393162393</v>
      </c>
      <c r="H166" s="73">
        <f t="shared" si="99"/>
        <v>0.38933280063923292</v>
      </c>
      <c r="I166" s="73">
        <f t="shared" si="99"/>
        <v>0.60028756290438534</v>
      </c>
      <c r="J166" s="73">
        <f t="shared" si="99"/>
        <v>3.5938903863432126E-2</v>
      </c>
      <c r="K166" s="31">
        <v>0.62</v>
      </c>
      <c r="L166" s="37">
        <f>L167*$X$11</f>
        <v>0.19800000000000001</v>
      </c>
      <c r="M166" s="37">
        <f>M167*$X$11</f>
        <v>0.24300000000000002</v>
      </c>
      <c r="N166" s="37">
        <f>N167*$X$11</f>
        <v>9.9000000000000005E-2</v>
      </c>
      <c r="O166" s="37">
        <f>O167*$X$11</f>
        <v>0.12600000000000003</v>
      </c>
      <c r="P166" s="37">
        <f>P167*$X$11</f>
        <v>0.13500000000000001</v>
      </c>
      <c r="Q166" s="37">
        <f>Q167*$X$11</f>
        <v>0.12</v>
      </c>
      <c r="R166" s="37">
        <f>R167*$X$11</f>
        <v>0.127</v>
      </c>
      <c r="S166" s="37">
        <f>S167*$X$11</f>
        <v>0.12733333333333333</v>
      </c>
      <c r="T166" s="37">
        <f>T167*$X$11</f>
        <v>0.12477777777777778</v>
      </c>
    </row>
    <row r="167" spans="1:20" x14ac:dyDescent="0.2">
      <c r="A167" s="9" t="s">
        <v>8</v>
      </c>
      <c r="B167" s="14" t="str">
        <f>B154</f>
        <v xml:space="preserve">  Base Case</v>
      </c>
      <c r="C167" s="11">
        <v>0</v>
      </c>
      <c r="D167" s="73">
        <f t="shared" ref="D167:D168" si="100">D166</f>
        <v>-0.6433121019108281</v>
      </c>
      <c r="E167" s="73">
        <f t="shared" si="99"/>
        <v>50.892857142857153</v>
      </c>
      <c r="F167" s="73">
        <f t="shared" si="99"/>
        <v>0.61046111493461797</v>
      </c>
      <c r="G167" s="73">
        <f t="shared" si="99"/>
        <v>1.1393162393162393</v>
      </c>
      <c r="H167" s="73">
        <f t="shared" si="99"/>
        <v>0.38933280063923292</v>
      </c>
      <c r="I167" s="73">
        <f t="shared" si="99"/>
        <v>0.60028756290438534</v>
      </c>
      <c r="J167" s="73">
        <f t="shared" si="99"/>
        <v>3.5938903863432126E-2</v>
      </c>
      <c r="K167" s="31">
        <v>0.62</v>
      </c>
      <c r="L167" s="76">
        <v>0.22</v>
      </c>
      <c r="M167" s="76">
        <v>0.27</v>
      </c>
      <c r="N167" s="76">
        <v>0.11</v>
      </c>
      <c r="O167" s="76">
        <v>0.14000000000000001</v>
      </c>
      <c r="P167" s="76">
        <v>0.15</v>
      </c>
      <c r="Q167" s="31">
        <f>AVERAGE(N167:P167)</f>
        <v>0.13333333333333333</v>
      </c>
      <c r="R167" s="79">
        <f t="shared" ref="R167:T167" si="101">AVERAGE(O167:Q167)</f>
        <v>0.1411111111111111</v>
      </c>
      <c r="S167" s="79">
        <f t="shared" si="101"/>
        <v>0.14148148148148146</v>
      </c>
      <c r="T167" s="79">
        <f t="shared" si="101"/>
        <v>0.13864197530864197</v>
      </c>
    </row>
    <row r="168" spans="1:20" x14ac:dyDescent="0.2">
      <c r="A168" s="9"/>
      <c r="B168" s="14" t="str">
        <f>B155</f>
        <v xml:space="preserve">  Elon Case</v>
      </c>
      <c r="C168" s="11">
        <v>0</v>
      </c>
      <c r="D168" s="73">
        <f t="shared" si="100"/>
        <v>-0.6433121019108281</v>
      </c>
      <c r="E168" s="73">
        <f t="shared" si="99"/>
        <v>50.892857142857153</v>
      </c>
      <c r="F168" s="73">
        <f t="shared" si="99"/>
        <v>0.61046111493461797</v>
      </c>
      <c r="G168" s="73">
        <f t="shared" si="99"/>
        <v>1.1393162393162393</v>
      </c>
      <c r="H168" s="73">
        <f t="shared" si="99"/>
        <v>0.38933280063923292</v>
      </c>
      <c r="I168" s="73">
        <f t="shared" si="99"/>
        <v>0.60028756290438534</v>
      </c>
      <c r="J168" s="73">
        <f t="shared" si="99"/>
        <v>3.5938903863432126E-2</v>
      </c>
      <c r="K168" s="31">
        <v>0.62</v>
      </c>
      <c r="L168" s="37">
        <f>L167*$X$12</f>
        <v>0.33</v>
      </c>
      <c r="M168" s="37">
        <f t="shared" ref="M168:T168" si="102">M167*$X$12</f>
        <v>0.40500000000000003</v>
      </c>
      <c r="N168" s="37">
        <f t="shared" si="102"/>
        <v>0.16500000000000001</v>
      </c>
      <c r="O168" s="37">
        <f t="shared" si="102"/>
        <v>0.21000000000000002</v>
      </c>
      <c r="P168" s="37">
        <f t="shared" si="102"/>
        <v>0.22499999999999998</v>
      </c>
      <c r="Q168" s="37">
        <f t="shared" si="102"/>
        <v>0.2</v>
      </c>
      <c r="R168" s="37">
        <f t="shared" si="102"/>
        <v>0.21166666666666667</v>
      </c>
      <c r="S168" s="37">
        <f t="shared" si="102"/>
        <v>0.2122222222222222</v>
      </c>
      <c r="T168" s="37">
        <f t="shared" si="102"/>
        <v>0.20796296296296296</v>
      </c>
    </row>
    <row r="169" spans="1:20" x14ac:dyDescent="0.2">
      <c r="A169" s="9"/>
      <c r="C169" s="72"/>
      <c r="D169" s="73"/>
      <c r="E169" s="73"/>
      <c r="F169" s="73"/>
      <c r="G169" s="73"/>
      <c r="H169" s="73"/>
      <c r="I169" s="73"/>
      <c r="J169" s="73"/>
    </row>
    <row r="170" spans="1:20" x14ac:dyDescent="0.2">
      <c r="A170" s="9" t="s">
        <v>8</v>
      </c>
      <c r="B170" s="1" t="s">
        <v>45</v>
      </c>
      <c r="C170" s="11">
        <v>0</v>
      </c>
      <c r="D170" s="72">
        <v>4.2</v>
      </c>
      <c r="E170" s="72">
        <v>14.5</v>
      </c>
      <c r="F170" s="72">
        <v>181.4</v>
      </c>
      <c r="G170" s="72">
        <v>1116.3</v>
      </c>
      <c r="H170" s="72">
        <v>1555.2</v>
      </c>
      <c r="I170" s="72">
        <v>1530.9</v>
      </c>
      <c r="J170" s="72">
        <v>1994</v>
      </c>
      <c r="K170" s="77">
        <f ca="1">J170*(1+K171)</f>
        <v>3110.6400000000003</v>
      </c>
      <c r="L170" s="77">
        <f t="shared" ref="L170:S170" ca="1" si="103">K170*(1+L171)</f>
        <v>4006.5043200000005</v>
      </c>
      <c r="M170" s="77">
        <f t="shared" ca="1" si="103"/>
        <v>5232.4946419200005</v>
      </c>
      <c r="N170" s="77">
        <f t="shared" ca="1" si="103"/>
        <v>6739.4530987929611</v>
      </c>
      <c r="O170" s="77">
        <f t="shared" ca="1" si="103"/>
        <v>9408.2765259149728</v>
      </c>
      <c r="P170" s="77">
        <f t="shared" ca="1" si="103"/>
        <v>14996.792782308468</v>
      </c>
      <c r="Q170" s="77">
        <f t="shared" ca="1" si="103"/>
        <v>21385.426507571876</v>
      </c>
      <c r="R170" s="77">
        <f t="shared" ca="1" si="103"/>
        <v>31479.347819145802</v>
      </c>
      <c r="S170" s="77">
        <f t="shared" ca="1" si="103"/>
        <v>47135.076801200979</v>
      </c>
      <c r="T170" s="77">
        <f ca="1">S170*(1+T171)</f>
        <v>69058.124744515124</v>
      </c>
    </row>
    <row r="171" spans="1:20" s="45" customFormat="1" x14ac:dyDescent="0.2">
      <c r="B171" s="45" t="str">
        <f>B165</f>
        <v xml:space="preserve">  % Growth</v>
      </c>
      <c r="C171" s="11">
        <v>0</v>
      </c>
      <c r="D171" s="11">
        <v>0</v>
      </c>
      <c r="E171" s="74">
        <f>E170/D170-1</f>
        <v>2.4523809523809521</v>
      </c>
      <c r="F171" s="74">
        <f t="shared" ref="F171:J171" si="104">F170/E170-1</f>
        <v>11.510344827586207</v>
      </c>
      <c r="G171" s="74">
        <f t="shared" si="104"/>
        <v>5.1538037486218293</v>
      </c>
      <c r="H171" s="74">
        <f t="shared" si="104"/>
        <v>0.39317387798978776</v>
      </c>
      <c r="I171" s="74">
        <f t="shared" si="104"/>
        <v>-1.5625E-2</v>
      </c>
      <c r="J171" s="74">
        <f t="shared" si="104"/>
        <v>0.30250179632895668</v>
      </c>
      <c r="K171" s="45">
        <f ca="1">OFFSET(K171,$AB$7,0)</f>
        <v>0.56000000000000005</v>
      </c>
      <c r="L171" s="45">
        <f ca="1">OFFSET(L171,$AB$7,0)</f>
        <v>0.28800000000000003</v>
      </c>
      <c r="M171" s="45">
        <f ca="1">OFFSET(M171,$AB$7,0)</f>
        <v>0.30600000000000005</v>
      </c>
      <c r="N171" s="45">
        <f ca="1">OFFSET(N171,$AB$7,0)</f>
        <v>0.28800000000000003</v>
      </c>
      <c r="O171" s="45">
        <f ca="1">OFFSET(O171,$AB$7,0)</f>
        <v>0.39600000000000002</v>
      </c>
      <c r="P171" s="45">
        <f ca="1">OFFSET(P171,$AB$7,0)</f>
        <v>0.59400000000000008</v>
      </c>
      <c r="Q171" s="45">
        <f ca="1">OFFSET(Q171,$AB$7,0)</f>
        <v>0.42599999999999999</v>
      </c>
      <c r="R171" s="45">
        <f ca="1">OFFSET(R171,$AB$7,0)</f>
        <v>0.47200000000000003</v>
      </c>
      <c r="S171" s="45">
        <f ca="1">OFFSET(S171,$AB$7,0)</f>
        <v>0.4973333333333334</v>
      </c>
      <c r="T171" s="45">
        <f ca="1">OFFSET(T171,$AB$7,0)</f>
        <v>0.46511111111111109</v>
      </c>
    </row>
    <row r="172" spans="1:20" s="45" customFormat="1" x14ac:dyDescent="0.2">
      <c r="B172" s="75" t="str">
        <f t="shared" ref="B172:B174" si="105">B166</f>
        <v xml:space="preserve">  Conservative Case</v>
      </c>
      <c r="C172" s="11">
        <v>0</v>
      </c>
      <c r="D172" s="11">
        <v>0</v>
      </c>
      <c r="E172" s="74">
        <f t="shared" ref="E172:J174" si="106">E171</f>
        <v>2.4523809523809521</v>
      </c>
      <c r="F172" s="74">
        <f t="shared" si="106"/>
        <v>11.510344827586207</v>
      </c>
      <c r="G172" s="74">
        <f t="shared" si="106"/>
        <v>5.1538037486218293</v>
      </c>
      <c r="H172" s="74">
        <f t="shared" si="106"/>
        <v>0.39317387798978776</v>
      </c>
      <c r="I172" s="74">
        <f t="shared" si="106"/>
        <v>-1.5625E-2</v>
      </c>
      <c r="J172" s="74">
        <f t="shared" si="106"/>
        <v>0.30250179632895668</v>
      </c>
      <c r="K172" s="33">
        <f>K173</f>
        <v>0.56000000000000005</v>
      </c>
      <c r="L172" s="37">
        <f>L173*$AB$11</f>
        <v>0.28800000000000003</v>
      </c>
      <c r="M172" s="37">
        <f>M173*$AB$11</f>
        <v>0.30600000000000005</v>
      </c>
      <c r="N172" s="37">
        <f>N173*$AB$11</f>
        <v>0.28800000000000003</v>
      </c>
      <c r="O172" s="37">
        <f>O173*$AB$11</f>
        <v>0.39600000000000002</v>
      </c>
      <c r="P172" s="37">
        <f>P173*$AB$11</f>
        <v>0.59400000000000008</v>
      </c>
      <c r="Q172" s="37">
        <f>Q173*$AB$11</f>
        <v>0.42599999999999999</v>
      </c>
      <c r="R172" s="37">
        <f>R173*$AB$11</f>
        <v>0.47200000000000003</v>
      </c>
      <c r="S172" s="37">
        <f>S173*$AB$11</f>
        <v>0.4973333333333334</v>
      </c>
      <c r="T172" s="37">
        <f>T173*$AB$11</f>
        <v>0.46511111111111109</v>
      </c>
    </row>
    <row r="173" spans="1:20" s="45" customFormat="1" x14ac:dyDescent="0.2">
      <c r="A173" s="45" t="s">
        <v>8</v>
      </c>
      <c r="B173" s="75" t="str">
        <f t="shared" si="105"/>
        <v xml:space="preserve">  Base Case</v>
      </c>
      <c r="C173" s="11">
        <v>0</v>
      </c>
      <c r="D173" s="11">
        <v>0</v>
      </c>
      <c r="E173" s="74">
        <f t="shared" si="106"/>
        <v>2.4523809523809521</v>
      </c>
      <c r="F173" s="74">
        <f t="shared" si="106"/>
        <v>11.510344827586207</v>
      </c>
      <c r="G173" s="74">
        <f t="shared" si="106"/>
        <v>5.1538037486218293</v>
      </c>
      <c r="H173" s="74">
        <f t="shared" si="106"/>
        <v>0.39317387798978776</v>
      </c>
      <c r="I173" s="74">
        <f t="shared" si="106"/>
        <v>-1.5625E-2</v>
      </c>
      <c r="J173" s="74">
        <f t="shared" si="106"/>
        <v>0.30250179632895668</v>
      </c>
      <c r="K173" s="33">
        <v>0.56000000000000005</v>
      </c>
      <c r="L173" s="54">
        <v>0.32</v>
      </c>
      <c r="M173" s="54">
        <v>0.34</v>
      </c>
      <c r="N173" s="54">
        <v>0.32</v>
      </c>
      <c r="O173" s="54">
        <v>0.44</v>
      </c>
      <c r="P173" s="54">
        <v>0.66</v>
      </c>
      <c r="Q173" s="33">
        <f>AVERAGE(N173:P173)</f>
        <v>0.47333333333333333</v>
      </c>
      <c r="R173" s="79">
        <f t="shared" ref="R173:T173" si="107">AVERAGE(O173:Q173)</f>
        <v>0.52444444444444449</v>
      </c>
      <c r="S173" s="79">
        <f t="shared" si="107"/>
        <v>0.55259259259259264</v>
      </c>
      <c r="T173" s="79">
        <f t="shared" si="107"/>
        <v>0.5167901234567901</v>
      </c>
    </row>
    <row r="174" spans="1:20" s="45" customFormat="1" x14ac:dyDescent="0.2">
      <c r="B174" s="75" t="str">
        <f t="shared" si="105"/>
        <v xml:space="preserve">  Elon Case</v>
      </c>
      <c r="C174" s="11">
        <v>0</v>
      </c>
      <c r="D174" s="11">
        <v>0</v>
      </c>
      <c r="E174" s="74">
        <f t="shared" si="106"/>
        <v>2.4523809523809521</v>
      </c>
      <c r="F174" s="74">
        <f t="shared" si="106"/>
        <v>11.510344827586207</v>
      </c>
      <c r="G174" s="74">
        <f t="shared" si="106"/>
        <v>5.1538037486218293</v>
      </c>
      <c r="H174" s="74">
        <f t="shared" si="106"/>
        <v>0.39317387798978776</v>
      </c>
      <c r="I174" s="74">
        <f t="shared" si="106"/>
        <v>-1.5625E-2</v>
      </c>
      <c r="J174" s="74">
        <f t="shared" si="106"/>
        <v>0.30250179632895668</v>
      </c>
      <c r="K174" s="33">
        <f>K173</f>
        <v>0.56000000000000005</v>
      </c>
      <c r="L174" s="37">
        <f>L173*$AB$12</f>
        <v>0.48</v>
      </c>
      <c r="M174" s="37">
        <f>M173*$AB$12</f>
        <v>0.51</v>
      </c>
      <c r="N174" s="37">
        <f>N173*$AB$12</f>
        <v>0.48</v>
      </c>
      <c r="O174" s="37">
        <f>O173*$AB$12</f>
        <v>0.66</v>
      </c>
      <c r="P174" s="37">
        <f>P173*$AB$12</f>
        <v>0.99</v>
      </c>
      <c r="Q174" s="37">
        <f>Q173*$AB$12</f>
        <v>0.71</v>
      </c>
      <c r="R174" s="37">
        <f>R173*$AB$12</f>
        <v>0.78666666666666674</v>
      </c>
      <c r="S174" s="37">
        <f>S173*$AB$12</f>
        <v>0.82888888888888901</v>
      </c>
      <c r="T174" s="37">
        <f>T173*$AB$12</f>
        <v>0.7751851851851852</v>
      </c>
    </row>
    <row r="175" spans="1:20" x14ac:dyDescent="0.2">
      <c r="C175" s="11"/>
      <c r="D175" s="11"/>
      <c r="E175" s="11"/>
      <c r="F175" s="11"/>
      <c r="G175" s="11"/>
      <c r="H175" s="11"/>
      <c r="I175" s="11"/>
      <c r="J175" s="11"/>
    </row>
    <row r="176" spans="1:20" x14ac:dyDescent="0.2">
      <c r="C176" s="11"/>
      <c r="D176" s="11"/>
      <c r="E176" s="11"/>
      <c r="F176" s="11"/>
      <c r="G176" s="11"/>
      <c r="H176" s="11"/>
      <c r="I176" s="11"/>
      <c r="J176" s="11"/>
    </row>
    <row r="177" spans="1:20" s="60" customFormat="1" x14ac:dyDescent="0.2">
      <c r="A177" s="71" t="s">
        <v>19</v>
      </c>
      <c r="B177" s="60" t="s">
        <v>43</v>
      </c>
      <c r="C177" s="69"/>
      <c r="D177" s="69"/>
      <c r="E177" s="69"/>
      <c r="F177" s="69"/>
      <c r="G177" s="69"/>
      <c r="H177" s="69"/>
      <c r="I177" s="69"/>
      <c r="J177" s="70"/>
    </row>
    <row r="178" spans="1:20" x14ac:dyDescent="0.2">
      <c r="C178" s="11"/>
      <c r="D178" s="11"/>
      <c r="E178" s="11"/>
      <c r="F178" s="11"/>
      <c r="G178" s="11"/>
      <c r="H178" s="11"/>
      <c r="I178" s="11"/>
      <c r="J178" s="11"/>
    </row>
    <row r="183" spans="1:20" s="60" customFormat="1" x14ac:dyDescent="0.2">
      <c r="A183" s="71" t="s">
        <v>8</v>
      </c>
      <c r="B183" s="60" t="s">
        <v>64</v>
      </c>
      <c r="C183" s="69"/>
      <c r="D183" s="69"/>
      <c r="E183" s="69"/>
      <c r="F183" s="69"/>
      <c r="G183" s="69"/>
      <c r="H183" s="69"/>
      <c r="I183" s="69"/>
      <c r="J183" s="70"/>
    </row>
    <row r="184" spans="1:20" x14ac:dyDescent="0.2">
      <c r="B184" s="4" t="s">
        <v>50</v>
      </c>
    </row>
    <row r="185" spans="1:20" x14ac:dyDescent="0.2">
      <c r="B185" s="1" t="s">
        <v>51</v>
      </c>
      <c r="K185" s="1">
        <v>590</v>
      </c>
      <c r="L185" s="1">
        <v>600</v>
      </c>
      <c r="M185" s="1">
        <v>750</v>
      </c>
      <c r="N185" s="1">
        <v>750</v>
      </c>
      <c r="O185" s="1">
        <v>1000</v>
      </c>
      <c r="P185" s="1">
        <f>O185+250</f>
        <v>1250</v>
      </c>
      <c r="Q185" s="1">
        <f t="shared" ref="Q185" si="108">P185+250</f>
        <v>1500</v>
      </c>
      <c r="R185" s="1">
        <f>Q185</f>
        <v>1500</v>
      </c>
      <c r="S185" s="1">
        <f t="shared" ref="S185:T185" si="109">R185</f>
        <v>1500</v>
      </c>
      <c r="T185" s="1">
        <f t="shared" si="109"/>
        <v>1500</v>
      </c>
    </row>
    <row r="186" spans="1:20" x14ac:dyDescent="0.2">
      <c r="B186" s="1" t="s">
        <v>52</v>
      </c>
      <c r="K186" s="1">
        <v>600</v>
      </c>
      <c r="L186" s="1">
        <v>600</v>
      </c>
      <c r="M186" s="1">
        <v>750</v>
      </c>
      <c r="N186" s="1">
        <v>750</v>
      </c>
      <c r="O186" s="1">
        <v>1000</v>
      </c>
      <c r="P186" s="1">
        <f>O186+250</f>
        <v>1250</v>
      </c>
      <c r="Q186" s="1">
        <v>1500</v>
      </c>
      <c r="R186" s="1">
        <v>1500</v>
      </c>
      <c r="S186" s="1">
        <v>1500</v>
      </c>
      <c r="T186" s="1">
        <v>1500</v>
      </c>
    </row>
    <row r="187" spans="1:20" x14ac:dyDescent="0.2">
      <c r="B187" s="1" t="s">
        <v>53</v>
      </c>
      <c r="K187" s="1">
        <v>150</v>
      </c>
      <c r="L187" s="1">
        <v>500</v>
      </c>
      <c r="M187" s="1">
        <v>750</v>
      </c>
      <c r="N187" s="1">
        <v>750</v>
      </c>
      <c r="O187" s="1">
        <v>1250</v>
      </c>
      <c r="P187" s="1">
        <f>O187+250</f>
        <v>1500</v>
      </c>
      <c r="Q187" s="1">
        <f>P187+250</f>
        <v>1750</v>
      </c>
      <c r="R187" s="1">
        <f>Q187+250</f>
        <v>2000</v>
      </c>
      <c r="S187" s="1">
        <f>R187</f>
        <v>2000</v>
      </c>
      <c r="T187" s="1">
        <v>2000</v>
      </c>
    </row>
    <row r="188" spans="1:20" x14ac:dyDescent="0.2">
      <c r="B188" s="1" t="s">
        <v>54</v>
      </c>
      <c r="K188" s="1">
        <v>150</v>
      </c>
      <c r="L188" s="1">
        <v>500</v>
      </c>
      <c r="M188" s="1">
        <v>750</v>
      </c>
      <c r="N188" s="1">
        <v>750</v>
      </c>
      <c r="O188" s="1">
        <v>1250</v>
      </c>
      <c r="P188" s="1">
        <f>O188+250</f>
        <v>1500</v>
      </c>
      <c r="Q188" s="1">
        <f>P188+250</f>
        <v>1750</v>
      </c>
      <c r="R188" s="1">
        <f>Q188+250</f>
        <v>2000</v>
      </c>
      <c r="S188" s="1">
        <f>R188</f>
        <v>2000</v>
      </c>
      <c r="T188" s="1">
        <v>2000</v>
      </c>
    </row>
    <row r="189" spans="1:20" x14ac:dyDescent="0.2">
      <c r="B189" s="1" t="s">
        <v>55</v>
      </c>
      <c r="K189" s="11">
        <v>0</v>
      </c>
      <c r="L189" s="11">
        <v>0</v>
      </c>
      <c r="M189" s="11">
        <v>0</v>
      </c>
      <c r="N189" s="1">
        <v>750</v>
      </c>
      <c r="O189" s="1">
        <v>750</v>
      </c>
      <c r="P189" s="1">
        <v>1250</v>
      </c>
      <c r="Q189" s="1">
        <v>1250</v>
      </c>
      <c r="R189" s="1">
        <f t="shared" ref="R189:T191" si="110">Q189+250</f>
        <v>1500</v>
      </c>
      <c r="S189" s="1">
        <f t="shared" si="110"/>
        <v>1750</v>
      </c>
      <c r="T189" s="1">
        <f t="shared" si="110"/>
        <v>2000</v>
      </c>
    </row>
    <row r="190" spans="1:20" x14ac:dyDescent="0.2">
      <c r="B190" s="1" t="s">
        <v>56</v>
      </c>
      <c r="K190" s="11">
        <v>0</v>
      </c>
      <c r="L190" s="11">
        <v>0</v>
      </c>
      <c r="M190" s="11">
        <v>0</v>
      </c>
      <c r="N190" s="11">
        <v>0</v>
      </c>
      <c r="O190" s="1">
        <v>750</v>
      </c>
      <c r="P190" s="1">
        <v>750</v>
      </c>
      <c r="Q190" s="1">
        <f>P190+250</f>
        <v>1000</v>
      </c>
      <c r="R190" s="1">
        <f t="shared" si="110"/>
        <v>1250</v>
      </c>
      <c r="S190" s="1">
        <f t="shared" si="110"/>
        <v>1500</v>
      </c>
      <c r="T190" s="1">
        <f t="shared" si="110"/>
        <v>1750</v>
      </c>
    </row>
    <row r="191" spans="1:20" x14ac:dyDescent="0.2">
      <c r="B191" s="1" t="s">
        <v>57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">
        <v>750</v>
      </c>
      <c r="Q191" s="1">
        <f>P191+250</f>
        <v>1000</v>
      </c>
      <c r="R191" s="1">
        <f t="shared" si="110"/>
        <v>1250</v>
      </c>
      <c r="S191" s="1">
        <f t="shared" si="110"/>
        <v>1500</v>
      </c>
      <c r="T191" s="1">
        <f t="shared" si="110"/>
        <v>1750</v>
      </c>
    </row>
    <row r="192" spans="1:20" x14ac:dyDescent="0.2">
      <c r="B192" s="1" t="s">
        <v>58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">
        <v>750</v>
      </c>
      <c r="R192" s="1">
        <v>1000</v>
      </c>
      <c r="S192" s="1">
        <f>R192+250</f>
        <v>1250</v>
      </c>
      <c r="T192" s="1">
        <v>1500</v>
      </c>
    </row>
    <row r="193" spans="1:20" x14ac:dyDescent="0.2">
      <c r="B193" s="1" t="s">
        <v>59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">
        <v>750</v>
      </c>
      <c r="S193" s="1">
        <v>1000</v>
      </c>
      <c r="T193" s="1">
        <v>1500</v>
      </c>
    </row>
    <row r="194" spans="1:20" x14ac:dyDescent="0.2">
      <c r="B194" s="1" t="s">
        <v>60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">
        <v>1000</v>
      </c>
      <c r="T194" s="1">
        <f>S194+500</f>
        <v>1500</v>
      </c>
    </row>
    <row r="195" spans="1:20" x14ac:dyDescent="0.2">
      <c r="B195" s="1" t="s">
        <v>61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">
        <v>1500</v>
      </c>
    </row>
    <row r="196" spans="1:20" x14ac:dyDescent="0.2">
      <c r="B196" s="1" t="s">
        <v>62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">
        <v>1500</v>
      </c>
    </row>
    <row r="197" spans="1:20" s="101" customFormat="1" x14ac:dyDescent="0.2">
      <c r="A197" s="20"/>
      <c r="B197" s="102" t="s">
        <v>63</v>
      </c>
      <c r="C197" s="103"/>
      <c r="D197" s="103"/>
      <c r="E197" s="103"/>
      <c r="F197" s="103"/>
      <c r="G197" s="103"/>
      <c r="H197" s="103"/>
      <c r="I197" s="103"/>
      <c r="J197" s="103"/>
      <c r="K197" s="104">
        <f>SUM(K185:K196)</f>
        <v>1490</v>
      </c>
      <c r="L197" s="104">
        <f t="shared" ref="L197:T197" si="111">SUM(L185:L196)</f>
        <v>2200</v>
      </c>
      <c r="M197" s="104">
        <f t="shared" si="111"/>
        <v>3000</v>
      </c>
      <c r="N197" s="104">
        <f t="shared" si="111"/>
        <v>3750</v>
      </c>
      <c r="O197" s="104">
        <f t="shared" si="111"/>
        <v>6000</v>
      </c>
      <c r="P197" s="104">
        <f t="shared" si="111"/>
        <v>8250</v>
      </c>
      <c r="Q197" s="104">
        <f t="shared" si="111"/>
        <v>10500</v>
      </c>
      <c r="R197" s="104">
        <f t="shared" si="111"/>
        <v>12750</v>
      </c>
      <c r="S197" s="104">
        <f t="shared" si="111"/>
        <v>15000</v>
      </c>
      <c r="T197" s="104">
        <f t="shared" si="111"/>
        <v>20000</v>
      </c>
    </row>
    <row r="198" spans="1:20" s="20" customFormat="1" x14ac:dyDescent="0.2">
      <c r="A198" s="98"/>
      <c r="B198" s="98"/>
      <c r="C198" s="98"/>
      <c r="D198" s="98"/>
      <c r="E198" s="98"/>
      <c r="F198" s="99"/>
      <c r="G198" s="100"/>
      <c r="H198" s="100"/>
      <c r="I198" s="100"/>
      <c r="J198" s="100"/>
    </row>
    <row r="199" spans="1:20" s="20" customFormat="1" x14ac:dyDescent="0.2">
      <c r="A199" s="98"/>
      <c r="B199" s="98"/>
      <c r="C199" s="98"/>
      <c r="D199" s="98"/>
      <c r="E199" s="98"/>
      <c r="F199" s="99"/>
      <c r="G199" s="100"/>
      <c r="H199" s="100"/>
      <c r="I199" s="100"/>
      <c r="J199" s="100"/>
    </row>
    <row r="200" spans="1:20" s="20" customFormat="1" x14ac:dyDescent="0.2">
      <c r="A200" s="98"/>
      <c r="B200" s="98"/>
      <c r="C200" s="98"/>
      <c r="D200" s="98"/>
      <c r="E200" s="98"/>
      <c r="F200" s="99"/>
      <c r="G200" s="100"/>
      <c r="H200" s="100"/>
      <c r="I200" s="100"/>
      <c r="J200" s="100"/>
    </row>
    <row r="201" spans="1:20" s="20" customFormat="1" x14ac:dyDescent="0.2">
      <c r="A201" s="98"/>
      <c r="B201" s="98"/>
      <c r="C201" s="98"/>
      <c r="D201" s="98"/>
      <c r="E201" s="98"/>
      <c r="F201" s="99"/>
      <c r="G201" s="100"/>
      <c r="H201" s="100"/>
      <c r="I201" s="100"/>
      <c r="J201" s="100"/>
    </row>
    <row r="202" spans="1:20" s="20" customFormat="1" x14ac:dyDescent="0.2">
      <c r="A202" s="98"/>
      <c r="B202" s="105" t="s">
        <v>85</v>
      </c>
      <c r="C202" s="98"/>
      <c r="D202" s="98"/>
      <c r="E202" s="98"/>
      <c r="F202" s="99"/>
      <c r="G202" s="100"/>
      <c r="H202" s="100"/>
      <c r="I202" s="100"/>
      <c r="J202" s="100"/>
    </row>
    <row r="203" spans="1:20" s="20" customFormat="1" x14ac:dyDescent="0.2">
      <c r="A203" s="98"/>
      <c r="B203" s="98" t="s">
        <v>2</v>
      </c>
      <c r="C203" s="98"/>
      <c r="D203" s="98"/>
      <c r="E203" s="98"/>
      <c r="F203" s="99"/>
      <c r="G203" s="100"/>
      <c r="H203" s="100"/>
      <c r="I203" s="100"/>
      <c r="J203" s="100"/>
      <c r="K203" s="27">
        <v>19.100000000000001</v>
      </c>
      <c r="L203" s="27">
        <v>34.9</v>
      </c>
      <c r="M203" s="27">
        <v>31.8</v>
      </c>
      <c r="N203" s="27">
        <v>29.5</v>
      </c>
      <c r="O203" s="27">
        <v>29.8</v>
      </c>
    </row>
    <row r="204" spans="1:20" s="20" customFormat="1" x14ac:dyDescent="0.2">
      <c r="A204" s="98"/>
      <c r="B204" s="98" t="s">
        <v>3</v>
      </c>
      <c r="C204" s="98"/>
      <c r="D204" s="98"/>
      <c r="E204" s="98"/>
      <c r="F204" s="99"/>
      <c r="G204" s="100"/>
      <c r="H204" s="100"/>
      <c r="I204" s="100"/>
      <c r="J204" s="100"/>
      <c r="K204" s="27">
        <v>6.8</v>
      </c>
      <c r="L204" s="27">
        <v>31.1</v>
      </c>
      <c r="M204" s="27">
        <v>30.2</v>
      </c>
      <c r="N204" s="27">
        <v>28.1</v>
      </c>
      <c r="O204" s="27">
        <v>28.3</v>
      </c>
    </row>
    <row r="205" spans="1:20" s="20" customFormat="1" x14ac:dyDescent="0.2">
      <c r="A205" s="98"/>
      <c r="B205" s="98" t="s">
        <v>4</v>
      </c>
      <c r="C205" s="98"/>
      <c r="D205" s="98"/>
      <c r="E205" s="98"/>
      <c r="F205" s="99"/>
      <c r="G205" s="100"/>
      <c r="H205" s="100"/>
      <c r="I205" s="100"/>
      <c r="J205" s="100"/>
      <c r="K205" s="27">
        <v>473</v>
      </c>
      <c r="L205" s="47">
        <v>550.6</v>
      </c>
      <c r="M205" s="47">
        <v>665</v>
      </c>
      <c r="N205" s="47">
        <v>732.5</v>
      </c>
      <c r="O205" s="47">
        <v>829.3</v>
      </c>
    </row>
    <row r="206" spans="1:20" s="20" customFormat="1" x14ac:dyDescent="0.2">
      <c r="A206" s="98"/>
      <c r="B206" s="98" t="s">
        <v>5</v>
      </c>
      <c r="C206" s="98"/>
      <c r="D206" s="98"/>
      <c r="E206" s="98"/>
      <c r="F206" s="99"/>
      <c r="G206" s="100"/>
      <c r="H206" s="100"/>
      <c r="I206" s="100"/>
      <c r="J206" s="100"/>
      <c r="K206" s="27">
        <v>379.7</v>
      </c>
      <c r="L206" s="47">
        <v>666.7</v>
      </c>
      <c r="M206" s="47">
        <v>758.5</v>
      </c>
      <c r="N206" s="47">
        <v>886.8</v>
      </c>
      <c r="O206" s="47">
        <v>1010.8</v>
      </c>
    </row>
    <row r="207" spans="1:20" s="20" customFormat="1" x14ac:dyDescent="0.2">
      <c r="A207" s="98"/>
      <c r="B207" s="98"/>
      <c r="C207" s="98"/>
      <c r="D207" s="98"/>
      <c r="E207" s="98"/>
      <c r="F207" s="99"/>
      <c r="G207" s="100"/>
      <c r="H207" s="100"/>
      <c r="I207" s="100"/>
      <c r="J207" s="100"/>
    </row>
    <row r="208" spans="1:20" s="20" customFormat="1" x14ac:dyDescent="0.2">
      <c r="A208" s="98"/>
      <c r="B208" s="98"/>
      <c r="C208" s="98"/>
      <c r="D208" s="98"/>
      <c r="E208" s="98"/>
      <c r="F208" s="99"/>
      <c r="G208" s="100"/>
      <c r="H208" s="100"/>
      <c r="I208" s="100"/>
      <c r="J208" s="100"/>
    </row>
    <row r="209" spans="1:25" s="20" customFormat="1" x14ac:dyDescent="0.2">
      <c r="A209" s="98"/>
      <c r="B209" s="98"/>
      <c r="C209" s="98"/>
      <c r="D209" s="98"/>
      <c r="E209" s="98"/>
      <c r="F209" s="99"/>
      <c r="G209" s="100"/>
      <c r="H209" s="100"/>
      <c r="I209" s="100"/>
      <c r="J209" s="100"/>
    </row>
    <row r="210" spans="1:25" s="20" customFormat="1" x14ac:dyDescent="0.2">
      <c r="A210" s="98"/>
      <c r="B210" s="98"/>
      <c r="C210" s="98"/>
      <c r="D210" s="98"/>
      <c r="E210" s="98"/>
      <c r="F210" s="99"/>
      <c r="G210" s="100"/>
      <c r="H210" s="100"/>
      <c r="I210" s="100"/>
      <c r="J210" s="100"/>
    </row>
    <row r="211" spans="1:25" x14ac:dyDescent="0.2">
      <c r="B211" s="1" t="s">
        <v>71</v>
      </c>
      <c r="L211" s="84">
        <v>0.1</v>
      </c>
      <c r="M211" s="84">
        <v>0.15</v>
      </c>
      <c r="N211" s="92"/>
      <c r="O211" s="92"/>
      <c r="P211" s="92"/>
      <c r="Q211" s="92"/>
      <c r="R211" s="92"/>
      <c r="S211" s="92"/>
      <c r="T211" s="92"/>
      <c r="V211" s="85" t="s">
        <v>77</v>
      </c>
    </row>
    <row r="212" spans="1:25" x14ac:dyDescent="0.2">
      <c r="B212" s="4" t="s">
        <v>86</v>
      </c>
      <c r="K212" s="1" t="s">
        <v>69</v>
      </c>
      <c r="L212" s="1" t="s">
        <v>69</v>
      </c>
      <c r="M212" s="1" t="s">
        <v>72</v>
      </c>
      <c r="N212" s="1" t="s">
        <v>72</v>
      </c>
      <c r="O212" s="1" t="s">
        <v>73</v>
      </c>
      <c r="P212" s="1" t="s">
        <v>73</v>
      </c>
      <c r="W212" s="1" t="s">
        <v>82</v>
      </c>
    </row>
    <row r="213" spans="1:25" x14ac:dyDescent="0.2">
      <c r="B213" s="1" t="s">
        <v>2</v>
      </c>
      <c r="C213" s="52">
        <f>C28</f>
        <v>22.48</v>
      </c>
      <c r="D213" s="52">
        <f>D28</f>
        <v>31.66</v>
      </c>
      <c r="E213" s="52">
        <f>E28</f>
        <v>50.45</v>
      </c>
      <c r="F213" s="52">
        <f>F28</f>
        <v>50.93</v>
      </c>
      <c r="G213" s="52">
        <f>G28</f>
        <v>54.48</v>
      </c>
      <c r="H213" s="52">
        <f>H28</f>
        <v>51.46</v>
      </c>
      <c r="I213" s="52">
        <f>I28</f>
        <v>32.97</v>
      </c>
      <c r="J213" s="52">
        <f>J28</f>
        <v>28.54</v>
      </c>
      <c r="K213" s="52">
        <f>K203</f>
        <v>19.100000000000001</v>
      </c>
      <c r="L213" s="52">
        <f>L203*(1+$L$211)</f>
        <v>38.39</v>
      </c>
      <c r="M213" s="52">
        <f>M203*(1+$L$211)</f>
        <v>34.980000000000004</v>
      </c>
      <c r="N213" s="52">
        <f>M213*(1+$V$213)</f>
        <v>39.368069328632473</v>
      </c>
      <c r="O213" s="52">
        <f t="shared" ref="O213:S213" si="112">N213*(1+$V$213)</f>
        <v>44.306600419211335</v>
      </c>
      <c r="P213" s="52">
        <f t="shared" si="112"/>
        <v>49.864645998271243</v>
      </c>
      <c r="Q213" s="52">
        <f t="shared" si="112"/>
        <v>56.119921118000505</v>
      </c>
      <c r="R213" s="52">
        <f t="shared" si="112"/>
        <v>63.159889802482247</v>
      </c>
      <c r="S213" s="52">
        <f t="shared" si="112"/>
        <v>71.082988008373576</v>
      </c>
      <c r="T213" s="87">
        <v>80</v>
      </c>
      <c r="V213" s="84">
        <f>(T213/M213)^(1/(T17-M17))-1</f>
        <v>0.12544509229938439</v>
      </c>
      <c r="W213" s="1" t="s">
        <v>78</v>
      </c>
    </row>
    <row r="214" spans="1:25" x14ac:dyDescent="0.2">
      <c r="B214" s="1" t="s">
        <v>3</v>
      </c>
      <c r="C214" s="52">
        <f>C44</f>
        <v>0</v>
      </c>
      <c r="D214" s="52">
        <f>D44</f>
        <v>0</v>
      </c>
      <c r="E214" s="52">
        <f>E44</f>
        <v>0.21</v>
      </c>
      <c r="F214" s="52">
        <f>F44</f>
        <v>25.31</v>
      </c>
      <c r="G214" s="52">
        <f>G44</f>
        <v>46.91</v>
      </c>
      <c r="H214" s="52">
        <f>H44</f>
        <v>47.96</v>
      </c>
      <c r="I214" s="52">
        <f>I44</f>
        <v>34.409999999999997</v>
      </c>
      <c r="J214" s="52">
        <f>J44</f>
        <v>28.54</v>
      </c>
      <c r="K214" s="52">
        <f>K204</f>
        <v>6.8</v>
      </c>
      <c r="L214" s="52">
        <f>L204*(1+L211)</f>
        <v>34.21</v>
      </c>
      <c r="M214" s="52">
        <f>M204*(1+L211)</f>
        <v>33.22</v>
      </c>
      <c r="N214" s="52">
        <f>M214*(1+$V$214)</f>
        <v>35.218173181262706</v>
      </c>
      <c r="O214" s="52">
        <f>N214*(1+$V$214)</f>
        <v>37.336535888784219</v>
      </c>
      <c r="P214" s="52">
        <f>O214*(1+$V$214)</f>
        <v>39.582317487044946</v>
      </c>
      <c r="Q214" s="52">
        <f>P214*(1+$V$214)</f>
        <v>41.963182184662017</v>
      </c>
      <c r="R214" s="52">
        <f>Q214*(1+$V$214)</f>
        <v>44.487255190135606</v>
      </c>
      <c r="S214" s="52">
        <f>R214*(1+$V$214)</f>
        <v>47.163150440855631</v>
      </c>
      <c r="T214" s="87">
        <v>50</v>
      </c>
      <c r="V214" s="84">
        <f>(T214/M214)^(1/(T17-M17))-1</f>
        <v>6.014970443295331E-2</v>
      </c>
      <c r="W214" s="1" t="s">
        <v>78</v>
      </c>
    </row>
    <row r="215" spans="1:25" x14ac:dyDescent="0.2">
      <c r="B215" s="1" t="s">
        <v>4</v>
      </c>
      <c r="C215" s="52">
        <f>C60</f>
        <v>0</v>
      </c>
      <c r="D215" s="52">
        <f>D60</f>
        <v>0</v>
      </c>
      <c r="E215" s="52">
        <f>E60</f>
        <v>0</v>
      </c>
      <c r="F215" s="52">
        <f>F60</f>
        <v>0</v>
      </c>
      <c r="G215" s="52">
        <f>G60</f>
        <v>1.76</v>
      </c>
      <c r="H215" s="52">
        <f>H60</f>
        <v>146.06</v>
      </c>
      <c r="I215" s="52">
        <f>I60</f>
        <v>300.89</v>
      </c>
      <c r="J215" s="52">
        <f>J60</f>
        <v>356.56</v>
      </c>
      <c r="K215" s="52">
        <f>K205</f>
        <v>473</v>
      </c>
      <c r="L215" s="52">
        <f>L205*(1+$L$211)</f>
        <v>605.66000000000008</v>
      </c>
      <c r="M215" s="52">
        <f>M205*(1+$L$211)</f>
        <v>731.50000000000011</v>
      </c>
      <c r="N215" s="52">
        <f>N205*(1+$V$215)</f>
        <v>873.08023061020958</v>
      </c>
      <c r="O215" s="52">
        <f>N215*(1+$V$215)</f>
        <v>1040.6403946517089</v>
      </c>
      <c r="P215" s="52">
        <f t="shared" ref="P215:S215" si="113">O215*(1+$V$215)</f>
        <v>1240.3584378768785</v>
      </c>
      <c r="Q215" s="52">
        <f t="shared" si="113"/>
        <v>1478.406049120634</v>
      </c>
      <c r="R215" s="52">
        <f t="shared" si="113"/>
        <v>1762.139377886378</v>
      </c>
      <c r="S215" s="52">
        <f t="shared" si="113"/>
        <v>2100.3263541465803</v>
      </c>
      <c r="T215" s="87">
        <v>2500</v>
      </c>
      <c r="V215" s="84">
        <f>(T215/M215)^(1/(T17-M17))-1</f>
        <v>0.19191840356342604</v>
      </c>
      <c r="W215" s="1" t="s">
        <v>78</v>
      </c>
    </row>
    <row r="216" spans="1:25" s="12" customFormat="1" x14ac:dyDescent="0.2">
      <c r="B216" s="12" t="s">
        <v>5</v>
      </c>
      <c r="C216" s="82">
        <f>C77</f>
        <v>0</v>
      </c>
      <c r="D216" s="82">
        <f>D77</f>
        <v>0</v>
      </c>
      <c r="E216" s="82">
        <f>E77</f>
        <v>0</v>
      </c>
      <c r="F216" s="82">
        <f>F77</f>
        <v>0</v>
      </c>
      <c r="G216" s="82">
        <f>G77</f>
        <v>0</v>
      </c>
      <c r="H216" s="82">
        <f>H77</f>
        <v>0</v>
      </c>
      <c r="I216" s="82">
        <f>I77</f>
        <v>0</v>
      </c>
      <c r="J216" s="82">
        <f>J77</f>
        <v>86</v>
      </c>
      <c r="K216" s="82">
        <f>K206</f>
        <v>379.7</v>
      </c>
      <c r="L216" s="82">
        <f>L206*(1+$L$211)</f>
        <v>733.37000000000012</v>
      </c>
      <c r="M216" s="82">
        <f>M206*(1+$L$211)</f>
        <v>834.35</v>
      </c>
      <c r="N216" s="82">
        <f>M216*(1+$V$216)</f>
        <v>1001.7155393328851</v>
      </c>
      <c r="O216" s="82">
        <f>N216*(1+$V$216)</f>
        <v>1202.6535887109401</v>
      </c>
      <c r="P216" s="82">
        <f>O216*(1+$V$216)</f>
        <v>1443.8985896161191</v>
      </c>
      <c r="Q216" s="82">
        <f>P216*(1+$V$216)</f>
        <v>1733.5358715638554</v>
      </c>
      <c r="R216" s="82">
        <f>Q216*(1+$V$216)</f>
        <v>2081.2726320327083</v>
      </c>
      <c r="S216" s="82">
        <f>R216*(1+$V$216)</f>
        <v>2498.7632733210494</v>
      </c>
      <c r="T216" s="88">
        <v>3000</v>
      </c>
      <c r="V216" s="90">
        <f>(T216/M216)^(1/(T17-M17))-1</f>
        <v>0.2005939226138731</v>
      </c>
      <c r="W216" s="1" t="s">
        <v>78</v>
      </c>
    </row>
    <row r="217" spans="1:25" x14ac:dyDescent="0.2">
      <c r="B217" s="1" t="s">
        <v>13</v>
      </c>
      <c r="C217" s="52"/>
      <c r="D217" s="52"/>
      <c r="E217" s="52"/>
      <c r="F217" s="52"/>
      <c r="G217" s="52"/>
      <c r="H217" s="52"/>
      <c r="I217" s="52"/>
      <c r="J217" s="52"/>
      <c r="K217" s="11">
        <v>0</v>
      </c>
      <c r="L217" s="83">
        <f>16*(1+$L$211)</f>
        <v>17.600000000000001</v>
      </c>
      <c r="M217" s="83">
        <f>73*(1+$M$211)</f>
        <v>83.949999999999989</v>
      </c>
      <c r="N217" s="91">
        <f>M217*(1+$V$217)</f>
        <v>126.73247695433965</v>
      </c>
      <c r="O217" s="91">
        <f>N217*(1+$V$217)</f>
        <v>191.31769761741788</v>
      </c>
      <c r="P217" s="91">
        <f t="shared" ref="P217:T217" si="114">O217*(1+$V$217)</f>
        <v>288.81674454147389</v>
      </c>
      <c r="Q217" s="91">
        <f t="shared" si="114"/>
        <v>436.00311401583974</v>
      </c>
      <c r="R217" s="91">
        <f t="shared" si="114"/>
        <v>658.19838712367766</v>
      </c>
      <c r="S217" s="91">
        <f t="shared" si="114"/>
        <v>993.62849228749269</v>
      </c>
      <c r="T217" s="89">
        <v>1500</v>
      </c>
      <c r="V217" s="86">
        <f>(T217/M217)^(1/(T17-M17))-1</f>
        <v>0.50961854621012104</v>
      </c>
      <c r="W217" s="1" t="s">
        <v>76</v>
      </c>
      <c r="Y217" s="1" t="s">
        <v>74</v>
      </c>
    </row>
    <row r="218" spans="1:25" x14ac:dyDescent="0.2">
      <c r="B218" s="1" t="s">
        <v>14</v>
      </c>
      <c r="C218" s="52"/>
      <c r="D218" s="52"/>
      <c r="E218" s="52"/>
      <c r="F218" s="52"/>
      <c r="G218" s="52"/>
      <c r="H218" s="52"/>
      <c r="I218" s="52"/>
      <c r="J218" s="52"/>
      <c r="K218" s="11">
        <v>0</v>
      </c>
      <c r="L218" s="83">
        <f>1*(1+$L$211)</f>
        <v>1.1000000000000001</v>
      </c>
      <c r="M218" s="83">
        <f>3*(1+$M$211)</f>
        <v>3.4499999999999997</v>
      </c>
      <c r="N218" s="52">
        <f>M218*(1+$V$218)</f>
        <v>5.5808722520560607</v>
      </c>
      <c r="O218" s="52">
        <f>N218*(1+$V$218)</f>
        <v>9.0278652445708083</v>
      </c>
      <c r="P218" s="52">
        <f t="shared" ref="P218:T218" si="115">O218*(1+$V$218)</f>
        <v>14.603873228616385</v>
      </c>
      <c r="Q218" s="52">
        <f t="shared" si="115"/>
        <v>23.623869818588272</v>
      </c>
      <c r="R218" s="52">
        <f t="shared" si="115"/>
        <v>38.215014364273607</v>
      </c>
      <c r="S218" s="52">
        <f t="shared" si="115"/>
        <v>61.818293703622714</v>
      </c>
      <c r="T218" s="83">
        <v>100</v>
      </c>
      <c r="V218" s="86">
        <f>(T218/M218)^(1/(T17-M17))-1</f>
        <v>0.61764413103074234</v>
      </c>
      <c r="W218" s="1" t="s">
        <v>78</v>
      </c>
    </row>
    <row r="219" spans="1:25" x14ac:dyDescent="0.2">
      <c r="B219" s="1" t="s">
        <v>16</v>
      </c>
      <c r="C219" s="52"/>
      <c r="D219" s="52"/>
      <c r="E219" s="52"/>
      <c r="F219" s="52"/>
      <c r="G219" s="52"/>
      <c r="H219" s="52"/>
      <c r="I219" s="52"/>
      <c r="J219" s="52"/>
      <c r="K219" s="11">
        <v>0</v>
      </c>
      <c r="L219" s="83">
        <f>2*(1+$L$211)</f>
        <v>2.2000000000000002</v>
      </c>
      <c r="M219" s="83">
        <f>1*(1+$M$211)</f>
        <v>1.1499999999999999</v>
      </c>
      <c r="N219" s="52">
        <f>M219*(1+$V$219)</f>
        <v>1.7293709055592195</v>
      </c>
      <c r="O219" s="52">
        <f t="shared" ref="O219:S219" si="116">N219*(1+$V$219)</f>
        <v>2.6006293295606215</v>
      </c>
      <c r="P219" s="52">
        <f t="shared" si="116"/>
        <v>3.9108284336401029</v>
      </c>
      <c r="Q219" s="52">
        <f t="shared" si="116"/>
        <v>5.8811068780616775</v>
      </c>
      <c r="R219" s="52">
        <f t="shared" si="116"/>
        <v>8.8440131542644167</v>
      </c>
      <c r="S219" s="52">
        <f t="shared" si="116"/>
        <v>13.299633945537309</v>
      </c>
      <c r="T219" s="83">
        <v>20</v>
      </c>
      <c r="V219" s="86">
        <f>(T219/M219)^(1/(T18-M18))-1</f>
        <v>0.50380078744279966</v>
      </c>
      <c r="W219" s="1" t="s">
        <v>78</v>
      </c>
    </row>
    <row r="220" spans="1:25" x14ac:dyDescent="0.2">
      <c r="B220" s="1" t="s">
        <v>80</v>
      </c>
      <c r="C220" s="52"/>
      <c r="D220" s="52"/>
      <c r="E220" s="52"/>
      <c r="F220" s="52"/>
      <c r="G220" s="52"/>
      <c r="H220" s="52"/>
      <c r="I220" s="52"/>
      <c r="J220" s="52"/>
      <c r="K220" s="11">
        <v>0</v>
      </c>
      <c r="L220" s="11">
        <v>0</v>
      </c>
      <c r="M220" s="83">
        <f>50*(1+$M$211)</f>
        <v>57.499999999999993</v>
      </c>
      <c r="N220" s="1">
        <f>M220*(1+$V$220)</f>
        <v>114.17905493775545</v>
      </c>
      <c r="O220" s="1">
        <f>N220*(1+$V$220)</f>
        <v>226.72794063441702</v>
      </c>
      <c r="P220" s="1">
        <f>O220*(1+$V$220)</f>
        <v>450.2188172108045</v>
      </c>
      <c r="Q220" s="1">
        <f>P220*(1+$V$220)</f>
        <v>894.00972285780404</v>
      </c>
      <c r="R220" s="1">
        <f>Q220*(1+$V$220)</f>
        <v>1775.2553958446738</v>
      </c>
      <c r="S220" s="1">
        <f>R220*(1+$V$220)</f>
        <v>3525.1649281860145</v>
      </c>
      <c r="T220" s="89">
        <v>7000</v>
      </c>
      <c r="V220" s="86">
        <f>(T220/M220)^(1/(T17-M17))-1</f>
        <v>0.98572269456966022</v>
      </c>
      <c r="W220" s="1" t="s">
        <v>76</v>
      </c>
      <c r="Y220" s="1" t="s">
        <v>75</v>
      </c>
    </row>
    <row r="221" spans="1:25" x14ac:dyDescent="0.2">
      <c r="B221" s="1" t="s">
        <v>81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5">
        <v>250</v>
      </c>
      <c r="Q221" s="1">
        <f>P221*(1+$V$221)</f>
        <v>528.685631720282</v>
      </c>
      <c r="R221" s="1">
        <f t="shared" ref="R221:S221" si="117">Q221*(1+$V$221)</f>
        <v>1118.0339887498947</v>
      </c>
      <c r="S221" s="1">
        <f t="shared" si="117"/>
        <v>2364.3540225079391</v>
      </c>
      <c r="T221" s="93">
        <v>5000</v>
      </c>
      <c r="V221" s="86">
        <f>(T221/P221)^(1/(T17-P17))-1</f>
        <v>1.1147425268811282</v>
      </c>
    </row>
    <row r="222" spans="1:25" x14ac:dyDescent="0.2">
      <c r="B222" s="2" t="s">
        <v>83</v>
      </c>
      <c r="C222" s="2"/>
      <c r="D222" s="2"/>
      <c r="E222" s="2"/>
      <c r="F222" s="2"/>
      <c r="G222" s="2"/>
      <c r="H222" s="2"/>
      <c r="I222" s="2"/>
      <c r="J222" s="2"/>
      <c r="K222" s="95">
        <v>0</v>
      </c>
      <c r="L222" s="95">
        <v>0</v>
      </c>
      <c r="M222" s="95">
        <v>0</v>
      </c>
      <c r="N222" s="95">
        <v>0</v>
      </c>
      <c r="O222" s="11">
        <v>0</v>
      </c>
      <c r="P222" s="95">
        <v>0</v>
      </c>
      <c r="Q222" s="95">
        <v>0</v>
      </c>
      <c r="R222" s="94">
        <v>100</v>
      </c>
      <c r="S222" s="2">
        <f>R222*(1+V222)</f>
        <v>141.42135623730951</v>
      </c>
      <c r="T222" s="94">
        <v>200</v>
      </c>
      <c r="V222" s="86">
        <f>(T222/R222)^(1/(T17-R17))-1</f>
        <v>0.41421356237309515</v>
      </c>
      <c r="W222" s="1" t="s">
        <v>84</v>
      </c>
    </row>
    <row r="223" spans="1:25" x14ac:dyDescent="0.2">
      <c r="B223" s="1" t="s">
        <v>66</v>
      </c>
      <c r="C223" s="78">
        <f>SUM(C213:C222)</f>
        <v>22.48</v>
      </c>
      <c r="D223" s="78">
        <f t="shared" ref="D223:T223" si="118">SUM(D213:D222)</f>
        <v>31.66</v>
      </c>
      <c r="E223" s="78">
        <f t="shared" si="118"/>
        <v>50.660000000000004</v>
      </c>
      <c r="F223" s="78">
        <f t="shared" si="118"/>
        <v>76.239999999999995</v>
      </c>
      <c r="G223" s="78">
        <f t="shared" si="118"/>
        <v>103.14999999999999</v>
      </c>
      <c r="H223" s="78">
        <f t="shared" si="118"/>
        <v>245.48000000000002</v>
      </c>
      <c r="I223" s="78">
        <f t="shared" si="118"/>
        <v>368.27</v>
      </c>
      <c r="J223" s="78">
        <f t="shared" si="118"/>
        <v>499.64</v>
      </c>
      <c r="K223" s="78">
        <f t="shared" si="118"/>
        <v>878.59999999999991</v>
      </c>
      <c r="L223" s="78">
        <f>SUM(L213:L222)</f>
        <v>1432.53</v>
      </c>
      <c r="M223" s="78">
        <f>SUM(M213:M222)</f>
        <v>1780.1000000000004</v>
      </c>
      <c r="N223" s="78">
        <f t="shared" si="118"/>
        <v>2197.6037875027005</v>
      </c>
      <c r="O223" s="78">
        <f t="shared" si="118"/>
        <v>2754.6112524966102</v>
      </c>
      <c r="P223" s="78">
        <f t="shared" si="118"/>
        <v>3781.2542543928489</v>
      </c>
      <c r="Q223" s="78">
        <f t="shared" si="118"/>
        <v>5198.2284692777275</v>
      </c>
      <c r="R223" s="78">
        <f t="shared" si="118"/>
        <v>7649.6059541484892</v>
      </c>
      <c r="S223" s="78">
        <f t="shared" si="118"/>
        <v>11817.022492784778</v>
      </c>
      <c r="T223" s="78">
        <f t="shared" si="118"/>
        <v>19450</v>
      </c>
      <c r="V223" s="86">
        <f>(T223/K223)^(1/(T17-K17))-1</f>
        <v>0.41077810817288007</v>
      </c>
      <c r="W223" s="97" t="s">
        <v>79</v>
      </c>
      <c r="X223" s="97">
        <v>20000</v>
      </c>
    </row>
    <row r="224" spans="1:25" x14ac:dyDescent="0.2">
      <c r="B224" s="14" t="s">
        <v>35</v>
      </c>
      <c r="C224" s="78"/>
      <c r="D224" s="45">
        <f>D223/C223-1</f>
        <v>0.40836298932384341</v>
      </c>
      <c r="E224" s="45">
        <f t="shared" ref="E224:T224" si="119">E223/D223-1</f>
        <v>0.60012634238787133</v>
      </c>
      <c r="F224" s="45">
        <f t="shared" si="119"/>
        <v>0.5049348598499801</v>
      </c>
      <c r="G224" s="45">
        <f t="shared" si="119"/>
        <v>0.35296432318992643</v>
      </c>
      <c r="H224" s="45">
        <f t="shared" si="119"/>
        <v>1.379835191468735</v>
      </c>
      <c r="I224" s="45">
        <f t="shared" si="119"/>
        <v>0.5002036825810654</v>
      </c>
      <c r="J224" s="45">
        <f t="shared" si="119"/>
        <v>0.3567219702935347</v>
      </c>
      <c r="K224" s="45">
        <f>K223/J223-1</f>
        <v>0.75846609558882383</v>
      </c>
      <c r="L224" s="45">
        <f t="shared" si="119"/>
        <v>0.63046892783974529</v>
      </c>
      <c r="M224" s="45">
        <f>M223/L223-1</f>
        <v>0.24262668146565902</v>
      </c>
      <c r="N224" s="45">
        <f t="shared" si="119"/>
        <v>0.23453951323111055</v>
      </c>
      <c r="O224" s="45">
        <f t="shared" si="119"/>
        <v>0.25346127821652442</v>
      </c>
      <c r="P224" s="45">
        <f t="shared" si="119"/>
        <v>0.37269977786003472</v>
      </c>
      <c r="Q224" s="45">
        <f t="shared" si="119"/>
        <v>0.37473656082203877</v>
      </c>
      <c r="R224" s="45">
        <f t="shared" si="119"/>
        <v>0.47157940428335388</v>
      </c>
      <c r="S224" s="45">
        <f t="shared" si="119"/>
        <v>0.54478839349577735</v>
      </c>
      <c r="T224" s="45">
        <f t="shared" si="119"/>
        <v>0.64593069124441094</v>
      </c>
      <c r="V224" s="1" t="s">
        <v>70</v>
      </c>
    </row>
    <row r="225" spans="2:20" x14ac:dyDescent="0.2">
      <c r="B225" s="14" t="s">
        <v>67</v>
      </c>
      <c r="K225" s="45">
        <f>K223/K197</f>
        <v>0.58966442953020126</v>
      </c>
      <c r="L225" s="45">
        <f>L223/L197</f>
        <v>0.65115000000000001</v>
      </c>
      <c r="M225" s="45">
        <f>M223/M197</f>
        <v>0.59336666666666682</v>
      </c>
      <c r="N225" s="45">
        <f>N223/N197</f>
        <v>0.58602767666738675</v>
      </c>
      <c r="O225" s="45">
        <f>O223/O197</f>
        <v>0.4591018754161017</v>
      </c>
      <c r="P225" s="45">
        <f>P223/P197</f>
        <v>0.458333849017315</v>
      </c>
      <c r="Q225" s="45">
        <f>Q223/Q197</f>
        <v>0.49506937802645024</v>
      </c>
      <c r="R225" s="45">
        <f>R223/R197</f>
        <v>0.59996909444301871</v>
      </c>
      <c r="S225" s="45">
        <f>S223/S197</f>
        <v>0.78780149951898515</v>
      </c>
      <c r="T225" s="45">
        <f>T223/T197</f>
        <v>0.97250000000000003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9AC1-3ADF-5A41-B215-8EC1D8CB13A0}">
  <dimension ref="A1:AB213"/>
  <sheetViews>
    <sheetView showGridLines="0" zoomScale="125" zoomScaleNormal="100" workbookViewId="0">
      <pane xSplit="2" ySplit="15" topLeftCell="C16" activePane="bottomRight" state="frozen"/>
      <selection pane="topRight" activeCell="C1" sqref="C1"/>
      <selection pane="bottomLeft" activeCell="A14" sqref="A14"/>
      <selection pane="bottomRight" activeCell="V212" sqref="V212"/>
    </sheetView>
  </sheetViews>
  <sheetFormatPr baseColWidth="10" defaultRowHeight="16" x14ac:dyDescent="0.2"/>
  <cols>
    <col min="1" max="1" width="2.33203125" style="1" customWidth="1"/>
    <col min="2" max="2" width="30" style="1" customWidth="1"/>
    <col min="3" max="16384" width="10.83203125" style="1"/>
  </cols>
  <sheetData>
    <row r="1" spans="1:28" x14ac:dyDescent="0.2">
      <c r="A1" s="1" t="s">
        <v>8</v>
      </c>
      <c r="B1" s="1" t="s">
        <v>68</v>
      </c>
    </row>
    <row r="2" spans="1:28" s="2" customFormat="1" x14ac:dyDescent="0.2">
      <c r="B2" s="3" t="s">
        <v>1</v>
      </c>
    </row>
    <row r="3" spans="1:28" s="12" customFormat="1" x14ac:dyDescent="0.2">
      <c r="B3" s="50" t="s">
        <v>49</v>
      </c>
      <c r="C3" s="36">
        <v>3</v>
      </c>
      <c r="D3" s="12" t="s">
        <v>29</v>
      </c>
    </row>
    <row r="4" spans="1:28" s="12" customFormat="1" ht="5" customHeight="1" x14ac:dyDescent="0.2">
      <c r="B4" s="80"/>
    </row>
    <row r="5" spans="1:28" s="12" customFormat="1" x14ac:dyDescent="0.2">
      <c r="A5" s="20" t="s">
        <v>19</v>
      </c>
      <c r="B5" s="50" t="s">
        <v>2</v>
      </c>
      <c r="C5" s="51"/>
      <c r="D5" s="20"/>
      <c r="E5" s="20"/>
      <c r="F5" s="20"/>
      <c r="G5" s="50" t="s">
        <v>36</v>
      </c>
      <c r="H5" s="50"/>
      <c r="I5" s="50"/>
      <c r="J5" s="50"/>
      <c r="K5" s="50"/>
      <c r="L5" s="50"/>
      <c r="N5" s="50" t="s">
        <v>4</v>
      </c>
      <c r="O5" s="50"/>
      <c r="P5" s="50"/>
      <c r="R5" s="50" t="s">
        <v>5</v>
      </c>
      <c r="S5" s="50"/>
      <c r="T5" s="50"/>
      <c r="V5" s="50" t="s">
        <v>46</v>
      </c>
      <c r="W5" s="50"/>
      <c r="X5" s="50"/>
      <c r="Z5" s="50" t="s">
        <v>47</v>
      </c>
      <c r="AA5" s="50"/>
      <c r="AB5" s="50"/>
    </row>
    <row r="6" spans="1:28" s="12" customFormat="1" x14ac:dyDescent="0.2">
      <c r="B6" s="34" t="s">
        <v>31</v>
      </c>
      <c r="G6" s="34" t="s">
        <v>31</v>
      </c>
      <c r="N6" s="34" t="s">
        <v>31</v>
      </c>
      <c r="R6" s="34" t="s">
        <v>31</v>
      </c>
      <c r="V6" s="34" t="s">
        <v>31</v>
      </c>
      <c r="Z6" s="34" t="s">
        <v>31</v>
      </c>
    </row>
    <row r="7" spans="1:28" s="12" customFormat="1" x14ac:dyDescent="0.2">
      <c r="B7" s="13" t="s">
        <v>28</v>
      </c>
      <c r="C7" s="36">
        <f>C3</f>
        <v>3</v>
      </c>
      <c r="G7" s="13" t="s">
        <v>27</v>
      </c>
      <c r="I7" s="36">
        <f>C3</f>
        <v>3</v>
      </c>
      <c r="N7" s="13" t="s">
        <v>27</v>
      </c>
      <c r="P7" s="36">
        <f>C3</f>
        <v>3</v>
      </c>
      <c r="R7" s="13" t="s">
        <v>27</v>
      </c>
      <c r="T7" s="36">
        <f>C3</f>
        <v>3</v>
      </c>
      <c r="V7" s="13" t="s">
        <v>48</v>
      </c>
      <c r="X7" s="36">
        <f>C3</f>
        <v>3</v>
      </c>
      <c r="Z7" s="13" t="s">
        <v>48</v>
      </c>
      <c r="AB7" s="36">
        <f>C3</f>
        <v>3</v>
      </c>
    </row>
    <row r="8" spans="1:28" s="12" customFormat="1" x14ac:dyDescent="0.2">
      <c r="B8" s="13"/>
      <c r="G8" s="13"/>
      <c r="H8" s="35"/>
      <c r="N8" s="13"/>
      <c r="O8" s="35"/>
      <c r="R8" s="13"/>
      <c r="S8" s="35"/>
      <c r="V8" s="13"/>
      <c r="W8" s="35"/>
      <c r="X8" s="13"/>
      <c r="Z8" s="13"/>
      <c r="AA8" s="35"/>
      <c r="AB8" s="13"/>
    </row>
    <row r="9" spans="1:28" s="12" customFormat="1" x14ac:dyDescent="0.2">
      <c r="B9" s="13"/>
      <c r="C9" s="35"/>
      <c r="G9" s="13"/>
      <c r="H9" s="35"/>
      <c r="N9" s="13"/>
      <c r="O9" s="35"/>
      <c r="R9" s="13"/>
      <c r="S9" s="35"/>
      <c r="V9" s="13"/>
      <c r="W9" s="35"/>
      <c r="Z9" s="13"/>
      <c r="AA9" s="35"/>
    </row>
    <row r="10" spans="1:28" s="12" customFormat="1" x14ac:dyDescent="0.2">
      <c r="B10" s="34" t="s">
        <v>20</v>
      </c>
      <c r="C10" s="35"/>
      <c r="G10" s="34" t="s">
        <v>20</v>
      </c>
      <c r="H10" s="35"/>
      <c r="N10" s="34" t="s">
        <v>20</v>
      </c>
      <c r="O10" s="35"/>
      <c r="R10" s="34" t="s">
        <v>20</v>
      </c>
      <c r="S10" s="35"/>
      <c r="V10" s="34" t="s">
        <v>20</v>
      </c>
      <c r="W10" s="35"/>
      <c r="Z10" s="34" t="s">
        <v>20</v>
      </c>
      <c r="AA10" s="35"/>
    </row>
    <row r="11" spans="1:28" s="12" customFormat="1" x14ac:dyDescent="0.2">
      <c r="B11" s="13" t="s">
        <v>32</v>
      </c>
      <c r="C11" s="38">
        <v>0.9</v>
      </c>
      <c r="G11" s="13" t="s">
        <v>32</v>
      </c>
      <c r="I11" s="38">
        <v>0.9</v>
      </c>
      <c r="N11" s="13" t="s">
        <v>32</v>
      </c>
      <c r="P11" s="38">
        <v>0.9</v>
      </c>
      <c r="R11" s="13" t="s">
        <v>32</v>
      </c>
      <c r="T11" s="38">
        <v>0.9</v>
      </c>
      <c r="V11" s="13" t="s">
        <v>32</v>
      </c>
      <c r="X11" s="38">
        <v>0.9</v>
      </c>
      <c r="Z11" s="13" t="s">
        <v>32</v>
      </c>
      <c r="AB11" s="38">
        <v>0.9</v>
      </c>
    </row>
    <row r="12" spans="1:28" s="12" customFormat="1" x14ac:dyDescent="0.2">
      <c r="B12" s="13" t="s">
        <v>33</v>
      </c>
      <c r="C12" s="38">
        <v>1.5</v>
      </c>
      <c r="G12" s="13" t="s">
        <v>33</v>
      </c>
      <c r="I12" s="38">
        <v>1.5</v>
      </c>
      <c r="N12" s="13" t="s">
        <v>33</v>
      </c>
      <c r="P12" s="38">
        <v>1.5</v>
      </c>
      <c r="R12" s="13" t="s">
        <v>33</v>
      </c>
      <c r="T12" s="38">
        <v>1.5</v>
      </c>
      <c r="V12" s="13" t="s">
        <v>33</v>
      </c>
      <c r="X12" s="38">
        <v>1.5</v>
      </c>
      <c r="Z12" s="13" t="s">
        <v>33</v>
      </c>
      <c r="AB12" s="38">
        <v>1.5</v>
      </c>
    </row>
    <row r="13" spans="1:28" s="20" customFormat="1" x14ac:dyDescent="0.2">
      <c r="B13" s="67"/>
      <c r="C13" s="68"/>
      <c r="G13" s="67"/>
      <c r="I13" s="68"/>
      <c r="N13" s="67"/>
      <c r="P13" s="68"/>
      <c r="R13" s="67"/>
      <c r="T13" s="68"/>
      <c r="V13" s="1"/>
      <c r="W13" s="1"/>
      <c r="X13" s="1"/>
      <c r="Y13" s="1"/>
      <c r="Z13" s="1"/>
      <c r="AA13" s="1"/>
      <c r="AB13" s="1"/>
    </row>
    <row r="14" spans="1:28" x14ac:dyDescent="0.2">
      <c r="K14" s="1">
        <v>1</v>
      </c>
      <c r="L14" s="1">
        <f>K14+1</f>
        <v>2</v>
      </c>
      <c r="M14" s="1">
        <f t="shared" ref="M14:T14" si="0">L14+1</f>
        <v>3</v>
      </c>
      <c r="N14" s="1">
        <f t="shared" si="0"/>
        <v>4</v>
      </c>
      <c r="O14" s="1">
        <f t="shared" si="0"/>
        <v>5</v>
      </c>
      <c r="P14" s="1">
        <f t="shared" si="0"/>
        <v>6</v>
      </c>
      <c r="Q14" s="1">
        <f t="shared" si="0"/>
        <v>7</v>
      </c>
      <c r="R14" s="1">
        <f t="shared" si="0"/>
        <v>8</v>
      </c>
      <c r="S14" s="1">
        <f t="shared" si="0"/>
        <v>9</v>
      </c>
      <c r="T14" s="1">
        <f t="shared" si="0"/>
        <v>10</v>
      </c>
    </row>
    <row r="15" spans="1:28" x14ac:dyDescent="0.2">
      <c r="A15" s="20" t="s">
        <v>19</v>
      </c>
      <c r="B15" s="56"/>
      <c r="C15" s="48">
        <v>2013</v>
      </c>
      <c r="D15" s="48">
        <f>C15+1</f>
        <v>2014</v>
      </c>
      <c r="E15" s="48">
        <f t="shared" ref="E15:T15" si="1">D15+1</f>
        <v>2015</v>
      </c>
      <c r="F15" s="48">
        <f t="shared" si="1"/>
        <v>2016</v>
      </c>
      <c r="G15" s="48">
        <f t="shared" si="1"/>
        <v>2017</v>
      </c>
      <c r="H15" s="48">
        <f t="shared" si="1"/>
        <v>2018</v>
      </c>
      <c r="I15" s="48">
        <f t="shared" si="1"/>
        <v>2019</v>
      </c>
      <c r="J15" s="48">
        <f t="shared" si="1"/>
        <v>2020</v>
      </c>
      <c r="K15" s="49">
        <f t="shared" si="1"/>
        <v>2021</v>
      </c>
      <c r="L15" s="49">
        <f t="shared" si="1"/>
        <v>2022</v>
      </c>
      <c r="M15" s="49">
        <f t="shared" si="1"/>
        <v>2023</v>
      </c>
      <c r="N15" s="49">
        <f t="shared" si="1"/>
        <v>2024</v>
      </c>
      <c r="O15" s="49">
        <f t="shared" si="1"/>
        <v>2025</v>
      </c>
      <c r="P15" s="49">
        <f t="shared" si="1"/>
        <v>2026</v>
      </c>
      <c r="Q15" s="49">
        <f t="shared" si="1"/>
        <v>2027</v>
      </c>
      <c r="R15" s="49">
        <f t="shared" si="1"/>
        <v>2028</v>
      </c>
      <c r="S15" s="49">
        <f t="shared" si="1"/>
        <v>2029</v>
      </c>
      <c r="T15" s="49">
        <f t="shared" si="1"/>
        <v>2030</v>
      </c>
    </row>
    <row r="16" spans="1:28" s="15" customFormat="1" ht="5" customHeight="1" x14ac:dyDescent="0.2">
      <c r="A16" s="20"/>
      <c r="B16" s="57"/>
      <c r="C16" s="58"/>
      <c r="D16" s="58"/>
      <c r="E16" s="58"/>
      <c r="F16" s="58"/>
      <c r="G16" s="58"/>
      <c r="H16" s="58"/>
      <c r="I16" s="58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</row>
    <row r="17" spans="1:22" s="63" customFormat="1" x14ac:dyDescent="0.2">
      <c r="A17" s="20"/>
      <c r="B17" s="60" t="s">
        <v>40</v>
      </c>
      <c r="C17" s="61"/>
      <c r="D17" s="61"/>
      <c r="E17" s="61"/>
      <c r="F17" s="61"/>
      <c r="G17" s="61"/>
      <c r="H17" s="61"/>
      <c r="I17" s="61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</row>
    <row r="18" spans="1:22" x14ac:dyDescent="0.2">
      <c r="B18" s="4" t="s">
        <v>2</v>
      </c>
    </row>
    <row r="19" spans="1:22" x14ac:dyDescent="0.2">
      <c r="B19" s="1" t="s">
        <v>7</v>
      </c>
      <c r="C19" s="6">
        <v>22.48</v>
      </c>
      <c r="D19" s="6">
        <v>31.66</v>
      </c>
      <c r="E19" s="6">
        <v>50.45</v>
      </c>
      <c r="F19" s="6">
        <v>50.93</v>
      </c>
      <c r="G19" s="6">
        <v>54.48</v>
      </c>
      <c r="H19" s="6">
        <v>51.46</v>
      </c>
      <c r="I19" s="6">
        <v>32.97</v>
      </c>
      <c r="J19" s="6">
        <v>28.54</v>
      </c>
      <c r="K19" s="1">
        <f ca="1">OFFSET(K19,$C$7,0)</f>
        <v>19.100000000000001</v>
      </c>
      <c r="L19" s="7">
        <f ca="1">OFFSET(L19,$C$7,0)</f>
        <v>42.800000000000004</v>
      </c>
      <c r="M19" s="7">
        <f t="shared" ref="M19:T19" ca="1" si="2">OFFSET(M19,$C$7,0)</f>
        <v>48.5025787965616</v>
      </c>
      <c r="N19" s="7">
        <f t="shared" ca="1" si="2"/>
        <v>53.764651024490448</v>
      </c>
      <c r="O19" s="7">
        <f t="shared" ca="1" si="2"/>
        <v>54.584789768931834</v>
      </c>
      <c r="P19" s="7">
        <f t="shared" ca="1" si="2"/>
        <v>60.242151537584391</v>
      </c>
      <c r="Q19" s="7">
        <f t="shared" ca="1" si="2"/>
        <v>73.712382191940549</v>
      </c>
      <c r="R19" s="7">
        <f t="shared" ca="1" si="2"/>
        <v>75.197993724697568</v>
      </c>
      <c r="S19" s="7">
        <f t="shared" ca="1" si="2"/>
        <v>79.020500462213576</v>
      </c>
      <c r="T19" s="7">
        <f t="shared" ca="1" si="2"/>
        <v>85.55527368846812</v>
      </c>
    </row>
    <row r="20" spans="1:22" x14ac:dyDescent="0.2">
      <c r="B20" s="14" t="s">
        <v>23</v>
      </c>
      <c r="C20" s="25">
        <f>C19</f>
        <v>22.48</v>
      </c>
      <c r="D20" s="25">
        <f t="shared" ref="D20:J20" si="3">D19</f>
        <v>31.66</v>
      </c>
      <c r="E20" s="25">
        <f t="shared" si="3"/>
        <v>50.45</v>
      </c>
      <c r="F20" s="25">
        <f t="shared" si="3"/>
        <v>50.93</v>
      </c>
      <c r="G20" s="25">
        <f t="shared" si="3"/>
        <v>54.48</v>
      </c>
      <c r="H20" s="25">
        <f t="shared" si="3"/>
        <v>51.46</v>
      </c>
      <c r="I20" s="25">
        <f t="shared" si="3"/>
        <v>32.97</v>
      </c>
      <c r="J20" s="25">
        <f t="shared" si="3"/>
        <v>28.54</v>
      </c>
      <c r="K20" s="28">
        <f>K21</f>
        <v>19.100000000000001</v>
      </c>
      <c r="L20" s="39">
        <f>K20*(1+L25)</f>
        <v>33.32</v>
      </c>
      <c r="M20" s="39">
        <f t="shared" ref="M20:T20" si="4">L20*(1+M25)</f>
        <v>30.656309455587397</v>
      </c>
      <c r="N20" s="39">
        <f t="shared" si="4"/>
        <v>28.660757236308594</v>
      </c>
      <c r="O20" s="39">
        <f t="shared" si="4"/>
        <v>28.923076031352775</v>
      </c>
      <c r="P20" s="39">
        <f t="shared" si="4"/>
        <v>30.721690318566598</v>
      </c>
      <c r="Q20" s="39">
        <f t="shared" si="4"/>
        <v>34.843338474754475</v>
      </c>
      <c r="R20" s="39">
        <f t="shared" si="4"/>
        <v>35.264681515952596</v>
      </c>
      <c r="S20" s="39">
        <f t="shared" si="4"/>
        <v>36.34023799836028</v>
      </c>
      <c r="T20" s="39">
        <f t="shared" si="4"/>
        <v>38.143379306641108</v>
      </c>
    </row>
    <row r="21" spans="1:22" x14ac:dyDescent="0.2">
      <c r="A21" s="9" t="s">
        <v>8</v>
      </c>
      <c r="B21" s="14" t="s">
        <v>21</v>
      </c>
      <c r="C21" s="25">
        <f>C19</f>
        <v>22.48</v>
      </c>
      <c r="D21" s="25">
        <f t="shared" ref="D21:J21" si="5">D19</f>
        <v>31.66</v>
      </c>
      <c r="E21" s="25">
        <f t="shared" si="5"/>
        <v>50.45</v>
      </c>
      <c r="F21" s="25">
        <f t="shared" si="5"/>
        <v>50.93</v>
      </c>
      <c r="G21" s="25">
        <f t="shared" si="5"/>
        <v>54.48</v>
      </c>
      <c r="H21" s="25">
        <f t="shared" si="5"/>
        <v>51.46</v>
      </c>
      <c r="I21" s="25">
        <f t="shared" si="5"/>
        <v>32.97</v>
      </c>
      <c r="J21" s="25">
        <f t="shared" si="5"/>
        <v>28.54</v>
      </c>
      <c r="K21" s="27">
        <v>19.100000000000001</v>
      </c>
      <c r="L21" s="27">
        <v>34.9</v>
      </c>
      <c r="M21" s="27">
        <v>31.8</v>
      </c>
      <c r="N21" s="27">
        <v>29.5</v>
      </c>
      <c r="O21" s="27">
        <v>29.8</v>
      </c>
      <c r="P21" s="32">
        <f>(1+AVERAGE(K26:O26))*O21</f>
        <v>31.859051998667496</v>
      </c>
      <c r="Q21" s="55">
        <f>(1+AVERAGE(L26:P26))*P21</f>
        <v>36.608204852583924</v>
      </c>
      <c r="R21" s="55">
        <f>(1+AVERAGE(M26:Q26))*Q21</f>
        <v>37.100076726347858</v>
      </c>
      <c r="S21" s="55">
        <f>(1+AVERAGE(N26:R26))*R21</f>
        <v>38.357338046093666</v>
      </c>
      <c r="T21" s="55">
        <f>(1+AVERAGE(O26:S26))*S21</f>
        <v>40.472034057279338</v>
      </c>
      <c r="V21" s="1" t="s">
        <v>24</v>
      </c>
    </row>
    <row r="22" spans="1:22" x14ac:dyDescent="0.2">
      <c r="B22" s="14" t="s">
        <v>22</v>
      </c>
      <c r="C22" s="25">
        <f>C19</f>
        <v>22.48</v>
      </c>
      <c r="D22" s="25">
        <f t="shared" ref="D22:J22" si="6">D19</f>
        <v>31.66</v>
      </c>
      <c r="E22" s="25">
        <f t="shared" si="6"/>
        <v>50.45</v>
      </c>
      <c r="F22" s="25">
        <f t="shared" si="6"/>
        <v>50.93</v>
      </c>
      <c r="G22" s="25">
        <f t="shared" si="6"/>
        <v>54.48</v>
      </c>
      <c r="H22" s="25">
        <f t="shared" si="6"/>
        <v>51.46</v>
      </c>
      <c r="I22" s="25">
        <f t="shared" si="6"/>
        <v>32.97</v>
      </c>
      <c r="J22" s="25">
        <f t="shared" si="6"/>
        <v>28.54</v>
      </c>
      <c r="K22" s="28">
        <f>K21</f>
        <v>19.100000000000001</v>
      </c>
      <c r="L22" s="39">
        <f>K22*(1+L27)</f>
        <v>42.800000000000004</v>
      </c>
      <c r="M22" s="39">
        <f t="shared" ref="M22:T22" si="7">L22*(1+M27)</f>
        <v>48.5025787965616</v>
      </c>
      <c r="N22" s="39">
        <f t="shared" si="7"/>
        <v>53.764651024490448</v>
      </c>
      <c r="O22" s="39">
        <f t="shared" si="7"/>
        <v>54.584789768931834</v>
      </c>
      <c r="P22" s="39">
        <f t="shared" si="7"/>
        <v>60.242151537584391</v>
      </c>
      <c r="Q22" s="39">
        <f t="shared" si="7"/>
        <v>73.712382191940549</v>
      </c>
      <c r="R22" s="39">
        <f t="shared" si="7"/>
        <v>75.197993724697568</v>
      </c>
      <c r="S22" s="39">
        <f t="shared" si="7"/>
        <v>79.020500462213576</v>
      </c>
      <c r="T22" s="39">
        <f t="shared" si="7"/>
        <v>85.55527368846812</v>
      </c>
    </row>
    <row r="23" spans="1:22" ht="8" customHeight="1" x14ac:dyDescent="0.2">
      <c r="B23" s="14"/>
      <c r="C23" s="6"/>
      <c r="D23" s="6"/>
      <c r="E23" s="6"/>
      <c r="F23" s="6"/>
      <c r="G23" s="6"/>
      <c r="H23" s="6"/>
      <c r="I23" s="6"/>
      <c r="J23" s="6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2" ht="14" customHeight="1" x14ac:dyDescent="0.2">
      <c r="B24" s="30" t="s">
        <v>30</v>
      </c>
      <c r="C24" s="6"/>
      <c r="D24" s="6"/>
      <c r="E24" s="6"/>
      <c r="F24" s="6"/>
      <c r="G24" s="6"/>
      <c r="H24" s="6"/>
      <c r="I24" s="6"/>
      <c r="J24" s="6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2" x14ac:dyDescent="0.2">
      <c r="B25" s="14" t="s">
        <v>23</v>
      </c>
      <c r="C25" s="6"/>
      <c r="D25" s="44">
        <f>D20/C20-1</f>
        <v>0.40836298932384341</v>
      </c>
      <c r="E25" s="44">
        <f>E20/D20-1</f>
        <v>0.59349336702463695</v>
      </c>
      <c r="F25" s="44">
        <f>F20/E20-1</f>
        <v>9.5143706640237191E-3</v>
      </c>
      <c r="G25" s="44">
        <f>G20/F20-1</f>
        <v>6.9703514627920571E-2</v>
      </c>
      <c r="H25" s="44">
        <f>H20/G20-1</f>
        <v>-5.5433186490455144E-2</v>
      </c>
      <c r="I25" s="44">
        <f>I20/H20-1</f>
        <v>-0.35930820054411194</v>
      </c>
      <c r="J25" s="44">
        <f>J20/I20-1</f>
        <v>-0.13436457385501976</v>
      </c>
      <c r="K25" s="33">
        <f>K26</f>
        <v>-0.33076384022424665</v>
      </c>
      <c r="L25" s="29">
        <f>$C$11*L26</f>
        <v>0.74450261780104698</v>
      </c>
      <c r="M25" s="29">
        <f>$C$11*M26</f>
        <v>-7.9942693409742069E-2</v>
      </c>
      <c r="N25" s="29">
        <f>$C$11*N26</f>
        <v>-6.5094339622641495E-2</v>
      </c>
      <c r="O25" s="29">
        <f t="shared" ref="O25:T25" si="8">$C$11*O26</f>
        <v>9.1525423728814111E-3</v>
      </c>
      <c r="P25" s="29">
        <f t="shared" si="8"/>
        <v>6.2186134187944477E-2</v>
      </c>
      <c r="Q25" s="29">
        <f t="shared" si="8"/>
        <v>0.13416085226589788</v>
      </c>
      <c r="R25" s="29">
        <f t="shared" si="8"/>
        <v>1.209249915886812E-2</v>
      </c>
      <c r="S25" s="29">
        <f t="shared" si="8"/>
        <v>3.0499537672590015E-2</v>
      </c>
      <c r="T25" s="29">
        <f t="shared" si="8"/>
        <v>4.9618313131636338E-2</v>
      </c>
    </row>
    <row r="26" spans="1:22" x14ac:dyDescent="0.2">
      <c r="B26" s="14" t="s">
        <v>25</v>
      </c>
      <c r="C26" s="6"/>
      <c r="D26" s="44">
        <f>D21/C21-1</f>
        <v>0.40836298932384341</v>
      </c>
      <c r="E26" s="44">
        <f>E21/D21-1</f>
        <v>0.59349336702463695</v>
      </c>
      <c r="F26" s="44">
        <f>F21/E21-1</f>
        <v>9.5143706640237191E-3</v>
      </c>
      <c r="G26" s="44">
        <f>G21/F21-1</f>
        <v>6.9703514627920571E-2</v>
      </c>
      <c r="H26" s="44">
        <f>H21/G21-1</f>
        <v>-5.5433186490455144E-2</v>
      </c>
      <c r="I26" s="44">
        <f>I21/H21-1</f>
        <v>-0.35930820054411194</v>
      </c>
      <c r="J26" s="44">
        <f>J21/I21-1</f>
        <v>-0.13436457385501976</v>
      </c>
      <c r="K26" s="29">
        <f>K21/J21-1</f>
        <v>-0.33076384022424665</v>
      </c>
      <c r="L26" s="29">
        <f>L21/K21-1</f>
        <v>0.82722513089005223</v>
      </c>
      <c r="M26" s="29">
        <f>M21/L21-1</f>
        <v>-8.8825214899713401E-2</v>
      </c>
      <c r="N26" s="29">
        <f>N21/M21-1</f>
        <v>-7.2327044025157217E-2</v>
      </c>
      <c r="O26" s="29">
        <f>O21/N21-1</f>
        <v>1.0169491525423791E-2</v>
      </c>
      <c r="P26" s="31">
        <f>P21/O21-1</f>
        <v>6.9095704653271639E-2</v>
      </c>
      <c r="Q26" s="79">
        <f>Q21/P21-1</f>
        <v>0.14906761362877541</v>
      </c>
      <c r="R26" s="79">
        <f>R21/Q21-1</f>
        <v>1.3436110176520133E-2</v>
      </c>
      <c r="S26" s="79">
        <f>S21/R21-1</f>
        <v>3.3888375191766684E-2</v>
      </c>
      <c r="T26" s="79">
        <f>T21/S21-1</f>
        <v>5.5131459035151487E-2</v>
      </c>
    </row>
    <row r="27" spans="1:22" x14ac:dyDescent="0.2">
      <c r="B27" s="14" t="s">
        <v>22</v>
      </c>
      <c r="C27" s="6"/>
      <c r="D27" s="44">
        <f>D22/C22-1</f>
        <v>0.40836298932384341</v>
      </c>
      <c r="E27" s="44">
        <f>E22/D22-1</f>
        <v>0.59349336702463695</v>
      </c>
      <c r="F27" s="44">
        <f>F22/E22-1</f>
        <v>9.5143706640237191E-3</v>
      </c>
      <c r="G27" s="44">
        <f>G22/F22-1</f>
        <v>6.9703514627920571E-2</v>
      </c>
      <c r="H27" s="44">
        <f>H22/G22-1</f>
        <v>-5.5433186490455144E-2</v>
      </c>
      <c r="I27" s="44">
        <f>I22/H22-1</f>
        <v>-0.35930820054411194</v>
      </c>
      <c r="J27" s="44">
        <f>J22/I22-1</f>
        <v>-0.13436457385501976</v>
      </c>
      <c r="K27" s="33">
        <f>K26</f>
        <v>-0.33076384022424665</v>
      </c>
      <c r="L27" s="29">
        <f>IF(L26*$C$12&lt;0, L26*$C$12*-1, L26*$C$12)</f>
        <v>1.2408376963350785</v>
      </c>
      <c r="M27" s="29">
        <f>IF(M26*$C$12&lt;0, M26*$C$12*-1, M26*$C$12)</f>
        <v>0.1332378223495701</v>
      </c>
      <c r="N27" s="29">
        <f t="shared" ref="N27:T27" si="9">IF(N26*$C$12&lt;0, N26*$C$12*-1, N26*$C$12)</f>
        <v>0.10849056603773582</v>
      </c>
      <c r="O27" s="29">
        <f t="shared" si="9"/>
        <v>1.5254237288135686E-2</v>
      </c>
      <c r="P27" s="29">
        <f t="shared" si="9"/>
        <v>0.10364355697990746</v>
      </c>
      <c r="Q27" s="29">
        <f t="shared" si="9"/>
        <v>0.22360142044316311</v>
      </c>
      <c r="R27" s="29">
        <f t="shared" si="9"/>
        <v>2.0154165264780199E-2</v>
      </c>
      <c r="S27" s="29">
        <f t="shared" si="9"/>
        <v>5.0832562787650026E-2</v>
      </c>
      <c r="T27" s="29">
        <f t="shared" si="9"/>
        <v>8.269718855272723E-2</v>
      </c>
    </row>
    <row r="28" spans="1:22" ht="6" customHeight="1" x14ac:dyDescent="0.2">
      <c r="A28" s="1" t="s">
        <v>0</v>
      </c>
      <c r="C28" s="6"/>
      <c r="D28" s="6"/>
      <c r="E28" s="6"/>
      <c r="F28" s="6"/>
      <c r="G28" s="6"/>
      <c r="H28" s="6"/>
      <c r="I28" s="6"/>
      <c r="J28" s="6"/>
    </row>
    <row r="29" spans="1:22" x14ac:dyDescent="0.2">
      <c r="A29" s="1" t="s">
        <v>8</v>
      </c>
      <c r="B29" s="1" t="s">
        <v>9</v>
      </c>
      <c r="C29" s="6">
        <v>97.61</v>
      </c>
      <c r="D29" s="6">
        <v>101.41</v>
      </c>
      <c r="E29" s="6">
        <v>84.06</v>
      </c>
      <c r="F29" s="6">
        <v>85.99</v>
      </c>
      <c r="G29" s="6">
        <v>83.95</v>
      </c>
      <c r="H29" s="6">
        <v>91.88</v>
      </c>
      <c r="I29" s="6">
        <v>82.55</v>
      </c>
      <c r="J29" s="6">
        <v>80.849999999999994</v>
      </c>
      <c r="K29" s="7">
        <f>J29*(1+K30)</f>
        <v>80.390093130637183</v>
      </c>
      <c r="L29" s="7">
        <f>K29*(1+L30)</f>
        <v>79.47219630530455</v>
      </c>
      <c r="M29" s="7">
        <f>L29*(1+M30)</f>
        <v>78.760371538312995</v>
      </c>
      <c r="N29" s="7">
        <f t="shared" ref="N29:T29" si="10">M29*(1+N30)</f>
        <v>76.425876199615672</v>
      </c>
      <c r="O29" s="7">
        <f t="shared" si="10"/>
        <v>75.259657144861393</v>
      </c>
      <c r="P29" s="7">
        <f t="shared" si="10"/>
        <v>74.191522502149553</v>
      </c>
      <c r="Q29" s="7">
        <f t="shared" si="10"/>
        <v>73.0123586973165</v>
      </c>
      <c r="R29" s="7">
        <f t="shared" si="10"/>
        <v>71.786582915879379</v>
      </c>
      <c r="S29" s="7">
        <f t="shared" si="10"/>
        <v>70.468943953705278</v>
      </c>
      <c r="T29" s="7">
        <f t="shared" si="10"/>
        <v>69.334546118386484</v>
      </c>
    </row>
    <row r="30" spans="1:22" x14ac:dyDescent="0.2">
      <c r="B30" s="1" t="s">
        <v>34</v>
      </c>
      <c r="C30" s="6"/>
      <c r="D30" s="22">
        <f>D29/C29-1</f>
        <v>3.8930437455178657E-2</v>
      </c>
      <c r="E30" s="22">
        <f t="shared" ref="E30:J30" si="11">E29/D29-1</f>
        <v>-0.17108766393846753</v>
      </c>
      <c r="F30" s="22">
        <f t="shared" si="11"/>
        <v>2.2959790625743492E-2</v>
      </c>
      <c r="G30" s="22">
        <f t="shared" si="11"/>
        <v>-2.3723688801023268E-2</v>
      </c>
      <c r="H30" s="22">
        <f t="shared" si="11"/>
        <v>9.4460988683740199E-2</v>
      </c>
      <c r="I30" s="22">
        <f t="shared" si="11"/>
        <v>-0.10154549412276881</v>
      </c>
      <c r="J30" s="22">
        <f t="shared" si="11"/>
        <v>-2.0593579648697791E-2</v>
      </c>
      <c r="K30" s="40">
        <f>AVERAGE(F30:J30)</f>
        <v>-5.6883966526012353E-3</v>
      </c>
      <c r="L30" s="40">
        <f>AVERAGE(G30:K30)</f>
        <v>-1.1418034108270182E-2</v>
      </c>
      <c r="M30" s="40">
        <f t="shared" ref="M30:T30" si="12">AVERAGE(H30:L30)</f>
        <v>-8.9569031697195635E-3</v>
      </c>
      <c r="N30" s="40">
        <f>AVERAGE(I30:M30)</f>
        <v>-2.9640481540411517E-2</v>
      </c>
      <c r="O30" s="40">
        <f t="shared" si="12"/>
        <v>-1.5259479023940056E-2</v>
      </c>
      <c r="P30" s="40">
        <f t="shared" si="12"/>
        <v>-1.4192658898988511E-2</v>
      </c>
      <c r="Q30" s="40">
        <f t="shared" si="12"/>
        <v>-1.5893511348265964E-2</v>
      </c>
      <c r="R30" s="40">
        <f t="shared" si="12"/>
        <v>-1.6788606796265121E-2</v>
      </c>
      <c r="S30" s="40">
        <f t="shared" si="12"/>
        <v>-1.8354947521574232E-2</v>
      </c>
      <c r="T30" s="40">
        <f t="shared" si="12"/>
        <v>-1.6097840717806778E-2</v>
      </c>
      <c r="V30" s="1" t="s">
        <v>37</v>
      </c>
    </row>
    <row r="31" spans="1:22" s="19" customFormat="1" x14ac:dyDescent="0.2">
      <c r="A31" s="41"/>
      <c r="B31" s="19" t="s">
        <v>10</v>
      </c>
      <c r="C31" s="42">
        <f>C19*C29</f>
        <v>2194.2728000000002</v>
      </c>
      <c r="D31" s="42">
        <f>D19*D29</f>
        <v>3210.6405999999997</v>
      </c>
      <c r="E31" s="42">
        <f>E19*E29</f>
        <v>4240.8270000000002</v>
      </c>
      <c r="F31" s="42">
        <f>F19*F29</f>
        <v>4379.4706999999999</v>
      </c>
      <c r="G31" s="42">
        <f>G19*G29</f>
        <v>4573.5959999999995</v>
      </c>
      <c r="H31" s="42">
        <f>H19*H29</f>
        <v>4728.1448</v>
      </c>
      <c r="I31" s="42">
        <f>I19*I29</f>
        <v>2721.6734999999999</v>
      </c>
      <c r="J31" s="42">
        <f>J19*J29</f>
        <v>2307.4589999999998</v>
      </c>
      <c r="K31" s="42">
        <f ca="1">K19*K29</f>
        <v>1535.4507787951702</v>
      </c>
      <c r="L31" s="42">
        <f ca="1">L19*L29</f>
        <v>3401.4100018670351</v>
      </c>
      <c r="M31" s="42">
        <f t="shared" ref="M31:T31" ca="1" si="13">M19*M29</f>
        <v>3820.0811265834936</v>
      </c>
      <c r="N31" s="42">
        <f t="shared" ca="1" si="13"/>
        <v>4109.0105631132465</v>
      </c>
      <c r="O31" s="42">
        <f t="shared" ca="1" si="13"/>
        <v>4108.0325633341481</v>
      </c>
      <c r="P31" s="42">
        <f t="shared" ca="1" si="13"/>
        <v>4469.4569413785957</v>
      </c>
      <c r="Q31" s="42">
        <f t="shared" ca="1" si="13"/>
        <v>5381.9148890316483</v>
      </c>
      <c r="R31" s="42">
        <f t="shared" ca="1" si="13"/>
        <v>5398.2070116257792</v>
      </c>
      <c r="S31" s="42">
        <f t="shared" ca="1" si="13"/>
        <v>5568.4912182654707</v>
      </c>
      <c r="T31" s="42">
        <f t="shared" ca="1" si="13"/>
        <v>5931.9360692242708</v>
      </c>
    </row>
    <row r="34" spans="1:20" x14ac:dyDescent="0.2">
      <c r="B34" s="4" t="s">
        <v>3</v>
      </c>
    </row>
    <row r="35" spans="1:20" x14ac:dyDescent="0.2">
      <c r="A35" s="9"/>
      <c r="B35" s="1" t="str">
        <f>B19</f>
        <v>Unit (# k)</v>
      </c>
      <c r="C35" s="11">
        <v>0</v>
      </c>
      <c r="D35" s="11">
        <v>0</v>
      </c>
      <c r="E35" s="6">
        <v>0.21</v>
      </c>
      <c r="F35" s="6">
        <v>25.31</v>
      </c>
      <c r="G35" s="6">
        <v>46.91</v>
      </c>
      <c r="H35" s="6">
        <v>47.96</v>
      </c>
      <c r="I35" s="6">
        <v>34.409999999999997</v>
      </c>
      <c r="J35" s="6">
        <v>28.54</v>
      </c>
      <c r="K35" s="1">
        <f ca="1">OFFSET(K35,$I$7,0)</f>
        <v>6.8</v>
      </c>
      <c r="L35" s="7">
        <f t="shared" ref="L35:S35" ca="1" si="14">OFFSET(L35,$I$7,0)</f>
        <v>46.650000000000006</v>
      </c>
      <c r="M35" s="7">
        <f ca="1">OFFSET(M35,$I$7,0)</f>
        <v>45.3</v>
      </c>
      <c r="N35" s="7">
        <f t="shared" ca="1" si="14"/>
        <v>42.150000000000006</v>
      </c>
      <c r="O35" s="7">
        <f t="shared" ca="1" si="14"/>
        <v>42.45</v>
      </c>
      <c r="P35" s="7">
        <f t="shared" ca="1" si="14"/>
        <v>41.157285815874623</v>
      </c>
      <c r="Q35" s="7">
        <f t="shared" ca="1" si="14"/>
        <v>39.883171253152874</v>
      </c>
      <c r="R35" s="7">
        <f t="shared" ca="1" si="14"/>
        <v>39.161386905109737</v>
      </c>
      <c r="S35" s="7">
        <f t="shared" ca="1" si="14"/>
        <v>38.123514820806591</v>
      </c>
      <c r="T35" s="7">
        <f ca="1">OFFSET(T35,$I$7,0)</f>
        <v>37.163347333271219</v>
      </c>
    </row>
    <row r="36" spans="1:20" x14ac:dyDescent="0.2">
      <c r="B36" s="14" t="s">
        <v>23</v>
      </c>
      <c r="C36" s="11">
        <v>0</v>
      </c>
      <c r="D36" s="11">
        <v>0</v>
      </c>
      <c r="E36" s="25">
        <f>E35</f>
        <v>0.21</v>
      </c>
      <c r="F36" s="25">
        <f t="shared" ref="F36:J36" si="15">F35</f>
        <v>25.31</v>
      </c>
      <c r="G36" s="25">
        <f t="shared" si="15"/>
        <v>46.91</v>
      </c>
      <c r="H36" s="25">
        <f t="shared" si="15"/>
        <v>47.96</v>
      </c>
      <c r="I36" s="25">
        <f t="shared" si="15"/>
        <v>34.409999999999997</v>
      </c>
      <c r="J36" s="25">
        <f t="shared" si="15"/>
        <v>28.54</v>
      </c>
      <c r="K36" s="28">
        <f>K37</f>
        <v>6.8</v>
      </c>
      <c r="L36" s="39">
        <f>L37*$I$11</f>
        <v>27.990000000000002</v>
      </c>
      <c r="M36" s="39">
        <f>M37*$I$11</f>
        <v>27.18</v>
      </c>
      <c r="N36" s="39">
        <f>N37*$I$11</f>
        <v>25.290000000000003</v>
      </c>
      <c r="O36" s="39">
        <f>O37*$I$11</f>
        <v>25.470000000000002</v>
      </c>
      <c r="P36" s="39">
        <f t="shared" ref="P36:S36" si="16">P37*$I$11</f>
        <v>24.694371489524777</v>
      </c>
      <c r="Q36" s="39">
        <f t="shared" si="16"/>
        <v>23.929902751891724</v>
      </c>
      <c r="R36" s="39">
        <f t="shared" si="16"/>
        <v>23.496832143065841</v>
      </c>
      <c r="S36" s="39">
        <f t="shared" si="16"/>
        <v>22.874108892483953</v>
      </c>
      <c r="T36" s="39">
        <f>T37*$I$11</f>
        <v>22.298008399962729</v>
      </c>
    </row>
    <row r="37" spans="1:20" x14ac:dyDescent="0.2">
      <c r="A37" s="9" t="s">
        <v>8</v>
      </c>
      <c r="B37" s="14" t="s">
        <v>21</v>
      </c>
      <c r="C37" s="11">
        <v>0</v>
      </c>
      <c r="D37" s="11">
        <v>0</v>
      </c>
      <c r="E37" s="25">
        <f>E35</f>
        <v>0.21</v>
      </c>
      <c r="F37" s="25">
        <f t="shared" ref="F37:J37" si="17">F35</f>
        <v>25.31</v>
      </c>
      <c r="G37" s="25">
        <f t="shared" si="17"/>
        <v>46.91</v>
      </c>
      <c r="H37" s="25">
        <f t="shared" si="17"/>
        <v>47.96</v>
      </c>
      <c r="I37" s="25">
        <f t="shared" si="17"/>
        <v>34.409999999999997</v>
      </c>
      <c r="J37" s="25">
        <f t="shared" si="17"/>
        <v>28.54</v>
      </c>
      <c r="K37" s="27">
        <v>6.8</v>
      </c>
      <c r="L37" s="27">
        <v>31.1</v>
      </c>
      <c r="M37" s="27">
        <v>30.2</v>
      </c>
      <c r="N37" s="27">
        <v>28.1</v>
      </c>
      <c r="O37" s="27">
        <v>28.3</v>
      </c>
      <c r="P37" s="32">
        <f>(1+AVERAGE(M42:O42))*O37</f>
        <v>27.438190543916416</v>
      </c>
      <c r="Q37" s="55">
        <f t="shared" ref="Q37:T37" si="18">(1+AVERAGE(N42:P42))*P37</f>
        <v>26.588780835435248</v>
      </c>
      <c r="R37" s="55">
        <f t="shared" si="18"/>
        <v>26.107591270073158</v>
      </c>
      <c r="S37" s="55">
        <f t="shared" si="18"/>
        <v>25.415676547204392</v>
      </c>
      <c r="T37" s="55">
        <f t="shared" si="18"/>
        <v>24.775564888847477</v>
      </c>
    </row>
    <row r="38" spans="1:20" x14ac:dyDescent="0.2">
      <c r="B38" s="14" t="s">
        <v>22</v>
      </c>
      <c r="C38" s="11">
        <v>0</v>
      </c>
      <c r="D38" s="11">
        <v>0</v>
      </c>
      <c r="E38" s="25">
        <f>E36</f>
        <v>0.21</v>
      </c>
      <c r="F38" s="25">
        <f>F36</f>
        <v>25.31</v>
      </c>
      <c r="G38" s="25">
        <f t="shared" ref="G38:J38" si="19">G36</f>
        <v>46.91</v>
      </c>
      <c r="H38" s="25">
        <f t="shared" si="19"/>
        <v>47.96</v>
      </c>
      <c r="I38" s="25">
        <f t="shared" si="19"/>
        <v>34.409999999999997</v>
      </c>
      <c r="J38" s="25">
        <f t="shared" si="19"/>
        <v>28.54</v>
      </c>
      <c r="K38" s="28">
        <f>K37</f>
        <v>6.8</v>
      </c>
      <c r="L38" s="39">
        <f>L37*$I$12</f>
        <v>46.650000000000006</v>
      </c>
      <c r="M38" s="39">
        <f>M37*$I$12</f>
        <v>45.3</v>
      </c>
      <c r="N38" s="39">
        <f t="shared" ref="N38:T38" si="20">N37*$I$12</f>
        <v>42.150000000000006</v>
      </c>
      <c r="O38" s="39">
        <f t="shared" si="20"/>
        <v>42.45</v>
      </c>
      <c r="P38" s="39">
        <f>P37*$I$12</f>
        <v>41.157285815874623</v>
      </c>
      <c r="Q38" s="39">
        <f>Q37*$I$12</f>
        <v>39.883171253152874</v>
      </c>
      <c r="R38" s="39">
        <f t="shared" si="20"/>
        <v>39.161386905109737</v>
      </c>
      <c r="S38" s="39">
        <f t="shared" si="20"/>
        <v>38.123514820806591</v>
      </c>
      <c r="T38" s="39">
        <f t="shared" si="20"/>
        <v>37.163347333271219</v>
      </c>
    </row>
    <row r="39" spans="1:20" ht="7" customHeight="1" x14ac:dyDescent="0.2">
      <c r="B39" s="14"/>
      <c r="C39" s="6"/>
      <c r="D39" s="6"/>
      <c r="E39" s="6"/>
      <c r="F39" s="6"/>
      <c r="G39" s="6"/>
      <c r="H39" s="6"/>
      <c r="I39" s="6"/>
      <c r="J39" s="6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4" customHeight="1" x14ac:dyDescent="0.2">
      <c r="B40" s="30" t="s">
        <v>30</v>
      </c>
      <c r="C40" s="6"/>
      <c r="D40" s="6"/>
      <c r="E40" s="6"/>
      <c r="F40" s="6"/>
      <c r="G40" s="6"/>
      <c r="H40" s="6"/>
      <c r="I40" s="6"/>
      <c r="J40" s="6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x14ac:dyDescent="0.2">
      <c r="B41" s="14" t="s">
        <v>23</v>
      </c>
      <c r="C41" s="6"/>
      <c r="D41" s="6"/>
      <c r="E41" s="6"/>
      <c r="F41" s="44">
        <f>F36/E36-1</f>
        <v>119.52380952380952</v>
      </c>
      <c r="G41" s="44">
        <f>G36/F36-1</f>
        <v>0.85341762149348077</v>
      </c>
      <c r="H41" s="44">
        <f>H36/G36-1</f>
        <v>2.2383287145598008E-2</v>
      </c>
      <c r="I41" s="44">
        <f>I36/H36-1</f>
        <v>-0.28252710592160146</v>
      </c>
      <c r="J41" s="44">
        <f>J36/I36-1</f>
        <v>-0.1705899447834931</v>
      </c>
      <c r="K41" s="33">
        <f>K42</f>
        <v>-0.76173791170287319</v>
      </c>
      <c r="L41" s="29">
        <f>L36/K36-1</f>
        <v>3.1161764705882353</v>
      </c>
      <c r="M41" s="29">
        <f t="shared" ref="M41:T41" si="21">M36/L36-1</f>
        <v>-2.8938906752411619E-2</v>
      </c>
      <c r="N41" s="29">
        <f t="shared" si="21"/>
        <v>-6.9536423841059514E-2</v>
      </c>
      <c r="O41" s="29">
        <f t="shared" si="21"/>
        <v>7.1174377224199059E-3</v>
      </c>
      <c r="P41" s="29">
        <f t="shared" si="21"/>
        <v>-3.0452630957017113E-2</v>
      </c>
      <c r="Q41" s="29">
        <f t="shared" si="21"/>
        <v>-3.0957205691885537E-2</v>
      </c>
      <c r="R41" s="29">
        <f t="shared" si="21"/>
        <v>-1.8097466308827692E-2</v>
      </c>
      <c r="S41" s="29">
        <f t="shared" si="21"/>
        <v>-2.6502434319243373E-2</v>
      </c>
      <c r="T41" s="29">
        <f t="shared" si="21"/>
        <v>-2.5185702106652164E-2</v>
      </c>
    </row>
    <row r="42" spans="1:20" x14ac:dyDescent="0.2">
      <c r="B42" s="14" t="s">
        <v>25</v>
      </c>
      <c r="C42" s="6"/>
      <c r="D42" s="11">
        <v>0</v>
      </c>
      <c r="E42" s="43" t="s">
        <v>11</v>
      </c>
      <c r="F42" s="44">
        <f>F37/E37-1</f>
        <v>119.52380952380952</v>
      </c>
      <c r="G42" s="44">
        <f>G37/F37-1</f>
        <v>0.85341762149348077</v>
      </c>
      <c r="H42" s="44">
        <f>H37/G37-1</f>
        <v>2.2383287145598008E-2</v>
      </c>
      <c r="I42" s="44">
        <f>I37/H37-1</f>
        <v>-0.28252710592160146</v>
      </c>
      <c r="J42" s="44">
        <f>J37/I37-1</f>
        <v>-0.1705899447834931</v>
      </c>
      <c r="K42" s="29">
        <f>K37/J37-1</f>
        <v>-0.76173791170287319</v>
      </c>
      <c r="L42" s="29">
        <f>L37/K37-1</f>
        <v>3.5735294117647065</v>
      </c>
      <c r="M42" s="29">
        <f t="shared" ref="M42:T42" si="22">M37/L37-1</f>
        <v>-2.8938906752411619E-2</v>
      </c>
      <c r="N42" s="29">
        <f t="shared" si="22"/>
        <v>-6.9536423841059514E-2</v>
      </c>
      <c r="O42" s="29">
        <f t="shared" si="22"/>
        <v>7.1174377224199059E-3</v>
      </c>
      <c r="P42" s="31">
        <f>P37/O37-1</f>
        <v>-3.0452630957017113E-2</v>
      </c>
      <c r="Q42" s="79">
        <f t="shared" si="22"/>
        <v>-3.0957205691885537E-2</v>
      </c>
      <c r="R42" s="79">
        <f t="shared" si="22"/>
        <v>-1.8097466308827581E-2</v>
      </c>
      <c r="S42" s="79">
        <f t="shared" si="22"/>
        <v>-2.6502434319243373E-2</v>
      </c>
      <c r="T42" s="79">
        <f t="shared" si="22"/>
        <v>-2.5185702106652164E-2</v>
      </c>
    </row>
    <row r="43" spans="1:20" x14ac:dyDescent="0.2">
      <c r="B43" s="14" t="s">
        <v>22</v>
      </c>
      <c r="C43" s="6"/>
      <c r="D43" s="6"/>
      <c r="E43" s="6"/>
      <c r="F43" s="44">
        <f>F38/E38-1</f>
        <v>119.52380952380952</v>
      </c>
      <c r="G43" s="44">
        <f>G38/F38-1</f>
        <v>0.85341762149348077</v>
      </c>
      <c r="H43" s="44">
        <f>H38/G38-1</f>
        <v>2.2383287145598008E-2</v>
      </c>
      <c r="I43" s="44">
        <f>I38/H38-1</f>
        <v>-0.28252710592160146</v>
      </c>
      <c r="J43" s="44">
        <f>J38/I38-1</f>
        <v>-0.1705899447834931</v>
      </c>
      <c r="K43" s="33">
        <f>K42</f>
        <v>-0.76173791170287319</v>
      </c>
      <c r="L43" s="29">
        <f>L38/K38-1</f>
        <v>5.8602941176470598</v>
      </c>
      <c r="M43" s="29">
        <f>M38/L38-1</f>
        <v>-2.893890675241173E-2</v>
      </c>
      <c r="N43" s="29">
        <f t="shared" ref="N43:T43" si="23">N38/M38-1</f>
        <v>-6.9536423841059403E-2</v>
      </c>
      <c r="O43" s="29">
        <f t="shared" si="23"/>
        <v>7.1174377224199059E-3</v>
      </c>
      <c r="P43" s="29">
        <f t="shared" si="23"/>
        <v>-3.0452630957017224E-2</v>
      </c>
      <c r="Q43" s="29">
        <f t="shared" si="23"/>
        <v>-3.0957205691885425E-2</v>
      </c>
      <c r="R43" s="29">
        <f t="shared" si="23"/>
        <v>-1.8097466308827581E-2</v>
      </c>
      <c r="S43" s="29">
        <f t="shared" si="23"/>
        <v>-2.6502434319243262E-2</v>
      </c>
      <c r="T43" s="29">
        <f t="shared" si="23"/>
        <v>-2.5185702106652164E-2</v>
      </c>
    </row>
    <row r="44" spans="1:20" ht="6" customHeight="1" x14ac:dyDescent="0.2">
      <c r="A44" s="1" t="s">
        <v>0</v>
      </c>
      <c r="C44" s="6"/>
      <c r="D44" s="6"/>
      <c r="E44" s="6"/>
      <c r="F44" s="6"/>
      <c r="G44" s="6"/>
      <c r="H44" s="6"/>
      <c r="I44" s="6"/>
      <c r="J44" s="6"/>
    </row>
    <row r="45" spans="1:20" x14ac:dyDescent="0.2">
      <c r="A45" s="9" t="s">
        <v>8</v>
      </c>
      <c r="B45" s="1" t="str">
        <f>B29</f>
        <v>Price (# k)</v>
      </c>
      <c r="C45" s="11">
        <v>0</v>
      </c>
      <c r="D45" s="11">
        <v>0</v>
      </c>
      <c r="E45" s="6">
        <v>116.36</v>
      </c>
      <c r="F45" s="6">
        <v>97.3</v>
      </c>
      <c r="G45" s="6">
        <v>100.3</v>
      </c>
      <c r="H45" s="6">
        <v>102.4</v>
      </c>
      <c r="I45" s="6">
        <v>87.8</v>
      </c>
      <c r="J45" s="6">
        <v>87.1</v>
      </c>
      <c r="K45" s="7">
        <f>J45*(1+K46)</f>
        <v>82.525802073116438</v>
      </c>
      <c r="L45" s="7">
        <f t="shared" ref="L45:T45" si="24">K45*(1+L46)</f>
        <v>80.028608462634679</v>
      </c>
      <c r="M45" s="7">
        <f t="shared" si="24"/>
        <v>76.629156831134637</v>
      </c>
      <c r="N45" s="7">
        <f t="shared" si="24"/>
        <v>72.40221715834258</v>
      </c>
      <c r="O45" s="7">
        <f t="shared" si="24"/>
        <v>69.674278605242876</v>
      </c>
      <c r="P45" s="7">
        <f>O45*(1+P46)</f>
        <v>66.63518874745597</v>
      </c>
      <c r="Q45" s="7">
        <f t="shared" si="24"/>
        <v>63.847244716486273</v>
      </c>
      <c r="R45" s="7">
        <f t="shared" si="24"/>
        <v>61.028083120095339</v>
      </c>
      <c r="S45" s="7">
        <f t="shared" si="24"/>
        <v>58.31293421986485</v>
      </c>
      <c r="T45" s="7">
        <f t="shared" si="24"/>
        <v>55.843032178399291</v>
      </c>
    </row>
    <row r="46" spans="1:20" x14ac:dyDescent="0.2">
      <c r="B46" s="1" t="s">
        <v>35</v>
      </c>
      <c r="C46" s="11">
        <v>0</v>
      </c>
      <c r="D46" s="11">
        <v>0</v>
      </c>
      <c r="E46" s="11">
        <v>0</v>
      </c>
      <c r="F46" s="21">
        <f>F45/E45-1</f>
        <v>-0.16380199381230665</v>
      </c>
      <c r="G46" s="21">
        <f t="shared" ref="G46:I46" si="25">G45/F45-1</f>
        <v>3.0832476875642278E-2</v>
      </c>
      <c r="H46" s="21">
        <f t="shared" si="25"/>
        <v>2.0937188434696052E-2</v>
      </c>
      <c r="I46" s="21">
        <f t="shared" si="25"/>
        <v>-0.14257812500000011</v>
      </c>
      <c r="J46" s="21">
        <f>J45/I45-1</f>
        <v>-7.9726651480638289E-3</v>
      </c>
      <c r="K46" s="45">
        <f>AVERAGE(F46:J46)</f>
        <v>-5.251662373000645E-2</v>
      </c>
      <c r="L46" s="45">
        <f>AVERAGE(G46:K46)</f>
        <v>-3.0259549713546413E-2</v>
      </c>
      <c r="M46" s="45">
        <f t="shared" ref="M46:T46" si="26">AVERAGE(H46:L46)</f>
        <v>-4.247795503138415E-2</v>
      </c>
      <c r="N46" s="45">
        <f t="shared" si="26"/>
        <v>-5.5160983724600189E-2</v>
      </c>
      <c r="O46" s="45">
        <f>AVERAGE(J46:N46)</f>
        <v>-3.7677555469520209E-2</v>
      </c>
      <c r="P46" s="45">
        <f t="shared" si="26"/>
        <v>-4.3618533533811482E-2</v>
      </c>
      <c r="Q46" s="45">
        <f t="shared" si="26"/>
        <v>-4.1838915494572484E-2</v>
      </c>
      <c r="R46" s="45">
        <f t="shared" si="26"/>
        <v>-4.4154788650777696E-2</v>
      </c>
      <c r="S46" s="45">
        <f t="shared" si="26"/>
        <v>-4.4490155374656414E-2</v>
      </c>
      <c r="T46" s="45">
        <f t="shared" si="26"/>
        <v>-4.2355989704667654E-2</v>
      </c>
    </row>
    <row r="47" spans="1:20" s="16" customFormat="1" x14ac:dyDescent="0.2">
      <c r="A47" s="20"/>
      <c r="B47" s="16" t="str">
        <f>B31</f>
        <v>Revenue ($m)</v>
      </c>
      <c r="C47" s="17">
        <v>0</v>
      </c>
      <c r="D47" s="17">
        <v>0</v>
      </c>
      <c r="E47" s="18">
        <f>E35*E45</f>
        <v>24.435599999999997</v>
      </c>
      <c r="F47" s="18">
        <f>F35*F45</f>
        <v>2462.663</v>
      </c>
      <c r="G47" s="18">
        <f>G35*G45</f>
        <v>4705.0729999999994</v>
      </c>
      <c r="H47" s="18">
        <f>H35*H45</f>
        <v>4911.1040000000003</v>
      </c>
      <c r="I47" s="18">
        <f>I35*I45</f>
        <v>3021.1979999999994</v>
      </c>
      <c r="J47" s="18">
        <f>J35*J45</f>
        <v>2485.8339999999998</v>
      </c>
      <c r="K47" s="18">
        <f ca="1">K35*K45</f>
        <v>561.17545409719173</v>
      </c>
      <c r="L47" s="18">
        <f ca="1">L35*L45</f>
        <v>3733.3345847819082</v>
      </c>
      <c r="M47" s="18">
        <f t="shared" ref="M47:T47" ca="1" si="27">M35*M45</f>
        <v>3471.300804450399</v>
      </c>
      <c r="N47" s="18">
        <f t="shared" ca="1" si="27"/>
        <v>3051.7534532241402</v>
      </c>
      <c r="O47" s="18">
        <f t="shared" ca="1" si="27"/>
        <v>2957.6731267925602</v>
      </c>
      <c r="P47" s="18">
        <f t="shared" ca="1" si="27"/>
        <v>2742.523508673798</v>
      </c>
      <c r="Q47" s="18">
        <f t="shared" ca="1" si="27"/>
        <v>2546.4305950695821</v>
      </c>
      <c r="R47" s="18">
        <f t="shared" ca="1" si="27"/>
        <v>2389.94437514325</v>
      </c>
      <c r="S47" s="18">
        <f t="shared" ca="1" si="27"/>
        <v>2223.0940119757374</v>
      </c>
      <c r="T47" s="18">
        <f t="shared" ca="1" si="27"/>
        <v>2075.3140009888943</v>
      </c>
    </row>
    <row r="50" spans="1:20" x14ac:dyDescent="0.2">
      <c r="B50" s="4" t="s">
        <v>4</v>
      </c>
    </row>
    <row r="51" spans="1:20" x14ac:dyDescent="0.2">
      <c r="A51" s="9"/>
      <c r="B51" s="1" t="str">
        <f>B35</f>
        <v>Unit (# k)</v>
      </c>
      <c r="C51" s="11">
        <v>0</v>
      </c>
      <c r="D51" s="11">
        <v>0</v>
      </c>
      <c r="E51" s="11">
        <v>0</v>
      </c>
      <c r="F51" s="11">
        <v>0</v>
      </c>
      <c r="G51" s="6">
        <v>1.76</v>
      </c>
      <c r="H51" s="6">
        <v>146.06</v>
      </c>
      <c r="I51" s="6">
        <v>300.89</v>
      </c>
      <c r="J51" s="6">
        <v>356.56</v>
      </c>
      <c r="K51" s="1">
        <f ca="1">OFFSET(K51,$P$7,0)</f>
        <v>473</v>
      </c>
      <c r="L51" s="7">
        <f t="shared" ref="L51:T51" ca="1" si="28">OFFSET(L51,$P$7,0)</f>
        <v>589.4</v>
      </c>
      <c r="M51" s="7">
        <f t="shared" ca="1" si="28"/>
        <v>773.09240828187421</v>
      </c>
      <c r="N51" s="7">
        <f t="shared" ca="1" si="28"/>
        <v>890.80008698644519</v>
      </c>
      <c r="O51" s="7">
        <f t="shared" ca="1" si="28"/>
        <v>1067.3791622498331</v>
      </c>
      <c r="P51" s="7">
        <f t="shared" ca="1" si="28"/>
        <v>1365.8348410362421</v>
      </c>
      <c r="Q51" s="7">
        <f t="shared" ca="1" si="28"/>
        <v>1690.3148919626926</v>
      </c>
      <c r="R51" s="7">
        <f t="shared" ca="1" si="28"/>
        <v>2089.0011331470023</v>
      </c>
      <c r="S51" s="7">
        <f t="shared" ca="1" si="28"/>
        <v>2550.0563909696866</v>
      </c>
      <c r="T51" s="7">
        <f t="shared" ca="1" si="28"/>
        <v>3147.7798473400599</v>
      </c>
    </row>
    <row r="52" spans="1:20" x14ac:dyDescent="0.2">
      <c r="B52" s="14" t="s">
        <v>23</v>
      </c>
      <c r="C52" s="11">
        <v>0</v>
      </c>
      <c r="D52" s="11">
        <v>0</v>
      </c>
      <c r="E52" s="11">
        <v>0</v>
      </c>
      <c r="F52" s="11">
        <v>0</v>
      </c>
      <c r="G52" s="25">
        <f>G51</f>
        <v>1.76</v>
      </c>
      <c r="H52" s="25">
        <f t="shared" ref="H52:J52" si="29">H51</f>
        <v>146.06</v>
      </c>
      <c r="I52" s="25">
        <f t="shared" si="29"/>
        <v>300.89</v>
      </c>
      <c r="J52" s="25">
        <f t="shared" si="29"/>
        <v>356.56</v>
      </c>
      <c r="K52" s="28">
        <f>K53</f>
        <v>473</v>
      </c>
      <c r="L52" s="39">
        <f>K52*(1+L57)</f>
        <v>542.84</v>
      </c>
      <c r="M52" s="39">
        <f t="shared" ref="M52:T52" si="30">L52*(1+M57)</f>
        <v>644.34891100617494</v>
      </c>
      <c r="N52" s="39">
        <f t="shared" si="30"/>
        <v>703.21236415448345</v>
      </c>
      <c r="O52" s="39">
        <f>N52*(1+O57)</f>
        <v>786.84903468709581</v>
      </c>
      <c r="P52" s="39">
        <f t="shared" si="30"/>
        <v>918.85811134265123</v>
      </c>
      <c r="Q52" s="39">
        <f t="shared" si="30"/>
        <v>1049.8334464877594</v>
      </c>
      <c r="R52" s="39">
        <f t="shared" si="30"/>
        <v>1198.4048704182819</v>
      </c>
      <c r="S52" s="39">
        <f t="shared" si="30"/>
        <v>1357.1020174153141</v>
      </c>
      <c r="T52" s="39">
        <f t="shared" si="30"/>
        <v>1547.9617281344715</v>
      </c>
    </row>
    <row r="53" spans="1:20" x14ac:dyDescent="0.2">
      <c r="A53" s="9" t="s">
        <v>8</v>
      </c>
      <c r="B53" s="14" t="s">
        <v>21</v>
      </c>
      <c r="C53" s="11">
        <v>0</v>
      </c>
      <c r="D53" s="11">
        <v>0</v>
      </c>
      <c r="E53" s="11">
        <v>0</v>
      </c>
      <c r="F53" s="11">
        <v>0</v>
      </c>
      <c r="G53" s="25">
        <f>G51</f>
        <v>1.76</v>
      </c>
      <c r="H53" s="25">
        <f t="shared" ref="H53:J54" si="31">H51</f>
        <v>146.06</v>
      </c>
      <c r="I53" s="25">
        <f>I51</f>
        <v>300.89</v>
      </c>
      <c r="J53" s="25">
        <f t="shared" si="31"/>
        <v>356.56</v>
      </c>
      <c r="K53" s="27">
        <v>473</v>
      </c>
      <c r="L53" s="47">
        <v>550.6</v>
      </c>
      <c r="M53" s="47">
        <v>665</v>
      </c>
      <c r="N53" s="47">
        <v>732.5</v>
      </c>
      <c r="O53" s="47">
        <v>829.3</v>
      </c>
      <c r="P53" s="32">
        <f>(1+AVERAGE(K58:O58))*O53</f>
        <v>983.89004832975888</v>
      </c>
      <c r="Q53" s="55">
        <f>(1+AVERAGE(L58:P58))*P53</f>
        <v>1139.7179143821702</v>
      </c>
      <c r="R53" s="55">
        <f>(1+AVERAGE(M58:Q58))*Q53</f>
        <v>1318.9310118770154</v>
      </c>
      <c r="S53" s="55">
        <f>(1+AVERAGE(N58:R58))*R53</f>
        <v>1512.9950769405611</v>
      </c>
      <c r="T53" s="55">
        <f>(1+AVERAGE(O58:S58))*S53</f>
        <v>1749.4219131111347</v>
      </c>
    </row>
    <row r="54" spans="1:20" x14ac:dyDescent="0.2">
      <c r="B54" s="14" t="s">
        <v>22</v>
      </c>
      <c r="C54" s="11">
        <v>0</v>
      </c>
      <c r="D54" s="11">
        <v>0</v>
      </c>
      <c r="E54" s="11">
        <v>0</v>
      </c>
      <c r="F54" s="11">
        <v>0</v>
      </c>
      <c r="G54" s="25">
        <f>G52</f>
        <v>1.76</v>
      </c>
      <c r="H54" s="25">
        <f t="shared" si="31"/>
        <v>146.06</v>
      </c>
      <c r="I54" s="25">
        <f>I52</f>
        <v>300.89</v>
      </c>
      <c r="J54" s="25">
        <f t="shared" si="31"/>
        <v>356.56</v>
      </c>
      <c r="K54" s="28">
        <f>K53</f>
        <v>473</v>
      </c>
      <c r="L54" s="39">
        <f>K54*(1+L59)</f>
        <v>589.4</v>
      </c>
      <c r="M54" s="39">
        <f t="shared" ref="M54:T54" si="32">L54*(1+M59)</f>
        <v>773.09240828187421</v>
      </c>
      <c r="N54" s="39">
        <f t="shared" si="32"/>
        <v>890.80008698644519</v>
      </c>
      <c r="O54" s="39">
        <f t="shared" si="32"/>
        <v>1067.3791622498331</v>
      </c>
      <c r="P54" s="39">
        <f t="shared" si="32"/>
        <v>1365.8348410362421</v>
      </c>
      <c r="Q54" s="39">
        <f t="shared" si="32"/>
        <v>1690.3148919626926</v>
      </c>
      <c r="R54" s="39">
        <f t="shared" si="32"/>
        <v>2089.0011331470023</v>
      </c>
      <c r="S54" s="39">
        <f t="shared" si="32"/>
        <v>2550.0563909696866</v>
      </c>
      <c r="T54" s="39">
        <f t="shared" si="32"/>
        <v>3147.7798473400599</v>
      </c>
    </row>
    <row r="55" spans="1:20" x14ac:dyDescent="0.2">
      <c r="B55" s="14"/>
      <c r="C55" s="6"/>
      <c r="D55" s="6"/>
      <c r="E55" s="6"/>
      <c r="F55" s="6"/>
      <c r="G55" s="6"/>
      <c r="H55" s="6"/>
      <c r="I55" s="6"/>
      <c r="J55" s="6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ht="14" customHeight="1" x14ac:dyDescent="0.2">
      <c r="B56" s="30" t="s">
        <v>30</v>
      </c>
      <c r="C56" s="6"/>
      <c r="D56" s="6"/>
      <c r="E56" s="6"/>
      <c r="F56" s="6"/>
      <c r="G56" s="6"/>
      <c r="H56" s="6"/>
      <c r="I56" s="6"/>
      <c r="J56" s="6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x14ac:dyDescent="0.2">
      <c r="B57" s="14" t="s">
        <v>23</v>
      </c>
      <c r="C57" s="6"/>
      <c r="D57" s="11">
        <v>0</v>
      </c>
      <c r="E57" s="11">
        <v>0</v>
      </c>
      <c r="F57" s="11">
        <v>0</v>
      </c>
      <c r="G57" s="11">
        <v>0</v>
      </c>
      <c r="H57" s="44">
        <f>H52/G52-1</f>
        <v>81.98863636363636</v>
      </c>
      <c r="I57" s="44">
        <f>I52/H52-1</f>
        <v>1.0600438176092015</v>
      </c>
      <c r="J57" s="44">
        <f>J52/I52-1</f>
        <v>0.18501778058426677</v>
      </c>
      <c r="K57" s="33">
        <f>K58</f>
        <v>0.32656495400493601</v>
      </c>
      <c r="L57" s="29">
        <f>L58*$P$11</f>
        <v>0.14765327695560254</v>
      </c>
      <c r="M57" s="29">
        <f t="shared" ref="M57:T57" si="33">M58*$P$11</f>
        <v>0.18699600435888108</v>
      </c>
      <c r="N57" s="29">
        <f t="shared" si="33"/>
        <v>9.1353383458646589E-2</v>
      </c>
      <c r="O57" s="29">
        <f t="shared" si="33"/>
        <v>0.11893515358361761</v>
      </c>
      <c r="P57" s="29">
        <f t="shared" si="33"/>
        <v>0.16776925539223814</v>
      </c>
      <c r="Q57" s="29">
        <f t="shared" si="33"/>
        <v>0.14254141474979728</v>
      </c>
      <c r="R57" s="29">
        <f t="shared" si="33"/>
        <v>0.14151904230863607</v>
      </c>
      <c r="S57" s="29">
        <f t="shared" si="33"/>
        <v>0.13242364989858718</v>
      </c>
      <c r="T57" s="29">
        <f t="shared" si="33"/>
        <v>0.14063770318657526</v>
      </c>
    </row>
    <row r="58" spans="1:20" x14ac:dyDescent="0.2">
      <c r="B58" s="14" t="s">
        <v>25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22">
        <f>H53/G53-1</f>
        <v>81.98863636363636</v>
      </c>
      <c r="I58" s="22">
        <f>I53/H53-1</f>
        <v>1.0600438176092015</v>
      </c>
      <c r="J58" s="22">
        <f>J53/I53-1</f>
        <v>0.18501778058426677</v>
      </c>
      <c r="K58" s="46">
        <f>K53/J53-1</f>
        <v>0.32656495400493601</v>
      </c>
      <c r="L58" s="29">
        <f>L53/K53-1</f>
        <v>0.16405919661733614</v>
      </c>
      <c r="M58" s="29">
        <f t="shared" ref="M58:T58" si="34">M53/L53-1</f>
        <v>0.20777333817653454</v>
      </c>
      <c r="N58" s="29">
        <f t="shared" si="34"/>
        <v>0.10150375939849621</v>
      </c>
      <c r="O58" s="29">
        <f t="shared" si="34"/>
        <v>0.13215017064846402</v>
      </c>
      <c r="P58" s="29">
        <f t="shared" si="34"/>
        <v>0.18641028376915347</v>
      </c>
      <c r="Q58" s="29">
        <f t="shared" si="34"/>
        <v>0.15837934972199696</v>
      </c>
      <c r="R58" s="29">
        <f t="shared" si="34"/>
        <v>0.15724338034292895</v>
      </c>
      <c r="S58" s="29">
        <f t="shared" si="34"/>
        <v>0.14713738877620797</v>
      </c>
      <c r="T58" s="29">
        <f t="shared" si="34"/>
        <v>0.15626411465175027</v>
      </c>
    </row>
    <row r="59" spans="1:20" x14ac:dyDescent="0.2">
      <c r="B59" s="14" t="s">
        <v>22</v>
      </c>
      <c r="C59" s="6"/>
      <c r="D59" s="11">
        <v>0</v>
      </c>
      <c r="E59" s="11">
        <v>0</v>
      </c>
      <c r="F59" s="11">
        <v>0</v>
      </c>
      <c r="G59" s="11">
        <v>0</v>
      </c>
      <c r="H59" s="44">
        <f>H54/G54-1</f>
        <v>81.98863636363636</v>
      </c>
      <c r="I59" s="44">
        <f>I54/H54-1</f>
        <v>1.0600438176092015</v>
      </c>
      <c r="J59" s="44">
        <f>J54/I54-1</f>
        <v>0.18501778058426677</v>
      </c>
      <c r="K59" s="33">
        <f>K58</f>
        <v>0.32656495400493601</v>
      </c>
      <c r="L59" s="29">
        <f>L58*$P$12</f>
        <v>0.24608879492600422</v>
      </c>
      <c r="M59" s="29">
        <f t="shared" ref="M59:T59" si="35">M58*$P$12</f>
        <v>0.31166000726480181</v>
      </c>
      <c r="N59" s="29">
        <f t="shared" si="35"/>
        <v>0.15225563909774431</v>
      </c>
      <c r="O59" s="29">
        <f t="shared" si="35"/>
        <v>0.19822525597269602</v>
      </c>
      <c r="P59" s="29">
        <f t="shared" si="35"/>
        <v>0.27961542565373021</v>
      </c>
      <c r="Q59" s="29">
        <f t="shared" si="35"/>
        <v>0.23756902458299545</v>
      </c>
      <c r="R59" s="29">
        <f t="shared" si="35"/>
        <v>0.23586507051439343</v>
      </c>
      <c r="S59" s="29">
        <f t="shared" si="35"/>
        <v>0.22070608316431195</v>
      </c>
      <c r="T59" s="29">
        <f t="shared" si="35"/>
        <v>0.23439617197762541</v>
      </c>
    </row>
    <row r="61" spans="1:20" ht="6" customHeight="1" x14ac:dyDescent="0.2">
      <c r="A61" s="1" t="s">
        <v>0</v>
      </c>
      <c r="C61" s="6"/>
      <c r="D61" s="6"/>
      <c r="E61" s="6"/>
      <c r="F61" s="6"/>
      <c r="G61" s="6"/>
      <c r="H61" s="6"/>
      <c r="I61" s="6"/>
      <c r="J61" s="6"/>
    </row>
    <row r="62" spans="1:20" x14ac:dyDescent="0.2">
      <c r="A62" s="9" t="s">
        <v>8</v>
      </c>
      <c r="B62" s="1" t="str">
        <f>B45</f>
        <v>Price (# k)</v>
      </c>
      <c r="C62" s="11">
        <v>0</v>
      </c>
      <c r="D62" s="11">
        <v>0</v>
      </c>
      <c r="E62" s="11">
        <v>0</v>
      </c>
      <c r="F62" s="11">
        <v>0</v>
      </c>
      <c r="G62" s="6">
        <v>42.5</v>
      </c>
      <c r="H62" s="6">
        <v>42.5</v>
      </c>
      <c r="I62" s="6">
        <v>55.46</v>
      </c>
      <c r="J62" s="6">
        <v>57.91</v>
      </c>
      <c r="K62" s="7">
        <f>J62*(1+K63)</f>
        <v>61.953474937400564</v>
      </c>
      <c r="L62" s="7">
        <f t="shared" ref="L62:T62" si="36">K62*(1+L63)</f>
        <v>67.144440018269222</v>
      </c>
      <c r="M62" s="7">
        <f t="shared" si="36"/>
        <v>73.895527550224344</v>
      </c>
      <c r="N62" s="7">
        <f t="shared" si="36"/>
        <v>71.705228529952947</v>
      </c>
      <c r="O62" s="7">
        <f t="shared" si="36"/>
        <v>70.611044099293295</v>
      </c>
      <c r="P62" s="7">
        <f t="shared" si="36"/>
        <v>69.608885635890587</v>
      </c>
      <c r="Q62" s="7">
        <f t="shared" si="36"/>
        <v>68.502556022096414</v>
      </c>
      <c r="R62" s="7">
        <f t="shared" si="36"/>
        <v>67.352493544502309</v>
      </c>
      <c r="S62" s="7">
        <f t="shared" si="36"/>
        <v>66.116242060045806</v>
      </c>
      <c r="T62" s="7">
        <f t="shared" si="36"/>
        <v>65.051913326503239</v>
      </c>
    </row>
    <row r="63" spans="1:20" x14ac:dyDescent="0.2">
      <c r="B63" s="1" t="s">
        <v>35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21">
        <f>H62/G62-1</f>
        <v>0</v>
      </c>
      <c r="I63" s="21">
        <f>I62/H62-1</f>
        <v>0.30494117647058827</v>
      </c>
      <c r="J63" s="21">
        <f t="shared" ref="J63" si="37">J62/I62-1</f>
        <v>4.4175982690227045E-2</v>
      </c>
      <c r="K63" s="45">
        <f>AVERAGE(F63:J63)</f>
        <v>6.9823431832163066E-2</v>
      </c>
      <c r="L63" s="45">
        <f t="shared" ref="L63:M63" si="38">AVERAGE(G63:K63)</f>
        <v>8.3788118198595676E-2</v>
      </c>
      <c r="M63" s="45">
        <f t="shared" si="38"/>
        <v>0.10054574183831481</v>
      </c>
      <c r="N63" s="45">
        <f>AVERAGE(I30:M30)</f>
        <v>-2.9640481540411517E-2</v>
      </c>
      <c r="O63" s="45">
        <f>AVERAGE(J30:N30)</f>
        <v>-1.5259479023940056E-2</v>
      </c>
      <c r="P63" s="45">
        <f t="shared" ref="P63:T63" si="39">AVERAGE(K30:O30)</f>
        <v>-1.4192658898988511E-2</v>
      </c>
      <c r="Q63" s="45">
        <f t="shared" si="39"/>
        <v>-1.5893511348265964E-2</v>
      </c>
      <c r="R63" s="45">
        <f t="shared" si="39"/>
        <v>-1.6788606796265121E-2</v>
      </c>
      <c r="S63" s="45">
        <f t="shared" si="39"/>
        <v>-1.8354947521574232E-2</v>
      </c>
      <c r="T63" s="45">
        <f t="shared" si="39"/>
        <v>-1.6097840717806778E-2</v>
      </c>
    </row>
    <row r="64" spans="1:20" s="16" customFormat="1" x14ac:dyDescent="0.2">
      <c r="A64" s="20"/>
      <c r="B64" s="16" t="str">
        <f>B47</f>
        <v>Revenue ($m)</v>
      </c>
      <c r="C64" s="17">
        <v>0</v>
      </c>
      <c r="D64" s="17">
        <v>0</v>
      </c>
      <c r="E64" s="17">
        <v>0</v>
      </c>
      <c r="F64" s="17">
        <v>0</v>
      </c>
      <c r="G64" s="18">
        <f>G51*G62</f>
        <v>74.8</v>
      </c>
      <c r="H64" s="18">
        <f>H51*H62</f>
        <v>6207.55</v>
      </c>
      <c r="I64" s="18">
        <f>I51*I62</f>
        <v>16687.359400000001</v>
      </c>
      <c r="J64" s="53">
        <f>J51*J62</f>
        <v>20648.389599999999</v>
      </c>
      <c r="K64" s="53">
        <f t="shared" ref="K64:T64" ca="1" si="40">K51*K62</f>
        <v>29303.993645390467</v>
      </c>
      <c r="L64" s="53">
        <f ca="1">L51*L62</f>
        <v>39574.932946767876</v>
      </c>
      <c r="M64" s="53">
        <f ca="1">M51*M62</f>
        <v>57128.071355062522</v>
      </c>
      <c r="N64" s="53">
        <f ca="1">N51*N62</f>
        <v>63875.023811865016</v>
      </c>
      <c r="O64" s="53">
        <f t="shared" ca="1" si="40"/>
        <v>75368.757096289701</v>
      </c>
      <c r="P64" s="53">
        <f t="shared" ca="1" si="40"/>
        <v>95074.241247206577</v>
      </c>
      <c r="Q64" s="53">
        <f t="shared" ca="1" si="40"/>
        <v>115790.8905816582</v>
      </c>
      <c r="R64" s="53">
        <f t="shared" ca="1" si="40"/>
        <v>140699.43533474149</v>
      </c>
      <c r="S64" s="53">
        <f t="shared" ca="1" si="40"/>
        <v>168600.14561211862</v>
      </c>
      <c r="T64" s="53">
        <f t="shared" ca="1" si="40"/>
        <v>204769.10180007917</v>
      </c>
    </row>
    <row r="67" spans="1:20" x14ac:dyDescent="0.2">
      <c r="B67" s="10" t="s">
        <v>5</v>
      </c>
    </row>
    <row r="68" spans="1:20" x14ac:dyDescent="0.2">
      <c r="B68" s="1" t="str">
        <f>B51</f>
        <v>Unit (# k)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6">
        <v>86</v>
      </c>
      <c r="K68" s="1">
        <f ca="1">OFFSET(K68,$T$7,0)</f>
        <v>379.7</v>
      </c>
      <c r="L68" s="7">
        <f t="shared" ref="L68:T68" ca="1" si="41">OFFSET(L68,$T$7,0)</f>
        <v>1000.0500000000001</v>
      </c>
      <c r="M68" s="7">
        <f t="shared" ca="1" si="41"/>
        <v>1137.75</v>
      </c>
      <c r="N68" s="7">
        <f t="shared" ca="1" si="41"/>
        <v>1330.1999999999998</v>
      </c>
      <c r="O68" s="7">
        <f t="shared" ca="1" si="41"/>
        <v>1516.1999999999998</v>
      </c>
      <c r="P68" s="7">
        <f t="shared" ca="1" si="41"/>
        <v>1741.9477002849362</v>
      </c>
      <c r="Q68" s="7">
        <f t="shared" ca="1" si="41"/>
        <v>2007.8088010333802</v>
      </c>
      <c r="R68" s="7">
        <f t="shared" ca="1" si="41"/>
        <v>2303.185546225106</v>
      </c>
      <c r="S68" s="7">
        <f t="shared" ca="1" si="41"/>
        <v>2647.6095368574288</v>
      </c>
      <c r="T68" s="7">
        <f t="shared" ca="1" si="41"/>
        <v>3044.114938705543</v>
      </c>
    </row>
    <row r="69" spans="1:20" x14ac:dyDescent="0.2">
      <c r="B69" s="14" t="s">
        <v>23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25">
        <f>J70</f>
        <v>86</v>
      </c>
      <c r="K69" s="28">
        <f>K70</f>
        <v>379.7</v>
      </c>
      <c r="L69" s="39">
        <f>L70*$T$11</f>
        <v>600.03000000000009</v>
      </c>
      <c r="M69" s="39">
        <f>M70*$T$11</f>
        <v>682.65</v>
      </c>
      <c r="N69" s="39">
        <f>N70*$T$11</f>
        <v>798.12</v>
      </c>
      <c r="O69" s="39">
        <f t="shared" ref="O69:S69" si="42">O70*$T$11</f>
        <v>909.72</v>
      </c>
      <c r="P69" s="39">
        <f t="shared" si="42"/>
        <v>1045.1686201709617</v>
      </c>
      <c r="Q69" s="39">
        <f t="shared" si="42"/>
        <v>1204.6852806200282</v>
      </c>
      <c r="R69" s="39">
        <f t="shared" si="42"/>
        <v>1381.9113277350637</v>
      </c>
      <c r="S69" s="39">
        <f t="shared" si="42"/>
        <v>1588.5657221144575</v>
      </c>
      <c r="T69" s="39">
        <f>T70*$T$11</f>
        <v>1826.4689632233258</v>
      </c>
    </row>
    <row r="70" spans="1:20" x14ac:dyDescent="0.2">
      <c r="A70" s="9" t="s">
        <v>8</v>
      </c>
      <c r="B70" s="14" t="s">
        <v>21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25">
        <f>J68</f>
        <v>86</v>
      </c>
      <c r="K70" s="27">
        <v>379.7</v>
      </c>
      <c r="L70" s="47">
        <v>666.7</v>
      </c>
      <c r="M70" s="47">
        <v>758.5</v>
      </c>
      <c r="N70" s="47">
        <v>886.8</v>
      </c>
      <c r="O70" s="47">
        <v>1010.8</v>
      </c>
      <c r="P70" s="32">
        <f>(1+AVERAGE(M75:O75))*O70</f>
        <v>1161.2984668566241</v>
      </c>
      <c r="Q70" s="55">
        <f>(1+AVERAGE(N75:P75))*P70</f>
        <v>1338.5392006889201</v>
      </c>
      <c r="R70" s="55">
        <f>(1+AVERAGE(O75:Q75))*Q70</f>
        <v>1535.4570308167374</v>
      </c>
      <c r="S70" s="55">
        <f t="shared" ref="S70:T70" si="43">(1+AVERAGE(P75:R75))*R70</f>
        <v>1765.0730245716193</v>
      </c>
      <c r="T70" s="55">
        <f t="shared" si="43"/>
        <v>2029.4099591370286</v>
      </c>
    </row>
    <row r="71" spans="1:20" x14ac:dyDescent="0.2">
      <c r="B71" s="14" t="s">
        <v>22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25">
        <f>J69</f>
        <v>86</v>
      </c>
      <c r="K71" s="28">
        <f>K70</f>
        <v>379.7</v>
      </c>
      <c r="L71" s="39">
        <f>L70*$T$12</f>
        <v>1000.0500000000001</v>
      </c>
      <c r="M71" s="39">
        <f t="shared" ref="M71:T71" si="44">M70*$T$12</f>
        <v>1137.75</v>
      </c>
      <c r="N71" s="39">
        <f t="shared" si="44"/>
        <v>1330.1999999999998</v>
      </c>
      <c r="O71" s="39">
        <f t="shared" si="44"/>
        <v>1516.1999999999998</v>
      </c>
      <c r="P71" s="39">
        <f t="shared" si="44"/>
        <v>1741.9477002849362</v>
      </c>
      <c r="Q71" s="39">
        <f t="shared" si="44"/>
        <v>2007.8088010333802</v>
      </c>
      <c r="R71" s="39">
        <f t="shared" si="44"/>
        <v>2303.185546225106</v>
      </c>
      <c r="S71" s="39">
        <f t="shared" si="44"/>
        <v>2647.6095368574288</v>
      </c>
      <c r="T71" s="39">
        <f t="shared" si="44"/>
        <v>3044.114938705543</v>
      </c>
    </row>
    <row r="72" spans="1:20" ht="18" customHeight="1" x14ac:dyDescent="0.2">
      <c r="A72" s="1" t="s">
        <v>0</v>
      </c>
      <c r="C72" s="6"/>
      <c r="D72" s="6"/>
      <c r="E72" s="6"/>
      <c r="F72" s="6"/>
      <c r="G72" s="6"/>
      <c r="H72" s="6"/>
      <c r="I72" s="6"/>
      <c r="J72" s="6"/>
    </row>
    <row r="73" spans="1:20" ht="14" customHeight="1" x14ac:dyDescent="0.2">
      <c r="B73" s="30" t="s">
        <v>30</v>
      </c>
      <c r="C73" s="6"/>
      <c r="D73" s="6"/>
      <c r="E73" s="6"/>
      <c r="F73" s="6"/>
      <c r="G73" s="6"/>
      <c r="H73" s="6"/>
      <c r="I73" s="6"/>
      <c r="J73" s="6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x14ac:dyDescent="0.2">
      <c r="B74" s="14" t="s">
        <v>23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33">
        <f>K75</f>
        <v>3.4151162790697676</v>
      </c>
      <c r="L74" s="29">
        <f>L69/K69-1</f>
        <v>0.5802739004477222</v>
      </c>
      <c r="M74" s="29">
        <f t="shared" ref="M74:T74" si="45">M69/L69-1</f>
        <v>0.13769311534423267</v>
      </c>
      <c r="N74" s="29">
        <f t="shared" si="45"/>
        <v>0.16914963744232048</v>
      </c>
      <c r="O74" s="29">
        <f t="shared" si="45"/>
        <v>0.13982859720342811</v>
      </c>
      <c r="P74" s="29">
        <f t="shared" si="45"/>
        <v>0.14889044999666012</v>
      </c>
      <c r="Q74" s="29">
        <f t="shared" si="45"/>
        <v>0.15262289488080283</v>
      </c>
      <c r="R74" s="29">
        <f t="shared" si="45"/>
        <v>0.14711398069363035</v>
      </c>
      <c r="S74" s="29">
        <f t="shared" si="45"/>
        <v>0.14954244185703147</v>
      </c>
      <c r="T74" s="29">
        <f t="shared" si="45"/>
        <v>0.14975977247715488</v>
      </c>
    </row>
    <row r="75" spans="1:20" x14ac:dyDescent="0.2">
      <c r="B75" s="14" t="s">
        <v>25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29">
        <f>K70/J70-1</f>
        <v>3.4151162790697676</v>
      </c>
      <c r="L75" s="29">
        <f>L70/K70-1</f>
        <v>0.75585988938635773</v>
      </c>
      <c r="M75" s="29">
        <f>M70/L70-1</f>
        <v>0.13769311534423267</v>
      </c>
      <c r="N75" s="29">
        <f>N70/M70-1</f>
        <v>0.16914963744232026</v>
      </c>
      <c r="O75" s="29">
        <f>O70/N70-1</f>
        <v>0.13982859720342811</v>
      </c>
      <c r="P75" s="29">
        <f>P70/O70-1</f>
        <v>0.14889044999666035</v>
      </c>
      <c r="Q75" s="29">
        <f>Q70/P70-1</f>
        <v>0.15262289488080283</v>
      </c>
      <c r="R75" s="29">
        <f>R70/Q70-1</f>
        <v>0.14711398069363035</v>
      </c>
      <c r="S75" s="29">
        <f>S70/R70-1</f>
        <v>0.14954244185703125</v>
      </c>
      <c r="T75" s="29">
        <f>T70/S70-1</f>
        <v>0.14975977247715488</v>
      </c>
    </row>
    <row r="76" spans="1:20" x14ac:dyDescent="0.2">
      <c r="B76" s="14" t="s">
        <v>22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33">
        <f>K75</f>
        <v>3.4151162790697676</v>
      </c>
      <c r="L76" s="29">
        <f>L71/K71-1</f>
        <v>1.6337898340795367</v>
      </c>
      <c r="M76" s="29">
        <f t="shared" ref="M76:T76" si="46">M71/L71-1</f>
        <v>0.13769311534423267</v>
      </c>
      <c r="N76" s="29">
        <f t="shared" si="46"/>
        <v>0.16914963744232026</v>
      </c>
      <c r="O76" s="29">
        <f t="shared" si="46"/>
        <v>0.13982859720342811</v>
      </c>
      <c r="P76" s="29">
        <f t="shared" si="46"/>
        <v>0.14889044999666035</v>
      </c>
      <c r="Q76" s="29">
        <f t="shared" si="46"/>
        <v>0.15262289488080283</v>
      </c>
      <c r="R76" s="29">
        <f t="shared" si="46"/>
        <v>0.14711398069363035</v>
      </c>
      <c r="S76" s="29">
        <f t="shared" si="46"/>
        <v>0.14954244185703125</v>
      </c>
      <c r="T76" s="29">
        <f t="shared" si="46"/>
        <v>0.14975977247715488</v>
      </c>
    </row>
    <row r="78" spans="1:20" ht="6" customHeight="1" x14ac:dyDescent="0.2">
      <c r="A78" s="1" t="s">
        <v>0</v>
      </c>
      <c r="C78" s="6"/>
      <c r="D78" s="6"/>
      <c r="E78" s="6"/>
      <c r="F78" s="6"/>
      <c r="G78" s="6"/>
      <c r="H78" s="6"/>
      <c r="I78" s="6"/>
      <c r="J78" s="6"/>
    </row>
    <row r="79" spans="1:20" x14ac:dyDescent="0.2">
      <c r="A79" s="9" t="s">
        <v>8</v>
      </c>
      <c r="B79" s="1" t="str">
        <f>B62</f>
        <v>Price (# k)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6">
        <v>54.13</v>
      </c>
      <c r="K79" s="7">
        <f>J79*(1+K80)</f>
        <v>56.521245943021995</v>
      </c>
      <c r="L79" s="7">
        <f t="shared" ref="L79:T79" si="47">K79*(1+L80)</f>
        <v>60.467753306193515</v>
      </c>
      <c r="M79" s="7">
        <f t="shared" si="47"/>
        <v>65.534232567416382</v>
      </c>
      <c r="N79" s="7">
        <f t="shared" si="47"/>
        <v>72.123420596711924</v>
      </c>
      <c r="O79" s="7">
        <f t="shared" si="47"/>
        <v>69.985647679883741</v>
      </c>
      <c r="P79" s="7">
        <f t="shared" si="47"/>
        <v>68.917703157135691</v>
      </c>
      <c r="Q79" s="7">
        <f t="shared" si="47"/>
        <v>67.93957770412473</v>
      </c>
      <c r="R79" s="7">
        <f t="shared" si="47"/>
        <v>66.859779254887826</v>
      </c>
      <c r="S79" s="7">
        <f t="shared" si="47"/>
        <v>65.73729671049243</v>
      </c>
      <c r="T79" s="7">
        <f t="shared" si="47"/>
        <v>64.530692079161184</v>
      </c>
    </row>
    <row r="80" spans="1:20" x14ac:dyDescent="0.2">
      <c r="B80" s="1" t="s">
        <v>35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40">
        <f>J63</f>
        <v>4.4175982690227045E-2</v>
      </c>
      <c r="L80" s="40">
        <f t="shared" ref="L80:T80" si="48">K63</f>
        <v>6.9823431832163066E-2</v>
      </c>
      <c r="M80" s="40">
        <f t="shared" si="48"/>
        <v>8.3788118198595676E-2</v>
      </c>
      <c r="N80" s="40">
        <f>M63</f>
        <v>0.10054574183831481</v>
      </c>
      <c r="O80" s="40">
        <f>N63</f>
        <v>-2.9640481540411517E-2</v>
      </c>
      <c r="P80" s="40">
        <f>O63</f>
        <v>-1.5259479023940056E-2</v>
      </c>
      <c r="Q80" s="40">
        <f t="shared" si="48"/>
        <v>-1.4192658898988511E-2</v>
      </c>
      <c r="R80" s="40">
        <f t="shared" si="48"/>
        <v>-1.5893511348265964E-2</v>
      </c>
      <c r="S80" s="40">
        <f t="shared" si="48"/>
        <v>-1.6788606796265121E-2</v>
      </c>
      <c r="T80" s="40">
        <f t="shared" si="48"/>
        <v>-1.8354947521574232E-2</v>
      </c>
    </row>
    <row r="81" spans="1:21" s="16" customFormat="1" x14ac:dyDescent="0.2">
      <c r="A81" s="20"/>
      <c r="B81" s="16" t="str">
        <f>B64</f>
        <v>Revenue ($m)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8">
        <f>J68*J79</f>
        <v>4655.18</v>
      </c>
      <c r="K81" s="18">
        <f ca="1">K68*K79</f>
        <v>21461.117084565452</v>
      </c>
      <c r="L81" s="18">
        <f t="shared" ref="L81:S81" ca="1" si="49">L68*L79</f>
        <v>60470.776693858832</v>
      </c>
      <c r="M81" s="18">
        <f t="shared" ca="1" si="49"/>
        <v>74561.57310357799</v>
      </c>
      <c r="N81" s="18">
        <f t="shared" ca="1" si="49"/>
        <v>95938.574077746191</v>
      </c>
      <c r="O81" s="18">
        <f t="shared" ca="1" si="49"/>
        <v>106112.23901223972</v>
      </c>
      <c r="P81" s="18">
        <f t="shared" ca="1" si="49"/>
        <v>120051.0345234924</v>
      </c>
      <c r="Q81" s="18">
        <f t="shared" ca="1" si="49"/>
        <v>136409.68205283285</v>
      </c>
      <c r="R81" s="18">
        <f t="shared" ca="1" si="49"/>
        <v>153990.47720365884</v>
      </c>
      <c r="S81" s="18">
        <f t="shared" ca="1" si="49"/>
        <v>174046.69369792624</v>
      </c>
      <c r="T81" s="18">
        <f ca="1">T68*T79</f>
        <v>196438.84376318203</v>
      </c>
    </row>
    <row r="82" spans="1:21" x14ac:dyDescent="0.2">
      <c r="C82" s="11"/>
      <c r="D82" s="11"/>
      <c r="E82" s="11"/>
      <c r="F82" s="11"/>
      <c r="G82" s="11"/>
      <c r="H82" s="11"/>
      <c r="I82" s="11"/>
      <c r="J82" s="8"/>
    </row>
    <row r="84" spans="1:21" x14ac:dyDescent="0.2">
      <c r="B84" s="4" t="s">
        <v>13</v>
      </c>
      <c r="C84" s="11"/>
      <c r="D84" s="11"/>
      <c r="E84" s="11"/>
      <c r="F84" s="11"/>
      <c r="G84" s="11"/>
      <c r="H84" s="11"/>
      <c r="I84" s="11"/>
      <c r="J84" s="8"/>
    </row>
    <row r="85" spans="1:21" x14ac:dyDescent="0.2">
      <c r="B85" s="1" t="str">
        <f>B68</f>
        <v>Unit (# k)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</row>
    <row r="86" spans="1:21" x14ac:dyDescent="0.2">
      <c r="B86" s="14" t="s">
        <v>23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27">
        <v>0</v>
      </c>
      <c r="L86" s="26"/>
      <c r="M86" s="26"/>
      <c r="N86" s="26"/>
      <c r="O86" s="26"/>
      <c r="P86" s="26"/>
      <c r="Q86" s="26"/>
      <c r="R86" s="26"/>
      <c r="S86" s="26"/>
      <c r="T86" s="26"/>
    </row>
    <row r="87" spans="1:21" x14ac:dyDescent="0.2">
      <c r="B87" s="14" t="s">
        <v>21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27">
        <v>0</v>
      </c>
      <c r="L87" s="27"/>
      <c r="M87" s="27"/>
      <c r="N87" s="27"/>
      <c r="O87" s="27"/>
      <c r="P87" s="26"/>
      <c r="Q87" s="26"/>
      <c r="R87" s="26"/>
      <c r="S87" s="26"/>
      <c r="T87" s="26"/>
    </row>
    <row r="88" spans="1:21" x14ac:dyDescent="0.2">
      <c r="B88" s="14" t="s">
        <v>22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27">
        <v>0</v>
      </c>
      <c r="L88" s="26"/>
      <c r="M88" s="26"/>
      <c r="N88" s="26"/>
      <c r="O88" s="26"/>
      <c r="P88" s="26"/>
      <c r="Q88" s="26"/>
      <c r="R88" s="26"/>
      <c r="S88" s="26"/>
      <c r="T88" s="26"/>
    </row>
    <row r="89" spans="1:21" ht="6" customHeight="1" x14ac:dyDescent="0.2">
      <c r="A89" s="1" t="s">
        <v>0</v>
      </c>
      <c r="C89" s="6"/>
      <c r="D89" s="6"/>
      <c r="E89" s="6"/>
      <c r="F89" s="6"/>
      <c r="G89" s="6"/>
      <c r="H89" s="6"/>
      <c r="I89" s="6"/>
      <c r="J89" s="6"/>
    </row>
    <row r="90" spans="1:21" x14ac:dyDescent="0.2">
      <c r="B90" s="1" t="str">
        <f>B79</f>
        <v>Price (# k)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6">
        <v>50</v>
      </c>
      <c r="U90" s="1" t="s">
        <v>38</v>
      </c>
    </row>
    <row r="91" spans="1:21" x14ac:dyDescent="0.2">
      <c r="B91" s="1" t="s">
        <v>35</v>
      </c>
      <c r="C91" s="11"/>
      <c r="D91" s="11"/>
      <c r="E91" s="11"/>
      <c r="F91" s="11"/>
      <c r="G91" s="11"/>
      <c r="H91" s="11"/>
      <c r="I91" s="11"/>
      <c r="J91" s="11"/>
    </row>
    <row r="92" spans="1:21" s="16" customFormat="1" x14ac:dyDescent="0.2">
      <c r="A92" s="20"/>
      <c r="B92" s="16" t="str">
        <f>B81</f>
        <v>Revenue ($m)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</row>
    <row r="93" spans="1:21" x14ac:dyDescent="0.2">
      <c r="C93" s="11"/>
      <c r="D93" s="11"/>
      <c r="E93" s="11"/>
      <c r="F93" s="11"/>
      <c r="G93" s="11"/>
      <c r="H93" s="11"/>
      <c r="I93" s="11"/>
      <c r="J93" s="8"/>
    </row>
    <row r="94" spans="1:21" x14ac:dyDescent="0.2">
      <c r="C94" s="11"/>
      <c r="D94" s="11"/>
      <c r="E94" s="11"/>
      <c r="F94" s="11"/>
      <c r="G94" s="11"/>
      <c r="H94" s="11"/>
      <c r="I94" s="11"/>
      <c r="J94" s="8"/>
    </row>
    <row r="95" spans="1:21" x14ac:dyDescent="0.2">
      <c r="B95" s="4" t="s">
        <v>14</v>
      </c>
      <c r="C95" s="11"/>
      <c r="D95" s="11"/>
      <c r="E95" s="11"/>
      <c r="F95" s="11"/>
      <c r="G95" s="11"/>
      <c r="H95" s="11"/>
      <c r="I95" s="11"/>
      <c r="J95" s="8"/>
    </row>
    <row r="96" spans="1:21" x14ac:dyDescent="0.2">
      <c r="B96" s="1" t="str">
        <f>B85</f>
        <v>Unit (# k)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</row>
    <row r="97" spans="1:20" x14ac:dyDescent="0.2">
      <c r="B97" s="14" t="s">
        <v>23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1:20" x14ac:dyDescent="0.2">
      <c r="B98" s="14" t="s">
        <v>21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27"/>
      <c r="L98" s="27"/>
      <c r="M98" s="27"/>
      <c r="N98" s="27"/>
      <c r="O98" s="27"/>
      <c r="P98" s="26"/>
      <c r="Q98" s="26"/>
      <c r="R98" s="26"/>
      <c r="S98" s="26"/>
      <c r="T98" s="26"/>
    </row>
    <row r="99" spans="1:20" x14ac:dyDescent="0.2">
      <c r="B99" s="14" t="s">
        <v>22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1:20" ht="6" customHeight="1" x14ac:dyDescent="0.2">
      <c r="A100" s="1" t="s">
        <v>0</v>
      </c>
      <c r="C100" s="6"/>
      <c r="D100" s="6"/>
      <c r="E100" s="6"/>
      <c r="F100" s="6"/>
      <c r="G100" s="6"/>
      <c r="H100" s="6"/>
      <c r="I100" s="6"/>
      <c r="J100" s="6"/>
    </row>
    <row r="101" spans="1:20" x14ac:dyDescent="0.2">
      <c r="B101" s="1" t="str">
        <f>B90</f>
        <v>Price (# k)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</row>
    <row r="102" spans="1:20" s="16" customFormat="1" x14ac:dyDescent="0.2">
      <c r="A102" s="20"/>
      <c r="B102" s="16" t="str">
        <f t="shared" ref="B102" si="50">B92</f>
        <v>Revenue ($m)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</row>
    <row r="103" spans="1:20" x14ac:dyDescent="0.2">
      <c r="C103" s="11"/>
      <c r="D103" s="11"/>
      <c r="E103" s="11"/>
      <c r="F103" s="11"/>
      <c r="G103" s="11"/>
      <c r="H103" s="11"/>
      <c r="I103" s="11"/>
      <c r="J103" s="8"/>
    </row>
    <row r="104" spans="1:20" x14ac:dyDescent="0.2">
      <c r="C104" s="11"/>
      <c r="D104" s="11"/>
      <c r="E104" s="11"/>
      <c r="F104" s="11"/>
      <c r="G104" s="11"/>
      <c r="H104" s="11"/>
      <c r="I104" s="11"/>
      <c r="J104" s="8"/>
    </row>
    <row r="105" spans="1:20" x14ac:dyDescent="0.2">
      <c r="B105" s="4" t="s">
        <v>15</v>
      </c>
      <c r="C105" s="11"/>
      <c r="D105" s="11"/>
      <c r="E105" s="11"/>
      <c r="F105" s="11"/>
      <c r="G105" s="11"/>
      <c r="H105" s="11"/>
      <c r="I105" s="11"/>
      <c r="J105" s="8"/>
    </row>
    <row r="106" spans="1:20" x14ac:dyDescent="0.2">
      <c r="B106" s="1" t="str">
        <f>B96</f>
        <v>Unit (# k)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</row>
    <row r="107" spans="1:20" x14ac:dyDescent="0.2">
      <c r="B107" s="14" t="s">
        <v>23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 x14ac:dyDescent="0.2">
      <c r="B108" s="14" t="s">
        <v>21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27"/>
      <c r="L108" s="27"/>
      <c r="M108" s="27"/>
      <c r="N108" s="27"/>
      <c r="O108" s="27"/>
      <c r="P108" s="26"/>
      <c r="Q108" s="26"/>
      <c r="R108" s="26"/>
      <c r="S108" s="26"/>
      <c r="T108" s="26"/>
    </row>
    <row r="109" spans="1:20" x14ac:dyDescent="0.2">
      <c r="B109" s="14" t="s">
        <v>22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 ht="6" customHeight="1" x14ac:dyDescent="0.2">
      <c r="A110" s="1" t="s">
        <v>0</v>
      </c>
      <c r="C110" s="6"/>
      <c r="D110" s="6"/>
      <c r="E110" s="6"/>
      <c r="F110" s="6"/>
      <c r="G110" s="6"/>
      <c r="H110" s="6"/>
      <c r="I110" s="6"/>
      <c r="J110" s="6"/>
    </row>
    <row r="111" spans="1:20" x14ac:dyDescent="0.2">
      <c r="B111" s="1" t="str">
        <f t="shared" ref="B111:B112" si="51">B101</f>
        <v>Price (# k)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</row>
    <row r="112" spans="1:20" s="16" customFormat="1" x14ac:dyDescent="0.2">
      <c r="A112" s="20"/>
      <c r="B112" s="16" t="str">
        <f t="shared" si="51"/>
        <v>Revenue ($m)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</row>
    <row r="113" spans="1:20" x14ac:dyDescent="0.2">
      <c r="C113" s="11"/>
      <c r="D113" s="11"/>
      <c r="E113" s="11"/>
      <c r="F113" s="11"/>
      <c r="G113" s="11"/>
      <c r="H113" s="11"/>
      <c r="I113" s="11"/>
      <c r="J113" s="8"/>
    </row>
    <row r="114" spans="1:20" x14ac:dyDescent="0.2">
      <c r="C114" s="11"/>
      <c r="D114" s="11"/>
      <c r="E114" s="11"/>
      <c r="F114" s="11"/>
      <c r="G114" s="11"/>
      <c r="H114" s="11"/>
      <c r="I114" s="11"/>
      <c r="J114" s="8"/>
    </row>
    <row r="115" spans="1:20" x14ac:dyDescent="0.2">
      <c r="B115" s="4" t="s">
        <v>16</v>
      </c>
      <c r="C115" s="11"/>
      <c r="D115" s="11"/>
      <c r="E115" s="11"/>
      <c r="F115" s="11"/>
      <c r="G115" s="11"/>
      <c r="H115" s="11"/>
      <c r="I115" s="11"/>
      <c r="J115" s="8"/>
    </row>
    <row r="116" spans="1:20" x14ac:dyDescent="0.2">
      <c r="B116" s="1" t="str">
        <f>B106</f>
        <v>Unit (# k)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</row>
    <row r="117" spans="1:20" x14ac:dyDescent="0.2">
      <c r="B117" s="14" t="s">
        <v>23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 x14ac:dyDescent="0.2">
      <c r="B118" s="14" t="s">
        <v>21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27"/>
      <c r="L118" s="27"/>
      <c r="M118" s="27"/>
      <c r="N118" s="27"/>
      <c r="O118" s="27"/>
      <c r="P118" s="26"/>
      <c r="Q118" s="26"/>
      <c r="R118" s="26"/>
      <c r="S118" s="26"/>
      <c r="T118" s="26"/>
    </row>
    <row r="119" spans="1:20" x14ac:dyDescent="0.2">
      <c r="B119" s="14" t="s">
        <v>22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 ht="6" customHeight="1" x14ac:dyDescent="0.2">
      <c r="A120" s="1" t="s">
        <v>0</v>
      </c>
      <c r="C120" s="6"/>
      <c r="D120" s="6"/>
      <c r="E120" s="6"/>
      <c r="F120" s="6"/>
      <c r="G120" s="6"/>
      <c r="H120" s="6"/>
      <c r="I120" s="6"/>
      <c r="J120" s="6"/>
    </row>
    <row r="121" spans="1:20" x14ac:dyDescent="0.2">
      <c r="B121" s="1" t="str">
        <f t="shared" ref="B121:B122" si="52">B111</f>
        <v>Price (# k)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</row>
    <row r="122" spans="1:20" s="16" customFormat="1" x14ac:dyDescent="0.2">
      <c r="A122" s="20"/>
      <c r="B122" s="16" t="str">
        <f t="shared" si="52"/>
        <v>Revenue ($m)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</row>
    <row r="123" spans="1:20" x14ac:dyDescent="0.2">
      <c r="C123" s="11"/>
      <c r="D123" s="11"/>
      <c r="E123" s="11"/>
      <c r="F123" s="11"/>
      <c r="G123" s="11"/>
      <c r="H123" s="11"/>
      <c r="I123" s="11"/>
      <c r="J123" s="11"/>
    </row>
    <row r="124" spans="1:20" x14ac:dyDescent="0.2">
      <c r="C124" s="11"/>
      <c r="D124" s="11"/>
      <c r="E124" s="11"/>
      <c r="F124" s="11"/>
      <c r="G124" s="11"/>
      <c r="H124" s="11"/>
      <c r="I124" s="11"/>
      <c r="J124" s="11"/>
    </row>
    <row r="125" spans="1:20" x14ac:dyDescent="0.2">
      <c r="B125" s="4" t="s">
        <v>17</v>
      </c>
      <c r="C125" s="11"/>
      <c r="D125" s="11"/>
      <c r="E125" s="11"/>
      <c r="F125" s="11"/>
      <c r="G125" s="11"/>
      <c r="H125" s="11"/>
      <c r="I125" s="11"/>
      <c r="J125" s="8"/>
    </row>
    <row r="126" spans="1:20" x14ac:dyDescent="0.2">
      <c r="B126" s="1" t="str">
        <f>B116</f>
        <v>Unit (# k)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</row>
    <row r="127" spans="1:20" x14ac:dyDescent="0.2">
      <c r="B127" s="14" t="s">
        <v>23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1:20" x14ac:dyDescent="0.2">
      <c r="B128" s="14" t="s">
        <v>21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27"/>
      <c r="L128" s="27"/>
      <c r="M128" s="27"/>
      <c r="N128" s="27"/>
      <c r="O128" s="27"/>
      <c r="P128" s="26"/>
      <c r="Q128" s="26"/>
      <c r="R128" s="26"/>
      <c r="S128" s="26"/>
      <c r="T128" s="26"/>
    </row>
    <row r="129" spans="1:20" x14ac:dyDescent="0.2">
      <c r="B129" s="14" t="s">
        <v>22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1:20" ht="6" customHeight="1" x14ac:dyDescent="0.2">
      <c r="A130" s="1" t="s">
        <v>0</v>
      </c>
      <c r="C130" s="6"/>
      <c r="D130" s="6"/>
      <c r="E130" s="6"/>
      <c r="F130" s="6"/>
      <c r="G130" s="6"/>
      <c r="H130" s="6"/>
      <c r="I130" s="6"/>
      <c r="J130" s="6"/>
    </row>
    <row r="131" spans="1:20" x14ac:dyDescent="0.2">
      <c r="B131" s="1" t="str">
        <f t="shared" ref="B131:B132" si="53">B121</f>
        <v>Price (# k)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</row>
    <row r="132" spans="1:20" s="16" customFormat="1" x14ac:dyDescent="0.2">
      <c r="A132" s="20"/>
      <c r="B132" s="16" t="str">
        <f t="shared" si="53"/>
        <v>Revenue ($m)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</row>
    <row r="133" spans="1:20" x14ac:dyDescent="0.2">
      <c r="C133" s="11"/>
      <c r="D133" s="11"/>
      <c r="E133" s="11"/>
      <c r="F133" s="11"/>
      <c r="G133" s="11"/>
      <c r="H133" s="11"/>
      <c r="I133" s="11"/>
      <c r="J133" s="11"/>
    </row>
    <row r="134" spans="1:20" x14ac:dyDescent="0.2">
      <c r="C134" s="11"/>
      <c r="D134" s="11"/>
      <c r="E134" s="11"/>
      <c r="F134" s="11"/>
      <c r="G134" s="11"/>
      <c r="H134" s="11"/>
      <c r="I134" s="11"/>
      <c r="J134" s="11"/>
    </row>
    <row r="135" spans="1:20" x14ac:dyDescent="0.2">
      <c r="B135" s="4" t="s">
        <v>18</v>
      </c>
      <c r="C135" s="11"/>
      <c r="D135" s="11"/>
      <c r="E135" s="11"/>
      <c r="F135" s="11"/>
      <c r="G135" s="11"/>
      <c r="H135" s="11"/>
      <c r="I135" s="11"/>
      <c r="J135" s="8"/>
    </row>
    <row r="136" spans="1:20" x14ac:dyDescent="0.2">
      <c r="B136" s="1" t="str">
        <f>B126</f>
        <v>Unit (# k)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</row>
    <row r="137" spans="1:20" x14ac:dyDescent="0.2">
      <c r="B137" s="14" t="s">
        <v>23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1:20" x14ac:dyDescent="0.2">
      <c r="B138" s="14" t="s">
        <v>21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27"/>
      <c r="L138" s="27"/>
      <c r="M138" s="27"/>
      <c r="N138" s="27"/>
      <c r="O138" s="27"/>
      <c r="P138" s="26"/>
      <c r="Q138" s="26"/>
      <c r="R138" s="26"/>
      <c r="S138" s="26"/>
      <c r="T138" s="26"/>
    </row>
    <row r="139" spans="1:20" x14ac:dyDescent="0.2">
      <c r="B139" s="14" t="s">
        <v>22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 ht="6" customHeight="1" x14ac:dyDescent="0.2">
      <c r="A140" s="1" t="s">
        <v>0</v>
      </c>
      <c r="C140" s="6"/>
      <c r="D140" s="6"/>
      <c r="E140" s="6"/>
      <c r="F140" s="6"/>
      <c r="G140" s="6"/>
      <c r="H140" s="6"/>
      <c r="I140" s="6"/>
      <c r="J140" s="6"/>
    </row>
    <row r="141" spans="1:20" x14ac:dyDescent="0.2">
      <c r="B141" s="1" t="str">
        <f t="shared" ref="B141:B142" si="54">B131</f>
        <v>Price (# k)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</row>
    <row r="142" spans="1:20" s="16" customFormat="1" x14ac:dyDescent="0.2">
      <c r="A142" s="20"/>
      <c r="B142" s="16" t="str">
        <f t="shared" si="54"/>
        <v>Revenue ($m)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</row>
    <row r="143" spans="1:20" x14ac:dyDescent="0.2">
      <c r="C143" s="11"/>
      <c r="D143" s="11"/>
      <c r="E143" s="11"/>
      <c r="F143" s="11"/>
      <c r="G143" s="11"/>
      <c r="H143" s="11"/>
      <c r="I143" s="11"/>
      <c r="J143" s="11"/>
    </row>
    <row r="144" spans="1:20" x14ac:dyDescent="0.2">
      <c r="B144" s="4" t="s">
        <v>26</v>
      </c>
      <c r="C144" s="11"/>
      <c r="D144" s="11"/>
      <c r="E144" s="11"/>
      <c r="F144" s="11"/>
      <c r="G144" s="11"/>
      <c r="H144" s="11"/>
      <c r="I144" s="11"/>
      <c r="J144" s="11"/>
    </row>
    <row r="145" spans="1:21" x14ac:dyDescent="0.2">
      <c r="B145" s="1" t="s">
        <v>27</v>
      </c>
      <c r="C145" s="23">
        <f>C19+C35+C51+C68+C85+C96+C106+C116+C126+C136</f>
        <v>22.48</v>
      </c>
      <c r="D145" s="23">
        <f>D19+D35+D51+D68+D85+D96+D106+D116+D126+D136</f>
        <v>31.66</v>
      </c>
      <c r="E145" s="23">
        <f>E19+E35+E51+E68+E85+E96+E106+E116+E126+E136</f>
        <v>50.660000000000004</v>
      </c>
      <c r="F145" s="23">
        <f>F19+F35+F51+F68+F85+F96+F106+F116+F126+F136</f>
        <v>76.239999999999995</v>
      </c>
      <c r="G145" s="23">
        <f>G19+G35+G51+G68+G85+G96+G106+G116+G126+G136</f>
        <v>103.14999999999999</v>
      </c>
      <c r="H145" s="23">
        <f>H19+H35+H51+H68+H85+H96+H106+H116+H126+H136</f>
        <v>245.48000000000002</v>
      </c>
      <c r="I145" s="23">
        <f>I19+I35+I51+I68+I85+I96+I106+I116+I126+I136</f>
        <v>368.27</v>
      </c>
      <c r="J145" s="23">
        <f>J19+J35+J51+J68+J85+J96+J106+J116+J126+J136</f>
        <v>499.64</v>
      </c>
      <c r="K145" s="23">
        <f ca="1">K19+K35+K51+K68+K85+K96+K106+K116+K126+K136</f>
        <v>878.59999999999991</v>
      </c>
      <c r="L145" s="23">
        <f ca="1">L19+L35+L51+L68+L85+L96+L106+L116+L126+L136</f>
        <v>1678.9</v>
      </c>
      <c r="M145" s="23">
        <f ca="1">M19+M35+M51+M68+M85+M96+M106+M116+M126+M136</f>
        <v>2004.6449870784359</v>
      </c>
      <c r="N145" s="23">
        <f ca="1">N19+N35+N51+N68+N85+N96+N106+N116+N126+N136</f>
        <v>2316.9147380109353</v>
      </c>
      <c r="O145" s="23">
        <f ca="1">O19+O35+O51+O68+O85+O96+O106+O116+O126+O136</f>
        <v>2680.6139520187648</v>
      </c>
      <c r="P145" s="23">
        <f ca="1">P19+P35+P51+P68+P85+P96+P106+P116+P126+P136</f>
        <v>3209.1819786746373</v>
      </c>
      <c r="Q145" s="23">
        <f ca="1">Q19+Q35+Q51+Q68+Q85+Q96+Q106+Q116+Q126+Q136</f>
        <v>3811.7192464411664</v>
      </c>
      <c r="R145" s="23">
        <f ca="1">R19+R35+R51+R68+R85+R96+R106+R116+R126+R136</f>
        <v>4506.546060001916</v>
      </c>
      <c r="S145" s="23">
        <f ca="1">S19+S35+S51+S68+S85+S96+S106+S116+S126+S136</f>
        <v>5314.8099431101355</v>
      </c>
      <c r="T145" s="23">
        <f ca="1">T19+T35+T51+T68+T85+T96+T106+T116+T126+T136</f>
        <v>6314.6134070673415</v>
      </c>
    </row>
    <row r="146" spans="1:21" x14ac:dyDescent="0.2">
      <c r="B146" s="14" t="s">
        <v>23</v>
      </c>
      <c r="C146" s="24">
        <f>C145</f>
        <v>22.48</v>
      </c>
      <c r="D146" s="24">
        <f t="shared" ref="D146:J146" si="55">D145</f>
        <v>31.66</v>
      </c>
      <c r="E146" s="24">
        <f t="shared" si="55"/>
        <v>50.660000000000004</v>
      </c>
      <c r="F146" s="24">
        <f t="shared" si="55"/>
        <v>76.239999999999995</v>
      </c>
      <c r="G146" s="24">
        <f t="shared" si="55"/>
        <v>103.14999999999999</v>
      </c>
      <c r="H146" s="24">
        <f t="shared" si="55"/>
        <v>245.48000000000002</v>
      </c>
      <c r="I146" s="24">
        <f t="shared" si="55"/>
        <v>368.27</v>
      </c>
      <c r="J146" s="24">
        <f t="shared" si="55"/>
        <v>499.64</v>
      </c>
      <c r="K146" s="55">
        <f>K20+K36+K52+K69+K86+K97+K107+K117+K127+K137</f>
        <v>878.59999999999991</v>
      </c>
      <c r="L146" s="55">
        <f>L20+L36+L52+L69+L86+L97+L107+L117+L127+L137</f>
        <v>1204.1800000000003</v>
      </c>
      <c r="M146" s="55">
        <f>M20+M36+M52+M69+M86+M97+M107+M117+M127+M137</f>
        <v>1384.8352204617622</v>
      </c>
      <c r="N146" s="55">
        <f>N20+N36+N52+N69+N86+N97+N107+N117+N127+N137</f>
        <v>1555.2831213907921</v>
      </c>
      <c r="O146" s="55">
        <f>O20+O36+O52+O69+O86+O97+O107+O117+O127+O137</f>
        <v>1750.9621107184485</v>
      </c>
      <c r="P146" s="55">
        <f>P20+P36+P52+P69+P86+P97+P107+P117+P127+P137</f>
        <v>2019.4427933217044</v>
      </c>
      <c r="Q146" s="55">
        <f>Q20+Q36+Q52+Q69+Q86+Q97+Q107+Q117+Q127+Q137</f>
        <v>2313.2919683344335</v>
      </c>
      <c r="R146" s="55">
        <f>R20+R36+R52+R69+R86+R97+R107+R117+R127+R137</f>
        <v>2639.0777118123642</v>
      </c>
      <c r="S146" s="55">
        <f>S20+S36+S52+S69+S86+S97+S107+S117+S127+S137</f>
        <v>3004.8820864206155</v>
      </c>
      <c r="T146" s="55">
        <f>T20+T36+T52+T69+T86+T97+T107+T117+T127+T137</f>
        <v>3434.8720790644011</v>
      </c>
    </row>
    <row r="147" spans="1:21" x14ac:dyDescent="0.2">
      <c r="B147" s="14" t="s">
        <v>21</v>
      </c>
      <c r="C147" s="24">
        <f t="shared" ref="C147:C148" si="56">C146</f>
        <v>22.48</v>
      </c>
      <c r="D147" s="24">
        <f t="shared" ref="D147:D148" si="57">D146</f>
        <v>31.66</v>
      </c>
      <c r="E147" s="24">
        <f t="shared" ref="E147:E148" si="58">E146</f>
        <v>50.660000000000004</v>
      </c>
      <c r="F147" s="24">
        <f t="shared" ref="F147:F148" si="59">F146</f>
        <v>76.239999999999995</v>
      </c>
      <c r="G147" s="24">
        <f t="shared" ref="G147:G148" si="60">G146</f>
        <v>103.14999999999999</v>
      </c>
      <c r="H147" s="24">
        <f t="shared" ref="H147:H148" si="61">H146</f>
        <v>245.48000000000002</v>
      </c>
      <c r="I147" s="24">
        <f t="shared" ref="I147:I148" si="62">I146</f>
        <v>368.27</v>
      </c>
      <c r="J147" s="24">
        <f t="shared" ref="J147:J148" si="63">J146</f>
        <v>499.64</v>
      </c>
      <c r="K147" s="55">
        <f>K21+K37+K53+K70+K87+K98+K108+K118+K128+K138</f>
        <v>878.59999999999991</v>
      </c>
      <c r="L147" s="55">
        <f>L21+L37+L53+L70+L87+L98+L108+L118+L128+L138</f>
        <v>1283.3000000000002</v>
      </c>
      <c r="M147" s="55">
        <f>M21+M37+M53+M70+M87+M98+M108+M118+M128+M138</f>
        <v>1485.5</v>
      </c>
      <c r="N147" s="55">
        <f>N21+N37+N53+N70+N87+N98+N108+N118+N128+N138</f>
        <v>1676.9</v>
      </c>
      <c r="O147" s="55">
        <f>O21+O37+O53+O70+O87+O98+O108+O118+O128+O138</f>
        <v>1898.1999999999998</v>
      </c>
      <c r="P147" s="55">
        <f>P21+P37+P53+P70+P87+P98+P108+P118+P128+P138</f>
        <v>2204.4857577289667</v>
      </c>
      <c r="Q147" s="55">
        <f>Q21+Q37+Q53+Q70+Q87+Q98+Q108+Q118+Q128+Q138</f>
        <v>2541.4541007591097</v>
      </c>
      <c r="R147" s="55">
        <f>R21+R37+R53+R70+R87+R98+R108+R118+R128+R138</f>
        <v>2917.5957106901737</v>
      </c>
      <c r="S147" s="55">
        <f>S21+S37+S53+S70+S87+S98+S108+S118+S128+S138</f>
        <v>3341.8411161054782</v>
      </c>
      <c r="T147" s="55">
        <f>T21+T37+T53+T70+T87+T98+T108+T118+T128+T138</f>
        <v>3844.0794711942899</v>
      </c>
    </row>
    <row r="148" spans="1:21" x14ac:dyDescent="0.2">
      <c r="B148" s="14" t="s">
        <v>22</v>
      </c>
      <c r="C148" s="24">
        <f t="shared" si="56"/>
        <v>22.48</v>
      </c>
      <c r="D148" s="24">
        <f t="shared" si="57"/>
        <v>31.66</v>
      </c>
      <c r="E148" s="24">
        <f t="shared" si="58"/>
        <v>50.660000000000004</v>
      </c>
      <c r="F148" s="24">
        <f t="shared" si="59"/>
        <v>76.239999999999995</v>
      </c>
      <c r="G148" s="24">
        <f t="shared" si="60"/>
        <v>103.14999999999999</v>
      </c>
      <c r="H148" s="24">
        <f t="shared" si="61"/>
        <v>245.48000000000002</v>
      </c>
      <c r="I148" s="24">
        <f t="shared" si="62"/>
        <v>368.27</v>
      </c>
      <c r="J148" s="24">
        <f t="shared" si="63"/>
        <v>499.64</v>
      </c>
      <c r="K148" s="55">
        <f>K22+K38+K54+K71+K88+K99+K109+K119+K129+K139</f>
        <v>878.59999999999991</v>
      </c>
      <c r="L148" s="55">
        <f t="shared" ref="L148:S148" si="64">L22+L38+L54+L71+L88+L99+L109+L119+L129+L139</f>
        <v>1678.9</v>
      </c>
      <c r="M148" s="55">
        <f t="shared" si="64"/>
        <v>2004.6449870784359</v>
      </c>
      <c r="N148" s="55">
        <f t="shared" si="64"/>
        <v>2316.9147380109353</v>
      </c>
      <c r="O148" s="55">
        <f t="shared" si="64"/>
        <v>2680.6139520187648</v>
      </c>
      <c r="P148" s="55">
        <f t="shared" si="64"/>
        <v>3209.1819786746373</v>
      </c>
      <c r="Q148" s="55">
        <f t="shared" si="64"/>
        <v>3811.7192464411664</v>
      </c>
      <c r="R148" s="55">
        <f t="shared" si="64"/>
        <v>4506.546060001916</v>
      </c>
      <c r="S148" s="55">
        <f t="shared" si="64"/>
        <v>5314.8099431101355</v>
      </c>
      <c r="T148" s="55">
        <f>T22+T38+T54+T71+T88+T99+T109+T119+T129+T139</f>
        <v>6314.6134070673415</v>
      </c>
      <c r="U148" s="1">
        <v>20000</v>
      </c>
    </row>
    <row r="149" spans="1:21" x14ac:dyDescent="0.2">
      <c r="C149" s="11"/>
      <c r="D149" s="11"/>
      <c r="E149" s="11"/>
      <c r="F149" s="11"/>
      <c r="G149" s="11"/>
      <c r="H149" s="11"/>
      <c r="I149" s="11"/>
      <c r="J149" s="11"/>
    </row>
    <row r="150" spans="1:21" x14ac:dyDescent="0.2">
      <c r="B150" s="1" t="s">
        <v>6</v>
      </c>
      <c r="C150" s="11"/>
      <c r="D150" s="11"/>
      <c r="E150" s="11"/>
      <c r="F150" s="11"/>
      <c r="G150" s="11"/>
      <c r="H150" s="11"/>
      <c r="I150" s="11"/>
      <c r="J150" s="11"/>
    </row>
    <row r="151" spans="1:21" x14ac:dyDescent="0.2">
      <c r="C151" s="11"/>
      <c r="D151" s="11"/>
      <c r="E151" s="11"/>
      <c r="F151" s="11"/>
      <c r="G151" s="11"/>
      <c r="H151" s="11"/>
      <c r="I151" s="11"/>
      <c r="J151" s="11"/>
    </row>
    <row r="152" spans="1:21" x14ac:dyDescent="0.2">
      <c r="C152" s="11"/>
      <c r="D152" s="11"/>
      <c r="E152" s="11"/>
      <c r="F152" s="11"/>
      <c r="G152" s="11"/>
      <c r="H152" s="11"/>
      <c r="I152" s="11"/>
      <c r="J152" s="11"/>
    </row>
    <row r="153" spans="1:21" s="66" customFormat="1" x14ac:dyDescent="0.2">
      <c r="A153" s="67" t="s">
        <v>19</v>
      </c>
      <c r="B153" s="64" t="s">
        <v>39</v>
      </c>
      <c r="C153" s="65">
        <f>C31+C47+C64+C81</f>
        <v>2194.2728000000002</v>
      </c>
      <c r="D153" s="65">
        <f>D31+D47+D64+D81</f>
        <v>3210.6405999999997</v>
      </c>
      <c r="E153" s="65">
        <f>E31+E47+E64+E81</f>
        <v>4265.2626</v>
      </c>
      <c r="F153" s="65">
        <f>F31+F47+F64+F81</f>
        <v>6842.1337000000003</v>
      </c>
      <c r="G153" s="65">
        <f>G31+G47+G64+G81</f>
        <v>9353.4689999999973</v>
      </c>
      <c r="H153" s="65">
        <f>H31+H47+H64+H81</f>
        <v>15846.7988</v>
      </c>
      <c r="I153" s="65">
        <f>I31+I47+I64+I81</f>
        <v>22430.230900000002</v>
      </c>
      <c r="J153" s="65">
        <f>J31+J47+J64+J81</f>
        <v>30096.8626</v>
      </c>
      <c r="K153" s="65">
        <f ca="1">K31+K47+K64+K81</f>
        <v>52861.736962848285</v>
      </c>
      <c r="L153" s="65">
        <f t="shared" ref="L153:T153" ca="1" si="65">L31+L47+L64+L81</f>
        <v>107180.45422727565</v>
      </c>
      <c r="M153" s="65">
        <f t="shared" ca="1" si="65"/>
        <v>138981.0263896744</v>
      </c>
      <c r="N153" s="65">
        <f t="shared" ca="1" si="65"/>
        <v>166974.36190594861</v>
      </c>
      <c r="O153" s="65">
        <f t="shared" ca="1" si="65"/>
        <v>188546.70179865614</v>
      </c>
      <c r="P153" s="65">
        <f t="shared" ca="1" si="65"/>
        <v>222337.25622075138</v>
      </c>
      <c r="Q153" s="65">
        <f t="shared" ca="1" si="65"/>
        <v>260128.91811859229</v>
      </c>
      <c r="R153" s="65">
        <f t="shared" ca="1" si="65"/>
        <v>302478.06392516935</v>
      </c>
      <c r="S153" s="65">
        <f t="shared" ca="1" si="65"/>
        <v>350438.42454028607</v>
      </c>
      <c r="T153" s="65">
        <f t="shared" ca="1" si="65"/>
        <v>409215.19563347439</v>
      </c>
    </row>
    <row r="155" spans="1:21" s="60" customFormat="1" x14ac:dyDescent="0.2">
      <c r="A155" s="71" t="s">
        <v>19</v>
      </c>
      <c r="B155" s="60" t="s">
        <v>41</v>
      </c>
    </row>
    <row r="156" spans="1:21" x14ac:dyDescent="0.2">
      <c r="A156" s="71"/>
    </row>
    <row r="157" spans="1:21" x14ac:dyDescent="0.2">
      <c r="A157" s="71"/>
    </row>
    <row r="158" spans="1:21" x14ac:dyDescent="0.2">
      <c r="A158" s="71"/>
    </row>
    <row r="159" spans="1:21" x14ac:dyDescent="0.2">
      <c r="A159" s="71"/>
    </row>
    <row r="160" spans="1:21" x14ac:dyDescent="0.2">
      <c r="A160" s="71"/>
    </row>
    <row r="161" spans="1:20" x14ac:dyDescent="0.2">
      <c r="A161" s="71"/>
    </row>
    <row r="162" spans="1:20" x14ac:dyDescent="0.2">
      <c r="A162" s="71"/>
    </row>
    <row r="163" spans="1:20" s="60" customFormat="1" x14ac:dyDescent="0.2">
      <c r="A163" s="71" t="s">
        <v>19</v>
      </c>
      <c r="B163" s="60" t="s">
        <v>42</v>
      </c>
      <c r="C163" s="69"/>
      <c r="D163" s="69"/>
      <c r="E163" s="69"/>
      <c r="F163" s="69"/>
      <c r="G163" s="69"/>
      <c r="H163" s="69"/>
      <c r="I163" s="69"/>
      <c r="J163" s="70"/>
    </row>
    <row r="164" spans="1:20" x14ac:dyDescent="0.2">
      <c r="A164" s="9" t="s">
        <v>8</v>
      </c>
      <c r="B164" s="1" t="s">
        <v>44</v>
      </c>
      <c r="C164" s="72">
        <v>15.7</v>
      </c>
      <c r="D164" s="72">
        <v>5.6</v>
      </c>
      <c r="E164" s="72">
        <v>290.60000000000002</v>
      </c>
      <c r="F164" s="72">
        <v>468</v>
      </c>
      <c r="G164" s="72">
        <v>1001.2</v>
      </c>
      <c r="H164" s="72">
        <v>1391</v>
      </c>
      <c r="I164" s="72">
        <v>2226</v>
      </c>
      <c r="J164" s="72">
        <v>2306</v>
      </c>
      <c r="K164" s="78">
        <f ca="1">J164*(1+K165)</f>
        <v>3735.7200000000003</v>
      </c>
      <c r="L164" s="78">
        <f t="shared" ref="L164:S164" ca="1" si="66">K164*(1+L165)</f>
        <v>4968.5076000000008</v>
      </c>
      <c r="M164" s="78">
        <f t="shared" ca="1" si="66"/>
        <v>6980.7531780000008</v>
      </c>
      <c r="N164" s="78">
        <f t="shared" ca="1" si="66"/>
        <v>8132.5774523700011</v>
      </c>
      <c r="O164" s="78">
        <f t="shared" ca="1" si="66"/>
        <v>9840.4187173677019</v>
      </c>
      <c r="P164" s="78">
        <f t="shared" ca="1" si="66"/>
        <v>12054.512928775435</v>
      </c>
      <c r="Q164" s="78">
        <f t="shared" ca="1" si="66"/>
        <v>14465.415514530521</v>
      </c>
      <c r="R164" s="78">
        <f ca="1">Q164*(1+R165)</f>
        <v>17527.261798439482</v>
      </c>
      <c r="S164" s="78">
        <f t="shared" ca="1" si="66"/>
        <v>21246.936246774971</v>
      </c>
      <c r="T164" s="78">
        <f ca="1">S164*(1+T165)</f>
        <v>25665.512062539467</v>
      </c>
    </row>
    <row r="165" spans="1:20" x14ac:dyDescent="0.2">
      <c r="A165" s="9"/>
      <c r="B165" s="1" t="s">
        <v>35</v>
      </c>
      <c r="C165" s="11">
        <v>0</v>
      </c>
      <c r="D165" s="73">
        <f>D164/C164-1</f>
        <v>-0.6433121019108281</v>
      </c>
      <c r="E165" s="73">
        <f t="shared" ref="E165:J165" si="67">E164/D164-1</f>
        <v>50.892857142857153</v>
      </c>
      <c r="F165" s="73">
        <f t="shared" si="67"/>
        <v>0.61046111493461797</v>
      </c>
      <c r="G165" s="73">
        <f t="shared" si="67"/>
        <v>1.1393162393162393</v>
      </c>
      <c r="H165" s="73">
        <f t="shared" si="67"/>
        <v>0.38933280063923292</v>
      </c>
      <c r="I165" s="73">
        <f t="shared" si="67"/>
        <v>0.60028756290438534</v>
      </c>
      <c r="J165" s="73">
        <f t="shared" si="67"/>
        <v>3.5938903863432126E-2</v>
      </c>
      <c r="K165" s="45">
        <f ca="1">OFFSET(K165,$X$7,0)</f>
        <v>0.62</v>
      </c>
      <c r="L165" s="45">
        <f t="shared" ref="L165:T165" ca="1" si="68">OFFSET(L165,$X$7,0)</f>
        <v>0.33</v>
      </c>
      <c r="M165" s="45">
        <f t="shared" ca="1" si="68"/>
        <v>0.40500000000000003</v>
      </c>
      <c r="N165" s="45">
        <f t="shared" ca="1" si="68"/>
        <v>0.16500000000000001</v>
      </c>
      <c r="O165" s="45">
        <f t="shared" ca="1" si="68"/>
        <v>0.21000000000000002</v>
      </c>
      <c r="P165" s="45">
        <f t="shared" ca="1" si="68"/>
        <v>0.22499999999999998</v>
      </c>
      <c r="Q165" s="45">
        <f t="shared" ca="1" si="68"/>
        <v>0.2</v>
      </c>
      <c r="R165" s="45">
        <f t="shared" ca="1" si="68"/>
        <v>0.21166666666666667</v>
      </c>
      <c r="S165" s="45">
        <f t="shared" ca="1" si="68"/>
        <v>0.2122222222222222</v>
      </c>
      <c r="T165" s="45">
        <f t="shared" ca="1" si="68"/>
        <v>0.20796296296296296</v>
      </c>
    </row>
    <row r="166" spans="1:20" x14ac:dyDescent="0.2">
      <c r="A166" s="9"/>
      <c r="B166" s="14" t="str">
        <f>B146</f>
        <v xml:space="preserve">  Conservative Case</v>
      </c>
      <c r="C166" s="11">
        <v>0</v>
      </c>
      <c r="D166" s="73">
        <f>D165</f>
        <v>-0.6433121019108281</v>
      </c>
      <c r="E166" s="73">
        <f t="shared" ref="E166:K166" si="69">E165</f>
        <v>50.892857142857153</v>
      </c>
      <c r="F166" s="73">
        <f t="shared" si="69"/>
        <v>0.61046111493461797</v>
      </c>
      <c r="G166" s="73">
        <f t="shared" si="69"/>
        <v>1.1393162393162393</v>
      </c>
      <c r="H166" s="73">
        <f t="shared" si="69"/>
        <v>0.38933280063923292</v>
      </c>
      <c r="I166" s="73">
        <f t="shared" si="69"/>
        <v>0.60028756290438534</v>
      </c>
      <c r="J166" s="73">
        <f t="shared" si="69"/>
        <v>3.5938903863432126E-2</v>
      </c>
      <c r="K166" s="31">
        <v>0.62</v>
      </c>
      <c r="L166" s="37">
        <f>L167*$X$11</f>
        <v>0.19800000000000001</v>
      </c>
      <c r="M166" s="37">
        <f>M167*$X$11</f>
        <v>0.24300000000000002</v>
      </c>
      <c r="N166" s="37">
        <f>N167*$X$11</f>
        <v>9.9000000000000005E-2</v>
      </c>
      <c r="O166" s="37">
        <f>O167*$X$11</f>
        <v>0.12600000000000003</v>
      </c>
      <c r="P166" s="37">
        <f>P167*$X$11</f>
        <v>0.13500000000000001</v>
      </c>
      <c r="Q166" s="37">
        <f>Q167*$X$11</f>
        <v>0.12</v>
      </c>
      <c r="R166" s="37">
        <f>R167*$X$11</f>
        <v>0.127</v>
      </c>
      <c r="S166" s="37">
        <f>S167*$X$11</f>
        <v>0.12733333333333333</v>
      </c>
      <c r="T166" s="37">
        <f>T167*$X$11</f>
        <v>0.12477777777777778</v>
      </c>
    </row>
    <row r="167" spans="1:20" x14ac:dyDescent="0.2">
      <c r="A167" s="9" t="s">
        <v>8</v>
      </c>
      <c r="B167" s="14" t="str">
        <f t="shared" ref="B167:B168" si="70">B147</f>
        <v xml:space="preserve">  Base Case</v>
      </c>
      <c r="C167" s="11">
        <v>0</v>
      </c>
      <c r="D167" s="73">
        <f t="shared" ref="D167:D168" si="71">D166</f>
        <v>-0.6433121019108281</v>
      </c>
      <c r="E167" s="73">
        <f t="shared" ref="E167:E168" si="72">E166</f>
        <v>50.892857142857153</v>
      </c>
      <c r="F167" s="73">
        <f t="shared" ref="F167:F168" si="73">F166</f>
        <v>0.61046111493461797</v>
      </c>
      <c r="G167" s="73">
        <f t="shared" ref="G167:G168" si="74">G166</f>
        <v>1.1393162393162393</v>
      </c>
      <c r="H167" s="73">
        <f t="shared" ref="H167:H168" si="75">H166</f>
        <v>0.38933280063923292</v>
      </c>
      <c r="I167" s="73">
        <f t="shared" ref="I167:I168" si="76">I166</f>
        <v>0.60028756290438534</v>
      </c>
      <c r="J167" s="73">
        <f t="shared" ref="J167:J168" si="77">J166</f>
        <v>3.5938903863432126E-2</v>
      </c>
      <c r="K167" s="31">
        <v>0.62</v>
      </c>
      <c r="L167" s="76">
        <v>0.22</v>
      </c>
      <c r="M167" s="76">
        <v>0.27</v>
      </c>
      <c r="N167" s="76">
        <v>0.11</v>
      </c>
      <c r="O167" s="76">
        <v>0.14000000000000001</v>
      </c>
      <c r="P167" s="76">
        <v>0.15</v>
      </c>
      <c r="Q167" s="31">
        <f>AVERAGE(N167:P167)</f>
        <v>0.13333333333333333</v>
      </c>
      <c r="R167" s="79">
        <f t="shared" ref="R167:T167" si="78">AVERAGE(O167:Q167)</f>
        <v>0.1411111111111111</v>
      </c>
      <c r="S167" s="79">
        <f t="shared" si="78"/>
        <v>0.14148148148148146</v>
      </c>
      <c r="T167" s="79">
        <f t="shared" si="78"/>
        <v>0.13864197530864197</v>
      </c>
    </row>
    <row r="168" spans="1:20" x14ac:dyDescent="0.2">
      <c r="A168" s="9"/>
      <c r="B168" s="14" t="str">
        <f t="shared" si="70"/>
        <v xml:space="preserve">  Elon Case</v>
      </c>
      <c r="C168" s="11">
        <v>0</v>
      </c>
      <c r="D168" s="73">
        <f t="shared" si="71"/>
        <v>-0.6433121019108281</v>
      </c>
      <c r="E168" s="73">
        <f t="shared" si="72"/>
        <v>50.892857142857153</v>
      </c>
      <c r="F168" s="73">
        <f t="shared" si="73"/>
        <v>0.61046111493461797</v>
      </c>
      <c r="G168" s="73">
        <f t="shared" si="74"/>
        <v>1.1393162393162393</v>
      </c>
      <c r="H168" s="73">
        <f t="shared" si="75"/>
        <v>0.38933280063923292</v>
      </c>
      <c r="I168" s="73">
        <f t="shared" si="76"/>
        <v>0.60028756290438534</v>
      </c>
      <c r="J168" s="73">
        <f t="shared" si="77"/>
        <v>3.5938903863432126E-2</v>
      </c>
      <c r="K168" s="31">
        <v>0.62</v>
      </c>
      <c r="L168" s="37">
        <f>L167*$X$12</f>
        <v>0.33</v>
      </c>
      <c r="M168" s="37">
        <f t="shared" ref="M168:T168" si="79">M167*$X$12</f>
        <v>0.40500000000000003</v>
      </c>
      <c r="N168" s="37">
        <f t="shared" si="79"/>
        <v>0.16500000000000001</v>
      </c>
      <c r="O168" s="37">
        <f t="shared" si="79"/>
        <v>0.21000000000000002</v>
      </c>
      <c r="P168" s="37">
        <f t="shared" si="79"/>
        <v>0.22499999999999998</v>
      </c>
      <c r="Q168" s="37">
        <f t="shared" si="79"/>
        <v>0.2</v>
      </c>
      <c r="R168" s="37">
        <f t="shared" si="79"/>
        <v>0.21166666666666667</v>
      </c>
      <c r="S168" s="37">
        <f t="shared" si="79"/>
        <v>0.2122222222222222</v>
      </c>
      <c r="T168" s="37">
        <f t="shared" si="79"/>
        <v>0.20796296296296296</v>
      </c>
    </row>
    <row r="169" spans="1:20" x14ac:dyDescent="0.2">
      <c r="A169" s="9"/>
      <c r="C169" s="72"/>
      <c r="D169" s="73"/>
      <c r="E169" s="73"/>
      <c r="F169" s="73"/>
      <c r="G169" s="73"/>
      <c r="H169" s="73"/>
      <c r="I169" s="73"/>
      <c r="J169" s="73"/>
    </row>
    <row r="170" spans="1:20" x14ac:dyDescent="0.2">
      <c r="A170" s="9" t="s">
        <v>8</v>
      </c>
      <c r="B170" s="1" t="s">
        <v>45</v>
      </c>
      <c r="C170" s="11">
        <v>0</v>
      </c>
      <c r="D170" s="72">
        <v>4.2</v>
      </c>
      <c r="E170" s="72">
        <v>14.5</v>
      </c>
      <c r="F170" s="72">
        <v>181.4</v>
      </c>
      <c r="G170" s="72">
        <v>1116.3</v>
      </c>
      <c r="H170" s="72">
        <v>1555.2</v>
      </c>
      <c r="I170" s="72">
        <v>1530.9</v>
      </c>
      <c r="J170" s="72">
        <v>1994</v>
      </c>
      <c r="K170" s="77">
        <f ca="1">J170*(1+K171)</f>
        <v>3110.6400000000003</v>
      </c>
      <c r="L170" s="77">
        <f t="shared" ref="L170:S170" ca="1" si="80">K170*(1+L171)</f>
        <v>4603.7472000000007</v>
      </c>
      <c r="M170" s="77">
        <f t="shared" ca="1" si="80"/>
        <v>6951.6582720000015</v>
      </c>
      <c r="N170" s="77">
        <f t="shared" ca="1" si="80"/>
        <v>10288.454242560003</v>
      </c>
      <c r="O170" s="77">
        <f t="shared" ca="1" si="80"/>
        <v>17078.834042649607</v>
      </c>
      <c r="P170" s="77">
        <f t="shared" ca="1" si="80"/>
        <v>33986.87974487272</v>
      </c>
      <c r="Q170" s="77">
        <f t="shared" ca="1" si="80"/>
        <v>58117.564363732352</v>
      </c>
      <c r="R170" s="77">
        <f t="shared" ca="1" si="80"/>
        <v>103836.71499653513</v>
      </c>
      <c r="S170" s="77">
        <f t="shared" ca="1" si="80"/>
        <v>189905.81431588536</v>
      </c>
      <c r="T170" s="77">
        <f ca="1">S170*(1+T171)</f>
        <v>337117.98815408838</v>
      </c>
    </row>
    <row r="171" spans="1:20" s="45" customFormat="1" x14ac:dyDescent="0.2">
      <c r="B171" s="45" t="str">
        <f>B165</f>
        <v xml:space="preserve">  % Growth</v>
      </c>
      <c r="C171" s="11">
        <v>0</v>
      </c>
      <c r="D171" s="11">
        <v>0</v>
      </c>
      <c r="E171" s="74">
        <f>E170/D170-1</f>
        <v>2.4523809523809521</v>
      </c>
      <c r="F171" s="74">
        <f t="shared" ref="F171" si="81">F170/E170-1</f>
        <v>11.510344827586207</v>
      </c>
      <c r="G171" s="74">
        <f t="shared" ref="G171" si="82">G170/F170-1</f>
        <v>5.1538037486218293</v>
      </c>
      <c r="H171" s="74">
        <f t="shared" ref="H171" si="83">H170/G170-1</f>
        <v>0.39317387798978776</v>
      </c>
      <c r="I171" s="74">
        <f t="shared" ref="I171" si="84">I170/H170-1</f>
        <v>-1.5625E-2</v>
      </c>
      <c r="J171" s="74">
        <f t="shared" ref="J171" si="85">J170/I170-1</f>
        <v>0.30250179632895668</v>
      </c>
      <c r="K171" s="45">
        <f ca="1">OFFSET(K171,$AB$7,0)</f>
        <v>0.56000000000000005</v>
      </c>
      <c r="L171" s="45">
        <f ca="1">OFFSET(L171,$AB$7,0)</f>
        <v>0.48</v>
      </c>
      <c r="M171" s="45">
        <f ca="1">OFFSET(M171,$AB$7,0)</f>
        <v>0.51</v>
      </c>
      <c r="N171" s="45">
        <f ca="1">OFFSET(N171,$AB$7,0)</f>
        <v>0.48</v>
      </c>
      <c r="O171" s="45">
        <f ca="1">OFFSET(O171,$AB$7,0)</f>
        <v>0.66</v>
      </c>
      <c r="P171" s="45">
        <f ca="1">OFFSET(P171,$AB$7,0)</f>
        <v>0.99</v>
      </c>
      <c r="Q171" s="45">
        <f ca="1">OFFSET(Q171,$AB$7,0)</f>
        <v>0.71</v>
      </c>
      <c r="R171" s="45">
        <f ca="1">OFFSET(R171,$AB$7,0)</f>
        <v>0.78666666666666674</v>
      </c>
      <c r="S171" s="45">
        <f ca="1">OFFSET(S171,$AB$7,0)</f>
        <v>0.82888888888888901</v>
      </c>
      <c r="T171" s="45">
        <f ca="1">OFFSET(T171,$AB$7,0)</f>
        <v>0.7751851851851852</v>
      </c>
    </row>
    <row r="172" spans="1:20" s="45" customFormat="1" x14ac:dyDescent="0.2">
      <c r="B172" s="75" t="str">
        <f t="shared" ref="B172:B174" si="86">B166</f>
        <v xml:space="preserve">  Conservative Case</v>
      </c>
      <c r="C172" s="11">
        <v>0</v>
      </c>
      <c r="D172" s="11">
        <v>0</v>
      </c>
      <c r="E172" s="74">
        <f t="shared" ref="E172:E174" si="87">E171</f>
        <v>2.4523809523809521</v>
      </c>
      <c r="F172" s="74">
        <f t="shared" ref="F172:F174" si="88">F171</f>
        <v>11.510344827586207</v>
      </c>
      <c r="G172" s="74">
        <f t="shared" ref="G172:G174" si="89">G171</f>
        <v>5.1538037486218293</v>
      </c>
      <c r="H172" s="74">
        <f t="shared" ref="H172:H174" si="90">H171</f>
        <v>0.39317387798978776</v>
      </c>
      <c r="I172" s="74">
        <f t="shared" ref="I172:I174" si="91">I171</f>
        <v>-1.5625E-2</v>
      </c>
      <c r="J172" s="74">
        <f t="shared" ref="J172:J174" si="92">J171</f>
        <v>0.30250179632895668</v>
      </c>
      <c r="K172" s="33">
        <f>K173</f>
        <v>0.56000000000000005</v>
      </c>
      <c r="L172" s="37">
        <f>L173*$AB$11</f>
        <v>0.28800000000000003</v>
      </c>
      <c r="M172" s="37">
        <f>M173*$AB$11</f>
        <v>0.30600000000000005</v>
      </c>
      <c r="N172" s="37">
        <f>N173*$AB$11</f>
        <v>0.28800000000000003</v>
      </c>
      <c r="O172" s="37">
        <f>O173*$AB$11</f>
        <v>0.39600000000000002</v>
      </c>
      <c r="P172" s="37">
        <f>P173*$AB$11</f>
        <v>0.59400000000000008</v>
      </c>
      <c r="Q172" s="37">
        <f>Q173*$AB$11</f>
        <v>0.42599999999999999</v>
      </c>
      <c r="R172" s="37">
        <f>R173*$AB$11</f>
        <v>0.47200000000000003</v>
      </c>
      <c r="S172" s="37">
        <f>S173*$AB$11</f>
        <v>0.4973333333333334</v>
      </c>
      <c r="T172" s="37">
        <f>T173*$AB$11</f>
        <v>0.46511111111111109</v>
      </c>
    </row>
    <row r="173" spans="1:20" s="45" customFormat="1" x14ac:dyDescent="0.2">
      <c r="A173" s="45" t="s">
        <v>8</v>
      </c>
      <c r="B173" s="75" t="str">
        <f t="shared" si="86"/>
        <v xml:space="preserve">  Base Case</v>
      </c>
      <c r="C173" s="11">
        <v>0</v>
      </c>
      <c r="D173" s="11">
        <v>0</v>
      </c>
      <c r="E173" s="74">
        <f t="shared" si="87"/>
        <v>2.4523809523809521</v>
      </c>
      <c r="F173" s="74">
        <f t="shared" si="88"/>
        <v>11.510344827586207</v>
      </c>
      <c r="G173" s="74">
        <f t="shared" si="89"/>
        <v>5.1538037486218293</v>
      </c>
      <c r="H173" s="74">
        <f t="shared" si="90"/>
        <v>0.39317387798978776</v>
      </c>
      <c r="I173" s="74">
        <f t="shared" si="91"/>
        <v>-1.5625E-2</v>
      </c>
      <c r="J173" s="74">
        <f t="shared" si="92"/>
        <v>0.30250179632895668</v>
      </c>
      <c r="K173" s="33">
        <v>0.56000000000000005</v>
      </c>
      <c r="L173" s="54">
        <v>0.32</v>
      </c>
      <c r="M173" s="54">
        <v>0.34</v>
      </c>
      <c r="N173" s="54">
        <v>0.32</v>
      </c>
      <c r="O173" s="54">
        <v>0.44</v>
      </c>
      <c r="P173" s="54">
        <v>0.66</v>
      </c>
      <c r="Q173" s="33">
        <f>AVERAGE(N173:P173)</f>
        <v>0.47333333333333333</v>
      </c>
      <c r="R173" s="79">
        <f t="shared" ref="R173" si="93">AVERAGE(O173:Q173)</f>
        <v>0.52444444444444449</v>
      </c>
      <c r="S173" s="79">
        <f t="shared" ref="S173" si="94">AVERAGE(P173:R173)</f>
        <v>0.55259259259259264</v>
      </c>
      <c r="T173" s="79">
        <f t="shared" ref="T173" si="95">AVERAGE(Q173:S173)</f>
        <v>0.5167901234567901</v>
      </c>
    </row>
    <row r="174" spans="1:20" s="45" customFormat="1" x14ac:dyDescent="0.2">
      <c r="B174" s="75" t="str">
        <f t="shared" si="86"/>
        <v xml:space="preserve">  Elon Case</v>
      </c>
      <c r="C174" s="11">
        <v>0</v>
      </c>
      <c r="D174" s="11">
        <v>0</v>
      </c>
      <c r="E174" s="74">
        <f t="shared" si="87"/>
        <v>2.4523809523809521</v>
      </c>
      <c r="F174" s="74">
        <f t="shared" si="88"/>
        <v>11.510344827586207</v>
      </c>
      <c r="G174" s="74">
        <f t="shared" si="89"/>
        <v>5.1538037486218293</v>
      </c>
      <c r="H174" s="74">
        <f t="shared" si="90"/>
        <v>0.39317387798978776</v>
      </c>
      <c r="I174" s="74">
        <f t="shared" si="91"/>
        <v>-1.5625E-2</v>
      </c>
      <c r="J174" s="74">
        <f t="shared" si="92"/>
        <v>0.30250179632895668</v>
      </c>
      <c r="K174" s="33">
        <f>K173</f>
        <v>0.56000000000000005</v>
      </c>
      <c r="L174" s="37">
        <f>L173*$AB$12</f>
        <v>0.48</v>
      </c>
      <c r="M174" s="37">
        <f>M173*$AB$12</f>
        <v>0.51</v>
      </c>
      <c r="N174" s="37">
        <f>N173*$AB$12</f>
        <v>0.48</v>
      </c>
      <c r="O174" s="37">
        <f>O173*$AB$12</f>
        <v>0.66</v>
      </c>
      <c r="P174" s="37">
        <f>P173*$AB$12</f>
        <v>0.99</v>
      </c>
      <c r="Q174" s="37">
        <f>Q173*$AB$12</f>
        <v>0.71</v>
      </c>
      <c r="R174" s="37">
        <f>R173*$AB$12</f>
        <v>0.78666666666666674</v>
      </c>
      <c r="S174" s="37">
        <f>S173*$AB$12</f>
        <v>0.82888888888888901</v>
      </c>
      <c r="T174" s="37">
        <f>T173*$AB$12</f>
        <v>0.7751851851851852</v>
      </c>
    </row>
    <row r="175" spans="1:20" x14ac:dyDescent="0.2">
      <c r="C175" s="11"/>
      <c r="D175" s="11"/>
      <c r="E175" s="11"/>
      <c r="F175" s="11"/>
      <c r="G175" s="11"/>
      <c r="H175" s="11"/>
      <c r="I175" s="11"/>
      <c r="J175" s="11"/>
    </row>
    <row r="176" spans="1:20" x14ac:dyDescent="0.2">
      <c r="C176" s="11"/>
      <c r="D176" s="11"/>
      <c r="E176" s="11"/>
      <c r="F176" s="11"/>
      <c r="G176" s="11"/>
      <c r="H176" s="11"/>
      <c r="I176" s="11"/>
      <c r="J176" s="11"/>
    </row>
    <row r="177" spans="1:20" s="60" customFormat="1" x14ac:dyDescent="0.2">
      <c r="A177" s="71" t="s">
        <v>19</v>
      </c>
      <c r="B177" s="60" t="s">
        <v>43</v>
      </c>
      <c r="C177" s="69"/>
      <c r="D177" s="69"/>
      <c r="E177" s="69"/>
      <c r="F177" s="69"/>
      <c r="G177" s="69"/>
      <c r="H177" s="69"/>
      <c r="I177" s="69"/>
      <c r="J177" s="70"/>
    </row>
    <row r="178" spans="1:20" x14ac:dyDescent="0.2">
      <c r="C178" s="11"/>
      <c r="D178" s="11"/>
      <c r="E178" s="11"/>
      <c r="F178" s="11"/>
      <c r="G178" s="11"/>
      <c r="H178" s="11"/>
      <c r="I178" s="11"/>
      <c r="J178" s="11"/>
    </row>
    <row r="183" spans="1:20" s="60" customFormat="1" x14ac:dyDescent="0.2">
      <c r="A183" s="71" t="s">
        <v>8</v>
      </c>
      <c r="B183" s="60" t="s">
        <v>64</v>
      </c>
      <c r="C183" s="69"/>
      <c r="D183" s="69"/>
      <c r="E183" s="69"/>
      <c r="F183" s="69"/>
      <c r="G183" s="69"/>
      <c r="H183" s="69"/>
      <c r="I183" s="69"/>
      <c r="J183" s="70"/>
    </row>
    <row r="184" spans="1:20" x14ac:dyDescent="0.2">
      <c r="B184" s="4" t="s">
        <v>50</v>
      </c>
    </row>
    <row r="185" spans="1:20" x14ac:dyDescent="0.2">
      <c r="B185" s="1" t="s">
        <v>51</v>
      </c>
      <c r="K185" s="1">
        <v>590</v>
      </c>
      <c r="L185" s="1">
        <v>600</v>
      </c>
      <c r="M185" s="1">
        <v>750</v>
      </c>
      <c r="N185" s="1">
        <v>750</v>
      </c>
      <c r="O185" s="1">
        <v>1000</v>
      </c>
      <c r="P185" s="1">
        <f>O185+250</f>
        <v>1250</v>
      </c>
      <c r="Q185" s="1">
        <f t="shared" ref="Q185" si="96">P185+250</f>
        <v>1500</v>
      </c>
      <c r="R185" s="1">
        <f>Q185</f>
        <v>1500</v>
      </c>
      <c r="S185" s="1">
        <f t="shared" ref="S185:T185" si="97">R185</f>
        <v>1500</v>
      </c>
      <c r="T185" s="1">
        <f t="shared" si="97"/>
        <v>1500</v>
      </c>
    </row>
    <row r="186" spans="1:20" x14ac:dyDescent="0.2">
      <c r="B186" s="1" t="s">
        <v>52</v>
      </c>
      <c r="K186" s="1">
        <v>600</v>
      </c>
      <c r="L186" s="1">
        <v>600</v>
      </c>
      <c r="M186" s="1">
        <v>750</v>
      </c>
      <c r="N186" s="1">
        <v>750</v>
      </c>
      <c r="O186" s="1">
        <v>1000</v>
      </c>
      <c r="P186" s="1">
        <f>O186+250</f>
        <v>1250</v>
      </c>
      <c r="Q186" s="1">
        <v>1500</v>
      </c>
      <c r="R186" s="1">
        <v>1500</v>
      </c>
      <c r="S186" s="1">
        <v>1500</v>
      </c>
      <c r="T186" s="1">
        <v>1500</v>
      </c>
    </row>
    <row r="187" spans="1:20" x14ac:dyDescent="0.2">
      <c r="B187" s="1" t="s">
        <v>53</v>
      </c>
      <c r="K187" s="1">
        <v>150</v>
      </c>
      <c r="L187" s="1">
        <v>500</v>
      </c>
      <c r="M187" s="1">
        <v>750</v>
      </c>
      <c r="N187" s="1">
        <v>750</v>
      </c>
      <c r="O187" s="1">
        <v>1250</v>
      </c>
      <c r="P187" s="1">
        <f>O187+250</f>
        <v>1500</v>
      </c>
      <c r="Q187" s="1">
        <f>P187+250</f>
        <v>1750</v>
      </c>
      <c r="R187" s="1">
        <f>Q187+250</f>
        <v>2000</v>
      </c>
      <c r="S187" s="1">
        <f>R187</f>
        <v>2000</v>
      </c>
      <c r="T187" s="1">
        <v>2000</v>
      </c>
    </row>
    <row r="188" spans="1:20" x14ac:dyDescent="0.2">
      <c r="B188" s="1" t="s">
        <v>54</v>
      </c>
      <c r="K188" s="1">
        <v>150</v>
      </c>
      <c r="L188" s="1">
        <v>500</v>
      </c>
      <c r="M188" s="1">
        <v>750</v>
      </c>
      <c r="N188" s="1">
        <v>750</v>
      </c>
      <c r="O188" s="1">
        <v>1250</v>
      </c>
      <c r="P188" s="1">
        <f>O188+250</f>
        <v>1500</v>
      </c>
      <c r="Q188" s="1">
        <f>P188+250</f>
        <v>1750</v>
      </c>
      <c r="R188" s="1">
        <f>Q188+250</f>
        <v>2000</v>
      </c>
      <c r="S188" s="1">
        <f>R188</f>
        <v>2000</v>
      </c>
      <c r="T188" s="1">
        <v>2000</v>
      </c>
    </row>
    <row r="189" spans="1:20" x14ac:dyDescent="0.2">
      <c r="B189" s="1" t="s">
        <v>55</v>
      </c>
      <c r="K189" s="11">
        <v>0</v>
      </c>
      <c r="L189" s="11">
        <v>0</v>
      </c>
      <c r="M189" s="11">
        <v>0</v>
      </c>
      <c r="N189" s="1">
        <v>750</v>
      </c>
      <c r="O189" s="1">
        <v>750</v>
      </c>
      <c r="P189" s="1">
        <v>1250</v>
      </c>
      <c r="Q189" s="1">
        <v>1250</v>
      </c>
      <c r="R189" s="1">
        <f t="shared" ref="R189:T191" si="98">Q189+250</f>
        <v>1500</v>
      </c>
      <c r="S189" s="1">
        <f t="shared" si="98"/>
        <v>1750</v>
      </c>
      <c r="T189" s="1">
        <f t="shared" si="98"/>
        <v>2000</v>
      </c>
    </row>
    <row r="190" spans="1:20" x14ac:dyDescent="0.2">
      <c r="B190" s="1" t="s">
        <v>56</v>
      </c>
      <c r="K190" s="11">
        <v>0</v>
      </c>
      <c r="L190" s="11">
        <v>0</v>
      </c>
      <c r="M190" s="11">
        <v>0</v>
      </c>
      <c r="N190" s="11">
        <v>0</v>
      </c>
      <c r="O190" s="1">
        <v>750</v>
      </c>
      <c r="P190" s="1">
        <v>750</v>
      </c>
      <c r="Q190" s="1">
        <f>P190+250</f>
        <v>1000</v>
      </c>
      <c r="R190" s="1">
        <f t="shared" si="98"/>
        <v>1250</v>
      </c>
      <c r="S190" s="1">
        <f t="shared" si="98"/>
        <v>1500</v>
      </c>
      <c r="T190" s="1">
        <f t="shared" si="98"/>
        <v>1750</v>
      </c>
    </row>
    <row r="191" spans="1:20" x14ac:dyDescent="0.2">
      <c r="B191" s="1" t="s">
        <v>57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">
        <v>750</v>
      </c>
      <c r="Q191" s="1">
        <f>P191+250</f>
        <v>1000</v>
      </c>
      <c r="R191" s="1">
        <f t="shared" si="98"/>
        <v>1250</v>
      </c>
      <c r="S191" s="1">
        <f t="shared" si="98"/>
        <v>1500</v>
      </c>
      <c r="T191" s="1">
        <f t="shared" si="98"/>
        <v>1750</v>
      </c>
    </row>
    <row r="192" spans="1:20" x14ac:dyDescent="0.2">
      <c r="B192" s="1" t="s">
        <v>58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">
        <v>750</v>
      </c>
      <c r="R192" s="1">
        <v>1000</v>
      </c>
      <c r="S192" s="1">
        <f>R192+250</f>
        <v>1250</v>
      </c>
      <c r="T192" s="1">
        <v>1500</v>
      </c>
    </row>
    <row r="193" spans="1:25" x14ac:dyDescent="0.2">
      <c r="B193" s="1" t="s">
        <v>59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">
        <v>750</v>
      </c>
      <c r="S193" s="1">
        <v>1000</v>
      </c>
      <c r="T193" s="1">
        <v>1500</v>
      </c>
    </row>
    <row r="194" spans="1:25" x14ac:dyDescent="0.2">
      <c r="B194" s="1" t="s">
        <v>60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">
        <v>1000</v>
      </c>
      <c r="T194" s="1">
        <f>S194+500</f>
        <v>1500</v>
      </c>
    </row>
    <row r="195" spans="1:25" x14ac:dyDescent="0.2">
      <c r="B195" s="1" t="s">
        <v>61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">
        <v>1500</v>
      </c>
    </row>
    <row r="196" spans="1:25" x14ac:dyDescent="0.2">
      <c r="B196" s="1" t="s">
        <v>62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">
        <v>1500</v>
      </c>
    </row>
    <row r="197" spans="1:25" s="16" customFormat="1" x14ac:dyDescent="0.2">
      <c r="A197" s="20"/>
      <c r="B197" s="19" t="s">
        <v>63</v>
      </c>
      <c r="K197" s="81">
        <f>SUM(K185:K196)</f>
        <v>1490</v>
      </c>
      <c r="L197" s="81">
        <f t="shared" ref="L197:T197" si="99">SUM(L185:L196)</f>
        <v>2200</v>
      </c>
      <c r="M197" s="81">
        <f t="shared" si="99"/>
        <v>3000</v>
      </c>
      <c r="N197" s="81">
        <f t="shared" si="99"/>
        <v>3750</v>
      </c>
      <c r="O197" s="81">
        <f t="shared" si="99"/>
        <v>6000</v>
      </c>
      <c r="P197" s="81">
        <f t="shared" si="99"/>
        <v>8250</v>
      </c>
      <c r="Q197" s="81">
        <f t="shared" si="99"/>
        <v>10500</v>
      </c>
      <c r="R197" s="81">
        <f t="shared" si="99"/>
        <v>12750</v>
      </c>
      <c r="S197" s="81">
        <f t="shared" si="99"/>
        <v>15000</v>
      </c>
      <c r="T197" s="81">
        <f t="shared" si="99"/>
        <v>20000</v>
      </c>
    </row>
    <row r="199" spans="1:25" x14ac:dyDescent="0.2">
      <c r="B199" s="1" t="s">
        <v>71</v>
      </c>
      <c r="L199" s="84">
        <v>0.1</v>
      </c>
      <c r="M199" s="84">
        <v>0.15</v>
      </c>
      <c r="N199" s="92"/>
      <c r="O199" s="92"/>
      <c r="P199" s="92"/>
      <c r="Q199" s="92"/>
      <c r="R199" s="92"/>
      <c r="S199" s="92"/>
      <c r="T199" s="92"/>
      <c r="V199" s="85" t="s">
        <v>77</v>
      </c>
    </row>
    <row r="200" spans="1:25" x14ac:dyDescent="0.2">
      <c r="B200" s="4" t="s">
        <v>65</v>
      </c>
      <c r="K200" s="1" t="s">
        <v>69</v>
      </c>
      <c r="L200" s="1" t="s">
        <v>69</v>
      </c>
      <c r="M200" s="1" t="s">
        <v>72</v>
      </c>
      <c r="N200" s="1" t="s">
        <v>72</v>
      </c>
      <c r="O200" s="1" t="s">
        <v>73</v>
      </c>
      <c r="P200" s="1" t="s">
        <v>73</v>
      </c>
      <c r="W200" s="1" t="s">
        <v>82</v>
      </c>
    </row>
    <row r="201" spans="1:25" x14ac:dyDescent="0.2">
      <c r="B201" s="1" t="s">
        <v>2</v>
      </c>
      <c r="C201" s="52">
        <f>C21</f>
        <v>22.48</v>
      </c>
      <c r="D201" s="52">
        <f t="shared" ref="D201:T201" si="100">D21</f>
        <v>31.66</v>
      </c>
      <c r="E201" s="52">
        <f t="shared" si="100"/>
        <v>50.45</v>
      </c>
      <c r="F201" s="52">
        <f t="shared" si="100"/>
        <v>50.93</v>
      </c>
      <c r="G201" s="52">
        <f t="shared" si="100"/>
        <v>54.48</v>
      </c>
      <c r="H201" s="52">
        <f t="shared" si="100"/>
        <v>51.46</v>
      </c>
      <c r="I201" s="52">
        <f t="shared" si="100"/>
        <v>32.97</v>
      </c>
      <c r="J201" s="52">
        <f t="shared" si="100"/>
        <v>28.54</v>
      </c>
      <c r="K201" s="52">
        <f t="shared" si="100"/>
        <v>19.100000000000001</v>
      </c>
      <c r="L201" s="52">
        <f>L21*(1+$L$199)</f>
        <v>38.39</v>
      </c>
      <c r="M201" s="52">
        <f>M21*(1+$L$199)</f>
        <v>34.980000000000004</v>
      </c>
      <c r="N201" s="52">
        <f>M201*(1+$V$201)</f>
        <v>39.368069328632473</v>
      </c>
      <c r="O201" s="52">
        <f t="shared" ref="O201:S201" si="101">N201*(1+$V$201)</f>
        <v>44.306600419211335</v>
      </c>
      <c r="P201" s="52">
        <f t="shared" si="101"/>
        <v>49.864645998271243</v>
      </c>
      <c r="Q201" s="52">
        <f t="shared" si="101"/>
        <v>56.119921118000505</v>
      </c>
      <c r="R201" s="52">
        <f t="shared" si="101"/>
        <v>63.159889802482247</v>
      </c>
      <c r="S201" s="52">
        <f t="shared" si="101"/>
        <v>71.082988008373576</v>
      </c>
      <c r="T201" s="87">
        <v>80</v>
      </c>
      <c r="V201" s="84">
        <f>(T201/M201)^(1/(T14-M14))-1</f>
        <v>0.12544509229938439</v>
      </c>
      <c r="W201" s="1" t="s">
        <v>78</v>
      </c>
    </row>
    <row r="202" spans="1:25" x14ac:dyDescent="0.2">
      <c r="B202" s="1" t="s">
        <v>3</v>
      </c>
      <c r="C202" s="52">
        <f>C37</f>
        <v>0</v>
      </c>
      <c r="D202" s="52">
        <f t="shared" ref="D202:T202" si="102">D37</f>
        <v>0</v>
      </c>
      <c r="E202" s="52">
        <f t="shared" si="102"/>
        <v>0.21</v>
      </c>
      <c r="F202" s="52">
        <f t="shared" si="102"/>
        <v>25.31</v>
      </c>
      <c r="G202" s="52">
        <f t="shared" si="102"/>
        <v>46.91</v>
      </c>
      <c r="H202" s="52">
        <f t="shared" si="102"/>
        <v>47.96</v>
      </c>
      <c r="I202" s="52">
        <f t="shared" si="102"/>
        <v>34.409999999999997</v>
      </c>
      <c r="J202" s="52">
        <f t="shared" si="102"/>
        <v>28.54</v>
      </c>
      <c r="K202" s="52">
        <f>K37</f>
        <v>6.8</v>
      </c>
      <c r="L202" s="52">
        <f>L37*(1+L199)</f>
        <v>34.21</v>
      </c>
      <c r="M202" s="52">
        <f>M37*(1+L199)</f>
        <v>33.22</v>
      </c>
      <c r="N202" s="52">
        <f>M202*(1+$V$202)</f>
        <v>35.218173181262706</v>
      </c>
      <c r="O202" s="52">
        <f t="shared" ref="O202:S202" si="103">N202*(1+$V$202)</f>
        <v>37.336535888784219</v>
      </c>
      <c r="P202" s="52">
        <f t="shared" si="103"/>
        <v>39.582317487044946</v>
      </c>
      <c r="Q202" s="52">
        <f t="shared" si="103"/>
        <v>41.963182184662017</v>
      </c>
      <c r="R202" s="52">
        <f t="shared" si="103"/>
        <v>44.487255190135606</v>
      </c>
      <c r="S202" s="52">
        <f t="shared" si="103"/>
        <v>47.163150440855631</v>
      </c>
      <c r="T202" s="87">
        <v>50</v>
      </c>
      <c r="V202" s="84">
        <f>(T202/M202)^(1/(T14-M14))-1</f>
        <v>6.014970443295331E-2</v>
      </c>
      <c r="W202" s="1" t="s">
        <v>78</v>
      </c>
    </row>
    <row r="203" spans="1:25" x14ac:dyDescent="0.2">
      <c r="B203" s="1" t="s">
        <v>4</v>
      </c>
      <c r="C203" s="52">
        <f>C53</f>
        <v>0</v>
      </c>
      <c r="D203" s="52">
        <f t="shared" ref="D203:T203" si="104">D53</f>
        <v>0</v>
      </c>
      <c r="E203" s="52">
        <f t="shared" si="104"/>
        <v>0</v>
      </c>
      <c r="F203" s="52">
        <f t="shared" si="104"/>
        <v>0</v>
      </c>
      <c r="G203" s="52">
        <f t="shared" si="104"/>
        <v>1.76</v>
      </c>
      <c r="H203" s="52">
        <f t="shared" si="104"/>
        <v>146.06</v>
      </c>
      <c r="I203" s="52">
        <f t="shared" si="104"/>
        <v>300.89</v>
      </c>
      <c r="J203" s="52">
        <f t="shared" si="104"/>
        <v>356.56</v>
      </c>
      <c r="K203" s="52">
        <f t="shared" si="104"/>
        <v>473</v>
      </c>
      <c r="L203" s="52">
        <f>L53*(1+$L$199)</f>
        <v>605.66000000000008</v>
      </c>
      <c r="M203" s="52">
        <f>M53*(1+$L$199)</f>
        <v>731.50000000000011</v>
      </c>
      <c r="N203" s="52">
        <f>N53*(1+$V$203)</f>
        <v>873.08023061020958</v>
      </c>
      <c r="O203" s="52">
        <f t="shared" ref="O202:S203" si="105">O53*(1+$V$203)</f>
        <v>988.45793207514919</v>
      </c>
      <c r="P203" s="52">
        <f t="shared" si="105"/>
        <v>1172.7166556871482</v>
      </c>
      <c r="Q203" s="52">
        <f t="shared" si="105"/>
        <v>1358.4507570230337</v>
      </c>
      <c r="R203" s="52">
        <f t="shared" si="105"/>
        <v>1572.0581460867463</v>
      </c>
      <c r="S203" s="52">
        <f t="shared" si="105"/>
        <v>1803.3666767063166</v>
      </c>
      <c r="T203" s="87">
        <v>2500</v>
      </c>
      <c r="V203" s="84">
        <f>(T203/M203)^(1/(T14-M14))-1</f>
        <v>0.19191840356342604</v>
      </c>
      <c r="W203" s="1" t="s">
        <v>78</v>
      </c>
    </row>
    <row r="204" spans="1:25" s="12" customFormat="1" x14ac:dyDescent="0.2">
      <c r="B204" s="12" t="s">
        <v>5</v>
      </c>
      <c r="C204" s="82">
        <f>C70</f>
        <v>0</v>
      </c>
      <c r="D204" s="82">
        <f>D70</f>
        <v>0</v>
      </c>
      <c r="E204" s="82">
        <f>E70</f>
        <v>0</v>
      </c>
      <c r="F204" s="82">
        <f>F70</f>
        <v>0</v>
      </c>
      <c r="G204" s="82">
        <f>G70</f>
        <v>0</v>
      </c>
      <c r="H204" s="82">
        <f>H70</f>
        <v>0</v>
      </c>
      <c r="I204" s="82">
        <f>I70</f>
        <v>0</v>
      </c>
      <c r="J204" s="82">
        <f>J70</f>
        <v>86</v>
      </c>
      <c r="K204" s="82">
        <f>K70</f>
        <v>379.7</v>
      </c>
      <c r="L204" s="82">
        <f>L70*(1+$L$199)</f>
        <v>733.37000000000012</v>
      </c>
      <c r="M204" s="82">
        <f>M70*(1+$L$199)</f>
        <v>834.35</v>
      </c>
      <c r="N204" s="82">
        <f>M204*(1+$V$204)</f>
        <v>1001.7155393328851</v>
      </c>
      <c r="O204" s="82">
        <f t="shared" ref="O204:S204" si="106">N204*(1+$V$204)</f>
        <v>1202.6535887109401</v>
      </c>
      <c r="P204" s="82">
        <f t="shared" si="106"/>
        <v>1443.8985896161191</v>
      </c>
      <c r="Q204" s="82">
        <f>P204*(1+$V$204)</f>
        <v>1733.5358715638554</v>
      </c>
      <c r="R204" s="82">
        <f t="shared" si="106"/>
        <v>2081.2726320327083</v>
      </c>
      <c r="S204" s="82">
        <f t="shared" si="106"/>
        <v>2498.7632733210494</v>
      </c>
      <c r="T204" s="88">
        <v>3000</v>
      </c>
      <c r="V204" s="90">
        <f>(T204/M204)^(1/(T14-M14))-1</f>
        <v>0.2005939226138731</v>
      </c>
      <c r="W204" s="1" t="s">
        <v>78</v>
      </c>
    </row>
    <row r="205" spans="1:25" x14ac:dyDescent="0.2">
      <c r="B205" s="1" t="s">
        <v>13</v>
      </c>
      <c r="C205" s="52"/>
      <c r="D205" s="52"/>
      <c r="E205" s="52"/>
      <c r="F205" s="52"/>
      <c r="G205" s="52"/>
      <c r="H205" s="52"/>
      <c r="I205" s="52"/>
      <c r="J205" s="52"/>
      <c r="K205" s="11">
        <v>0</v>
      </c>
      <c r="L205" s="83">
        <f>16*(1+$L$199)</f>
        <v>17.600000000000001</v>
      </c>
      <c r="M205" s="83">
        <f>73*(1+$M$199)</f>
        <v>83.949999999999989</v>
      </c>
      <c r="N205" s="91">
        <f>M205*(1+$V$205)</f>
        <v>126.73247695433965</v>
      </c>
      <c r="O205" s="91">
        <f>N205*(1+$V$205)</f>
        <v>191.31769761741788</v>
      </c>
      <c r="P205" s="91">
        <f t="shared" ref="O205:S205" si="107">O205*(1+$V$205)</f>
        <v>288.81674454147389</v>
      </c>
      <c r="Q205" s="91">
        <f t="shared" si="107"/>
        <v>436.00311401583974</v>
      </c>
      <c r="R205" s="91">
        <f t="shared" si="107"/>
        <v>658.19838712367766</v>
      </c>
      <c r="S205" s="91">
        <f t="shared" si="107"/>
        <v>993.62849228749269</v>
      </c>
      <c r="T205" s="89">
        <v>1500</v>
      </c>
      <c r="V205" s="86">
        <f>(T205/M205)^(1/(T14-M14))-1</f>
        <v>0.50961854621012104</v>
      </c>
      <c r="W205" s="1" t="s">
        <v>76</v>
      </c>
      <c r="Y205" s="1" t="s">
        <v>74</v>
      </c>
    </row>
    <row r="206" spans="1:25" x14ac:dyDescent="0.2">
      <c r="B206" s="1" t="s">
        <v>14</v>
      </c>
      <c r="C206" s="52"/>
      <c r="D206" s="52"/>
      <c r="E206" s="52"/>
      <c r="F206" s="52"/>
      <c r="G206" s="52"/>
      <c r="H206" s="52"/>
      <c r="I206" s="52"/>
      <c r="J206" s="52"/>
      <c r="K206" s="11">
        <v>0</v>
      </c>
      <c r="L206" s="83">
        <f>1*(1+$L$199)</f>
        <v>1.1000000000000001</v>
      </c>
      <c r="M206" s="83">
        <f>3*(1+$M$199)</f>
        <v>3.4499999999999997</v>
      </c>
      <c r="N206" s="52">
        <f>M206*(1+$V$206)</f>
        <v>5.5808722520560607</v>
      </c>
      <c r="O206" s="52">
        <f>N206*(1+$V$206)</f>
        <v>9.0278652445708083</v>
      </c>
      <c r="P206" s="52">
        <f t="shared" ref="O206:S206" si="108">O206*(1+$V$206)</f>
        <v>14.603873228616385</v>
      </c>
      <c r="Q206" s="52">
        <f t="shared" si="108"/>
        <v>23.623869818588272</v>
      </c>
      <c r="R206" s="52">
        <f t="shared" si="108"/>
        <v>38.215014364273607</v>
      </c>
      <c r="S206" s="52">
        <f t="shared" si="108"/>
        <v>61.818293703622714</v>
      </c>
      <c r="T206" s="83">
        <v>100</v>
      </c>
      <c r="V206" s="86">
        <f>(T206/M206)^(1/(T14-M14))-1</f>
        <v>0.61764413103074234</v>
      </c>
      <c r="W206" s="1" t="s">
        <v>78</v>
      </c>
    </row>
    <row r="207" spans="1:25" x14ac:dyDescent="0.2">
      <c r="B207" s="1" t="s">
        <v>16</v>
      </c>
      <c r="C207" s="52"/>
      <c r="D207" s="52"/>
      <c r="E207" s="52"/>
      <c r="F207" s="52"/>
      <c r="G207" s="52"/>
      <c r="H207" s="52"/>
      <c r="I207" s="52"/>
      <c r="J207" s="52"/>
      <c r="K207" s="11">
        <v>0</v>
      </c>
      <c r="L207" s="83">
        <f>2*(1+$L$199)</f>
        <v>2.2000000000000002</v>
      </c>
      <c r="M207" s="83">
        <f>1*(1+$M$199)</f>
        <v>1.1499999999999999</v>
      </c>
      <c r="N207" s="52">
        <f>M207*(1+$V$207)</f>
        <v>1.7293709055592195</v>
      </c>
      <c r="O207" s="52">
        <f t="shared" ref="O207:S207" si="109">N207*(1+$V$207)</f>
        <v>2.6006293295606215</v>
      </c>
      <c r="P207" s="52">
        <f t="shared" si="109"/>
        <v>3.9108284336401029</v>
      </c>
      <c r="Q207" s="52">
        <f t="shared" si="109"/>
        <v>5.8811068780616775</v>
      </c>
      <c r="R207" s="52">
        <f t="shared" si="109"/>
        <v>8.8440131542644167</v>
      </c>
      <c r="S207" s="52">
        <f t="shared" si="109"/>
        <v>13.299633945537309</v>
      </c>
      <c r="T207" s="83">
        <v>20</v>
      </c>
      <c r="V207" s="86">
        <f>(T207/M207)^(1/(T15-M15))-1</f>
        <v>0.50380078744279966</v>
      </c>
      <c r="W207" s="1" t="s">
        <v>78</v>
      </c>
    </row>
    <row r="208" spans="1:25" x14ac:dyDescent="0.2">
      <c r="B208" s="1" t="s">
        <v>80</v>
      </c>
      <c r="C208" s="52"/>
      <c r="D208" s="52"/>
      <c r="E208" s="52"/>
      <c r="F208" s="52"/>
      <c r="G208" s="52"/>
      <c r="H208" s="52"/>
      <c r="I208" s="52"/>
      <c r="J208" s="52"/>
      <c r="K208" s="11">
        <v>0</v>
      </c>
      <c r="L208" s="11">
        <v>0</v>
      </c>
      <c r="M208" s="83">
        <f>50*(1+$M$199)</f>
        <v>57.499999999999993</v>
      </c>
      <c r="N208" s="1">
        <f>M208*(1+$V$208)</f>
        <v>114.17905493775545</v>
      </c>
      <c r="O208" s="1">
        <f>N208*(1+$V$208)</f>
        <v>226.72794063441702</v>
      </c>
      <c r="P208" s="1">
        <f>O208*(1+$V$208)</f>
        <v>450.2188172108045</v>
      </c>
      <c r="Q208" s="1">
        <f>P208*(1+$V$208)</f>
        <v>894.00972285780404</v>
      </c>
      <c r="R208" s="1">
        <f>Q208*(1+$V$208)</f>
        <v>1775.2553958446738</v>
      </c>
      <c r="S208" s="1">
        <f>R208*(1+$V$208)</f>
        <v>3525.1649281860145</v>
      </c>
      <c r="T208" s="89">
        <v>7000</v>
      </c>
      <c r="V208" s="86">
        <f>(T208/M208)^(1/(T14-M14))-1</f>
        <v>0.98572269456966022</v>
      </c>
      <c r="W208" s="1" t="s">
        <v>76</v>
      </c>
      <c r="Y208" s="1" t="s">
        <v>75</v>
      </c>
    </row>
    <row r="209" spans="2:24" x14ac:dyDescent="0.2">
      <c r="B209" s="1" t="s">
        <v>81</v>
      </c>
      <c r="K209" s="11">
        <v>0</v>
      </c>
      <c r="L209" s="11">
        <v>0</v>
      </c>
      <c r="M209" s="11">
        <v>0</v>
      </c>
      <c r="N209" s="11">
        <v>0</v>
      </c>
      <c r="O209" s="43" t="s">
        <v>11</v>
      </c>
      <c r="P209" s="5">
        <v>250</v>
      </c>
      <c r="Q209" s="1">
        <f>P209*(1+$V$209)</f>
        <v>528.685631720282</v>
      </c>
      <c r="R209" s="1">
        <f t="shared" ref="R209:S210" si="110">Q209*(1+$V$209)</f>
        <v>1118.0339887498947</v>
      </c>
      <c r="S209" s="1">
        <f t="shared" si="110"/>
        <v>2364.3540225079391</v>
      </c>
      <c r="T209" s="93">
        <v>5000</v>
      </c>
      <c r="V209" s="86">
        <f>(T209/P209)^(1/(T14-P14))-1</f>
        <v>1.1147425268811282</v>
      </c>
    </row>
    <row r="210" spans="2:24" x14ac:dyDescent="0.2">
      <c r="B210" s="2" t="s">
        <v>83</v>
      </c>
      <c r="C210" s="2"/>
      <c r="D210" s="2"/>
      <c r="E210" s="2"/>
      <c r="F210" s="2"/>
      <c r="G210" s="2"/>
      <c r="H210" s="2"/>
      <c r="I210" s="2"/>
      <c r="J210" s="2"/>
      <c r="K210" s="95">
        <v>0</v>
      </c>
      <c r="L210" s="95">
        <v>0</v>
      </c>
      <c r="M210" s="95">
        <v>0</v>
      </c>
      <c r="N210" s="95">
        <v>0</v>
      </c>
      <c r="O210" s="95">
        <v>0</v>
      </c>
      <c r="P210" s="96" t="s">
        <v>11</v>
      </c>
      <c r="Q210" s="95">
        <v>0</v>
      </c>
      <c r="R210" s="94">
        <v>100</v>
      </c>
      <c r="S210" s="2">
        <f>R210*(1+V210)</f>
        <v>141.42135623730951</v>
      </c>
      <c r="T210" s="94">
        <v>200</v>
      </c>
      <c r="V210" s="86">
        <f>(T210/R210)^(1/(T14-R14))-1</f>
        <v>0.41421356237309515</v>
      </c>
      <c r="W210" s="1" t="s">
        <v>84</v>
      </c>
    </row>
    <row r="211" spans="2:24" x14ac:dyDescent="0.2">
      <c r="B211" s="1" t="s">
        <v>66</v>
      </c>
      <c r="C211" s="78">
        <f>SUM(C201:C210)</f>
        <v>22.48</v>
      </c>
      <c r="D211" s="78">
        <f t="shared" ref="D211:T211" si="111">SUM(D201:D210)</f>
        <v>31.66</v>
      </c>
      <c r="E211" s="78">
        <f t="shared" si="111"/>
        <v>50.660000000000004</v>
      </c>
      <c r="F211" s="78">
        <f t="shared" si="111"/>
        <v>76.239999999999995</v>
      </c>
      <c r="G211" s="78">
        <f t="shared" si="111"/>
        <v>103.14999999999999</v>
      </c>
      <c r="H211" s="78">
        <f t="shared" si="111"/>
        <v>245.48000000000002</v>
      </c>
      <c r="I211" s="78">
        <f t="shared" si="111"/>
        <v>368.27</v>
      </c>
      <c r="J211" s="78">
        <f t="shared" si="111"/>
        <v>499.64</v>
      </c>
      <c r="K211" s="78">
        <f t="shared" si="111"/>
        <v>878.59999999999991</v>
      </c>
      <c r="L211" s="78">
        <f>SUM(L201:L210)</f>
        <v>1432.53</v>
      </c>
      <c r="M211" s="78">
        <f>SUM(M201:M210)</f>
        <v>1780.1000000000004</v>
      </c>
      <c r="N211" s="78">
        <f t="shared" si="111"/>
        <v>2197.6037875027005</v>
      </c>
      <c r="O211" s="78">
        <f t="shared" si="111"/>
        <v>2702.4287899200508</v>
      </c>
      <c r="P211" s="78">
        <f t="shared" si="111"/>
        <v>3713.6124722031186</v>
      </c>
      <c r="Q211" s="78">
        <f t="shared" si="111"/>
        <v>5078.2731771801273</v>
      </c>
      <c r="R211" s="78">
        <f t="shared" si="111"/>
        <v>7459.5247223488577</v>
      </c>
      <c r="S211" s="78">
        <f t="shared" si="111"/>
        <v>11520.062815344512</v>
      </c>
      <c r="T211" s="78">
        <f t="shared" si="111"/>
        <v>19450</v>
      </c>
      <c r="V211" s="86">
        <f>(T211/K211)^(1/(T14-K14))-1</f>
        <v>0.41077810817288007</v>
      </c>
      <c r="W211" s="97" t="s">
        <v>79</v>
      </c>
      <c r="X211" s="97">
        <v>20000</v>
      </c>
    </row>
    <row r="212" spans="2:24" x14ac:dyDescent="0.2">
      <c r="B212" s="14" t="s">
        <v>35</v>
      </c>
      <c r="C212" s="78"/>
      <c r="D212" s="45">
        <f>D211/C211-1</f>
        <v>0.40836298932384341</v>
      </c>
      <c r="E212" s="45">
        <f t="shared" ref="E212:T212" si="112">E211/D211-1</f>
        <v>0.60012634238787133</v>
      </c>
      <c r="F212" s="45">
        <f t="shared" si="112"/>
        <v>0.5049348598499801</v>
      </c>
      <c r="G212" s="45">
        <f t="shared" si="112"/>
        <v>0.35296432318992643</v>
      </c>
      <c r="H212" s="45">
        <f t="shared" si="112"/>
        <v>1.379835191468735</v>
      </c>
      <c r="I212" s="45">
        <f t="shared" si="112"/>
        <v>0.5002036825810654</v>
      </c>
      <c r="J212" s="45">
        <f t="shared" si="112"/>
        <v>0.3567219702935347</v>
      </c>
      <c r="K212" s="45">
        <f t="shared" si="112"/>
        <v>0.75846609558882383</v>
      </c>
      <c r="L212" s="45">
        <f t="shared" si="112"/>
        <v>0.63046892783974529</v>
      </c>
      <c r="M212" s="45">
        <f>M211/L211-1</f>
        <v>0.24262668146565902</v>
      </c>
      <c r="N212" s="45">
        <f t="shared" si="112"/>
        <v>0.23453951323111055</v>
      </c>
      <c r="O212" s="45">
        <f t="shared" si="112"/>
        <v>0.22971611410945925</v>
      </c>
      <c r="P212" s="45">
        <f t="shared" si="112"/>
        <v>0.37417588432107496</v>
      </c>
      <c r="Q212" s="45">
        <f t="shared" si="112"/>
        <v>0.36747525898075661</v>
      </c>
      <c r="R212" s="45">
        <f t="shared" si="112"/>
        <v>0.4689096986489798</v>
      </c>
      <c r="S212" s="45">
        <f t="shared" si="112"/>
        <v>0.54434273551372736</v>
      </c>
      <c r="T212" s="45">
        <f t="shared" si="112"/>
        <v>0.68835884940600822</v>
      </c>
      <c r="V212" s="1" t="s">
        <v>70</v>
      </c>
    </row>
    <row r="213" spans="2:24" x14ac:dyDescent="0.2">
      <c r="B213" s="14" t="s">
        <v>67</v>
      </c>
      <c r="K213" s="45">
        <f>K211/K197</f>
        <v>0.58966442953020126</v>
      </c>
      <c r="L213" s="45">
        <f>L211/L197</f>
        <v>0.65115000000000001</v>
      </c>
      <c r="M213" s="45">
        <f>M211/M197</f>
        <v>0.59336666666666682</v>
      </c>
      <c r="N213" s="45">
        <f>N211/N197</f>
        <v>0.58602767666738675</v>
      </c>
      <c r="O213" s="45">
        <f>O211/O197</f>
        <v>0.45040479832000846</v>
      </c>
      <c r="P213" s="45">
        <f>P211/P197</f>
        <v>0.45013484511552954</v>
      </c>
      <c r="Q213" s="45">
        <f>Q211/Q197</f>
        <v>0.48364506449334543</v>
      </c>
      <c r="R213" s="45">
        <f>R211/R197</f>
        <v>0.58506076253716532</v>
      </c>
      <c r="S213" s="45">
        <f>S211/S197</f>
        <v>0.76800418768963419</v>
      </c>
      <c r="T213" s="45">
        <f>T211/T197</f>
        <v>0.97250000000000003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Build Final</vt:lpstr>
      <vt:lpstr>Revenue Build_1 unchanged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2022-01-14T07:36:51Z</dcterms:created>
  <dcterms:modified xsi:type="dcterms:W3CDTF">2022-01-14T17:29:58Z</dcterms:modified>
</cp:coreProperties>
</file>