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Intro To Modeling/Model with Cash Sweep/"/>
    </mc:Choice>
  </mc:AlternateContent>
  <xr:revisionPtr revIDLastSave="0" documentId="13_ncr:1_{9BE63B06-CE88-3F4A-8EA7-17C2E37AD7B4}" xr6:coauthVersionLast="47" xr6:coauthVersionMax="47" xr10:uidLastSave="{00000000-0000-0000-0000-000000000000}"/>
  <bookViews>
    <workbookView xWindow="0" yWindow="500" windowWidth="28800" windowHeight="16160" activeTab="2" xr2:uid="{00000000-000D-0000-FFFF-FFFF00000000}"/>
  </bookViews>
  <sheets>
    <sheet name="Welcome" sheetId="1" r:id="rId1"/>
    <sheet name="Info" sheetId="6" r:id="rId2"/>
    <sheet name="Model 1" sheetId="2" r:id="rId3"/>
    <sheet name="Special question" sheetId="7" r:id="rId4"/>
  </sheets>
  <definedNames>
    <definedName name="switch">Info!$N$10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7" l="1"/>
  <c r="I8" i="7"/>
  <c r="I12" i="7"/>
  <c r="I7" i="7"/>
  <c r="C15" i="7"/>
  <c r="C14" i="7"/>
  <c r="C13" i="7"/>
  <c r="C8" i="7"/>
  <c r="C9" i="7" s="1"/>
  <c r="C10" i="7" s="1"/>
  <c r="C12" i="7"/>
  <c r="F164" i="2"/>
  <c r="C7" i="7"/>
  <c r="F171" i="2"/>
  <c r="I13" i="7" l="1"/>
  <c r="I9" i="7"/>
  <c r="I10" i="7" s="1"/>
  <c r="F133" i="2"/>
  <c r="F185" i="2" s="1"/>
  <c r="F152" i="2" s="1"/>
  <c r="F191" i="2"/>
  <c r="E193" i="2"/>
  <c r="F146" i="2"/>
  <c r="F178" i="2"/>
  <c r="F170" i="2"/>
  <c r="E216" i="2"/>
  <c r="D210" i="2"/>
  <c r="E210" i="2"/>
  <c r="D211" i="2"/>
  <c r="D212" i="2"/>
  <c r="D213" i="2"/>
  <c r="D218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D202" i="2"/>
  <c r="E202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C202" i="2"/>
  <c r="I15" i="7" l="1"/>
  <c r="C218" i="2"/>
  <c r="C213" i="2"/>
  <c r="C212" i="2"/>
  <c r="C211" i="2"/>
  <c r="C210" i="2"/>
  <c r="C207" i="2"/>
  <c r="C206" i="2"/>
  <c r="C205" i="2"/>
  <c r="C201" i="2"/>
  <c r="C200" i="2"/>
  <c r="G158" i="2"/>
  <c r="H158" i="2"/>
  <c r="I158" i="2"/>
  <c r="J158" i="2"/>
  <c r="K158" i="2"/>
  <c r="L158" i="2"/>
  <c r="M158" i="2"/>
  <c r="N158" i="2"/>
  <c r="O158" i="2"/>
  <c r="G167" i="2"/>
  <c r="H167" i="2"/>
  <c r="I167" i="2"/>
  <c r="J167" i="2"/>
  <c r="K167" i="2"/>
  <c r="L167" i="2"/>
  <c r="M167" i="2"/>
  <c r="N167" i="2"/>
  <c r="O167" i="2"/>
  <c r="G174" i="2"/>
  <c r="H174" i="2"/>
  <c r="I174" i="2"/>
  <c r="J174" i="2"/>
  <c r="K174" i="2"/>
  <c r="L174" i="2"/>
  <c r="M174" i="2"/>
  <c r="N174" i="2"/>
  <c r="O174" i="2"/>
  <c r="G181" i="2"/>
  <c r="H181" i="2"/>
  <c r="I181" i="2"/>
  <c r="J181" i="2"/>
  <c r="K181" i="2"/>
  <c r="L181" i="2"/>
  <c r="M181" i="2"/>
  <c r="N181" i="2"/>
  <c r="O181" i="2"/>
  <c r="G188" i="2"/>
  <c r="H188" i="2"/>
  <c r="I188" i="2"/>
  <c r="J188" i="2"/>
  <c r="K188" i="2"/>
  <c r="L188" i="2"/>
  <c r="M188" i="2"/>
  <c r="N188" i="2"/>
  <c r="O188" i="2"/>
  <c r="G194" i="2"/>
  <c r="H194" i="2"/>
  <c r="I194" i="2"/>
  <c r="J194" i="2"/>
  <c r="K194" i="2"/>
  <c r="L194" i="2"/>
  <c r="M194" i="2"/>
  <c r="N194" i="2"/>
  <c r="O194" i="2"/>
  <c r="G196" i="2"/>
  <c r="H196" i="2"/>
  <c r="I196" i="2"/>
  <c r="J196" i="2"/>
  <c r="K196" i="2"/>
  <c r="L196" i="2"/>
  <c r="M196" i="2"/>
  <c r="N196" i="2"/>
  <c r="O196" i="2"/>
  <c r="F196" i="2"/>
  <c r="F188" i="2"/>
  <c r="F181" i="2"/>
  <c r="F174" i="2"/>
  <c r="F167" i="2"/>
  <c r="F158" i="2"/>
  <c r="G93" i="2"/>
  <c r="H93" i="2"/>
  <c r="H76" i="2" s="1"/>
  <c r="H77" i="2" s="1"/>
  <c r="I93" i="2"/>
  <c r="I76" i="2" s="1"/>
  <c r="I77" i="2" s="1"/>
  <c r="J109" i="2" s="1"/>
  <c r="J93" i="2"/>
  <c r="K93" i="2"/>
  <c r="L93" i="2"/>
  <c r="L76" i="2" s="1"/>
  <c r="L77" i="2" s="1"/>
  <c r="M93" i="2"/>
  <c r="M76" i="2" s="1"/>
  <c r="M77" i="2" s="1"/>
  <c r="N109" i="2" s="1"/>
  <c r="N93" i="2"/>
  <c r="O93" i="2"/>
  <c r="F194" i="2"/>
  <c r="E195" i="2"/>
  <c r="E194" i="2"/>
  <c r="F184" i="2"/>
  <c r="F177" i="2"/>
  <c r="F163" i="2"/>
  <c r="F155" i="2"/>
  <c r="G145" i="2"/>
  <c r="H145" i="2"/>
  <c r="I145" i="2"/>
  <c r="J145" i="2"/>
  <c r="K145" i="2"/>
  <c r="L145" i="2"/>
  <c r="M145" i="2"/>
  <c r="N145" i="2"/>
  <c r="O145" i="2"/>
  <c r="G146" i="2"/>
  <c r="H146" i="2"/>
  <c r="I146" i="2"/>
  <c r="J146" i="2"/>
  <c r="K146" i="2"/>
  <c r="L146" i="2"/>
  <c r="M146" i="2"/>
  <c r="N146" i="2"/>
  <c r="O146" i="2"/>
  <c r="F149" i="2"/>
  <c r="F145" i="2"/>
  <c r="G107" i="2"/>
  <c r="H107" i="2"/>
  <c r="I107" i="2"/>
  <c r="J107" i="2"/>
  <c r="K107" i="2"/>
  <c r="L107" i="2"/>
  <c r="M107" i="2"/>
  <c r="N107" i="2"/>
  <c r="O107" i="2"/>
  <c r="G108" i="2"/>
  <c r="H108" i="2"/>
  <c r="I108" i="2"/>
  <c r="J108" i="2"/>
  <c r="K108" i="2"/>
  <c r="L108" i="2"/>
  <c r="M108" i="2"/>
  <c r="N108" i="2"/>
  <c r="O108" i="2"/>
  <c r="G110" i="2"/>
  <c r="H110" i="2"/>
  <c r="I110" i="2"/>
  <c r="J110" i="2"/>
  <c r="K110" i="2"/>
  <c r="L110" i="2"/>
  <c r="M110" i="2"/>
  <c r="N110" i="2"/>
  <c r="O110" i="2"/>
  <c r="G111" i="2"/>
  <c r="H111" i="2"/>
  <c r="I111" i="2"/>
  <c r="J111" i="2"/>
  <c r="K111" i="2"/>
  <c r="L111" i="2"/>
  <c r="M111" i="2"/>
  <c r="N111" i="2"/>
  <c r="O111" i="2"/>
  <c r="G114" i="2"/>
  <c r="G117" i="2" s="1"/>
  <c r="H114" i="2"/>
  <c r="I114" i="2"/>
  <c r="I117" i="2" s="1"/>
  <c r="J114" i="2"/>
  <c r="J117" i="2" s="1"/>
  <c r="K114" i="2"/>
  <c r="K117" i="2" s="1"/>
  <c r="L114" i="2"/>
  <c r="M114" i="2"/>
  <c r="M117" i="2" s="1"/>
  <c r="N114" i="2"/>
  <c r="N117" i="2" s="1"/>
  <c r="O114" i="2"/>
  <c r="O117" i="2" s="1"/>
  <c r="G115" i="2"/>
  <c r="H115" i="2"/>
  <c r="I115" i="2"/>
  <c r="J115" i="2"/>
  <c r="K115" i="2"/>
  <c r="L115" i="2"/>
  <c r="M115" i="2"/>
  <c r="N115" i="2"/>
  <c r="O115" i="2"/>
  <c r="G116" i="2"/>
  <c r="H116" i="2"/>
  <c r="I116" i="2"/>
  <c r="J116" i="2"/>
  <c r="K116" i="2"/>
  <c r="L116" i="2"/>
  <c r="M116" i="2"/>
  <c r="N116" i="2"/>
  <c r="O116" i="2"/>
  <c r="H117" i="2"/>
  <c r="L117" i="2"/>
  <c r="G121" i="2"/>
  <c r="H121" i="2"/>
  <c r="I121" i="2"/>
  <c r="J121" i="2"/>
  <c r="K121" i="2"/>
  <c r="L121" i="2"/>
  <c r="M121" i="2"/>
  <c r="N121" i="2"/>
  <c r="O121" i="2"/>
  <c r="E125" i="2"/>
  <c r="F121" i="2"/>
  <c r="F117" i="2"/>
  <c r="F116" i="2"/>
  <c r="F115" i="2"/>
  <c r="F114" i="2"/>
  <c r="F111" i="2"/>
  <c r="F110" i="2"/>
  <c r="F109" i="2"/>
  <c r="D75" i="2"/>
  <c r="E75" i="2"/>
  <c r="F75" i="2"/>
  <c r="G75" i="2"/>
  <c r="H75" i="2"/>
  <c r="I75" i="2"/>
  <c r="J75" i="2"/>
  <c r="K75" i="2"/>
  <c r="L75" i="2"/>
  <c r="M75" i="2"/>
  <c r="N75" i="2"/>
  <c r="O75" i="2"/>
  <c r="D76" i="2"/>
  <c r="E76" i="2"/>
  <c r="F76" i="2"/>
  <c r="G76" i="2"/>
  <c r="J76" i="2"/>
  <c r="K76" i="2"/>
  <c r="N76" i="2"/>
  <c r="O76" i="2"/>
  <c r="D77" i="2"/>
  <c r="E77" i="2"/>
  <c r="F77" i="2"/>
  <c r="G77" i="2"/>
  <c r="H109" i="2" s="1"/>
  <c r="J77" i="2"/>
  <c r="K77" i="2"/>
  <c r="L109" i="2" s="1"/>
  <c r="N77" i="2"/>
  <c r="O77" i="2"/>
  <c r="O109" i="2" s="1"/>
  <c r="C77" i="2"/>
  <c r="C76" i="2"/>
  <c r="C75" i="2"/>
  <c r="F108" i="2"/>
  <c r="F107" i="2"/>
  <c r="G85" i="2"/>
  <c r="G88" i="2"/>
  <c r="H88" i="2"/>
  <c r="I88" i="2"/>
  <c r="J88" i="2"/>
  <c r="K88" i="2"/>
  <c r="L88" i="2"/>
  <c r="M88" i="2"/>
  <c r="N88" i="2"/>
  <c r="O88" i="2"/>
  <c r="F88" i="2"/>
  <c r="F85" i="2"/>
  <c r="G61" i="2"/>
  <c r="G62" i="2"/>
  <c r="H62" i="2"/>
  <c r="I62" i="2"/>
  <c r="J62" i="2"/>
  <c r="K62" i="2"/>
  <c r="L62" i="2"/>
  <c r="M62" i="2"/>
  <c r="N62" i="2"/>
  <c r="O62" i="2"/>
  <c r="H63" i="2"/>
  <c r="G66" i="2"/>
  <c r="G67" i="2"/>
  <c r="H67" i="2"/>
  <c r="I67" i="2"/>
  <c r="J67" i="2"/>
  <c r="K67" i="2"/>
  <c r="L67" i="2"/>
  <c r="M67" i="2"/>
  <c r="N67" i="2"/>
  <c r="O67" i="2"/>
  <c r="G68" i="2"/>
  <c r="H66" i="2" s="1"/>
  <c r="H68" i="2" s="1"/>
  <c r="I66" i="2" s="1"/>
  <c r="I68" i="2" s="1"/>
  <c r="J66" i="2" s="1"/>
  <c r="J68" i="2" s="1"/>
  <c r="K66" i="2" s="1"/>
  <c r="K68" i="2" s="1"/>
  <c r="L66" i="2" s="1"/>
  <c r="L68" i="2" s="1"/>
  <c r="M66" i="2" s="1"/>
  <c r="M68" i="2" s="1"/>
  <c r="N66" i="2" s="1"/>
  <c r="N68" i="2" s="1"/>
  <c r="O66" i="2" s="1"/>
  <c r="O68" i="2" s="1"/>
  <c r="G72" i="2"/>
  <c r="H72" i="2"/>
  <c r="I72" i="2"/>
  <c r="J72" i="2"/>
  <c r="K72" i="2"/>
  <c r="L72" i="2"/>
  <c r="M72" i="2"/>
  <c r="N72" i="2"/>
  <c r="O72" i="2"/>
  <c r="F72" i="2"/>
  <c r="F70" i="2"/>
  <c r="E73" i="2"/>
  <c r="F68" i="2"/>
  <c r="F67" i="2"/>
  <c r="F66" i="2"/>
  <c r="E68" i="2"/>
  <c r="F64" i="2"/>
  <c r="F63" i="2"/>
  <c r="F62" i="2"/>
  <c r="F61" i="2"/>
  <c r="E64" i="2"/>
  <c r="G97" i="2"/>
  <c r="H97" i="2"/>
  <c r="I97" i="2"/>
  <c r="J97" i="2"/>
  <c r="K97" i="2"/>
  <c r="L97" i="2"/>
  <c r="M97" i="2"/>
  <c r="N97" i="2"/>
  <c r="O97" i="2"/>
  <c r="F97" i="2"/>
  <c r="F93" i="2"/>
  <c r="G87" i="2"/>
  <c r="H87" i="2"/>
  <c r="I87" i="2"/>
  <c r="J87" i="2"/>
  <c r="K87" i="2" s="1"/>
  <c r="L87" i="2" s="1"/>
  <c r="M87" i="2" s="1"/>
  <c r="N87" i="2" s="1"/>
  <c r="O87" i="2" s="1"/>
  <c r="G89" i="2"/>
  <c r="H89" i="2"/>
  <c r="I89" i="2"/>
  <c r="J89" i="2"/>
  <c r="K89" i="2"/>
  <c r="L89" i="2"/>
  <c r="M89" i="2"/>
  <c r="N89" i="2"/>
  <c r="O89" i="2"/>
  <c r="F89" i="2"/>
  <c r="F87" i="2"/>
  <c r="G86" i="2"/>
  <c r="H86" i="2"/>
  <c r="I86" i="2" s="1"/>
  <c r="J86" i="2" s="1"/>
  <c r="K86" i="2" s="1"/>
  <c r="L86" i="2" s="1"/>
  <c r="M86" i="2" s="1"/>
  <c r="N86" i="2" s="1"/>
  <c r="O86" i="2" s="1"/>
  <c r="G81" i="2"/>
  <c r="H81" i="2" s="1"/>
  <c r="G82" i="2"/>
  <c r="H82" i="2"/>
  <c r="I82" i="2"/>
  <c r="J82" i="2"/>
  <c r="K82" i="2"/>
  <c r="L82" i="2"/>
  <c r="M82" i="2"/>
  <c r="N82" i="2"/>
  <c r="O82" i="2"/>
  <c r="F86" i="2"/>
  <c r="F82" i="2"/>
  <c r="F81" i="2"/>
  <c r="G46" i="2"/>
  <c r="H46" i="2"/>
  <c r="I46" i="2"/>
  <c r="J46" i="2" s="1"/>
  <c r="K46" i="2" s="1"/>
  <c r="L46" i="2" s="1"/>
  <c r="M46" i="2" s="1"/>
  <c r="N46" i="2" s="1"/>
  <c r="O46" i="2" s="1"/>
  <c r="G47" i="2"/>
  <c r="H47" i="2"/>
  <c r="I47" i="2"/>
  <c r="J47" i="2"/>
  <c r="K47" i="2"/>
  <c r="L47" i="2"/>
  <c r="M47" i="2"/>
  <c r="N47" i="2"/>
  <c r="O47" i="2"/>
  <c r="G48" i="2"/>
  <c r="H48" i="2"/>
  <c r="I48" i="2"/>
  <c r="J48" i="2"/>
  <c r="K48" i="2"/>
  <c r="L48" i="2"/>
  <c r="M48" i="2"/>
  <c r="N48" i="2"/>
  <c r="O48" i="2"/>
  <c r="F46" i="2"/>
  <c r="F16" i="2"/>
  <c r="F48" i="2"/>
  <c r="F47" i="2"/>
  <c r="G37" i="2"/>
  <c r="H37" i="2"/>
  <c r="I37" i="2"/>
  <c r="J37" i="2"/>
  <c r="K37" i="2"/>
  <c r="L37" i="2"/>
  <c r="M37" i="2"/>
  <c r="N37" i="2"/>
  <c r="O37" i="2"/>
  <c r="G40" i="2"/>
  <c r="H40" i="2"/>
  <c r="I40" i="2"/>
  <c r="J40" i="2"/>
  <c r="K40" i="2"/>
  <c r="L40" i="2"/>
  <c r="M40" i="2"/>
  <c r="N40" i="2"/>
  <c r="O40" i="2"/>
  <c r="F40" i="2"/>
  <c r="F37" i="2"/>
  <c r="G34" i="2"/>
  <c r="H34" i="2"/>
  <c r="I34" i="2"/>
  <c r="J34" i="2"/>
  <c r="K34" i="2"/>
  <c r="L34" i="2"/>
  <c r="M34" i="2"/>
  <c r="N34" i="2"/>
  <c r="O34" i="2"/>
  <c r="F34" i="2"/>
  <c r="G28" i="2"/>
  <c r="G63" i="2" s="1"/>
  <c r="G64" i="2" s="1"/>
  <c r="H61" i="2" s="1"/>
  <c r="H28" i="2"/>
  <c r="G29" i="2"/>
  <c r="H29" i="2"/>
  <c r="I29" i="2"/>
  <c r="J29" i="2"/>
  <c r="K29" i="2"/>
  <c r="L29" i="2"/>
  <c r="M29" i="2"/>
  <c r="N29" i="2"/>
  <c r="O29" i="2"/>
  <c r="F29" i="2"/>
  <c r="F28" i="2"/>
  <c r="G24" i="2"/>
  <c r="H24" i="2"/>
  <c r="I24" i="2"/>
  <c r="J24" i="2"/>
  <c r="K24" i="2"/>
  <c r="L24" i="2"/>
  <c r="M24" i="2"/>
  <c r="N24" i="2"/>
  <c r="O24" i="2"/>
  <c r="G25" i="2"/>
  <c r="H25" i="2"/>
  <c r="I25" i="2"/>
  <c r="J25" i="2"/>
  <c r="K25" i="2"/>
  <c r="L25" i="2"/>
  <c r="M25" i="2"/>
  <c r="N25" i="2"/>
  <c r="O25" i="2"/>
  <c r="F25" i="2"/>
  <c r="F24" i="2"/>
  <c r="G21" i="2"/>
  <c r="H21" i="2"/>
  <c r="I21" i="2"/>
  <c r="J21" i="2"/>
  <c r="K21" i="2"/>
  <c r="L21" i="2"/>
  <c r="M21" i="2"/>
  <c r="N21" i="2"/>
  <c r="O21" i="2"/>
  <c r="F21" i="2"/>
  <c r="G20" i="2"/>
  <c r="H20" i="2" s="1"/>
  <c r="F20" i="2"/>
  <c r="D103" i="2"/>
  <c r="C103" i="2"/>
  <c r="D101" i="2"/>
  <c r="C101" i="2"/>
  <c r="D98" i="2"/>
  <c r="C98" i="2"/>
  <c r="D94" i="2"/>
  <c r="E94" i="2"/>
  <c r="C94" i="2"/>
  <c r="D90" i="2"/>
  <c r="E90" i="2"/>
  <c r="C90" i="2"/>
  <c r="D83" i="2"/>
  <c r="E83" i="2"/>
  <c r="C83" i="2"/>
  <c r="D41" i="2"/>
  <c r="E41" i="2"/>
  <c r="C41" i="2"/>
  <c r="D38" i="2"/>
  <c r="E38" i="2"/>
  <c r="C38" i="2"/>
  <c r="D35" i="2"/>
  <c r="E35" i="2"/>
  <c r="C35" i="2"/>
  <c r="D30" i="2"/>
  <c r="E30" i="2"/>
  <c r="C30" i="2"/>
  <c r="D26" i="2"/>
  <c r="E26" i="2"/>
  <c r="C26" i="2"/>
  <c r="D22" i="2"/>
  <c r="E22" i="2"/>
  <c r="F22" i="2"/>
  <c r="F26" i="2" s="1"/>
  <c r="G22" i="2"/>
  <c r="G26" i="2" s="1"/>
  <c r="C22" i="2"/>
  <c r="E96" i="2"/>
  <c r="E98" i="2" l="1"/>
  <c r="E101" i="2" s="1"/>
  <c r="E103" i="2" s="1"/>
  <c r="E211" i="2"/>
  <c r="E212" i="2" s="1"/>
  <c r="M109" i="2"/>
  <c r="I109" i="2"/>
  <c r="G109" i="2"/>
  <c r="K109" i="2"/>
  <c r="H64" i="2"/>
  <c r="I81" i="2"/>
  <c r="G30" i="2"/>
  <c r="H22" i="2"/>
  <c r="H26" i="2" s="1"/>
  <c r="I20" i="2"/>
  <c r="F30" i="2"/>
  <c r="A7" i="1"/>
  <c r="E213" i="2" l="1"/>
  <c r="E214" i="2"/>
  <c r="I61" i="2"/>
  <c r="H85" i="2"/>
  <c r="I28" i="2" s="1"/>
  <c r="I63" i="2" s="1"/>
  <c r="J81" i="2"/>
  <c r="J20" i="2"/>
  <c r="I22" i="2"/>
  <c r="I26" i="2" s="1"/>
  <c r="H30" i="2"/>
  <c r="E15" i="2"/>
  <c r="D15" i="2"/>
  <c r="E218" i="2" l="1"/>
  <c r="E215" i="2"/>
  <c r="I64" i="2"/>
  <c r="K81" i="2"/>
  <c r="I30" i="2"/>
  <c r="K20" i="2"/>
  <c r="J22" i="2"/>
  <c r="J26" i="2" s="1"/>
  <c r="D53" i="2"/>
  <c r="E53" i="2"/>
  <c r="C53" i="2"/>
  <c r="E48" i="2"/>
  <c r="E47" i="2"/>
  <c r="D48" i="2"/>
  <c r="D47" i="2"/>
  <c r="C48" i="2"/>
  <c r="C47" i="2"/>
  <c r="H16" i="2"/>
  <c r="I16" i="2"/>
  <c r="J16" i="2"/>
  <c r="K16" i="2"/>
  <c r="L16" i="2"/>
  <c r="M16" i="2"/>
  <c r="N16" i="2"/>
  <c r="O16" i="2"/>
  <c r="G16" i="2"/>
  <c r="K10" i="2"/>
  <c r="L10" i="2"/>
  <c r="M10" i="2"/>
  <c r="N10" i="2"/>
  <c r="O10" i="2"/>
  <c r="E8" i="2"/>
  <c r="E93" i="2"/>
  <c r="E97" i="2"/>
  <c r="E157" i="2"/>
  <c r="E92" i="2" s="1"/>
  <c r="J61" i="2" l="1"/>
  <c r="I85" i="2"/>
  <c r="L81" i="2"/>
  <c r="K22" i="2"/>
  <c r="K26" i="2" s="1"/>
  <c r="L20" i="2"/>
  <c r="E24" i="2"/>
  <c r="E7" i="2" s="1"/>
  <c r="E34" i="2"/>
  <c r="D34" i="2"/>
  <c r="C24" i="2"/>
  <c r="D24" i="2"/>
  <c r="E89" i="2"/>
  <c r="E82" i="2"/>
  <c r="D97" i="2"/>
  <c r="D93" i="2"/>
  <c r="C96" i="2"/>
  <c r="J28" i="2" l="1"/>
  <c r="M81" i="2"/>
  <c r="L22" i="2"/>
  <c r="L26" i="2" s="1"/>
  <c r="M20" i="2"/>
  <c r="B194" i="2"/>
  <c r="D58" i="2"/>
  <c r="E58" i="2"/>
  <c r="C58" i="2"/>
  <c r="D57" i="2"/>
  <c r="C57" i="2"/>
  <c r="D55" i="2"/>
  <c r="E55" i="2"/>
  <c r="C55" i="2"/>
  <c r="E54" i="2"/>
  <c r="D54" i="2"/>
  <c r="D52" i="2"/>
  <c r="E52" i="2"/>
  <c r="C52" i="2"/>
  <c r="E51" i="2"/>
  <c r="D51" i="2"/>
  <c r="D16" i="2"/>
  <c r="E16" i="2"/>
  <c r="D17" i="2"/>
  <c r="E17" i="2"/>
  <c r="C17" i="2"/>
  <c r="C16" i="2"/>
  <c r="D14" i="2"/>
  <c r="E14" i="2"/>
  <c r="C14" i="2"/>
  <c r="D11" i="2"/>
  <c r="E11" i="2"/>
  <c r="C11" i="2"/>
  <c r="D10" i="2"/>
  <c r="E10" i="2"/>
  <c r="C10" i="2"/>
  <c r="E9" i="2"/>
  <c r="D9" i="2"/>
  <c r="D8" i="2"/>
  <c r="C8" i="2"/>
  <c r="D7" i="2"/>
  <c r="C7" i="2"/>
  <c r="D6" i="2"/>
  <c r="E6" i="2"/>
  <c r="C6" i="2"/>
  <c r="E5" i="2"/>
  <c r="D5" i="2"/>
  <c r="K133" i="2"/>
  <c r="L133" i="2"/>
  <c r="M133" i="2"/>
  <c r="N133" i="2"/>
  <c r="O133" i="2"/>
  <c r="J133" i="2"/>
  <c r="I133" i="2"/>
  <c r="H133" i="2"/>
  <c r="G133" i="2"/>
  <c r="A2" i="2"/>
  <c r="J63" i="2" l="1"/>
  <c r="J64" i="2" s="1"/>
  <c r="J30" i="2"/>
  <c r="N81" i="2"/>
  <c r="M22" i="2"/>
  <c r="M26" i="2" s="1"/>
  <c r="N20" i="2"/>
  <c r="F17" i="2"/>
  <c r="K61" i="2" l="1"/>
  <c r="J85" i="2"/>
  <c r="O81" i="2"/>
  <c r="O20" i="2"/>
  <c r="O22" i="2" s="1"/>
  <c r="O26" i="2" s="1"/>
  <c r="N22" i="2"/>
  <c r="N26" i="2" s="1"/>
  <c r="E57" i="2"/>
  <c r="G17" i="2"/>
  <c r="D12" i="2"/>
  <c r="C12" i="2"/>
  <c r="K28" i="2" l="1"/>
  <c r="E12" i="2"/>
  <c r="H17" i="2"/>
  <c r="K63" i="2" l="1"/>
  <c r="K64" i="2" s="1"/>
  <c r="K30" i="2"/>
  <c r="I17" i="2"/>
  <c r="L61" i="2" l="1"/>
  <c r="K85" i="2"/>
  <c r="J17" i="2"/>
  <c r="L28" i="2" l="1"/>
  <c r="K17" i="2"/>
  <c r="L63" i="2" l="1"/>
  <c r="L64" i="2" s="1"/>
  <c r="L30" i="2"/>
  <c r="L17" i="2"/>
  <c r="M61" i="2" l="1"/>
  <c r="L85" i="2"/>
  <c r="M17" i="2"/>
  <c r="M28" i="2" l="1"/>
  <c r="N17" i="2"/>
  <c r="M63" i="2" l="1"/>
  <c r="M64" i="2" s="1"/>
  <c r="M30" i="2"/>
  <c r="O17" i="2"/>
  <c r="N61" i="2" l="1"/>
  <c r="M85" i="2"/>
  <c r="E2" i="2"/>
  <c r="A1" i="6"/>
  <c r="N28" i="2" l="1"/>
  <c r="D2" i="2"/>
  <c r="C2" i="2" s="1"/>
  <c r="N63" i="2" l="1"/>
  <c r="N64" i="2" s="1"/>
  <c r="N30" i="2"/>
  <c r="F2" i="2"/>
  <c r="G2" i="2" s="1"/>
  <c r="H2" i="2" s="1"/>
  <c r="I2" i="2" s="1"/>
  <c r="J2" i="2" s="1"/>
  <c r="K2" i="2" s="1"/>
  <c r="L2" i="2" s="1"/>
  <c r="M2" i="2" s="1"/>
  <c r="N2" i="2" s="1"/>
  <c r="O2" i="2" s="1"/>
  <c r="O61" i="2" l="1"/>
  <c r="N85" i="2"/>
  <c r="O28" i="2" l="1"/>
  <c r="O63" i="2" l="1"/>
  <c r="O64" i="2" s="1"/>
  <c r="O85" i="2" s="1"/>
  <c r="O30" i="2"/>
  <c r="F32" i="2" l="1"/>
  <c r="G32" i="2"/>
  <c r="H32" i="2"/>
  <c r="I32" i="2"/>
  <c r="J32" i="2"/>
  <c r="K32" i="2"/>
  <c r="L32" i="2"/>
  <c r="M32" i="2"/>
  <c r="N32" i="2"/>
  <c r="O32" i="2"/>
  <c r="F33" i="2"/>
  <c r="G33" i="2"/>
  <c r="H33" i="2"/>
  <c r="I33" i="2"/>
  <c r="J33" i="2"/>
  <c r="K33" i="2"/>
  <c r="L33" i="2"/>
  <c r="M33" i="2"/>
  <c r="N33" i="2"/>
  <c r="O33" i="2"/>
  <c r="F35" i="2"/>
  <c r="G35" i="2"/>
  <c r="H35" i="2"/>
  <c r="I35" i="2"/>
  <c r="J35" i="2"/>
  <c r="K35" i="2"/>
  <c r="L35" i="2"/>
  <c r="M35" i="2"/>
  <c r="N35" i="2"/>
  <c r="O35" i="2"/>
  <c r="F38" i="2"/>
  <c r="G38" i="2"/>
  <c r="H38" i="2"/>
  <c r="I38" i="2"/>
  <c r="J38" i="2"/>
  <c r="K38" i="2"/>
  <c r="L38" i="2"/>
  <c r="M38" i="2"/>
  <c r="N38" i="2"/>
  <c r="O38" i="2"/>
  <c r="F41" i="2"/>
  <c r="G41" i="2"/>
  <c r="H41" i="2"/>
  <c r="I41" i="2"/>
  <c r="J41" i="2"/>
  <c r="K41" i="2"/>
  <c r="L41" i="2"/>
  <c r="M41" i="2"/>
  <c r="N41" i="2"/>
  <c r="O41" i="2"/>
  <c r="F43" i="2"/>
  <c r="G43" i="2"/>
  <c r="H43" i="2"/>
  <c r="I43" i="2"/>
  <c r="J43" i="2"/>
  <c r="K43" i="2"/>
  <c r="L43" i="2"/>
  <c r="M43" i="2"/>
  <c r="N43" i="2"/>
  <c r="O43" i="2"/>
  <c r="F45" i="2"/>
  <c r="G45" i="2"/>
  <c r="H45" i="2"/>
  <c r="I45" i="2"/>
  <c r="J45" i="2"/>
  <c r="K45" i="2"/>
  <c r="L45" i="2"/>
  <c r="M45" i="2"/>
  <c r="N45" i="2"/>
  <c r="O45" i="2"/>
  <c r="G70" i="2"/>
  <c r="H70" i="2"/>
  <c r="I70" i="2"/>
  <c r="J70" i="2"/>
  <c r="K70" i="2"/>
  <c r="L70" i="2"/>
  <c r="M70" i="2"/>
  <c r="N70" i="2"/>
  <c r="O70" i="2"/>
  <c r="F71" i="2"/>
  <c r="G71" i="2"/>
  <c r="H71" i="2"/>
  <c r="I71" i="2"/>
  <c r="J71" i="2"/>
  <c r="K71" i="2"/>
  <c r="L71" i="2"/>
  <c r="M71" i="2"/>
  <c r="N71" i="2"/>
  <c r="O71" i="2"/>
  <c r="F73" i="2"/>
  <c r="G73" i="2"/>
  <c r="H73" i="2"/>
  <c r="I73" i="2"/>
  <c r="J73" i="2"/>
  <c r="K73" i="2"/>
  <c r="L73" i="2"/>
  <c r="M73" i="2"/>
  <c r="N73" i="2"/>
  <c r="O73" i="2"/>
  <c r="F80" i="2"/>
  <c r="G80" i="2"/>
  <c r="H80" i="2"/>
  <c r="I80" i="2"/>
  <c r="J80" i="2"/>
  <c r="K80" i="2"/>
  <c r="L80" i="2"/>
  <c r="M80" i="2"/>
  <c r="N80" i="2"/>
  <c r="O80" i="2"/>
  <c r="F83" i="2"/>
  <c r="G83" i="2"/>
  <c r="H83" i="2"/>
  <c r="I83" i="2"/>
  <c r="J83" i="2"/>
  <c r="K83" i="2"/>
  <c r="L83" i="2"/>
  <c r="M83" i="2"/>
  <c r="N83" i="2"/>
  <c r="O83" i="2"/>
  <c r="F90" i="2"/>
  <c r="G90" i="2"/>
  <c r="H90" i="2"/>
  <c r="I90" i="2"/>
  <c r="J90" i="2"/>
  <c r="K90" i="2"/>
  <c r="L90" i="2"/>
  <c r="M90" i="2"/>
  <c r="N90" i="2"/>
  <c r="O90" i="2"/>
  <c r="F92" i="2"/>
  <c r="G92" i="2"/>
  <c r="H92" i="2"/>
  <c r="I92" i="2"/>
  <c r="J92" i="2"/>
  <c r="K92" i="2"/>
  <c r="L92" i="2"/>
  <c r="M92" i="2"/>
  <c r="N92" i="2"/>
  <c r="O92" i="2"/>
  <c r="F94" i="2"/>
  <c r="G94" i="2"/>
  <c r="H94" i="2"/>
  <c r="I94" i="2"/>
  <c r="J94" i="2"/>
  <c r="K94" i="2"/>
  <c r="L94" i="2"/>
  <c r="M94" i="2"/>
  <c r="N94" i="2"/>
  <c r="O94" i="2"/>
  <c r="F96" i="2"/>
  <c r="G96" i="2"/>
  <c r="H96" i="2"/>
  <c r="I96" i="2"/>
  <c r="J96" i="2"/>
  <c r="K96" i="2"/>
  <c r="L96" i="2"/>
  <c r="M96" i="2"/>
  <c r="N96" i="2"/>
  <c r="O96" i="2"/>
  <c r="F98" i="2"/>
  <c r="G98" i="2"/>
  <c r="H98" i="2"/>
  <c r="I98" i="2"/>
  <c r="J98" i="2"/>
  <c r="K98" i="2"/>
  <c r="L98" i="2"/>
  <c r="M98" i="2"/>
  <c r="N98" i="2"/>
  <c r="O98" i="2"/>
  <c r="F100" i="2"/>
  <c r="G100" i="2"/>
  <c r="H100" i="2"/>
  <c r="I100" i="2"/>
  <c r="J100" i="2"/>
  <c r="K100" i="2"/>
  <c r="L100" i="2"/>
  <c r="M100" i="2"/>
  <c r="N100" i="2"/>
  <c r="O100" i="2"/>
  <c r="F101" i="2"/>
  <c r="G101" i="2"/>
  <c r="H101" i="2"/>
  <c r="I101" i="2"/>
  <c r="J101" i="2"/>
  <c r="K101" i="2"/>
  <c r="L101" i="2"/>
  <c r="M101" i="2"/>
  <c r="N101" i="2"/>
  <c r="O101" i="2"/>
  <c r="F103" i="2"/>
  <c r="G103" i="2"/>
  <c r="H103" i="2"/>
  <c r="I103" i="2"/>
  <c r="J103" i="2"/>
  <c r="K103" i="2"/>
  <c r="L103" i="2"/>
  <c r="M103" i="2"/>
  <c r="N103" i="2"/>
  <c r="O103" i="2"/>
  <c r="F106" i="2"/>
  <c r="G106" i="2"/>
  <c r="H106" i="2"/>
  <c r="I106" i="2"/>
  <c r="J106" i="2"/>
  <c r="K106" i="2"/>
  <c r="L106" i="2"/>
  <c r="M106" i="2"/>
  <c r="N106" i="2"/>
  <c r="O106" i="2"/>
  <c r="F112" i="2"/>
  <c r="G112" i="2"/>
  <c r="H112" i="2"/>
  <c r="I112" i="2"/>
  <c r="J112" i="2"/>
  <c r="K112" i="2"/>
  <c r="L112" i="2"/>
  <c r="M112" i="2"/>
  <c r="N112" i="2"/>
  <c r="O112" i="2"/>
  <c r="F119" i="2"/>
  <c r="G119" i="2"/>
  <c r="H119" i="2"/>
  <c r="I119" i="2"/>
  <c r="J119" i="2"/>
  <c r="K119" i="2"/>
  <c r="L119" i="2"/>
  <c r="M119" i="2"/>
  <c r="N119" i="2"/>
  <c r="O119" i="2"/>
  <c r="F120" i="2"/>
  <c r="G120" i="2"/>
  <c r="H120" i="2"/>
  <c r="I120" i="2"/>
  <c r="J120" i="2"/>
  <c r="K120" i="2"/>
  <c r="L120" i="2"/>
  <c r="M120" i="2"/>
  <c r="N120" i="2"/>
  <c r="O120" i="2"/>
  <c r="F122" i="2"/>
  <c r="G122" i="2"/>
  <c r="H122" i="2"/>
  <c r="I122" i="2"/>
  <c r="J122" i="2"/>
  <c r="K122" i="2"/>
  <c r="L122" i="2"/>
  <c r="M122" i="2"/>
  <c r="N122" i="2"/>
  <c r="O122" i="2"/>
  <c r="F124" i="2"/>
  <c r="G124" i="2"/>
  <c r="H124" i="2"/>
  <c r="I124" i="2"/>
  <c r="J124" i="2"/>
  <c r="K124" i="2"/>
  <c r="L124" i="2"/>
  <c r="M124" i="2"/>
  <c r="N124" i="2"/>
  <c r="O124" i="2"/>
  <c r="F125" i="2"/>
  <c r="G125" i="2"/>
  <c r="H125" i="2"/>
  <c r="I125" i="2"/>
  <c r="J125" i="2"/>
  <c r="K125" i="2"/>
  <c r="L125" i="2"/>
  <c r="M125" i="2"/>
  <c r="N125" i="2"/>
  <c r="O125" i="2"/>
  <c r="F127" i="2"/>
  <c r="G127" i="2"/>
  <c r="H127" i="2"/>
  <c r="I127" i="2"/>
  <c r="J127" i="2"/>
  <c r="K127" i="2"/>
  <c r="L127" i="2"/>
  <c r="M127" i="2"/>
  <c r="N127" i="2"/>
  <c r="O127" i="2"/>
  <c r="F144" i="2"/>
  <c r="G144" i="2"/>
  <c r="H144" i="2"/>
  <c r="I144" i="2"/>
  <c r="J144" i="2"/>
  <c r="K144" i="2"/>
  <c r="L144" i="2"/>
  <c r="M144" i="2"/>
  <c r="N144" i="2"/>
  <c r="O144" i="2"/>
  <c r="F147" i="2"/>
  <c r="G147" i="2"/>
  <c r="H147" i="2"/>
  <c r="I147" i="2"/>
  <c r="J147" i="2"/>
  <c r="K147" i="2"/>
  <c r="L147" i="2"/>
  <c r="M147" i="2"/>
  <c r="N147" i="2"/>
  <c r="O147" i="2"/>
  <c r="G149" i="2"/>
  <c r="H149" i="2"/>
  <c r="I149" i="2"/>
  <c r="J149" i="2"/>
  <c r="K149" i="2"/>
  <c r="L149" i="2"/>
  <c r="M149" i="2"/>
  <c r="N149" i="2"/>
  <c r="O149" i="2"/>
  <c r="F150" i="2"/>
  <c r="G150" i="2"/>
  <c r="H150" i="2"/>
  <c r="I150" i="2"/>
  <c r="J150" i="2"/>
  <c r="K150" i="2"/>
  <c r="L150" i="2"/>
  <c r="M150" i="2"/>
  <c r="N150" i="2"/>
  <c r="O150" i="2"/>
  <c r="G152" i="2"/>
  <c r="H152" i="2"/>
  <c r="I152" i="2"/>
  <c r="J152" i="2"/>
  <c r="K152" i="2"/>
  <c r="L152" i="2"/>
  <c r="M152" i="2"/>
  <c r="N152" i="2"/>
  <c r="O152" i="2"/>
  <c r="F153" i="2"/>
  <c r="G153" i="2"/>
  <c r="H153" i="2"/>
  <c r="I153" i="2"/>
  <c r="J153" i="2"/>
  <c r="K153" i="2"/>
  <c r="L153" i="2"/>
  <c r="M153" i="2"/>
  <c r="N153" i="2"/>
  <c r="O153" i="2"/>
  <c r="G155" i="2"/>
  <c r="H155" i="2"/>
  <c r="I155" i="2"/>
  <c r="J155" i="2"/>
  <c r="K155" i="2"/>
  <c r="L155" i="2"/>
  <c r="M155" i="2"/>
  <c r="N155" i="2"/>
  <c r="O155" i="2"/>
  <c r="F156" i="2"/>
  <c r="G156" i="2"/>
  <c r="H156" i="2"/>
  <c r="I156" i="2"/>
  <c r="J156" i="2"/>
  <c r="K156" i="2"/>
  <c r="L156" i="2"/>
  <c r="M156" i="2"/>
  <c r="N156" i="2"/>
  <c r="O156" i="2"/>
  <c r="F157" i="2"/>
  <c r="G157" i="2"/>
  <c r="H157" i="2"/>
  <c r="I157" i="2"/>
  <c r="J157" i="2"/>
  <c r="K157" i="2"/>
  <c r="L157" i="2"/>
  <c r="M157" i="2"/>
  <c r="N157" i="2"/>
  <c r="O157" i="2"/>
  <c r="F159" i="2"/>
  <c r="G159" i="2"/>
  <c r="H159" i="2"/>
  <c r="I159" i="2"/>
  <c r="J159" i="2"/>
  <c r="K159" i="2"/>
  <c r="L159" i="2"/>
  <c r="M159" i="2"/>
  <c r="N159" i="2"/>
  <c r="O159" i="2"/>
  <c r="F161" i="2"/>
  <c r="G161" i="2"/>
  <c r="H161" i="2"/>
  <c r="I161" i="2"/>
  <c r="J161" i="2"/>
  <c r="K161" i="2"/>
  <c r="L161" i="2"/>
  <c r="M161" i="2"/>
  <c r="N161" i="2"/>
  <c r="O161" i="2"/>
  <c r="G163" i="2"/>
  <c r="H163" i="2"/>
  <c r="I163" i="2"/>
  <c r="J163" i="2"/>
  <c r="K163" i="2"/>
  <c r="L163" i="2"/>
  <c r="M163" i="2"/>
  <c r="N163" i="2"/>
  <c r="O163" i="2"/>
  <c r="G164" i="2"/>
  <c r="H164" i="2"/>
  <c r="I164" i="2"/>
  <c r="J164" i="2"/>
  <c r="K164" i="2"/>
  <c r="L164" i="2"/>
  <c r="M164" i="2"/>
  <c r="N164" i="2"/>
  <c r="O164" i="2"/>
  <c r="F165" i="2"/>
  <c r="G165" i="2"/>
  <c r="H165" i="2"/>
  <c r="I165" i="2"/>
  <c r="J165" i="2"/>
  <c r="K165" i="2"/>
  <c r="L165" i="2"/>
  <c r="M165" i="2"/>
  <c r="N165" i="2"/>
  <c r="O165" i="2"/>
  <c r="F166" i="2"/>
  <c r="G166" i="2"/>
  <c r="H166" i="2"/>
  <c r="I166" i="2"/>
  <c r="J166" i="2"/>
  <c r="K166" i="2"/>
  <c r="L166" i="2"/>
  <c r="M166" i="2"/>
  <c r="N166" i="2"/>
  <c r="O166" i="2"/>
  <c r="F168" i="2"/>
  <c r="G168" i="2"/>
  <c r="H168" i="2"/>
  <c r="I168" i="2"/>
  <c r="J168" i="2"/>
  <c r="K168" i="2"/>
  <c r="L168" i="2"/>
  <c r="M168" i="2"/>
  <c r="N168" i="2"/>
  <c r="O168" i="2"/>
  <c r="G170" i="2"/>
  <c r="H170" i="2"/>
  <c r="I170" i="2"/>
  <c r="J170" i="2"/>
  <c r="K170" i="2"/>
  <c r="L170" i="2"/>
  <c r="M170" i="2"/>
  <c r="N170" i="2"/>
  <c r="O170" i="2"/>
  <c r="G171" i="2"/>
  <c r="H171" i="2"/>
  <c r="I171" i="2"/>
  <c r="J171" i="2"/>
  <c r="K171" i="2"/>
  <c r="L171" i="2"/>
  <c r="M171" i="2"/>
  <c r="N171" i="2"/>
  <c r="O171" i="2"/>
  <c r="F172" i="2"/>
  <c r="G172" i="2"/>
  <c r="H172" i="2"/>
  <c r="I172" i="2"/>
  <c r="J172" i="2"/>
  <c r="K172" i="2"/>
  <c r="L172" i="2"/>
  <c r="M172" i="2"/>
  <c r="N172" i="2"/>
  <c r="O172" i="2"/>
  <c r="F173" i="2"/>
  <c r="G173" i="2"/>
  <c r="H173" i="2"/>
  <c r="I173" i="2"/>
  <c r="J173" i="2"/>
  <c r="K173" i="2"/>
  <c r="L173" i="2"/>
  <c r="M173" i="2"/>
  <c r="N173" i="2"/>
  <c r="O173" i="2"/>
  <c r="F175" i="2"/>
  <c r="G175" i="2"/>
  <c r="H175" i="2"/>
  <c r="I175" i="2"/>
  <c r="J175" i="2"/>
  <c r="K175" i="2"/>
  <c r="L175" i="2"/>
  <c r="M175" i="2"/>
  <c r="N175" i="2"/>
  <c r="O175" i="2"/>
  <c r="G177" i="2"/>
  <c r="H177" i="2"/>
  <c r="I177" i="2"/>
  <c r="J177" i="2"/>
  <c r="K177" i="2"/>
  <c r="L177" i="2"/>
  <c r="M177" i="2"/>
  <c r="N177" i="2"/>
  <c r="O177" i="2"/>
  <c r="G178" i="2"/>
  <c r="H178" i="2"/>
  <c r="I178" i="2"/>
  <c r="J178" i="2"/>
  <c r="K178" i="2"/>
  <c r="L178" i="2"/>
  <c r="M178" i="2"/>
  <c r="N178" i="2"/>
  <c r="O178" i="2"/>
  <c r="F179" i="2"/>
  <c r="G179" i="2"/>
  <c r="H179" i="2"/>
  <c r="I179" i="2"/>
  <c r="J179" i="2"/>
  <c r="K179" i="2"/>
  <c r="L179" i="2"/>
  <c r="M179" i="2"/>
  <c r="N179" i="2"/>
  <c r="O179" i="2"/>
  <c r="F180" i="2"/>
  <c r="G180" i="2"/>
  <c r="H180" i="2"/>
  <c r="I180" i="2"/>
  <c r="J180" i="2"/>
  <c r="K180" i="2"/>
  <c r="L180" i="2"/>
  <c r="M180" i="2"/>
  <c r="N180" i="2"/>
  <c r="O180" i="2"/>
  <c r="F182" i="2"/>
  <c r="G182" i="2"/>
  <c r="H182" i="2"/>
  <c r="I182" i="2"/>
  <c r="J182" i="2"/>
  <c r="K182" i="2"/>
  <c r="L182" i="2"/>
  <c r="M182" i="2"/>
  <c r="N182" i="2"/>
  <c r="O182" i="2"/>
  <c r="G184" i="2"/>
  <c r="H184" i="2"/>
  <c r="I184" i="2"/>
  <c r="J184" i="2"/>
  <c r="K184" i="2"/>
  <c r="L184" i="2"/>
  <c r="M184" i="2"/>
  <c r="N184" i="2"/>
  <c r="O184" i="2"/>
  <c r="G185" i="2"/>
  <c r="H185" i="2"/>
  <c r="I185" i="2"/>
  <c r="J185" i="2"/>
  <c r="K185" i="2"/>
  <c r="L185" i="2"/>
  <c r="M185" i="2"/>
  <c r="N185" i="2"/>
  <c r="O185" i="2"/>
  <c r="F186" i="2"/>
  <c r="G186" i="2"/>
  <c r="H186" i="2"/>
  <c r="I186" i="2"/>
  <c r="J186" i="2"/>
  <c r="K186" i="2"/>
  <c r="L186" i="2"/>
  <c r="M186" i="2"/>
  <c r="N186" i="2"/>
  <c r="O186" i="2"/>
  <c r="F187" i="2"/>
  <c r="G187" i="2"/>
  <c r="H187" i="2"/>
  <c r="I187" i="2"/>
  <c r="J187" i="2"/>
  <c r="K187" i="2"/>
  <c r="L187" i="2"/>
  <c r="M187" i="2"/>
  <c r="N187" i="2"/>
  <c r="O187" i="2"/>
  <c r="F189" i="2"/>
  <c r="G189" i="2"/>
  <c r="H189" i="2"/>
  <c r="I189" i="2"/>
  <c r="J189" i="2"/>
  <c r="K189" i="2"/>
  <c r="L189" i="2"/>
  <c r="M189" i="2"/>
  <c r="N189" i="2"/>
  <c r="O189" i="2"/>
  <c r="G191" i="2"/>
  <c r="H191" i="2"/>
  <c r="I191" i="2"/>
  <c r="J191" i="2"/>
  <c r="K191" i="2"/>
  <c r="L191" i="2"/>
  <c r="M191" i="2"/>
  <c r="N191" i="2"/>
  <c r="O191" i="2"/>
  <c r="F192" i="2"/>
  <c r="G192" i="2"/>
  <c r="H192" i="2"/>
  <c r="I192" i="2"/>
  <c r="J192" i="2"/>
  <c r="K192" i="2"/>
  <c r="L192" i="2"/>
  <c r="M192" i="2"/>
  <c r="N192" i="2"/>
  <c r="O192" i="2"/>
  <c r="F193" i="2"/>
  <c r="G193" i="2"/>
  <c r="H193" i="2"/>
  <c r="I193" i="2"/>
  <c r="J193" i="2"/>
  <c r="K193" i="2"/>
  <c r="L193" i="2"/>
  <c r="M193" i="2"/>
  <c r="N193" i="2"/>
  <c r="O193" i="2"/>
  <c r="F195" i="2"/>
  <c r="G195" i="2"/>
  <c r="H195" i="2"/>
  <c r="I195" i="2"/>
  <c r="J195" i="2"/>
  <c r="K195" i="2"/>
  <c r="L195" i="2"/>
  <c r="M195" i="2"/>
  <c r="N195" i="2"/>
  <c r="O195" i="2"/>
  <c r="F197" i="2"/>
  <c r="G197" i="2"/>
  <c r="H197" i="2"/>
  <c r="I197" i="2"/>
  <c r="J197" i="2"/>
  <c r="K197" i="2"/>
  <c r="L197" i="2"/>
  <c r="M197" i="2"/>
  <c r="N197" i="2"/>
  <c r="O197" i="2"/>
  <c r="F202" i="2"/>
  <c r="G202" i="2"/>
  <c r="H202" i="2"/>
  <c r="I202" i="2"/>
  <c r="J202" i="2"/>
  <c r="K202" i="2"/>
  <c r="L202" i="2"/>
  <c r="M202" i="2"/>
  <c r="N202" i="2"/>
  <c r="O202" i="2"/>
  <c r="F210" i="2"/>
  <c r="G210" i="2"/>
  <c r="H210" i="2"/>
  <c r="I210" i="2"/>
  <c r="J210" i="2"/>
  <c r="K210" i="2"/>
  <c r="L210" i="2"/>
  <c r="M210" i="2"/>
  <c r="N210" i="2"/>
  <c r="O210" i="2"/>
  <c r="F211" i="2"/>
  <c r="G211" i="2"/>
  <c r="H211" i="2"/>
  <c r="I211" i="2"/>
  <c r="J211" i="2"/>
  <c r="K211" i="2"/>
  <c r="L211" i="2"/>
  <c r="M211" i="2"/>
  <c r="N211" i="2"/>
  <c r="O211" i="2"/>
  <c r="F212" i="2"/>
  <c r="G212" i="2"/>
  <c r="H212" i="2"/>
  <c r="I212" i="2"/>
  <c r="J212" i="2"/>
  <c r="K212" i="2"/>
  <c r="L212" i="2"/>
  <c r="M212" i="2"/>
  <c r="N212" i="2"/>
  <c r="O212" i="2"/>
  <c r="F213" i="2"/>
  <c r="G213" i="2"/>
  <c r="H213" i="2"/>
  <c r="I213" i="2"/>
  <c r="J213" i="2"/>
  <c r="K213" i="2"/>
  <c r="L213" i="2"/>
  <c r="M213" i="2"/>
  <c r="N213" i="2"/>
  <c r="O213" i="2"/>
  <c r="F214" i="2"/>
  <c r="G214" i="2"/>
  <c r="H214" i="2"/>
  <c r="I214" i="2"/>
  <c r="J214" i="2"/>
  <c r="K214" i="2"/>
  <c r="L214" i="2"/>
  <c r="M214" i="2"/>
  <c r="N214" i="2"/>
  <c r="O214" i="2"/>
  <c r="F215" i="2"/>
  <c r="G215" i="2"/>
  <c r="H215" i="2"/>
  <c r="I215" i="2"/>
  <c r="J215" i="2"/>
  <c r="K215" i="2"/>
  <c r="L215" i="2"/>
  <c r="M215" i="2"/>
  <c r="N215" i="2"/>
  <c r="O215" i="2"/>
  <c r="F216" i="2"/>
  <c r="G216" i="2"/>
  <c r="H216" i="2"/>
  <c r="I216" i="2"/>
  <c r="J216" i="2"/>
  <c r="K216" i="2"/>
  <c r="L216" i="2"/>
  <c r="M216" i="2"/>
  <c r="N216" i="2"/>
  <c r="O216" i="2"/>
  <c r="F217" i="2"/>
  <c r="G217" i="2"/>
  <c r="H217" i="2"/>
  <c r="I217" i="2"/>
  <c r="J217" i="2"/>
  <c r="K217" i="2"/>
  <c r="L217" i="2"/>
  <c r="M217" i="2"/>
  <c r="N217" i="2"/>
  <c r="O217" i="2"/>
  <c r="F218" i="2"/>
  <c r="G218" i="2"/>
  <c r="H218" i="2"/>
  <c r="I218" i="2"/>
  <c r="J218" i="2"/>
  <c r="K218" i="2"/>
  <c r="L218" i="2"/>
  <c r="M218" i="2"/>
  <c r="N218" i="2"/>
  <c r="O2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</author>
  </authors>
  <commentList>
    <comment ref="F10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FE: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Footnote 8 2015 10K pg 80 pdf pg 84</t>
        </r>
      </text>
    </comment>
    <comment ref="F16" authorId="0" shapeId="0" xr:uid="{00000000-0006-0000-0200-000002000000}">
      <text>
        <r>
          <rPr>
            <b/>
            <sz val="9"/>
            <color rgb="FF000000"/>
            <rFont val="Tahoma"/>
            <family val="2"/>
          </rPr>
          <t>FE: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From front page of 10Q</t>
        </r>
      </text>
    </comment>
    <comment ref="B32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>FE: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Footnote 10 2015K pg 82 pdf pg 86</t>
        </r>
      </text>
    </comment>
    <comment ref="B3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10 2015K pg 82 pdf pg 86</t>
        </r>
      </text>
    </comment>
    <comment ref="B34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10 2015K pg 82 pdf pg 86</t>
        </r>
      </text>
    </comment>
    <comment ref="B47" authorId="0" shapeId="0" xr:uid="{00000000-0006-0000-0200-000006000000}">
      <text>
        <r>
          <rPr>
            <b/>
            <sz val="9"/>
            <color rgb="FF000000"/>
            <rFont val="Tahoma"/>
            <family val="2"/>
          </rPr>
          <t>FE: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Footnote 12 2015 10K pg 88 pdf pg 92</t>
        </r>
      </text>
    </comment>
    <comment ref="B48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12 2015 10K pg 88 pdf pg 92</t>
        </r>
      </text>
    </comment>
    <comment ref="E93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Long term debt currently due transferred to long term debt line. See footnote 4 2015 10K pg 74 pdf pg 78</t>
        </r>
      </text>
    </comment>
    <comment ref="B13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4 2015 10K pg 74 pdf pg 78</t>
        </r>
      </text>
    </comment>
    <comment ref="B131" authorId="0" shapeId="0" xr:uid="{00000000-0006-0000-0200-00000A000000}">
      <text>
        <r>
          <rPr>
            <b/>
            <sz val="9"/>
            <color rgb="FF000000"/>
            <rFont val="Tahoma"/>
            <family val="2"/>
          </rPr>
          <t>FE: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Footnote 4 2015 10K pg 74 pdf pg 78</t>
        </r>
      </text>
    </comment>
    <comment ref="B13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4 2015 10K pg 74 pdf pg 78</t>
        </r>
      </text>
    </comment>
    <comment ref="B133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4 2015 10K pg 74 pdf pg 78</t>
        </r>
      </text>
    </comment>
    <comment ref="B134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4 2015 10K pg 74 pdf pg 78</t>
        </r>
      </text>
    </comment>
    <comment ref="E157" authorId="0" shapeId="0" xr:uid="{00000000-0006-0000-0200-00000E000000}">
      <text>
        <r>
          <rPr>
            <b/>
            <sz val="9"/>
            <color rgb="FF000000"/>
            <rFont val="Tahoma"/>
            <family val="2"/>
          </rPr>
          <t>FE: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Footnote 4 2015 10K pg 73 pdf pg 77</t>
        </r>
      </text>
    </comment>
    <comment ref="E166" authorId="0" shapeId="0" xr:uid="{00000000-0006-0000-0200-00000F000000}">
      <text>
        <r>
          <rPr>
            <b/>
            <sz val="9"/>
            <color rgb="FF000000"/>
            <rFont val="Tahoma"/>
            <family val="2"/>
          </rPr>
          <t>FE: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Footnote 4 2015 10K pg 74 pdf pg 78</t>
        </r>
      </text>
    </comment>
    <comment ref="E173" authorId="0" shapeId="0" xr:uid="{00000000-0006-0000-0200-000010000000}">
      <text>
        <r>
          <rPr>
            <b/>
            <sz val="9"/>
            <color rgb="FF000000"/>
            <rFont val="Tahoma"/>
            <family val="2"/>
          </rPr>
          <t>FE: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Footnote 4 2015 10K pg 74 pdf pg 78</t>
        </r>
      </text>
    </comment>
    <comment ref="E180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4 2015 10K pg 74 pdf pg 78</t>
        </r>
      </text>
    </comment>
    <comment ref="E187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4 2015 10K pg 74 pdf pg 78</t>
        </r>
      </text>
    </comment>
    <comment ref="B213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Short term investments have not been included in net debt since not used as a cash equivalent</t>
        </r>
      </text>
    </comment>
  </commentList>
</comments>
</file>

<file path=xl/sharedStrings.xml><?xml version="1.0" encoding="utf-8"?>
<sst xmlns="http://schemas.openxmlformats.org/spreadsheetml/2006/main" count="268" uniqueCount="193">
  <si>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</si>
  <si>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</si>
  <si>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</si>
  <si>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</si>
  <si>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</si>
  <si>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</si>
  <si>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</si>
  <si>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</si>
  <si>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</si>
  <si>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USD</t>
  </si>
  <si>
    <t>Millions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</si>
  <si>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</si>
  <si>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</si>
  <si>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</si>
  <si>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</si>
  <si>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</si>
  <si>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</si>
  <si>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</si>
  <si>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</si>
  <si>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</si>
  <si>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</si>
  <si>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</si>
  <si>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Modeling an income statement</t>
  </si>
  <si>
    <t>Modeling a balance sheet</t>
  </si>
  <si>
    <t>Modeling a cash flow statement</t>
  </si>
  <si>
    <t>Assumptions, income statement, balance sheet, cash flow statement</t>
  </si>
  <si>
    <t>Revenue growth</t>
  </si>
  <si>
    <t>Income Statement</t>
  </si>
  <si>
    <t>Revenues</t>
  </si>
  <si>
    <t>Net income</t>
  </si>
  <si>
    <t>Balance Sheet</t>
  </si>
  <si>
    <t>Total assets</t>
  </si>
  <si>
    <t>Total liabilities</t>
  </si>
  <si>
    <t>Total liabilities and equity</t>
  </si>
  <si>
    <t>Net cash flow</t>
  </si>
  <si>
    <t>Beginning cash and cash equivalents</t>
  </si>
  <si>
    <t>Ending cash and cash equivalents</t>
  </si>
  <si>
    <t>Model 2</t>
  </si>
  <si>
    <t>Model 1</t>
  </si>
  <si>
    <t>Dealing with circular references</t>
  </si>
  <si>
    <t>Income Statement Assumptions</t>
  </si>
  <si>
    <t>Balance Sheet Assumptions</t>
  </si>
  <si>
    <t>EBITDA</t>
  </si>
  <si>
    <t>EBIT</t>
  </si>
  <si>
    <t>Interest income</t>
  </si>
  <si>
    <t>Interest expense</t>
  </si>
  <si>
    <t>Earnings before tax</t>
  </si>
  <si>
    <t>Long term debt</t>
  </si>
  <si>
    <t>Net Debt and Interest Assumptions</t>
  </si>
  <si>
    <t>Balance Sheet Calculations</t>
  </si>
  <si>
    <t>Cash Flow Statement</t>
  </si>
  <si>
    <t>Net Debt and Interest Calculations</t>
  </si>
  <si>
    <t>EBIT margin</t>
  </si>
  <si>
    <t>Capex % revenues</t>
  </si>
  <si>
    <t>Capex</t>
  </si>
  <si>
    <t>Beginning equity</t>
  </si>
  <si>
    <t>Dividends</t>
  </si>
  <si>
    <t>Ending equity</t>
  </si>
  <si>
    <t>OWC</t>
  </si>
  <si>
    <t>OWC % revenues</t>
  </si>
  <si>
    <t>Cash and cash equivalents interest rate</t>
  </si>
  <si>
    <t>Cash available to service debt</t>
  </si>
  <si>
    <t>Cash flow generated to service debt</t>
  </si>
  <si>
    <t>Change in OWC</t>
  </si>
  <si>
    <t>Surplus cash / (revolver requirement)</t>
  </si>
  <si>
    <t>Net Debt and Interest Statistics</t>
  </si>
  <si>
    <t>Net debt</t>
  </si>
  <si>
    <t>Net debt / EBITDA</t>
  </si>
  <si>
    <t>EBITDA / interest expense</t>
  </si>
  <si>
    <t>Net debt / net debt + equity</t>
  </si>
  <si>
    <t>EBITDA margin</t>
  </si>
  <si>
    <t>Cash sweep modeling</t>
  </si>
  <si>
    <t>Google</t>
  </si>
  <si>
    <t>COGS % revenues</t>
  </si>
  <si>
    <t>SG&amp;A costs % revenues</t>
  </si>
  <si>
    <t>R&amp;D expenses % revenues</t>
  </si>
  <si>
    <t>Depreciation % beginning net PP&amp;E</t>
  </si>
  <si>
    <t>Effective tax rate</t>
  </si>
  <si>
    <t>Marginal tax rate</t>
  </si>
  <si>
    <t>Earnings from discontinued operations</t>
  </si>
  <si>
    <t>Dividends per share</t>
  </si>
  <si>
    <t>Basic WASO</t>
  </si>
  <si>
    <t>Diluted WASO</t>
  </si>
  <si>
    <t>Cost of goods sold</t>
  </si>
  <si>
    <t>Gross profit</t>
  </si>
  <si>
    <t>SG&amp;A costs</t>
  </si>
  <si>
    <t>Depreciation</t>
  </si>
  <si>
    <t>Amortization</t>
  </si>
  <si>
    <t>Income tax expense</t>
  </si>
  <si>
    <t>Amortization amount</t>
  </si>
  <si>
    <t>Non recurring items amount</t>
  </si>
  <si>
    <t>R&amp;D expenses</t>
  </si>
  <si>
    <t>Non recurring items</t>
  </si>
  <si>
    <t>Earnings from continuing operations</t>
  </si>
  <si>
    <t>Earnings of discontinued operations</t>
  </si>
  <si>
    <t>Recurring net income</t>
  </si>
  <si>
    <t>Recurring diluted EPS</t>
  </si>
  <si>
    <t>Current operating assets % revenues</t>
  </si>
  <si>
    <t>Current operating liabilities % revenues</t>
  </si>
  <si>
    <t>Other non current liabilities % revenues</t>
  </si>
  <si>
    <t>Other long term assets amount</t>
  </si>
  <si>
    <t>Change in long term investments amount</t>
  </si>
  <si>
    <t>Change in short term investments amount</t>
  </si>
  <si>
    <t>Beginning PP&amp;E</t>
  </si>
  <si>
    <t>Beginning intangibles</t>
  </si>
  <si>
    <t>Ending intangibles</t>
  </si>
  <si>
    <t>Operating working capital</t>
  </si>
  <si>
    <t>Current operating assets</t>
  </si>
  <si>
    <t>Current operating liabilities</t>
  </si>
  <si>
    <t>Ending PP&amp;E</t>
  </si>
  <si>
    <t>Cash and equivalents</t>
  </si>
  <si>
    <t>Short-term investments</t>
  </si>
  <si>
    <t>Net PP&amp;E</t>
  </si>
  <si>
    <t>Goodwill</t>
  </si>
  <si>
    <t>Other intangibles</t>
  </si>
  <si>
    <t>Total equity</t>
  </si>
  <si>
    <t>Check?</t>
  </si>
  <si>
    <t>Total current assets</t>
  </si>
  <si>
    <t>Long term Investments</t>
  </si>
  <si>
    <t>Other long term assets</t>
  </si>
  <si>
    <t>Short term borrowings</t>
  </si>
  <si>
    <t>Total current liabilities</t>
  </si>
  <si>
    <t>Other non current liabilities</t>
  </si>
  <si>
    <t>2.125% Notes due on May 19, 2016 repayment</t>
  </si>
  <si>
    <t>3.625% Notes due on May 19, 2021 repayment</t>
  </si>
  <si>
    <t>3.375% Notes due on February 25, 2024 repayment</t>
  </si>
  <si>
    <t>Capital lease obligation repayment</t>
  </si>
  <si>
    <t>Short term borrowings interest rate</t>
  </si>
  <si>
    <t>2.125% Notes due on May 19, 2016 interest rate</t>
  </si>
  <si>
    <t>3.625% Notes due on May 19, 2021 interest rate</t>
  </si>
  <si>
    <t>3.375% Notes due on February 25, 2024 interest rate</t>
  </si>
  <si>
    <t>Capital lease obligation interest rate</t>
  </si>
  <si>
    <t>Change in other long term assets</t>
  </si>
  <si>
    <t>Change in other non current liabilities</t>
  </si>
  <si>
    <t>Change in short term investments</t>
  </si>
  <si>
    <t>Change in long term investments</t>
  </si>
  <si>
    <t>Total mandatory debt repayments</t>
  </si>
  <si>
    <t>Mandatory repayment</t>
  </si>
  <si>
    <t>Beginning 2.125% Notes due on May 19, 2016</t>
  </si>
  <si>
    <t>Ending 2.125% Notes due on May 19, 2016</t>
  </si>
  <si>
    <t>Beginning 3.625% Notes due on May 19, 2021</t>
  </si>
  <si>
    <t>Ending 3.625% Notes due on May 19, 2021</t>
  </si>
  <si>
    <t>Beginning 3.375% Notes due on February 25, 2024</t>
  </si>
  <si>
    <t>Ending 3.375% Notes due on February 25, 2024</t>
  </si>
  <si>
    <t>Beginning capital lease obligation</t>
  </si>
  <si>
    <t>Interest rate</t>
  </si>
  <si>
    <t>Total interest expense</t>
  </si>
  <si>
    <t>Beginning short term borrowings</t>
  </si>
  <si>
    <t>Short term borrowings issuance (repayment)</t>
  </si>
  <si>
    <t>Total debt</t>
  </si>
  <si>
    <t>(Dividends)</t>
  </si>
  <si>
    <t>Cash from financing</t>
  </si>
  <si>
    <t>Net change in cash</t>
  </si>
  <si>
    <t>Cash balance</t>
  </si>
  <si>
    <t>Cash flow from operations</t>
  </si>
  <si>
    <t>Cash from investing activities</t>
  </si>
  <si>
    <t>Change in short term borrowings</t>
  </si>
  <si>
    <t>Change in long term debt</t>
  </si>
  <si>
    <t>PP&amp;E % revenue</t>
  </si>
  <si>
    <t>Ending capital lease obligation</t>
  </si>
  <si>
    <t>Total debt / EBITDA</t>
  </si>
  <si>
    <t>Total interest bearing assets</t>
  </si>
  <si>
    <t>Acceleration switch</t>
  </si>
  <si>
    <t>Accelerated repayment</t>
  </si>
  <si>
    <t>Cash available for accelerated repayments</t>
  </si>
  <si>
    <t>Ending short term borrowings</t>
  </si>
  <si>
    <t>Dividends per share growth</t>
  </si>
  <si>
    <t>Long term debt (including currently due)</t>
  </si>
  <si>
    <t>End</t>
  </si>
  <si>
    <t>Balance Sheet Operating Statistics</t>
  </si>
  <si>
    <t>Income Statement Operating Statistics</t>
  </si>
  <si>
    <t>Operating cash flow</t>
  </si>
  <si>
    <t>Investing cash flow</t>
  </si>
  <si>
    <t>Total debt repayment</t>
  </si>
  <si>
    <t>*</t>
  </si>
  <si>
    <t>No buying of sub companies or subsidiaries, no impairment going forward</t>
  </si>
  <si>
    <t>Getting all the info from 10k - 10q make table for actual</t>
  </si>
  <si>
    <t xml:space="preserve"> and  estimate and the comments from foot note</t>
  </si>
  <si>
    <t>Recurring NI margin (Continuing Operation)</t>
  </si>
  <si>
    <t xml:space="preserve">Year 0 </t>
  </si>
  <si>
    <t xml:space="preserve">Year 1 </t>
  </si>
  <si>
    <t xml:space="preserve">Assumptions </t>
  </si>
  <si>
    <t xml:space="preserve">Debt tranche 1 mandatory repayment </t>
  </si>
  <si>
    <t xml:space="preserve">Debt tranche 2 mandatory repayment </t>
  </si>
  <si>
    <t xml:space="preserve">Cash available for mandatory and accelerated repayments </t>
  </si>
  <si>
    <t xml:space="preserve">Debt tranche 1 beginning  </t>
  </si>
  <si>
    <t xml:space="preserve">Mandatory repayment </t>
  </si>
  <si>
    <t xml:space="preserve">Accelerated repayment </t>
  </si>
  <si>
    <t xml:space="preserve">Ending </t>
  </si>
  <si>
    <t xml:space="preserve">Debt tranche 2 beginning  </t>
  </si>
  <si>
    <t>MIN(F163+F164,F161)*-1</t>
  </si>
  <si>
    <t>(-500 using normal formula on model 1 sheet) This pays off tranche 2 in full. The repayment needs to be limited to the amount of cash available after paying off tranche 1 in full and making the mandatory repayment of tranche 2.</t>
  </si>
  <si>
    <t>(0 using normal formula on model 1 sheet) Mandatory repayment must be made before accelerated repayments are made. When the mandatory repayments of both tranches are made, there is not enough cash available to repay tranche 1 in full.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</si>
</sst>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  <numFmt numFmtId="173" formatCode="#,##0.0_);\(#,##0.0\)"/>
    <numFmt numFmtId="174" formatCode="#,##0.00_);\(#,##0.00\);0.00_);@_)"/>
    <numFmt numFmtId="175" formatCode="#,##0_);\(#,###.\)\,0.0_);@_ⴆ"/>
    <numFmt numFmtId="176" formatCode="#,##0_);\(#,##0\);0_);@_)"/>
  </numFmts>
  <fonts count="39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0"/>
      <name val="Calibri Light"/>
      <family val="2"/>
      <scheme val="major"/>
    </font>
    <font>
      <b/>
      <sz val="14"/>
      <color rgb="FF16326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7" borderId="11" applyNumberFormat="0">
      <protection locked="0"/>
    </xf>
    <xf numFmtId="0" fontId="2" fillId="5" borderId="12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8" borderId="0" applyNumberFormat="0" applyFont="0" applyBorder="0" applyAlignment="0" applyProtection="0">
      <alignment vertical="top"/>
    </xf>
    <xf numFmtId="170" fontId="9" fillId="0" borderId="0" applyFont="0" applyFill="0" applyBorder="0" applyAlignment="0" applyProtection="0"/>
    <xf numFmtId="173" fontId="30" fillId="0" borderId="0" applyNumberFormat="0" applyFill="0" applyBorder="0" applyAlignment="0" applyProtection="0"/>
  </cellStyleXfs>
  <cellXfs count="101">
    <xf numFmtId="172" fontId="0" fillId="0" borderId="0" xfId="0"/>
    <xf numFmtId="172" fontId="2" fillId="5" borderId="0" xfId="0" applyFont="1" applyFill="1" applyBorder="1"/>
    <xf numFmtId="172" fontId="2" fillId="4" borderId="0" xfId="0" applyFont="1" applyFill="1" applyBorder="1"/>
    <xf numFmtId="172" fontId="2" fillId="5" borderId="0" xfId="0" applyFont="1" applyFill="1" applyBorder="1" applyAlignment="1">
      <alignment vertical="top" wrapText="1"/>
    </xf>
    <xf numFmtId="172" fontId="2" fillId="5" borderId="1" xfId="0" applyFont="1" applyFill="1" applyBorder="1" applyAlignment="1">
      <alignment vertical="top"/>
    </xf>
    <xf numFmtId="172" fontId="25" fillId="2" borderId="0" xfId="0" applyFont="1" applyFill="1" applyBorder="1" applyAlignment="1"/>
    <xf numFmtId="172" fontId="26" fillId="3" borderId="0" xfId="0" applyFont="1" applyFill="1" applyBorder="1" applyAlignment="1"/>
    <xf numFmtId="172" fontId="3" fillId="5" borderId="0" xfId="0" applyFont="1" applyFill="1" applyBorder="1" applyAlignment="1">
      <alignment horizontal="center" vertical="top"/>
    </xf>
    <xf numFmtId="172" fontId="3" fillId="5" borderId="0" xfId="0" applyFont="1" applyFill="1" applyBorder="1" applyAlignment="1">
      <alignment vertical="top"/>
    </xf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32" fillId="2" borderId="0" xfId="48" applyNumberFormat="1" applyAlignment="1"/>
    <xf numFmtId="168" fontId="8" fillId="3" borderId="0" xfId="49" applyNumberFormat="1" applyAlignment="1"/>
    <xf numFmtId="168" fontId="3" fillId="0" borderId="0" xfId="54">
      <alignment vertical="top"/>
    </xf>
    <xf numFmtId="172" fontId="2" fillId="5" borderId="0" xfId="0" applyFont="1" applyFill="1" applyBorder="1" applyAlignment="1">
      <alignment horizontal="left" vertical="top"/>
    </xf>
    <xf numFmtId="172" fontId="2" fillId="5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3" fillId="0" borderId="0" xfId="0" applyFont="1" applyFill="1" applyBorder="1" applyAlignment="1">
      <alignment horizontal="center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30" fillId="0" borderId="0" xfId="58" applyFill="1" applyBorder="1" applyAlignment="1">
      <alignment vertical="top"/>
    </xf>
    <xf numFmtId="168" fontId="2" fillId="5" borderId="0" xfId="51" applyNumberFormat="1" applyFont="1" applyBorder="1" applyAlignment="1">
      <alignment horizontal="left" vertical="top"/>
    </xf>
    <xf numFmtId="168" fontId="3" fillId="5" borderId="0" xfId="51" applyNumberFormat="1" applyFont="1" applyBorder="1" applyAlignment="1">
      <alignment horizontal="center" vertical="top"/>
    </xf>
    <xf numFmtId="168" fontId="2" fillId="5" borderId="0" xfId="51" applyNumberFormat="1" applyFont="1" applyBorder="1" applyAlignment="1"/>
    <xf numFmtId="168" fontId="5" fillId="5" borderId="0" xfId="51" applyNumberFormat="1" applyFont="1" applyBorder="1" applyAlignment="1">
      <alignment vertical="center" wrapText="1"/>
    </xf>
    <xf numFmtId="168" fontId="2" fillId="5" borderId="0" xfId="51" applyNumberFormat="1" applyFont="1" applyAlignment="1">
      <alignment vertical="top"/>
    </xf>
    <xf numFmtId="168" fontId="2" fillId="5" borderId="0" xfId="51" applyNumberFormat="1" applyFont="1" applyAlignment="1"/>
    <xf numFmtId="168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68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8" fontId="30" fillId="37" borderId="11" xfId="61" applyNumberFormat="1">
      <protection locked="0"/>
    </xf>
    <xf numFmtId="168" fontId="2" fillId="0" borderId="0" xfId="51" applyNumberFormat="1" applyFont="1" applyFill="1" applyAlignment="1"/>
    <xf numFmtId="0" fontId="2" fillId="0" borderId="0" xfId="62" applyFont="1" applyFill="1" applyBorder="1" applyAlignment="1"/>
    <xf numFmtId="172" fontId="0" fillId="5" borderId="0" xfId="51" applyNumberFormat="1" applyFont="1" applyAlignment="1"/>
    <xf numFmtId="172" fontId="2" fillId="5" borderId="0" xfId="51" applyNumberFormat="1" applyFont="1" applyAlignment="1">
      <alignment vertical="top"/>
    </xf>
    <xf numFmtId="0" fontId="0" fillId="5" borderId="12" xfId="62" applyFont="1" applyAlignment="1"/>
    <xf numFmtId="172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30" fillId="0" borderId="0" xfId="58" applyNumberFormat="1" applyFill="1"/>
    <xf numFmtId="170" fontId="0" fillId="0" borderId="0" xfId="57" applyFont="1" applyFill="1"/>
    <xf numFmtId="170" fontId="30" fillId="37" borderId="11" xfId="61" applyNumberFormat="1">
      <protection locked="0"/>
    </xf>
    <xf numFmtId="169" fontId="0" fillId="0" borderId="0" xfId="56" applyFont="1"/>
    <xf numFmtId="170" fontId="0" fillId="0" borderId="0" xfId="65" applyFont="1"/>
    <xf numFmtId="172" fontId="0" fillId="0" borderId="0" xfId="0" applyFont="1"/>
    <xf numFmtId="173" fontId="30" fillId="0" borderId="0" xfId="66"/>
    <xf numFmtId="173" fontId="30" fillId="37" borderId="11" xfId="61" applyNumberFormat="1">
      <protection locked="0"/>
    </xf>
    <xf numFmtId="39" fontId="30" fillId="0" borderId="0" xfId="66" applyNumberFormat="1"/>
    <xf numFmtId="172" fontId="9" fillId="0" borderId="0" xfId="0" applyFont="1"/>
    <xf numFmtId="173" fontId="30" fillId="0" borderId="0" xfId="58" applyNumberFormat="1" applyFill="1"/>
    <xf numFmtId="173" fontId="29" fillId="0" borderId="0" xfId="66" applyFont="1"/>
    <xf numFmtId="174" fontId="0" fillId="0" borderId="0" xfId="0" applyNumberFormat="1"/>
    <xf numFmtId="173" fontId="30" fillId="0" borderId="0" xfId="58" applyNumberFormat="1" applyFont="1" applyFill="1"/>
    <xf numFmtId="37" fontId="30" fillId="0" borderId="0" xfId="66" applyNumberFormat="1"/>
    <xf numFmtId="170" fontId="30" fillId="37" borderId="11" xfId="57" applyFont="1" applyFill="1" applyBorder="1" applyProtection="1">
      <protection locked="0"/>
    </xf>
    <xf numFmtId="175" fontId="35" fillId="2" borderId="0" xfId="48" applyNumberFormat="1" applyFont="1">
      <alignment horizontal="left"/>
    </xf>
    <xf numFmtId="175" fontId="35" fillId="3" borderId="0" xfId="49" applyNumberFormat="1" applyFont="1" applyAlignment="1"/>
    <xf numFmtId="175" fontId="36" fillId="0" borderId="0" xfId="50" applyNumberFormat="1" applyFont="1">
      <alignment horizontal="left" vertical="center"/>
    </xf>
    <xf numFmtId="175" fontId="36" fillId="0" borderId="0" xfId="50" applyNumberFormat="1" applyFont="1" applyFill="1">
      <alignment horizontal="left" vertical="center"/>
    </xf>
    <xf numFmtId="176" fontId="25" fillId="0" borderId="0" xfId="0" applyNumberFormat="1" applyFont="1" applyFill="1" applyBorder="1" applyAlignment="1">
      <alignment vertical="center"/>
    </xf>
    <xf numFmtId="176" fontId="26" fillId="0" borderId="0" xfId="0" applyNumberFormat="1" applyFont="1" applyFill="1" applyBorder="1" applyAlignment="1"/>
    <xf numFmtId="176" fontId="0" fillId="0" borderId="0" xfId="0" applyNumberFormat="1"/>
    <xf numFmtId="176" fontId="0" fillId="0" borderId="0" xfId="57" applyNumberFormat="1" applyFont="1" applyFill="1"/>
    <xf numFmtId="172" fontId="0" fillId="39" borderId="0" xfId="0" applyFill="1"/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5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5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  <xf numFmtId="172" fontId="4" fillId="5" borderId="0" xfId="0" applyFont="1" applyFill="1" applyBorder="1" applyAlignment="1">
      <alignment horizontal="left" vertical="center"/>
    </xf>
    <xf numFmtId="172" fontId="4" fillId="5" borderId="0" xfId="50" applyNumberFormat="1" applyFill="1" applyAlignment="1">
      <alignment horizontal="left" vertical="center"/>
    </xf>
    <xf numFmtId="172" fontId="0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6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  <xf numFmtId="172" fontId="0" fillId="0" borderId="0" xfId="0" applyAlignment="1">
      <alignment horizontal="center" wrapText="1" shrinkToFit="1"/>
    </xf>
    <xf numFmtId="172" fontId="0" fillId="0" borderId="0" xfId="0" applyAlignment="1">
      <alignment horizontal="center" wrapText="1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 xr:uid="{00000000-0005-0000-0000-000018000000}"/>
    <cellStyle name="Background Fill" xfId="51" xr:uid="{00000000-0005-0000-0000-000019000000}"/>
    <cellStyle name="Bad" xfId="13" builtinId="27" hidden="1"/>
    <cellStyle name="BG Border" xfId="62" xr:uid="{00000000-0005-0000-0000-00001B000000}"/>
    <cellStyle name="Blank" xfId="60" xr:uid="{00000000-0005-0000-0000-00001C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1000000}"/>
    <cellStyle name="Currency" xfId="4" builtinId="4" hidden="1"/>
    <cellStyle name="Currency [0]" xfId="5" builtinId="7" hidden="1"/>
    <cellStyle name="Date" xfId="55" xr:uid="{00000000-0005-0000-0000-000024000000}"/>
    <cellStyle name="Date Heading" xfId="52" xr:uid="{00000000-0005-0000-0000-000025000000}"/>
    <cellStyle name="Explanatory Text" xfId="22" builtinId="53" hidden="1"/>
    <cellStyle name="Good" xfId="12" builtinId="26" hidden="1"/>
    <cellStyle name="Hard Coded Number" xfId="58" xr:uid="{00000000-0005-0000-0000-000028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D000000}"/>
    <cellStyle name="Hist Proj Title" xfId="53" xr:uid="{00000000-0005-0000-0000-00002E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3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7000000}"/>
    <cellStyle name="Output" xfId="16" builtinId="21" hidden="1"/>
    <cellStyle name="P" xfId="65" xr:uid="{00000000-0005-0000-0000-000039000000}"/>
    <cellStyle name="Percent" xfId="6" builtinId="5" hidden="1"/>
    <cellStyle name="Percent" xfId="57" builtinId="5" customBuiltin="1"/>
    <cellStyle name="Primary Title" xfId="48" xr:uid="{00000000-0005-0000-0000-00003C000000}"/>
    <cellStyle name="Row Label" xfId="54" xr:uid="{00000000-0005-0000-0000-00003D000000}"/>
    <cellStyle name="Secondary Title" xfId="49" xr:uid="{00000000-0005-0000-0000-00003E000000}"/>
    <cellStyle name="Tertiary Title" xfId="50" xr:uid="{00000000-0005-0000-0000-00003F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0" customWidth="1"/>
    <col min="2" max="13" width="9.33203125" style="30" customWidth="1"/>
    <col min="14" max="14" width="9.83203125" style="30" customWidth="1"/>
    <col min="15" max="26" width="9.1640625" style="30" customWidth="1"/>
    <col min="27" max="16384" width="9.1640625" style="30"/>
  </cols>
  <sheetData>
    <row r="1" spans="1:14" s="34" customFormat="1" ht="189.75" customHeight="1" x14ac:dyDescent="0.35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</row>
    <row r="2" spans="1:14" s="20" customFormat="1" ht="75" customHeight="1" x14ac:dyDescent="0.2">
      <c r="A2" s="90" t="s">
        <v>21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</row>
    <row r="3" spans="1:14" s="21" customFormat="1" ht="7.5" customHeight="1" x14ac:dyDescent="0.2">
      <c r="B3" s="22"/>
      <c r="C3" s="22"/>
      <c r="F3" s="23"/>
      <c r="G3" s="23"/>
      <c r="H3" s="23"/>
      <c r="I3" s="23"/>
      <c r="J3" s="23"/>
      <c r="K3" s="23"/>
    </row>
    <row r="4" spans="1:14" s="21" customFormat="1" ht="15" customHeight="1" x14ac:dyDescent="0.2">
      <c r="A4" s="37"/>
      <c r="B4" s="38"/>
      <c r="C4" s="89"/>
      <c r="D4" s="89"/>
      <c r="E4" s="39"/>
      <c r="F4" s="40"/>
      <c r="G4" s="40"/>
      <c r="H4" s="40"/>
      <c r="I4" s="40"/>
      <c r="J4" s="40"/>
      <c r="K4" s="40"/>
      <c r="L4" s="39"/>
      <c r="M4" s="39"/>
      <c r="N4" s="39"/>
    </row>
    <row r="5" spans="1:14" s="21" customFormat="1" ht="15" customHeight="1" x14ac:dyDescent="0.2">
      <c r="A5" s="91" t="s">
        <v>12</v>
      </c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</row>
    <row r="6" spans="1:14" s="21" customFormat="1" ht="15" customHeight="1" x14ac:dyDescent="0.2">
      <c r="A6" s="91"/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</row>
    <row r="7" spans="1:14" s="21" customFormat="1" ht="15" customHeight="1" x14ac:dyDescent="0.2">
      <c r="A7" s="91" t="str">
        <f ca="1">"© "&amp;YEAR(TODAY())&amp;" Financial Edge Training "</f>
        <v xml:space="preserve">© 2022 Financial Edge Training </v>
      </c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</row>
    <row r="8" spans="1:14" s="21" customFormat="1" ht="15" customHeight="1" thickBot="1" x14ac:dyDescent="0.25">
      <c r="A8" s="44"/>
      <c r="B8" s="45"/>
      <c r="C8" s="44"/>
      <c r="D8" s="44"/>
      <c r="E8" s="46"/>
      <c r="F8" s="47"/>
      <c r="G8" s="47"/>
      <c r="H8" s="47"/>
      <c r="I8" s="47"/>
      <c r="J8" s="47"/>
      <c r="K8" s="47"/>
      <c r="L8" s="46"/>
      <c r="M8" s="46"/>
      <c r="N8" s="46"/>
    </row>
    <row r="9" spans="1:14" s="21" customFormat="1" ht="15" customHeight="1" x14ac:dyDescent="0.2">
      <c r="F9" s="26"/>
      <c r="G9" s="92"/>
      <c r="H9" s="92"/>
      <c r="I9" s="92"/>
      <c r="J9" s="92"/>
      <c r="K9" s="26"/>
    </row>
    <row r="10" spans="1:14" s="21" customFormat="1" ht="15" customHeight="1" x14ac:dyDescent="0.2">
      <c r="B10" s="22"/>
      <c r="C10" s="22"/>
      <c r="F10" s="26"/>
      <c r="G10" s="92"/>
      <c r="H10" s="92"/>
      <c r="I10" s="92"/>
      <c r="J10" s="92"/>
      <c r="K10" s="26"/>
    </row>
    <row r="11" spans="1:14" s="21" customFormat="1" ht="15" customHeight="1" x14ac:dyDescent="0.2">
      <c r="B11" s="18"/>
      <c r="C11" s="18"/>
      <c r="D11" s="19"/>
      <c r="F11" s="23"/>
      <c r="G11" s="23"/>
      <c r="H11" s="23"/>
      <c r="I11" s="23"/>
      <c r="J11" s="23"/>
      <c r="K11" s="23"/>
    </row>
    <row r="12" spans="1:14" s="21" customFormat="1" ht="15" customHeight="1" x14ac:dyDescent="0.2">
      <c r="A12" s="24"/>
      <c r="B12" s="18"/>
      <c r="C12" s="18"/>
      <c r="D12" s="27"/>
      <c r="F12" s="23"/>
      <c r="G12" s="88"/>
      <c r="H12" s="88"/>
      <c r="I12" s="88"/>
      <c r="J12" s="88"/>
      <c r="K12" s="23"/>
    </row>
    <row r="13" spans="1:14" s="21" customFormat="1" ht="15" customHeight="1" x14ac:dyDescent="0.2">
      <c r="A13" s="17"/>
      <c r="B13" s="18"/>
      <c r="C13" s="18"/>
      <c r="D13" s="28"/>
      <c r="F13" s="23"/>
      <c r="G13" s="88"/>
      <c r="H13" s="88"/>
      <c r="I13" s="88"/>
      <c r="J13" s="88"/>
      <c r="K13" s="23"/>
    </row>
    <row r="14" spans="1:14" s="21" customFormat="1" ht="15" customHeight="1" x14ac:dyDescent="0.2">
      <c r="A14" s="20"/>
      <c r="B14" s="18"/>
      <c r="C14" s="18"/>
      <c r="D14" s="28"/>
      <c r="F14" s="23"/>
      <c r="G14" s="88"/>
      <c r="H14" s="88"/>
      <c r="I14" s="88"/>
      <c r="J14" s="88"/>
      <c r="K14" s="23"/>
    </row>
    <row r="15" spans="1:14" s="21" customFormat="1" ht="15" customHeight="1" x14ac:dyDescent="0.2">
      <c r="A15" s="20"/>
      <c r="B15" s="18"/>
      <c r="C15" s="18"/>
      <c r="D15" s="28"/>
      <c r="F15" s="23"/>
      <c r="G15" s="23"/>
      <c r="H15" s="23"/>
      <c r="I15" s="23"/>
      <c r="J15" s="23"/>
      <c r="K15" s="23"/>
    </row>
    <row r="16" spans="1:14" s="21" customFormat="1" ht="15" customHeight="1" x14ac:dyDescent="0.2">
      <c r="A16" s="20"/>
      <c r="B16" s="18"/>
      <c r="C16" s="18"/>
      <c r="D16" s="29"/>
      <c r="F16" s="23"/>
      <c r="G16" s="88"/>
      <c r="H16" s="88"/>
      <c r="I16" s="88"/>
      <c r="J16" s="88"/>
      <c r="K16" s="23"/>
    </row>
    <row r="17" spans="1:12" s="21" customFormat="1" ht="15" customHeight="1" x14ac:dyDescent="0.2">
      <c r="A17" s="20"/>
      <c r="B17" s="31"/>
      <c r="C17" s="32"/>
      <c r="D17" s="29"/>
      <c r="F17" s="23"/>
      <c r="G17" s="23"/>
      <c r="H17" s="23"/>
      <c r="I17" s="23"/>
      <c r="J17" s="23"/>
      <c r="K17" s="23"/>
    </row>
    <row r="18" spans="1:12" ht="15" customHeight="1" x14ac:dyDescent="0.2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</row>
    <row r="19" spans="1:12" x14ac:dyDescent="0.2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</row>
    <row r="20" spans="1:12" x14ac:dyDescent="0.2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spans="1:12" x14ac:dyDescent="0.2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>
      <selection activeCell="N11" sqref="N11"/>
    </sheetView>
  </sheetViews>
  <sheetFormatPr baseColWidth="10" defaultColWidth="9.1640625" defaultRowHeight="15" x14ac:dyDescent="0.2"/>
  <cols>
    <col min="1" max="1" width="1.33203125" customWidth="1"/>
    <col min="2" max="2" width="2.83203125" customWidth="1"/>
    <col min="3" max="3" width="13.33203125" customWidth="1"/>
    <col min="4" max="4" width="2.83203125" customWidth="1"/>
    <col min="5" max="7" width="1.33203125" customWidth="1"/>
    <col min="8" max="8" width="2.83203125" customWidth="1"/>
    <col min="9" max="9" width="42.6640625" customWidth="1"/>
    <col min="10" max="11" width="1.33203125" customWidth="1"/>
    <col min="12" max="12" width="15.6640625" bestFit="1" customWidth="1"/>
    <col min="13" max="14" width="1.33203125" customWidth="1"/>
    <col min="15" max="15" width="2.83203125" customWidth="1"/>
    <col min="16" max="16" width="32.6640625" customWidth="1"/>
    <col min="17" max="17" width="2.83203125" customWidth="1"/>
    <col min="18" max="18" width="1.33203125" customWidth="1"/>
    <col min="23" max="23" width="17.6640625" bestFit="1" customWidth="1"/>
  </cols>
  <sheetData>
    <row r="1" spans="1:18" s="34" customFormat="1" ht="45" customHeight="1" x14ac:dyDescent="0.35">
      <c r="A1" s="12" t="str">
        <f>Welcome!A2</f>
        <v>Modeling</v>
      </c>
      <c r="B1" s="12"/>
      <c r="C1" s="12"/>
      <c r="D1" s="12"/>
      <c r="E1" s="12"/>
      <c r="F1" s="12"/>
      <c r="G1" s="12"/>
      <c r="H1" s="12"/>
      <c r="I1" s="12"/>
      <c r="J1" s="5"/>
      <c r="K1" s="5"/>
      <c r="L1" s="5"/>
      <c r="M1" s="5"/>
      <c r="N1" s="5"/>
      <c r="O1" s="5"/>
      <c r="P1" s="5"/>
      <c r="Q1" s="5"/>
      <c r="R1" s="5"/>
    </row>
    <row r="2" spans="1:18" s="35" customFormat="1" ht="30" customHeight="1" x14ac:dyDescent="0.25">
      <c r="A2" s="13" t="s">
        <v>19</v>
      </c>
      <c r="B2" s="13"/>
      <c r="C2" s="13"/>
      <c r="D2" s="13"/>
      <c r="E2" s="13"/>
      <c r="F2" s="13"/>
      <c r="G2" s="13"/>
      <c r="H2" s="13"/>
      <c r="I2" s="13"/>
      <c r="J2" s="6"/>
      <c r="K2" s="6"/>
      <c r="L2" s="6"/>
      <c r="M2" s="6"/>
      <c r="N2" s="6"/>
      <c r="O2" s="6"/>
      <c r="P2" s="6"/>
      <c r="Q2" s="6"/>
      <c r="R2" s="6"/>
    </row>
    <row r="3" spans="1:18" s="2" customFormat="1" ht="7.5" customHeight="1" x14ac:dyDescent="0.2"/>
    <row r="4" spans="1:18" s="2" customFormat="1" ht="22.5" customHeight="1" x14ac:dyDescent="0.2">
      <c r="A4" s="1"/>
      <c r="B4" s="93" t="s">
        <v>0</v>
      </c>
      <c r="C4" s="93"/>
      <c r="D4" s="93"/>
      <c r="E4" s="93"/>
      <c r="F4" s="93"/>
      <c r="G4" s="93"/>
      <c r="H4" s="93"/>
      <c r="I4" s="93"/>
      <c r="K4" s="1"/>
      <c r="L4" s="93" t="s">
        <v>2</v>
      </c>
      <c r="M4" s="93"/>
      <c r="N4" s="93"/>
      <c r="O4" s="93"/>
      <c r="P4" s="93"/>
      <c r="Q4" s="43"/>
      <c r="R4" s="43"/>
    </row>
    <row r="5" spans="1:18" s="2" customFormat="1" ht="15" customHeight="1" x14ac:dyDescent="0.2">
      <c r="A5" s="15"/>
      <c r="B5" s="7" t="s">
        <v>1</v>
      </c>
      <c r="C5" s="57" t="s">
        <v>22</v>
      </c>
      <c r="D5" s="16"/>
      <c r="E5" s="16"/>
      <c r="F5" s="16"/>
      <c r="G5" s="16"/>
      <c r="H5" s="16"/>
      <c r="I5" s="16"/>
      <c r="K5" s="1"/>
      <c r="L5" s="8" t="s">
        <v>3</v>
      </c>
      <c r="M5" s="8"/>
      <c r="N5" s="96" t="s">
        <v>72</v>
      </c>
      <c r="O5" s="96"/>
      <c r="P5" s="96"/>
      <c r="Q5" s="96"/>
      <c r="R5" s="43"/>
    </row>
    <row r="6" spans="1:18" s="2" customFormat="1" ht="15" customHeight="1" x14ac:dyDescent="0.2">
      <c r="A6" s="3"/>
      <c r="B6" s="7" t="s">
        <v>1</v>
      </c>
      <c r="C6" s="16" t="s">
        <v>23</v>
      </c>
      <c r="D6" s="16"/>
      <c r="E6" s="16"/>
      <c r="F6" s="16"/>
      <c r="G6" s="16"/>
      <c r="H6" s="16"/>
      <c r="I6" s="16"/>
      <c r="K6" s="15"/>
      <c r="L6" s="8" t="s">
        <v>4</v>
      </c>
      <c r="M6" s="8"/>
      <c r="N6" s="97">
        <v>42369</v>
      </c>
      <c r="O6" s="97"/>
      <c r="P6" s="97"/>
      <c r="Q6" s="97"/>
      <c r="R6" s="43"/>
    </row>
    <row r="7" spans="1:18" s="2" customFormat="1" ht="15" customHeight="1" x14ac:dyDescent="0.2">
      <c r="A7" s="16"/>
      <c r="B7" s="7" t="s">
        <v>1</v>
      </c>
      <c r="C7" s="16" t="s">
        <v>24</v>
      </c>
      <c r="D7" s="16"/>
      <c r="E7" s="16"/>
      <c r="F7" s="16"/>
      <c r="G7" s="16"/>
      <c r="H7" s="16"/>
      <c r="I7" s="16"/>
      <c r="K7" s="3"/>
      <c r="L7" s="8" t="s">
        <v>5</v>
      </c>
      <c r="M7" s="8"/>
      <c r="N7" s="96" t="s">
        <v>9</v>
      </c>
      <c r="O7" s="96"/>
      <c r="P7" s="96"/>
      <c r="Q7" s="96"/>
      <c r="R7" s="43"/>
    </row>
    <row r="8" spans="1:18" s="2" customFormat="1" ht="15" customHeight="1" x14ac:dyDescent="0.2">
      <c r="A8" s="16"/>
      <c r="B8" s="7" t="s">
        <v>1</v>
      </c>
      <c r="C8" s="16" t="s">
        <v>71</v>
      </c>
      <c r="D8" s="16"/>
      <c r="E8" s="16"/>
      <c r="F8" s="16"/>
      <c r="G8" s="16"/>
      <c r="H8" s="16"/>
      <c r="I8" s="16"/>
      <c r="K8" s="16"/>
      <c r="L8" s="8" t="s">
        <v>6</v>
      </c>
      <c r="M8" s="8"/>
      <c r="N8" s="96" t="s">
        <v>10</v>
      </c>
      <c r="O8" s="96"/>
      <c r="P8" s="96"/>
      <c r="Q8" s="96"/>
      <c r="R8" s="43"/>
    </row>
    <row r="9" spans="1:18" s="2" customFormat="1" ht="15" customHeight="1" x14ac:dyDescent="0.2">
      <c r="A9" s="41"/>
      <c r="B9" s="7" t="s">
        <v>1</v>
      </c>
      <c r="C9" s="16" t="s">
        <v>39</v>
      </c>
      <c r="D9" s="41"/>
      <c r="E9" s="41"/>
      <c r="F9" s="41"/>
      <c r="G9" s="41"/>
      <c r="H9" s="41"/>
      <c r="I9" s="41"/>
      <c r="K9" s="16"/>
      <c r="L9" s="8" t="s">
        <v>7</v>
      </c>
      <c r="M9" s="8"/>
      <c r="N9" s="96" t="s">
        <v>11</v>
      </c>
      <c r="O9" s="96"/>
      <c r="P9" s="96"/>
      <c r="Q9" s="96"/>
      <c r="R9" s="43"/>
    </row>
    <row r="10" spans="1:18" s="2" customFormat="1" ht="15" customHeight="1" x14ac:dyDescent="0.2">
      <c r="A10" s="42"/>
      <c r="B10" s="42"/>
      <c r="C10" s="42"/>
      <c r="D10" s="42"/>
      <c r="E10" s="42"/>
      <c r="F10" s="42"/>
      <c r="G10" s="42"/>
      <c r="H10" s="42"/>
      <c r="I10" s="42"/>
      <c r="K10" s="16"/>
      <c r="L10" s="8" t="s">
        <v>8</v>
      </c>
      <c r="M10" s="8"/>
      <c r="N10" s="98">
        <v>1</v>
      </c>
      <c r="O10" s="98"/>
      <c r="P10" s="98"/>
      <c r="Q10" s="98"/>
      <c r="R10" s="49"/>
    </row>
    <row r="11" spans="1:18" s="2" customFormat="1" ht="15" customHeight="1" thickBot="1" x14ac:dyDescent="0.25">
      <c r="A11" s="46"/>
      <c r="B11" s="46"/>
      <c r="C11" s="46"/>
      <c r="D11" s="46"/>
      <c r="E11" s="46"/>
      <c r="F11" s="46"/>
      <c r="G11" s="46"/>
      <c r="H11" s="46"/>
      <c r="I11" s="46"/>
      <c r="K11" s="4"/>
      <c r="L11" s="61"/>
      <c r="M11" s="61"/>
      <c r="N11" s="50"/>
      <c r="O11" s="51"/>
      <c r="P11" s="51"/>
      <c r="Q11" s="52"/>
      <c r="R11" s="53"/>
    </row>
    <row r="12" spans="1:18" s="2" customFormat="1" ht="7.5" customHeight="1" x14ac:dyDescent="0.2">
      <c r="K12" s="23"/>
      <c r="L12" s="23"/>
      <c r="M12" s="23"/>
      <c r="N12" s="23"/>
      <c r="O12" s="23"/>
      <c r="P12" s="23"/>
      <c r="Q12" s="23"/>
      <c r="R12" s="23"/>
    </row>
    <row r="13" spans="1:18" s="2" customFormat="1" ht="22.5" customHeight="1" x14ac:dyDescent="0.2">
      <c r="A13" s="57"/>
      <c r="B13" s="94" t="s">
        <v>20</v>
      </c>
      <c r="C13" s="94"/>
      <c r="D13" s="94"/>
      <c r="E13" s="94"/>
      <c r="F13" s="94"/>
      <c r="G13" s="94"/>
      <c r="H13" s="94"/>
      <c r="I13" s="94"/>
      <c r="J13" s="94"/>
      <c r="K13" s="94"/>
      <c r="L13" s="94"/>
      <c r="N13" s="1"/>
      <c r="O13" s="93" t="s">
        <v>15</v>
      </c>
      <c r="P13" s="93"/>
      <c r="Q13" s="93"/>
      <c r="R13" s="60"/>
    </row>
    <row r="14" spans="1:18" s="2" customFormat="1" ht="15" customHeight="1" x14ac:dyDescent="0.2">
      <c r="A14" s="58"/>
      <c r="B14" s="95" t="s">
        <v>38</v>
      </c>
      <c r="C14" s="95"/>
      <c r="D14" s="95" t="s">
        <v>25</v>
      </c>
      <c r="E14" s="95"/>
      <c r="F14" s="95"/>
      <c r="G14" s="95"/>
      <c r="H14" s="95"/>
      <c r="I14" s="95"/>
      <c r="J14" s="95"/>
      <c r="K14" s="95"/>
      <c r="L14" s="95"/>
      <c r="N14" s="15"/>
      <c r="O14" s="25"/>
      <c r="P14" s="20"/>
      <c r="Q14" s="20"/>
      <c r="R14" s="58"/>
    </row>
    <row r="15" spans="1:18" s="2" customFormat="1" ht="15" customHeight="1" x14ac:dyDescent="0.2">
      <c r="A15" s="58"/>
      <c r="B15" s="95" t="s">
        <v>37</v>
      </c>
      <c r="C15" s="95"/>
      <c r="D15" s="57" t="s">
        <v>176</v>
      </c>
      <c r="E15" s="57"/>
      <c r="F15" s="57"/>
      <c r="G15" s="57"/>
      <c r="H15" s="57"/>
      <c r="I15" s="57"/>
      <c r="J15" s="57"/>
      <c r="K15" s="57"/>
      <c r="L15" s="57"/>
      <c r="N15" s="3"/>
      <c r="O15" s="25"/>
      <c r="P15" s="54" t="s">
        <v>16</v>
      </c>
      <c r="Q15" s="20"/>
      <c r="R15" s="58"/>
    </row>
    <row r="16" spans="1:18" s="2" customFormat="1" ht="15" customHeight="1" x14ac:dyDescent="0.2">
      <c r="A16" s="58"/>
      <c r="B16" s="95"/>
      <c r="C16" s="95"/>
      <c r="D16" s="57" t="s">
        <v>177</v>
      </c>
      <c r="E16" s="57"/>
      <c r="F16" s="57"/>
      <c r="G16" s="57"/>
      <c r="H16" s="57"/>
      <c r="I16" s="57"/>
      <c r="J16" s="57"/>
      <c r="K16" s="57"/>
      <c r="L16" s="57"/>
      <c r="N16" s="16"/>
      <c r="O16" s="25"/>
      <c r="P16" s="36" t="s">
        <v>17</v>
      </c>
      <c r="Q16" s="20"/>
      <c r="R16" s="58"/>
    </row>
    <row r="17" spans="1:18" s="2" customFormat="1" ht="15" customHeight="1" x14ac:dyDescent="0.2">
      <c r="A17" s="58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N17" s="16"/>
      <c r="O17" s="25"/>
      <c r="P17" t="s">
        <v>18</v>
      </c>
      <c r="Q17" s="20"/>
      <c r="R17" s="58"/>
    </row>
    <row r="18" spans="1:18" s="2" customFormat="1" ht="15" customHeight="1" x14ac:dyDescent="0.2">
      <c r="A18" s="42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N18" s="42"/>
      <c r="O18" s="55"/>
      <c r="P18" s="55"/>
      <c r="Q18" s="55"/>
      <c r="R18" s="42"/>
    </row>
    <row r="19" spans="1:18" ht="16" thickBot="1" x14ac:dyDescent="0.25">
      <c r="A19" s="46"/>
      <c r="B19" s="46"/>
      <c r="C19" s="46"/>
      <c r="D19" s="59"/>
      <c r="E19" s="59"/>
      <c r="F19" s="59"/>
      <c r="G19" s="59"/>
      <c r="H19" s="59"/>
      <c r="I19" s="59"/>
      <c r="J19" s="59"/>
      <c r="K19" s="59"/>
      <c r="L19" s="59"/>
      <c r="N19" s="46"/>
      <c r="O19" s="46"/>
      <c r="P19" s="46"/>
      <c r="Q19" s="46"/>
      <c r="R19" s="46"/>
    </row>
    <row r="20" spans="1:18" x14ac:dyDescent="0.2">
      <c r="Q20" s="56"/>
      <c r="R20" s="33"/>
    </row>
    <row r="21" spans="1:18" x14ac:dyDescent="0.2"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</row>
    <row r="22" spans="1:18" x14ac:dyDescent="0.2"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</row>
    <row r="23" spans="1:18" x14ac:dyDescent="0.2">
      <c r="F23" s="33"/>
      <c r="G23" s="33"/>
      <c r="H23" s="33"/>
      <c r="I23" s="33"/>
      <c r="J23" s="33"/>
      <c r="K23" s="33"/>
      <c r="L23" s="33"/>
      <c r="M23" s="33"/>
      <c r="N23" s="30"/>
      <c r="O23" s="30"/>
      <c r="P23" s="30"/>
      <c r="Q23" s="30"/>
    </row>
    <row r="24" spans="1:18" x14ac:dyDescent="0.2"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spans="1:18" x14ac:dyDescent="0.2"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spans="1:18" x14ac:dyDescent="0.2"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</sheetData>
  <mergeCells count="18">
    <mergeCell ref="B16:C16"/>
    <mergeCell ref="B17:C17"/>
    <mergeCell ref="L4:P4"/>
    <mergeCell ref="B4:I4"/>
    <mergeCell ref="B13:L13"/>
    <mergeCell ref="B18:C18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B14:C14"/>
    <mergeCell ref="B15:C15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20"/>
  <sheetViews>
    <sheetView tabSelected="1" zoomScale="134" zoomScaleNormal="100" workbookViewId="0">
      <pane xSplit="2" ySplit="2" topLeftCell="C157" activePane="bottomRight" state="frozen"/>
      <selection activeCell="A220" sqref="A220"/>
      <selection pane="topRight" activeCell="A220" sqref="A220"/>
      <selection pane="bottomLeft" activeCell="A220" sqref="A220"/>
      <selection pane="bottomRight" activeCell="F166" sqref="F166"/>
    </sheetView>
  </sheetViews>
  <sheetFormatPr baseColWidth="10" defaultColWidth="9.1640625" defaultRowHeight="15" customHeight="1" x14ac:dyDescent="0.2"/>
  <cols>
    <col min="1" max="1" width="2.6640625" style="80" customWidth="1"/>
    <col min="2" max="2" width="41.6640625" style="14" customWidth="1"/>
    <col min="3" max="10" width="11" customWidth="1"/>
    <col min="11" max="12" width="9.83203125" customWidth="1"/>
    <col min="13" max="13" width="11.6640625" bestFit="1" customWidth="1"/>
    <col min="14" max="14" width="10.1640625" bestFit="1" customWidth="1"/>
    <col min="15" max="15" width="9.83203125" bestFit="1" customWidth="1"/>
    <col min="16" max="16" width="9.1640625" style="84"/>
  </cols>
  <sheetData>
    <row r="1" spans="1:16" s="48" customFormat="1" ht="45" customHeight="1" x14ac:dyDescent="0.25">
      <c r="A1" s="78" t="s">
        <v>21</v>
      </c>
      <c r="B1" s="9"/>
      <c r="C1" s="11" t="s">
        <v>13</v>
      </c>
      <c r="D1" s="11" t="s">
        <v>13</v>
      </c>
      <c r="E1" s="11" t="s">
        <v>13</v>
      </c>
      <c r="F1" s="11" t="s">
        <v>14</v>
      </c>
      <c r="G1" s="11" t="s">
        <v>14</v>
      </c>
      <c r="H1" s="11" t="s">
        <v>14</v>
      </c>
      <c r="I1" s="11" t="s">
        <v>14</v>
      </c>
      <c r="J1" s="11" t="s">
        <v>14</v>
      </c>
      <c r="K1" s="11" t="s">
        <v>14</v>
      </c>
      <c r="L1" s="11" t="s">
        <v>14</v>
      </c>
      <c r="M1" s="11" t="s">
        <v>14</v>
      </c>
      <c r="N1" s="11" t="s">
        <v>14</v>
      </c>
      <c r="O1" s="11" t="s">
        <v>14</v>
      </c>
      <c r="P1" s="82"/>
    </row>
    <row r="2" spans="1:16" s="35" customFormat="1" ht="30" customHeight="1" x14ac:dyDescent="0.25">
      <c r="A2" s="79" t="str">
        <f>Info!N5</f>
        <v>Google</v>
      </c>
      <c r="B2" s="6"/>
      <c r="C2" s="10">
        <f>DATE(YEAR(D2)-1,MONTH(D2),DAY(D2))</f>
        <v>41639</v>
      </c>
      <c r="D2" s="10">
        <f>DATE(YEAR(E2)-1,MONTH(E2),DAY(E2))</f>
        <v>42004</v>
      </c>
      <c r="E2" s="10">
        <f>Info!N6</f>
        <v>42369</v>
      </c>
      <c r="F2" s="10">
        <f>DATE(YEAR(E2)+1,MONTH(E2),DAY(E2))</f>
        <v>42735</v>
      </c>
      <c r="G2" s="10">
        <f>DATE(YEAR(F2)+1,MONTH(F2),DAY(F2))</f>
        <v>43100</v>
      </c>
      <c r="H2" s="10">
        <f>DATE(YEAR(G2)+1,MONTH(G2),DAY(G2))</f>
        <v>43465</v>
      </c>
      <c r="I2" s="10">
        <f>DATE(YEAR(H2)+1,MONTH(H2),DAY(H2))</f>
        <v>43830</v>
      </c>
      <c r="J2" s="10">
        <f>DATE(YEAR(I2)+1,MONTH(I2),DAY(I2))</f>
        <v>44196</v>
      </c>
      <c r="K2" s="10">
        <f t="shared" ref="K2:O2" si="0">DATE(YEAR(J2)+1,MONTH(J2),DAY(J2))</f>
        <v>44561</v>
      </c>
      <c r="L2" s="10">
        <f t="shared" si="0"/>
        <v>44926</v>
      </c>
      <c r="M2" s="10">
        <f t="shared" si="0"/>
        <v>45291</v>
      </c>
      <c r="N2" s="10">
        <f t="shared" si="0"/>
        <v>45657</v>
      </c>
      <c r="O2" s="10">
        <f t="shared" si="0"/>
        <v>46022</v>
      </c>
      <c r="P2" s="83"/>
    </row>
    <row r="4" spans="1:16" ht="15" customHeight="1" x14ac:dyDescent="0.2">
      <c r="A4" s="80" t="s">
        <v>40</v>
      </c>
    </row>
    <row r="5" spans="1:16" ht="15" customHeight="1" x14ac:dyDescent="0.2">
      <c r="B5" s="14" t="s">
        <v>26</v>
      </c>
      <c r="D5" s="66">
        <f>(D20/C20)-1</f>
        <v>0.18880023055170292</v>
      </c>
      <c r="E5" s="66">
        <f>(E20/D20)-1</f>
        <v>0.13617975485219924</v>
      </c>
      <c r="F5" s="64">
        <v>0.125</v>
      </c>
      <c r="G5" s="64">
        <v>0.15</v>
      </c>
      <c r="H5" s="64">
        <v>0.14299999999999999</v>
      </c>
      <c r="I5" s="64">
        <v>0.124</v>
      </c>
      <c r="J5" s="64">
        <v>0.111</v>
      </c>
      <c r="K5" s="64">
        <v>0.111</v>
      </c>
      <c r="L5" s="64">
        <v>0.111</v>
      </c>
      <c r="M5" s="64">
        <v>0.111</v>
      </c>
      <c r="N5" s="64">
        <v>0.111</v>
      </c>
      <c r="O5" s="64">
        <v>0.111</v>
      </c>
    </row>
    <row r="6" spans="1:16" ht="15" customHeight="1" x14ac:dyDescent="0.2">
      <c r="B6" s="14" t="s">
        <v>73</v>
      </c>
      <c r="C6" s="66">
        <f>C21/C20</f>
        <v>-0.39613465660404545</v>
      </c>
      <c r="D6" s="66">
        <f t="shared" ref="D6:E6" si="1">D21/D20</f>
        <v>-0.3892516780048787</v>
      </c>
      <c r="E6" s="66">
        <f t="shared" si="1"/>
        <v>-0.37557508434570402</v>
      </c>
      <c r="F6" s="64">
        <v>-0.376</v>
      </c>
      <c r="G6" s="64">
        <v>-0.376</v>
      </c>
      <c r="H6" s="64">
        <v>-0.376</v>
      </c>
      <c r="I6" s="64">
        <v>-0.376</v>
      </c>
      <c r="J6" s="64">
        <v>-0.376</v>
      </c>
      <c r="K6" s="64">
        <v>-0.376</v>
      </c>
      <c r="L6" s="64">
        <v>-0.376</v>
      </c>
      <c r="M6" s="64">
        <v>-0.376</v>
      </c>
      <c r="N6" s="64">
        <v>-0.376</v>
      </c>
      <c r="O6" s="64">
        <v>-0.376</v>
      </c>
    </row>
    <row r="7" spans="1:16" ht="15" customHeight="1" x14ac:dyDescent="0.2">
      <c r="B7" s="14" t="s">
        <v>74</v>
      </c>
      <c r="C7" s="66">
        <f>C24/C20</f>
        <v>-0.19787820385813865</v>
      </c>
      <c r="D7" s="66">
        <f t="shared" ref="D7" si="2">D24/D20</f>
        <v>-0.21184527507158982</v>
      </c>
      <c r="E7" s="66">
        <f>E24/E20</f>
        <v>-0.20246969555534811</v>
      </c>
      <c r="F7" s="64">
        <v>-0.20200000000000001</v>
      </c>
      <c r="G7" s="64">
        <v>-0.20200000000000001</v>
      </c>
      <c r="H7" s="64">
        <v>-0.20200000000000001</v>
      </c>
      <c r="I7" s="64">
        <v>-0.20200000000000001</v>
      </c>
      <c r="J7" s="64">
        <v>-0.20200000000000001</v>
      </c>
      <c r="K7" s="64">
        <v>-0.20200000000000001</v>
      </c>
      <c r="L7" s="64">
        <v>-0.20200000000000001</v>
      </c>
      <c r="M7" s="64">
        <v>-0.20200000000000001</v>
      </c>
      <c r="N7" s="64">
        <v>-0.20200000000000001</v>
      </c>
      <c r="O7" s="64">
        <v>-0.20200000000000001</v>
      </c>
    </row>
    <row r="8" spans="1:16" ht="15" customHeight="1" x14ac:dyDescent="0.2">
      <c r="B8" s="14" t="s">
        <v>75</v>
      </c>
      <c r="C8" s="66">
        <f>C25/C20</f>
        <v>-0.12855058628577604</v>
      </c>
      <c r="D8" s="66">
        <f t="shared" ref="D8:E8" si="3">D25/D20</f>
        <v>-0.14896743988727443</v>
      </c>
      <c r="E8" s="66">
        <f t="shared" si="3"/>
        <v>-0.16378402165650963</v>
      </c>
      <c r="F8" s="64">
        <v>-0.16400000000000001</v>
      </c>
      <c r="G8" s="64">
        <v>-0.16400000000000001</v>
      </c>
      <c r="H8" s="64">
        <v>-0.16400000000000001</v>
      </c>
      <c r="I8" s="64">
        <v>-0.16400000000000001</v>
      </c>
      <c r="J8" s="64">
        <v>-0.16400000000000001</v>
      </c>
      <c r="K8" s="64">
        <v>-0.16400000000000001</v>
      </c>
      <c r="L8" s="64">
        <v>-0.16400000000000001</v>
      </c>
      <c r="M8" s="64">
        <v>-0.16400000000000001</v>
      </c>
      <c r="N8" s="64">
        <v>-0.16400000000000001</v>
      </c>
      <c r="O8" s="64">
        <v>-0.16400000000000001</v>
      </c>
    </row>
    <row r="9" spans="1:16" ht="15" customHeight="1" x14ac:dyDescent="0.2">
      <c r="B9" s="14" t="s">
        <v>76</v>
      </c>
      <c r="C9" s="66"/>
      <c r="D9" s="66">
        <f>D28/C85</f>
        <v>0.21320503510045993</v>
      </c>
      <c r="E9" s="66">
        <f>E28/D85</f>
        <v>0.17301009085960725</v>
      </c>
      <c r="F9" s="64">
        <v>0.17299999999999999</v>
      </c>
      <c r="G9" s="64">
        <v>0.17299999999999999</v>
      </c>
      <c r="H9" s="64">
        <v>0.17299999999999999</v>
      </c>
      <c r="I9" s="64">
        <v>0.17299999999999999</v>
      </c>
      <c r="J9" s="64">
        <v>0.17299999999999999</v>
      </c>
      <c r="K9" s="64">
        <v>0.17299999999999999</v>
      </c>
      <c r="L9" s="64">
        <v>0.17299999999999999</v>
      </c>
      <c r="M9" s="64">
        <v>0.17299999999999999</v>
      </c>
      <c r="N9" s="64">
        <v>0.17299999999999999</v>
      </c>
      <c r="O9" s="64">
        <v>0.17299999999999999</v>
      </c>
    </row>
    <row r="10" spans="1:16" ht="15" customHeight="1" x14ac:dyDescent="0.2">
      <c r="B10" s="14" t="s">
        <v>89</v>
      </c>
      <c r="C10" s="67">
        <f>C29</f>
        <v>1158</v>
      </c>
      <c r="D10" s="67">
        <f t="shared" ref="D10:E10" si="4">D29</f>
        <v>1456</v>
      </c>
      <c r="E10" s="67">
        <f t="shared" si="4"/>
        <v>931</v>
      </c>
      <c r="F10" s="69">
        <v>806</v>
      </c>
      <c r="G10" s="69">
        <v>724</v>
      </c>
      <c r="H10" s="69">
        <v>637</v>
      </c>
      <c r="I10" s="69">
        <v>528</v>
      </c>
      <c r="J10" s="69">
        <v>434</v>
      </c>
      <c r="K10" s="69">
        <f t="shared" ref="K10:O10" si="5">718/5</f>
        <v>143.6</v>
      </c>
      <c r="L10" s="69">
        <f t="shared" si="5"/>
        <v>143.6</v>
      </c>
      <c r="M10" s="69">
        <f t="shared" si="5"/>
        <v>143.6</v>
      </c>
      <c r="N10" s="69">
        <f t="shared" si="5"/>
        <v>143.6</v>
      </c>
      <c r="O10" s="69">
        <f t="shared" si="5"/>
        <v>143.6</v>
      </c>
    </row>
    <row r="11" spans="1:16" ht="15" customHeight="1" x14ac:dyDescent="0.2">
      <c r="B11" s="14" t="s">
        <v>90</v>
      </c>
      <c r="C11">
        <f>C34</f>
        <v>-189</v>
      </c>
      <c r="D11">
        <f t="shared" ref="D11:E11" si="6">D34</f>
        <v>118</v>
      </c>
      <c r="E11">
        <f t="shared" si="6"/>
        <v>-604</v>
      </c>
      <c r="F11" s="69">
        <v>0</v>
      </c>
      <c r="G11" s="69">
        <v>0</v>
      </c>
      <c r="H11" s="69">
        <v>0</v>
      </c>
      <c r="I11" s="69">
        <v>0</v>
      </c>
      <c r="J11" s="69">
        <v>0</v>
      </c>
      <c r="K11" s="69">
        <v>0</v>
      </c>
      <c r="L11" s="69">
        <v>0</v>
      </c>
      <c r="M11" s="69">
        <v>0</v>
      </c>
      <c r="N11" s="69">
        <v>0</v>
      </c>
      <c r="O11" s="69">
        <v>0</v>
      </c>
    </row>
    <row r="12" spans="1:16" ht="15" customHeight="1" x14ac:dyDescent="0.2">
      <c r="B12" s="14" t="s">
        <v>77</v>
      </c>
      <c r="C12" s="66">
        <f>C37/C35</f>
        <v>-0.17227498584816656</v>
      </c>
      <c r="D12" s="66">
        <f t="shared" ref="D12:E12" si="7">D37/D35</f>
        <v>-0.21084651486181122</v>
      </c>
      <c r="E12" s="66">
        <f t="shared" si="7"/>
        <v>-0.16808304920869166</v>
      </c>
      <c r="F12" s="64">
        <v>-0.185</v>
      </c>
      <c r="G12" s="64">
        <v>-0.185</v>
      </c>
      <c r="H12" s="64">
        <v>-0.185</v>
      </c>
      <c r="I12" s="64">
        <v>-0.185</v>
      </c>
      <c r="J12" s="64">
        <v>-0.185</v>
      </c>
      <c r="K12" s="64">
        <v>-0.185</v>
      </c>
      <c r="L12" s="64">
        <v>-0.185</v>
      </c>
      <c r="M12" s="64">
        <v>-0.185</v>
      </c>
      <c r="N12" s="64">
        <v>-0.185</v>
      </c>
      <c r="O12" s="64">
        <v>-0.185</v>
      </c>
    </row>
    <row r="13" spans="1:16" ht="15" customHeight="1" x14ac:dyDescent="0.2">
      <c r="B13" s="14" t="s">
        <v>78</v>
      </c>
      <c r="C13" s="66"/>
      <c r="D13" s="66"/>
      <c r="E13" s="66"/>
      <c r="F13" s="64">
        <v>-0.35</v>
      </c>
      <c r="G13" s="64">
        <v>-0.35</v>
      </c>
      <c r="H13" s="64">
        <v>-0.35</v>
      </c>
      <c r="I13" s="64">
        <v>-0.35</v>
      </c>
      <c r="J13" s="64">
        <v>-0.35</v>
      </c>
      <c r="K13" s="64">
        <v>-0.35</v>
      </c>
      <c r="L13" s="64">
        <v>-0.35</v>
      </c>
      <c r="M13" s="64">
        <v>-0.35</v>
      </c>
      <c r="N13" s="64">
        <v>-0.35</v>
      </c>
      <c r="O13" s="64">
        <v>-0.35</v>
      </c>
    </row>
    <row r="14" spans="1:16" ht="15" customHeight="1" x14ac:dyDescent="0.2">
      <c r="B14" s="14" t="s">
        <v>79</v>
      </c>
      <c r="C14">
        <f>C40</f>
        <v>-427</v>
      </c>
      <c r="D14">
        <f t="shared" ref="D14:E14" si="8">D40</f>
        <v>516</v>
      </c>
      <c r="E14">
        <f t="shared" si="8"/>
        <v>0</v>
      </c>
      <c r="F14" s="69">
        <v>0</v>
      </c>
      <c r="G14" s="69">
        <v>0</v>
      </c>
      <c r="H14" s="69">
        <v>0</v>
      </c>
      <c r="I14" s="69">
        <v>0</v>
      </c>
      <c r="J14" s="69">
        <v>0</v>
      </c>
      <c r="K14" s="69">
        <v>0</v>
      </c>
      <c r="L14" s="69">
        <v>0</v>
      </c>
      <c r="M14" s="69">
        <v>0</v>
      </c>
      <c r="N14" s="69">
        <v>0</v>
      </c>
      <c r="O14" s="69">
        <v>0</v>
      </c>
    </row>
    <row r="15" spans="1:16" ht="15" customHeight="1" x14ac:dyDescent="0.2">
      <c r="B15" s="14" t="s">
        <v>166</v>
      </c>
      <c r="D15" s="63" t="e">
        <f>D46/C46-1</f>
        <v>#DIV/0!</v>
      </c>
      <c r="E15" s="63" t="e">
        <f>E46/D46-1</f>
        <v>#DIV/0!</v>
      </c>
      <c r="F15" s="77">
        <v>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</row>
    <row r="16" spans="1:16" ht="15" customHeight="1" x14ac:dyDescent="0.2">
      <c r="B16" s="14" t="s">
        <v>81</v>
      </c>
      <c r="C16">
        <f>C47</f>
        <v>665.69200000000001</v>
      </c>
      <c r="D16">
        <f t="shared" ref="D16:E16" si="9">D47</f>
        <v>675.93499999999995</v>
      </c>
      <c r="E16">
        <f t="shared" si="9"/>
        <v>684.62599999999998</v>
      </c>
      <c r="F16" s="69">
        <f>292.580627+50.199837+345.539303</f>
        <v>688.31976699999996</v>
      </c>
      <c r="G16" s="69">
        <f>292.580627+50.199837+345.539303</f>
        <v>688.31976699999996</v>
      </c>
      <c r="H16" s="69">
        <f t="shared" ref="H16:O16" si="10">292.580627+50.199837+345.539303</f>
        <v>688.31976699999996</v>
      </c>
      <c r="I16" s="69">
        <f t="shared" si="10"/>
        <v>688.31976699999996</v>
      </c>
      <c r="J16" s="69">
        <f t="shared" si="10"/>
        <v>688.31976699999996</v>
      </c>
      <c r="K16" s="69">
        <f t="shared" si="10"/>
        <v>688.31976699999996</v>
      </c>
      <c r="L16" s="69">
        <f t="shared" si="10"/>
        <v>688.31976699999996</v>
      </c>
      <c r="M16" s="69">
        <f t="shared" si="10"/>
        <v>688.31976699999996</v>
      </c>
      <c r="N16" s="69">
        <f t="shared" si="10"/>
        <v>688.31976699999996</v>
      </c>
      <c r="O16" s="69">
        <f t="shared" si="10"/>
        <v>688.31976699999996</v>
      </c>
    </row>
    <row r="17" spans="1:16" ht="15" customHeight="1" x14ac:dyDescent="0.2">
      <c r="B17" s="14" t="s">
        <v>82</v>
      </c>
      <c r="C17">
        <f>C48</f>
        <v>736.95</v>
      </c>
      <c r="D17">
        <f t="shared" ref="D17:E17" si="11">D48</f>
        <v>741.99800000000005</v>
      </c>
      <c r="E17">
        <f t="shared" si="11"/>
        <v>744.67499999999995</v>
      </c>
      <c r="F17">
        <f>E17/E16*F16</f>
        <v>748.69274975055714</v>
      </c>
      <c r="G17">
        <f t="shared" ref="G17:J17" si="12">F17/F16*G16</f>
        <v>748.69274975055714</v>
      </c>
      <c r="H17">
        <f t="shared" si="12"/>
        <v>748.69274975055714</v>
      </c>
      <c r="I17">
        <f t="shared" si="12"/>
        <v>748.69274975055714</v>
      </c>
      <c r="J17">
        <f t="shared" si="12"/>
        <v>748.69274975055714</v>
      </c>
      <c r="K17">
        <f t="shared" ref="K17" si="13">J17/J16*K16</f>
        <v>748.69274975055714</v>
      </c>
      <c r="L17">
        <f t="shared" ref="L17" si="14">K17/K16*L16</f>
        <v>748.69274975055714</v>
      </c>
      <c r="M17">
        <f t="shared" ref="M17" si="15">L17/L16*M16</f>
        <v>748.69274975055714</v>
      </c>
      <c r="N17">
        <f t="shared" ref="N17" si="16">M17/M16*N16</f>
        <v>748.69274975055714</v>
      </c>
      <c r="O17">
        <f t="shared" ref="O17" si="17">N17/N16*O16</f>
        <v>748.69274975055714</v>
      </c>
    </row>
    <row r="18" spans="1:16" ht="15" customHeight="1" x14ac:dyDescent="0.2">
      <c r="A18" s="81"/>
    </row>
    <row r="19" spans="1:16" ht="15" customHeight="1" x14ac:dyDescent="0.2">
      <c r="A19" s="80" t="s">
        <v>27</v>
      </c>
    </row>
    <row r="20" spans="1:16" ht="15" customHeight="1" x14ac:dyDescent="0.2">
      <c r="B20" s="14" t="s">
        <v>28</v>
      </c>
      <c r="C20" s="72">
        <v>55519</v>
      </c>
      <c r="D20" s="72">
        <v>66001</v>
      </c>
      <c r="E20" s="72">
        <v>74989</v>
      </c>
      <c r="F20">
        <f>(1+F5)*E20</f>
        <v>84362.625</v>
      </c>
      <c r="G20">
        <f t="shared" ref="G20:O20" si="18">(1+G5)*F20</f>
        <v>97017.018749999988</v>
      </c>
      <c r="H20">
        <f t="shared" si="18"/>
        <v>110890.45243124999</v>
      </c>
      <c r="I20">
        <f t="shared" si="18"/>
        <v>124640.868532725</v>
      </c>
      <c r="J20">
        <f t="shared" si="18"/>
        <v>138476.00493985746</v>
      </c>
      <c r="K20">
        <f t="shared" si="18"/>
        <v>153846.84148818164</v>
      </c>
      <c r="L20">
        <f t="shared" si="18"/>
        <v>170923.84089336981</v>
      </c>
      <c r="M20">
        <f t="shared" si="18"/>
        <v>189896.38723253386</v>
      </c>
      <c r="N20">
        <f t="shared" si="18"/>
        <v>210974.88621534512</v>
      </c>
      <c r="O20">
        <f t="shared" si="18"/>
        <v>234393.09858524843</v>
      </c>
      <c r="P20" s="84">
        <v>1</v>
      </c>
    </row>
    <row r="21" spans="1:16" ht="15" customHeight="1" x14ac:dyDescent="0.2">
      <c r="B21" s="14" t="s">
        <v>83</v>
      </c>
      <c r="C21" s="72">
        <v>-21993</v>
      </c>
      <c r="D21" s="72">
        <v>-25691</v>
      </c>
      <c r="E21" s="72">
        <v>-28164</v>
      </c>
      <c r="F21">
        <f>F6*F20</f>
        <v>-31720.347000000002</v>
      </c>
      <c r="G21">
        <f t="shared" ref="G21:O21" si="19">G6*G20</f>
        <v>-36478.399049999993</v>
      </c>
      <c r="H21">
        <f t="shared" si="19"/>
        <v>-41694.810114149994</v>
      </c>
      <c r="I21">
        <f t="shared" si="19"/>
        <v>-46864.966568304597</v>
      </c>
      <c r="J21">
        <f t="shared" si="19"/>
        <v>-52066.97785738641</v>
      </c>
      <c r="K21">
        <f t="shared" si="19"/>
        <v>-57846.412399556299</v>
      </c>
      <c r="L21">
        <f t="shared" si="19"/>
        <v>-64267.364175907045</v>
      </c>
      <c r="M21">
        <f t="shared" si="19"/>
        <v>-71401.041599432734</v>
      </c>
      <c r="N21">
        <f t="shared" si="19"/>
        <v>-79326.55721696977</v>
      </c>
      <c r="O21">
        <f t="shared" si="19"/>
        <v>-88131.805068053407</v>
      </c>
      <c r="P21" s="84">
        <v>2</v>
      </c>
    </row>
    <row r="22" spans="1:16" ht="15" customHeight="1" x14ac:dyDescent="0.2">
      <c r="B22" s="14" t="s">
        <v>84</v>
      </c>
      <c r="C22" s="71">
        <f>C20+C21</f>
        <v>33526</v>
      </c>
      <c r="D22" s="71">
        <f t="shared" ref="D22:O22" si="20">D20+D21</f>
        <v>40310</v>
      </c>
      <c r="E22" s="71">
        <f t="shared" si="20"/>
        <v>46825</v>
      </c>
      <c r="F22" s="71">
        <f t="shared" si="20"/>
        <v>52642.277999999998</v>
      </c>
      <c r="G22" s="71">
        <f t="shared" si="20"/>
        <v>60538.619699999996</v>
      </c>
      <c r="H22" s="71">
        <f t="shared" si="20"/>
        <v>69195.642317099991</v>
      </c>
      <c r="I22" s="71">
        <f t="shared" si="20"/>
        <v>77775.901964420395</v>
      </c>
      <c r="J22" s="71">
        <f t="shared" si="20"/>
        <v>86409.027082471061</v>
      </c>
      <c r="K22" s="71">
        <f t="shared" si="20"/>
        <v>96000.429088625344</v>
      </c>
      <c r="L22" s="71">
        <f t="shared" si="20"/>
        <v>106656.47671746276</v>
      </c>
      <c r="M22" s="71">
        <f t="shared" si="20"/>
        <v>118495.34563310113</v>
      </c>
      <c r="N22" s="71">
        <f t="shared" si="20"/>
        <v>131648.32899837533</v>
      </c>
      <c r="O22" s="71">
        <f t="shared" si="20"/>
        <v>146261.29351719504</v>
      </c>
    </row>
    <row r="24" spans="1:16" ht="15" customHeight="1" x14ac:dyDescent="0.2">
      <c r="B24" s="14" t="s">
        <v>85</v>
      </c>
      <c r="C24" s="72">
        <f>(6554+4432)*-1</f>
        <v>-10986</v>
      </c>
      <c r="D24" s="72">
        <f>(8131+5851)*-1</f>
        <v>-13982</v>
      </c>
      <c r="E24" s="62">
        <f>(9047+6136)*-1</f>
        <v>-15183</v>
      </c>
      <c r="F24">
        <f>F7*F20</f>
        <v>-17041.250250000001</v>
      </c>
      <c r="G24">
        <f t="shared" ref="G24:O24" si="21">G7*G20</f>
        <v>-19597.437787499999</v>
      </c>
      <c r="H24">
        <f t="shared" si="21"/>
        <v>-22399.871391112498</v>
      </c>
      <c r="I24">
        <f t="shared" si="21"/>
        <v>-25177.455443610452</v>
      </c>
      <c r="J24">
        <f t="shared" si="21"/>
        <v>-27972.152997851208</v>
      </c>
      <c r="K24">
        <f t="shared" si="21"/>
        <v>-31077.061980612692</v>
      </c>
      <c r="L24">
        <f t="shared" si="21"/>
        <v>-34526.615860460704</v>
      </c>
      <c r="M24">
        <f t="shared" si="21"/>
        <v>-38359.070220971844</v>
      </c>
      <c r="N24">
        <f t="shared" si="21"/>
        <v>-42616.927015499714</v>
      </c>
      <c r="O24">
        <f t="shared" si="21"/>
        <v>-47347.405914220188</v>
      </c>
      <c r="P24" s="84">
        <v>3</v>
      </c>
    </row>
    <row r="25" spans="1:16" ht="15" customHeight="1" x14ac:dyDescent="0.2">
      <c r="B25" s="14" t="s">
        <v>91</v>
      </c>
      <c r="C25" s="72">
        <v>-7137</v>
      </c>
      <c r="D25" s="72">
        <v>-9832</v>
      </c>
      <c r="E25" s="72">
        <v>-12282</v>
      </c>
      <c r="F25">
        <f>F8*F20</f>
        <v>-13835.470500000001</v>
      </c>
      <c r="G25">
        <f t="shared" ref="G25:O25" si="22">G8*G20</f>
        <v>-15910.791074999999</v>
      </c>
      <c r="H25">
        <f t="shared" si="22"/>
        <v>-18186.034198724999</v>
      </c>
      <c r="I25">
        <f t="shared" si="22"/>
        <v>-20441.102439366899</v>
      </c>
      <c r="J25">
        <f t="shared" si="22"/>
        <v>-22710.064810136624</v>
      </c>
      <c r="K25">
        <f t="shared" si="22"/>
        <v>-25230.88200406179</v>
      </c>
      <c r="L25">
        <f t="shared" si="22"/>
        <v>-28031.509906512649</v>
      </c>
      <c r="M25">
        <f t="shared" si="22"/>
        <v>-31143.007506135553</v>
      </c>
      <c r="N25">
        <f t="shared" si="22"/>
        <v>-34599.881339316598</v>
      </c>
      <c r="O25">
        <f t="shared" si="22"/>
        <v>-38440.468167980747</v>
      </c>
      <c r="P25" s="84">
        <v>4</v>
      </c>
    </row>
    <row r="26" spans="1:16" ht="15" customHeight="1" x14ac:dyDescent="0.2">
      <c r="B26" s="14" t="s">
        <v>43</v>
      </c>
      <c r="C26" s="71">
        <f>SUM(C24:C25,C22)</f>
        <v>15403</v>
      </c>
      <c r="D26" s="71">
        <f t="shared" ref="D26:O26" si="23">SUM(D24:D25,D22)</f>
        <v>16496</v>
      </c>
      <c r="E26" s="71">
        <f t="shared" si="23"/>
        <v>19360</v>
      </c>
      <c r="F26" s="71">
        <f t="shared" si="23"/>
        <v>21765.557249999998</v>
      </c>
      <c r="G26" s="71">
        <f t="shared" si="23"/>
        <v>25030.390837499996</v>
      </c>
      <c r="H26" s="71">
        <f t="shared" si="23"/>
        <v>28609.736727262498</v>
      </c>
      <c r="I26" s="71">
        <f t="shared" si="23"/>
        <v>32157.344081443043</v>
      </c>
      <c r="J26" s="71">
        <f t="shared" si="23"/>
        <v>35726.809274483225</v>
      </c>
      <c r="K26" s="71">
        <f t="shared" si="23"/>
        <v>39692.485103950865</v>
      </c>
      <c r="L26" s="71">
        <f t="shared" si="23"/>
        <v>44098.35095048941</v>
      </c>
      <c r="M26" s="71">
        <f t="shared" si="23"/>
        <v>48993.267905993736</v>
      </c>
      <c r="N26" s="71">
        <f t="shared" si="23"/>
        <v>54431.520643559023</v>
      </c>
      <c r="O26" s="71">
        <f t="shared" si="23"/>
        <v>60473.41943499411</v>
      </c>
    </row>
    <row r="28" spans="1:16" ht="15" customHeight="1" x14ac:dyDescent="0.2">
      <c r="B28" s="14" t="s">
        <v>86</v>
      </c>
      <c r="C28" s="72">
        <v>2781</v>
      </c>
      <c r="D28" s="72">
        <v>3523</v>
      </c>
      <c r="E28" s="72">
        <v>4132</v>
      </c>
      <c r="F28">
        <f>E85*F9</f>
        <v>5019.768</v>
      </c>
      <c r="G28">
        <f t="shared" ref="G28:O28" si="24">F85*G9</f>
        <v>6340.5582547500007</v>
      </c>
      <c r="H28">
        <f t="shared" si="24"/>
        <v>7761.2333132407502</v>
      </c>
      <c r="I28">
        <f t="shared" si="24"/>
        <v>9296.147190641037</v>
      </c>
      <c r="J28">
        <f t="shared" si="24"/>
        <v>10922.344265084352</v>
      </c>
      <c r="K28">
        <f t="shared" si="24"/>
        <v>12626.231035414061</v>
      </c>
      <c r="L28">
        <f t="shared" si="24"/>
        <v>14434.218602905741</v>
      </c>
      <c r="M28">
        <f t="shared" si="24"/>
        <v>16372.572455785998</v>
      </c>
      <c r="N28">
        <f t="shared" si="24"/>
        <v>18467.928669619276</v>
      </c>
      <c r="O28">
        <f t="shared" si="24"/>
        <v>20747.775307063344</v>
      </c>
      <c r="P28" s="84">
        <v>5</v>
      </c>
    </row>
    <row r="29" spans="1:16" ht="15" customHeight="1" x14ac:dyDescent="0.2">
      <c r="B29" s="14" t="s">
        <v>87</v>
      </c>
      <c r="C29" s="72">
        <v>1158</v>
      </c>
      <c r="D29" s="72">
        <v>1456</v>
      </c>
      <c r="E29" s="72">
        <v>931</v>
      </c>
      <c r="F29">
        <f>F10</f>
        <v>806</v>
      </c>
      <c r="G29">
        <f t="shared" ref="G29:O29" si="25">G10</f>
        <v>724</v>
      </c>
      <c r="H29">
        <f t="shared" si="25"/>
        <v>637</v>
      </c>
      <c r="I29">
        <f t="shared" si="25"/>
        <v>528</v>
      </c>
      <c r="J29">
        <f t="shared" si="25"/>
        <v>434</v>
      </c>
      <c r="K29">
        <f t="shared" si="25"/>
        <v>143.6</v>
      </c>
      <c r="L29">
        <f t="shared" si="25"/>
        <v>143.6</v>
      </c>
      <c r="M29">
        <f t="shared" si="25"/>
        <v>143.6</v>
      </c>
      <c r="N29">
        <f t="shared" si="25"/>
        <v>143.6</v>
      </c>
      <c r="O29">
        <f t="shared" si="25"/>
        <v>143.6</v>
      </c>
      <c r="P29" s="84">
        <v>6</v>
      </c>
    </row>
    <row r="30" spans="1:16" ht="15" customHeight="1" x14ac:dyDescent="0.2">
      <c r="B30" s="14" t="s">
        <v>42</v>
      </c>
      <c r="C30" s="71">
        <f>C26+C28+C29</f>
        <v>19342</v>
      </c>
      <c r="D30" s="71">
        <f t="shared" ref="D30:O30" si="26">D26+D28+D29</f>
        <v>21475</v>
      </c>
      <c r="E30" s="71">
        <f t="shared" si="26"/>
        <v>24423</v>
      </c>
      <c r="F30" s="71">
        <f t="shared" si="26"/>
        <v>27591.325249999998</v>
      </c>
      <c r="G30" s="71">
        <f t="shared" si="26"/>
        <v>32094.949092249997</v>
      </c>
      <c r="H30" s="71">
        <f t="shared" si="26"/>
        <v>37007.970040503249</v>
      </c>
      <c r="I30" s="71">
        <f t="shared" si="26"/>
        <v>41981.49127208408</v>
      </c>
      <c r="J30" s="71">
        <f t="shared" si="26"/>
        <v>47083.153539567575</v>
      </c>
      <c r="K30" s="71">
        <f t="shared" si="26"/>
        <v>52462.316139364928</v>
      </c>
      <c r="L30" s="71">
        <f t="shared" si="26"/>
        <v>58676.16955339515</v>
      </c>
      <c r="M30" s="71">
        <f t="shared" si="26"/>
        <v>65509.440361779729</v>
      </c>
      <c r="N30" s="71">
        <f t="shared" si="26"/>
        <v>73043.049313178301</v>
      </c>
      <c r="O30" s="71">
        <f t="shared" si="26"/>
        <v>81364.794742057464</v>
      </c>
    </row>
    <row r="32" spans="1:16" ht="15" customHeight="1" x14ac:dyDescent="0.2">
      <c r="A32" s="80" t="s">
        <v>174</v>
      </c>
      <c r="B32" s="14" t="s">
        <v>45</v>
      </c>
      <c r="C32" s="72">
        <v>-81</v>
      </c>
      <c r="D32" s="72">
        <v>-101</v>
      </c>
      <c r="E32" s="72">
        <v>-104</v>
      </c>
      <c r="F32">
        <f t="shared" ref="F32:O32" ca="1" si="27">IF(switch=1,SUM(F159,F168,F175,F182,F189)*-1,0)</f>
        <v>-64.421875</v>
      </c>
      <c r="G32">
        <f t="shared" ca="1" si="27"/>
        <v>0</v>
      </c>
      <c r="H32">
        <f t="shared" ca="1" si="27"/>
        <v>0</v>
      </c>
      <c r="I32">
        <f t="shared" ca="1" si="27"/>
        <v>0</v>
      </c>
      <c r="J32">
        <f t="shared" ca="1" si="27"/>
        <v>0</v>
      </c>
      <c r="K32">
        <f t="shared" ca="1" si="27"/>
        <v>0</v>
      </c>
      <c r="L32">
        <f t="shared" ca="1" si="27"/>
        <v>0</v>
      </c>
      <c r="M32">
        <f t="shared" ca="1" si="27"/>
        <v>0</v>
      </c>
      <c r="N32">
        <f t="shared" ca="1" si="27"/>
        <v>0</v>
      </c>
      <c r="O32">
        <f t="shared" ca="1" si="27"/>
        <v>0</v>
      </c>
      <c r="P32" s="84">
        <v>94</v>
      </c>
    </row>
    <row r="33" spans="1:16" ht="15" customHeight="1" x14ac:dyDescent="0.2">
      <c r="A33" s="80" t="s">
        <v>174</v>
      </c>
      <c r="B33" s="14" t="s">
        <v>44</v>
      </c>
      <c r="C33" s="72">
        <v>766</v>
      </c>
      <c r="D33" s="72">
        <v>746</v>
      </c>
      <c r="E33" s="72">
        <v>999</v>
      </c>
      <c r="F33">
        <f t="shared" ref="F33:O33" ca="1" si="28">IF(switch=1,F197,0)</f>
        <v>76.016827930840435</v>
      </c>
      <c r="G33">
        <f t="shared" ca="1" si="28"/>
        <v>85.846097710442322</v>
      </c>
      <c r="H33">
        <f t="shared" ca="1" si="28"/>
        <v>100.73190896475975</v>
      </c>
      <c r="I33">
        <f t="shared" ca="1" si="28"/>
        <v>117.87885645013924</v>
      </c>
      <c r="J33">
        <f t="shared" ca="1" si="28"/>
        <v>137.35331181949127</v>
      </c>
      <c r="K33">
        <f t="shared" ca="1" si="28"/>
        <v>159.2500293060759</v>
      </c>
      <c r="L33">
        <f t="shared" ca="1" si="28"/>
        <v>183.85580663537993</v>
      </c>
      <c r="M33">
        <f t="shared" ca="1" si="28"/>
        <v>211.55531167078357</v>
      </c>
      <c r="N33">
        <f t="shared" ca="1" si="28"/>
        <v>242.62804109488013</v>
      </c>
      <c r="O33">
        <f t="shared" ca="1" si="28"/>
        <v>277.39557045154197</v>
      </c>
      <c r="P33" s="84">
        <v>95</v>
      </c>
    </row>
    <row r="34" spans="1:16" ht="15" customHeight="1" x14ac:dyDescent="0.2">
      <c r="B34" s="14" t="s">
        <v>92</v>
      </c>
      <c r="C34" s="72">
        <v>-189</v>
      </c>
      <c r="D34" s="72">
        <f>763-D32-D33</f>
        <v>118</v>
      </c>
      <c r="E34" s="72">
        <f>291-E33-E32</f>
        <v>-604</v>
      </c>
      <c r="F34">
        <f>F11</f>
        <v>0</v>
      </c>
      <c r="G34">
        <f t="shared" ref="G34:O34" si="29">G11</f>
        <v>0</v>
      </c>
      <c r="H34">
        <f t="shared" si="29"/>
        <v>0</v>
      </c>
      <c r="I34">
        <f t="shared" si="29"/>
        <v>0</v>
      </c>
      <c r="J34">
        <f t="shared" si="29"/>
        <v>0</v>
      </c>
      <c r="K34">
        <f t="shared" si="29"/>
        <v>0</v>
      </c>
      <c r="L34">
        <f t="shared" si="29"/>
        <v>0</v>
      </c>
      <c r="M34">
        <f t="shared" si="29"/>
        <v>0</v>
      </c>
      <c r="N34">
        <f t="shared" si="29"/>
        <v>0</v>
      </c>
      <c r="O34">
        <f t="shared" si="29"/>
        <v>0</v>
      </c>
      <c r="P34" s="84">
        <v>7</v>
      </c>
    </row>
    <row r="35" spans="1:16" ht="15" customHeight="1" x14ac:dyDescent="0.2">
      <c r="B35" s="14" t="s">
        <v>46</v>
      </c>
      <c r="C35" s="71">
        <f>SUM(C32:C34,C26)</f>
        <v>15899</v>
      </c>
      <c r="D35" s="71">
        <f t="shared" ref="D35:O35" si="30">SUM(D32:D34,D26)</f>
        <v>17259</v>
      </c>
      <c r="E35" s="71">
        <f t="shared" si="30"/>
        <v>19651</v>
      </c>
      <c r="F35" s="71">
        <f t="shared" ca="1" si="30"/>
        <v>21777.15220293084</v>
      </c>
      <c r="G35" s="71">
        <f t="shared" ca="1" si="30"/>
        <v>25116.236935210436</v>
      </c>
      <c r="H35" s="71">
        <f t="shared" ca="1" si="30"/>
        <v>28710.468636227259</v>
      </c>
      <c r="I35" s="71">
        <f t="shared" ca="1" si="30"/>
        <v>32275.222937893184</v>
      </c>
      <c r="J35" s="71">
        <f t="shared" ca="1" si="30"/>
        <v>35864.162586302715</v>
      </c>
      <c r="K35" s="71">
        <f t="shared" ca="1" si="30"/>
        <v>39851.735133256938</v>
      </c>
      <c r="L35" s="71">
        <f t="shared" ca="1" si="30"/>
        <v>44282.20675712479</v>
      </c>
      <c r="M35" s="71">
        <f t="shared" ca="1" si="30"/>
        <v>49204.823217664518</v>
      </c>
      <c r="N35" s="71">
        <f t="shared" ca="1" si="30"/>
        <v>54674.148684653905</v>
      </c>
      <c r="O35" s="71">
        <f t="shared" ca="1" si="30"/>
        <v>60750.815005445649</v>
      </c>
    </row>
    <row r="37" spans="1:16" ht="15" customHeight="1" x14ac:dyDescent="0.2">
      <c r="B37" s="14" t="s">
        <v>88</v>
      </c>
      <c r="C37" s="72">
        <v>-2739</v>
      </c>
      <c r="D37" s="72">
        <v>-3639</v>
      </c>
      <c r="E37" s="72">
        <v>-3303</v>
      </c>
      <c r="F37">
        <f>F12*F26</f>
        <v>-4026.6280912499997</v>
      </c>
      <c r="G37">
        <f t="shared" ref="G37:O37" si="31">G12*G26</f>
        <v>-4630.6223049374994</v>
      </c>
      <c r="H37">
        <f t="shared" si="31"/>
        <v>-5292.8012945435621</v>
      </c>
      <c r="I37">
        <f t="shared" si="31"/>
        <v>-5949.1086550669634</v>
      </c>
      <c r="J37">
        <f t="shared" si="31"/>
        <v>-6609.4597157793969</v>
      </c>
      <c r="K37">
        <f t="shared" si="31"/>
        <v>-7343.1097442309101</v>
      </c>
      <c r="L37">
        <f t="shared" si="31"/>
        <v>-8158.1949258405411</v>
      </c>
      <c r="M37">
        <f t="shared" si="31"/>
        <v>-9063.7545626088413</v>
      </c>
      <c r="N37">
        <f t="shared" si="31"/>
        <v>-10069.831319058419</v>
      </c>
      <c r="O37">
        <f t="shared" si="31"/>
        <v>-11187.58259547391</v>
      </c>
      <c r="P37" s="84">
        <v>8</v>
      </c>
    </row>
    <row r="38" spans="1:16" ht="15" customHeight="1" x14ac:dyDescent="0.2">
      <c r="B38" s="14" t="s">
        <v>93</v>
      </c>
      <c r="C38">
        <f>SUM(C37,C35)</f>
        <v>13160</v>
      </c>
      <c r="D38">
        <f t="shared" ref="D38:O38" si="32">SUM(D37,D35)</f>
        <v>13620</v>
      </c>
      <c r="E38">
        <f t="shared" si="32"/>
        <v>16348</v>
      </c>
      <c r="F38">
        <f t="shared" ca="1" si="32"/>
        <v>17750.524111680839</v>
      </c>
      <c r="G38">
        <f t="shared" ca="1" si="32"/>
        <v>20485.614630272936</v>
      </c>
      <c r="H38">
        <f t="shared" ca="1" si="32"/>
        <v>23417.667341683697</v>
      </c>
      <c r="I38">
        <f t="shared" ca="1" si="32"/>
        <v>26326.11428282622</v>
      </c>
      <c r="J38">
        <f t="shared" ca="1" si="32"/>
        <v>29254.702870523317</v>
      </c>
      <c r="K38">
        <f t="shared" ca="1" si="32"/>
        <v>32508.625389026027</v>
      </c>
      <c r="L38">
        <f t="shared" ca="1" si="32"/>
        <v>36124.011831284246</v>
      </c>
      <c r="M38">
        <f t="shared" ca="1" si="32"/>
        <v>40141.068655055678</v>
      </c>
      <c r="N38">
        <f t="shared" ca="1" si="32"/>
        <v>44604.317365595489</v>
      </c>
      <c r="O38">
        <f t="shared" ca="1" si="32"/>
        <v>49563.232409971737</v>
      </c>
      <c r="P38" s="84">
        <v>9</v>
      </c>
    </row>
    <row r="40" spans="1:16" ht="15" customHeight="1" x14ac:dyDescent="0.2">
      <c r="B40" s="14" t="s">
        <v>94</v>
      </c>
      <c r="C40" s="72">
        <v>-427</v>
      </c>
      <c r="D40" s="72">
        <v>516</v>
      </c>
      <c r="E40" s="72">
        <v>0</v>
      </c>
      <c r="F40">
        <f>F14</f>
        <v>0</v>
      </c>
      <c r="G40">
        <f t="shared" ref="G40:O40" si="33">G14</f>
        <v>0</v>
      </c>
      <c r="H40">
        <f t="shared" si="33"/>
        <v>0</v>
      </c>
      <c r="I40">
        <f t="shared" si="33"/>
        <v>0</v>
      </c>
      <c r="J40">
        <f t="shared" si="33"/>
        <v>0</v>
      </c>
      <c r="K40">
        <f t="shared" si="33"/>
        <v>0</v>
      </c>
      <c r="L40">
        <f t="shared" si="33"/>
        <v>0</v>
      </c>
      <c r="M40">
        <f t="shared" si="33"/>
        <v>0</v>
      </c>
      <c r="N40">
        <f t="shared" si="33"/>
        <v>0</v>
      </c>
      <c r="O40">
        <f t="shared" si="33"/>
        <v>0</v>
      </c>
      <c r="P40" s="84">
        <v>10</v>
      </c>
    </row>
    <row r="41" spans="1:16" ht="15" customHeight="1" x14ac:dyDescent="0.2">
      <c r="B41" s="14" t="s">
        <v>29</v>
      </c>
      <c r="C41" s="71">
        <f>SUM(C38,C40)</f>
        <v>12733</v>
      </c>
      <c r="D41" s="71">
        <f t="shared" ref="D41:O41" si="34">SUM(D38,D40)</f>
        <v>14136</v>
      </c>
      <c r="E41" s="71">
        <f t="shared" si="34"/>
        <v>16348</v>
      </c>
      <c r="F41" s="71">
        <f t="shared" ca="1" si="34"/>
        <v>17750.524111680839</v>
      </c>
      <c r="G41" s="71">
        <f t="shared" ca="1" si="34"/>
        <v>20485.614630272936</v>
      </c>
      <c r="H41" s="71">
        <f t="shared" ca="1" si="34"/>
        <v>23417.667341683697</v>
      </c>
      <c r="I41" s="71">
        <f t="shared" ca="1" si="34"/>
        <v>26326.11428282622</v>
      </c>
      <c r="J41" s="71">
        <f t="shared" ca="1" si="34"/>
        <v>29254.702870523317</v>
      </c>
      <c r="K41" s="71">
        <f t="shared" ca="1" si="34"/>
        <v>32508.625389026027</v>
      </c>
      <c r="L41" s="71">
        <f t="shared" ca="1" si="34"/>
        <v>36124.011831284246</v>
      </c>
      <c r="M41" s="71">
        <f t="shared" ca="1" si="34"/>
        <v>40141.068655055678</v>
      </c>
      <c r="N41" s="71">
        <f t="shared" ca="1" si="34"/>
        <v>44604.317365595489</v>
      </c>
      <c r="O41" s="71">
        <f t="shared" ca="1" si="34"/>
        <v>49563.232409971737</v>
      </c>
    </row>
    <row r="43" spans="1:16" ht="15" customHeight="1" x14ac:dyDescent="0.2">
      <c r="B43" s="14" t="s">
        <v>95</v>
      </c>
      <c r="C43" s="72">
        <v>13347</v>
      </c>
      <c r="D43" s="72">
        <v>13928</v>
      </c>
      <c r="E43" s="72">
        <v>16740.599999999999</v>
      </c>
      <c r="F43">
        <f ca="1">F41-F40-F34*(1-F13)</f>
        <v>17750.524111680839</v>
      </c>
      <c r="G43">
        <f t="shared" ref="G43:O43" ca="1" si="35">G41-G40-G34*(1-G13)</f>
        <v>20485.614630272936</v>
      </c>
      <c r="H43">
        <f t="shared" ca="1" si="35"/>
        <v>23417.667341683697</v>
      </c>
      <c r="I43">
        <f t="shared" ca="1" si="35"/>
        <v>26326.11428282622</v>
      </c>
      <c r="J43">
        <f t="shared" ca="1" si="35"/>
        <v>29254.702870523317</v>
      </c>
      <c r="K43">
        <f t="shared" ca="1" si="35"/>
        <v>32508.625389026027</v>
      </c>
      <c r="L43">
        <f t="shared" ca="1" si="35"/>
        <v>36124.011831284246</v>
      </c>
      <c r="M43">
        <f t="shared" ca="1" si="35"/>
        <v>40141.068655055678</v>
      </c>
      <c r="N43">
        <f t="shared" ca="1" si="35"/>
        <v>44604.317365595489</v>
      </c>
      <c r="O43">
        <f t="shared" ca="1" si="35"/>
        <v>49563.232409971737</v>
      </c>
      <c r="P43" s="84">
        <v>11</v>
      </c>
    </row>
    <row r="44" spans="1:16" ht="15" customHeight="1" x14ac:dyDescent="0.2">
      <c r="C44" s="70"/>
      <c r="D44" s="70"/>
      <c r="E44" s="70"/>
    </row>
    <row r="45" spans="1:16" ht="15" customHeight="1" x14ac:dyDescent="0.2">
      <c r="B45" s="14" t="s">
        <v>96</v>
      </c>
      <c r="C45" s="70">
        <v>19.420000000000002</v>
      </c>
      <c r="D45" s="70">
        <v>19.82</v>
      </c>
      <c r="E45" s="70">
        <v>22.84</v>
      </c>
      <c r="F45" s="74">
        <f ca="1">F43/F48</f>
        <v>23.70868973633684</v>
      </c>
      <c r="G45" s="74">
        <f t="shared" ref="G45:O45" ca="1" si="36">G43/G48</f>
        <v>27.361844544505274</v>
      </c>
      <c r="H45" s="74">
        <f t="shared" ca="1" si="36"/>
        <v>31.278074149223148</v>
      </c>
      <c r="I45" s="74">
        <f t="shared" ca="1" si="36"/>
        <v>35.162774437975152</v>
      </c>
      <c r="J45" s="74">
        <f t="shared" ca="1" si="36"/>
        <v>39.074377146393019</v>
      </c>
      <c r="K45" s="74">
        <f t="shared" ca="1" si="36"/>
        <v>43.420515825559903</v>
      </c>
      <c r="L45" s="74">
        <f t="shared" ca="1" si="36"/>
        <v>48.249447912137157</v>
      </c>
      <c r="M45" s="74">
        <f t="shared" ca="1" si="36"/>
        <v>53.614875619444057</v>
      </c>
      <c r="N45" s="74">
        <f t="shared" ca="1" si="36"/>
        <v>59.576264603145098</v>
      </c>
      <c r="O45" s="74">
        <f t="shared" ca="1" si="36"/>
        <v>66.199695972059004</v>
      </c>
      <c r="P45" s="84">
        <v>14</v>
      </c>
    </row>
    <row r="46" spans="1:16" ht="15" customHeight="1" x14ac:dyDescent="0.2">
      <c r="B46" s="14" t="s">
        <v>80</v>
      </c>
      <c r="C46" s="70">
        <v>0</v>
      </c>
      <c r="D46" s="70">
        <v>0</v>
      </c>
      <c r="E46" s="70">
        <v>0</v>
      </c>
      <c r="F46" s="74">
        <f>(1+F15)*E46</f>
        <v>0</v>
      </c>
      <c r="G46" s="74">
        <f t="shared" ref="G46:O46" si="37">(1+G15)*F46</f>
        <v>0</v>
      </c>
      <c r="H46" s="74">
        <f t="shared" si="37"/>
        <v>0</v>
      </c>
      <c r="I46" s="74">
        <f t="shared" si="37"/>
        <v>0</v>
      </c>
      <c r="J46" s="74">
        <f t="shared" si="37"/>
        <v>0</v>
      </c>
      <c r="K46" s="74">
        <f t="shared" si="37"/>
        <v>0</v>
      </c>
      <c r="L46" s="74">
        <f t="shared" si="37"/>
        <v>0</v>
      </c>
      <c r="M46" s="74">
        <f t="shared" si="37"/>
        <v>0</v>
      </c>
      <c r="N46" s="74">
        <f t="shared" si="37"/>
        <v>0</v>
      </c>
      <c r="O46" s="74">
        <f t="shared" si="37"/>
        <v>0</v>
      </c>
      <c r="P46" s="84">
        <v>15</v>
      </c>
    </row>
    <row r="47" spans="1:16" ht="15" customHeight="1" x14ac:dyDescent="0.2">
      <c r="B47" s="14" t="s">
        <v>81</v>
      </c>
      <c r="C47" s="72">
        <f>273.518+59.328+332.846</f>
        <v>665.69200000000001</v>
      </c>
      <c r="D47" s="72">
        <f>282.877+54.928+338.13</f>
        <v>675.93499999999995</v>
      </c>
      <c r="E47" s="72">
        <f>289.64+51.745+343.241</f>
        <v>684.62599999999998</v>
      </c>
      <c r="F47">
        <f>F16</f>
        <v>688.31976699999996</v>
      </c>
      <c r="G47">
        <f t="shared" ref="G47:O47" si="38">G16</f>
        <v>688.31976699999996</v>
      </c>
      <c r="H47">
        <f t="shared" si="38"/>
        <v>688.31976699999996</v>
      </c>
      <c r="I47">
        <f t="shared" si="38"/>
        <v>688.31976699999996</v>
      </c>
      <c r="J47">
        <f t="shared" si="38"/>
        <v>688.31976699999996</v>
      </c>
      <c r="K47">
        <f t="shared" si="38"/>
        <v>688.31976699999996</v>
      </c>
      <c r="L47">
        <f t="shared" si="38"/>
        <v>688.31976699999996</v>
      </c>
      <c r="M47">
        <f t="shared" si="38"/>
        <v>688.31976699999996</v>
      </c>
      <c r="N47">
        <f t="shared" si="38"/>
        <v>688.31976699999996</v>
      </c>
      <c r="O47">
        <f t="shared" si="38"/>
        <v>688.31976699999996</v>
      </c>
      <c r="P47" s="84">
        <v>12</v>
      </c>
    </row>
    <row r="48" spans="1:16" ht="15" customHeight="1" x14ac:dyDescent="0.2">
      <c r="B48" s="14" t="s">
        <v>82</v>
      </c>
      <c r="C48" s="72">
        <f>338.809+59.332+338.809</f>
        <v>736.95</v>
      </c>
      <c r="D48" s="72">
        <f>342.377+54.928+344.693</f>
        <v>741.99800000000005</v>
      </c>
      <c r="E48" s="72">
        <f>343.78+51.745+349.15</f>
        <v>744.67499999999995</v>
      </c>
      <c r="F48">
        <f>F17</f>
        <v>748.69274975055714</v>
      </c>
      <c r="G48">
        <f t="shared" ref="G48:O48" si="39">G17</f>
        <v>748.69274975055714</v>
      </c>
      <c r="H48">
        <f t="shared" si="39"/>
        <v>748.69274975055714</v>
      </c>
      <c r="I48">
        <f t="shared" si="39"/>
        <v>748.69274975055714</v>
      </c>
      <c r="J48">
        <f t="shared" si="39"/>
        <v>748.69274975055714</v>
      </c>
      <c r="K48">
        <f t="shared" si="39"/>
        <v>748.69274975055714</v>
      </c>
      <c r="L48">
        <f t="shared" si="39"/>
        <v>748.69274975055714</v>
      </c>
      <c r="M48">
        <f t="shared" si="39"/>
        <v>748.69274975055714</v>
      </c>
      <c r="N48">
        <f t="shared" si="39"/>
        <v>748.69274975055714</v>
      </c>
      <c r="O48">
        <f t="shared" si="39"/>
        <v>748.69274975055714</v>
      </c>
      <c r="P48" s="84">
        <v>13</v>
      </c>
    </row>
    <row r="50" spans="1:17" ht="15" customHeight="1" x14ac:dyDescent="0.2">
      <c r="A50" s="80" t="s">
        <v>41</v>
      </c>
    </row>
    <row r="51" spans="1:17" ht="15" customHeight="1" x14ac:dyDescent="0.2">
      <c r="B51" s="14" t="s">
        <v>102</v>
      </c>
      <c r="D51">
        <f>D81-C81</f>
        <v>6229</v>
      </c>
      <c r="E51">
        <f>E81-D81</f>
        <v>10469</v>
      </c>
      <c r="F51" s="69">
        <v>0</v>
      </c>
      <c r="G51" s="69">
        <v>0</v>
      </c>
      <c r="H51" s="69">
        <v>0</v>
      </c>
      <c r="I51" s="69">
        <v>0</v>
      </c>
      <c r="J51" s="69">
        <v>0</v>
      </c>
      <c r="K51" s="69">
        <v>0</v>
      </c>
      <c r="L51" s="69">
        <v>0</v>
      </c>
      <c r="M51" s="69">
        <v>0</v>
      </c>
      <c r="N51" s="69">
        <v>0</v>
      </c>
      <c r="O51" s="69">
        <v>0</v>
      </c>
    </row>
    <row r="52" spans="1:17" ht="15" customHeight="1" x14ac:dyDescent="0.2">
      <c r="B52" s="14" t="s">
        <v>97</v>
      </c>
      <c r="C52" s="63">
        <f>C82/C20</f>
        <v>0.27808497991678527</v>
      </c>
      <c r="D52" s="63">
        <f>D82/D20</f>
        <v>0.21607248375024621</v>
      </c>
      <c r="E52" s="63">
        <f>E82/E20</f>
        <v>0.22734000986811398</v>
      </c>
      <c r="F52" s="64">
        <v>0.24</v>
      </c>
      <c r="G52" s="64">
        <v>0.24</v>
      </c>
      <c r="H52" s="64">
        <v>0.24</v>
      </c>
      <c r="I52" s="64">
        <v>0.24</v>
      </c>
      <c r="J52" s="64">
        <v>0.24</v>
      </c>
      <c r="K52" s="64">
        <v>0.24</v>
      </c>
      <c r="L52" s="64">
        <v>0.24</v>
      </c>
      <c r="M52" s="64">
        <v>0.24</v>
      </c>
      <c r="N52" s="64">
        <v>0.24</v>
      </c>
      <c r="O52" s="64">
        <v>0.24</v>
      </c>
    </row>
    <row r="53" spans="1:17" ht="15" customHeight="1" x14ac:dyDescent="0.2">
      <c r="B53" s="14" t="s">
        <v>53</v>
      </c>
      <c r="C53" s="63">
        <f>C62/C20</f>
        <v>0.13253120553324088</v>
      </c>
      <c r="D53" s="63">
        <f>D62/D20</f>
        <v>0.16604293874335238</v>
      </c>
      <c r="E53" s="63">
        <f>E62/E20</f>
        <v>0.13221939217751938</v>
      </c>
      <c r="F53" s="64">
        <v>0.15</v>
      </c>
      <c r="G53" s="64">
        <v>0.15</v>
      </c>
      <c r="H53" s="64">
        <v>0.15</v>
      </c>
      <c r="I53" s="64">
        <v>0.15</v>
      </c>
      <c r="J53" s="64">
        <v>0.15</v>
      </c>
      <c r="K53" s="64">
        <v>0.15</v>
      </c>
      <c r="L53" s="64">
        <v>0.15</v>
      </c>
      <c r="M53" s="64">
        <v>0.15</v>
      </c>
      <c r="N53" s="64">
        <v>0.15</v>
      </c>
      <c r="O53" s="64">
        <v>0.15</v>
      </c>
    </row>
    <row r="54" spans="1:17" ht="15" customHeight="1" x14ac:dyDescent="0.2">
      <c r="B54" s="14" t="s">
        <v>101</v>
      </c>
      <c r="D54">
        <f>D86-C86</f>
        <v>1103</v>
      </c>
      <c r="E54">
        <f>E86-D86</f>
        <v>2104</v>
      </c>
      <c r="F54" s="69">
        <v>0</v>
      </c>
      <c r="G54" s="69">
        <v>0</v>
      </c>
      <c r="H54" s="69">
        <v>0</v>
      </c>
      <c r="I54" s="69">
        <v>0</v>
      </c>
      <c r="J54" s="69">
        <v>0</v>
      </c>
      <c r="K54" s="69">
        <v>0</v>
      </c>
      <c r="L54" s="69">
        <v>0</v>
      </c>
      <c r="M54" s="69">
        <v>0</v>
      </c>
      <c r="N54" s="69">
        <v>0</v>
      </c>
      <c r="O54" s="69">
        <v>0</v>
      </c>
    </row>
    <row r="55" spans="1:17" ht="15" customHeight="1" x14ac:dyDescent="0.2">
      <c r="B55" s="14" t="s">
        <v>100</v>
      </c>
      <c r="C55">
        <f>C89</f>
        <v>1976</v>
      </c>
      <c r="D55">
        <f t="shared" ref="D55:E55" si="40">D89</f>
        <v>3363</v>
      </c>
      <c r="E55">
        <f t="shared" si="40"/>
        <v>3432</v>
      </c>
      <c r="F55" s="69">
        <v>3432</v>
      </c>
      <c r="G55" s="69">
        <v>3432</v>
      </c>
      <c r="H55" s="69">
        <v>3432</v>
      </c>
      <c r="I55" s="69">
        <v>3432</v>
      </c>
      <c r="J55" s="69">
        <v>3432</v>
      </c>
      <c r="K55" s="69">
        <v>3432</v>
      </c>
      <c r="L55" s="69">
        <v>3432</v>
      </c>
      <c r="M55" s="69">
        <v>3432</v>
      </c>
      <c r="N55" s="69">
        <v>3432</v>
      </c>
      <c r="O55" s="69">
        <v>3432</v>
      </c>
    </row>
    <row r="56" spans="1:17" ht="15" customHeight="1" x14ac:dyDescent="0.2"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85"/>
      <c r="Q56" s="63"/>
    </row>
    <row r="57" spans="1:17" ht="15" customHeight="1" x14ac:dyDescent="0.2">
      <c r="B57" s="14" t="s">
        <v>98</v>
      </c>
      <c r="C57" s="63">
        <f>C93/C20</f>
        <v>0.20774869864370757</v>
      </c>
      <c r="D57" s="63">
        <f>D93/D20</f>
        <v>0.22378448811381646</v>
      </c>
      <c r="E57" s="63">
        <f>E93/E20</f>
        <v>0.2144981263918708</v>
      </c>
      <c r="F57" s="64">
        <v>0.215</v>
      </c>
      <c r="G57" s="64">
        <v>0.215</v>
      </c>
      <c r="H57" s="64">
        <v>0.215</v>
      </c>
      <c r="I57" s="64">
        <v>0.215</v>
      </c>
      <c r="J57" s="64">
        <v>0.215</v>
      </c>
      <c r="K57" s="64">
        <v>0.215</v>
      </c>
      <c r="L57" s="64">
        <v>0.215</v>
      </c>
      <c r="M57" s="64">
        <v>0.215</v>
      </c>
      <c r="N57" s="64">
        <v>0.215</v>
      </c>
      <c r="O57" s="64">
        <v>0.215</v>
      </c>
    </row>
    <row r="58" spans="1:17" ht="15" customHeight="1" x14ac:dyDescent="0.2">
      <c r="B58" s="14" t="s">
        <v>99</v>
      </c>
      <c r="C58" s="63">
        <f>C97/C20</f>
        <v>9.847079378230876E-2</v>
      </c>
      <c r="D58" s="63">
        <f>D97/D20</f>
        <v>8.060483932061635E-2</v>
      </c>
      <c r="E58" s="63">
        <f>E97/E20</f>
        <v>7.7611383002840414E-2</v>
      </c>
      <c r="F58" s="64">
        <v>8.5000000000000006E-2</v>
      </c>
      <c r="G58" s="64">
        <v>8.5000000000000006E-2</v>
      </c>
      <c r="H58" s="64">
        <v>8.5000000000000006E-2</v>
      </c>
      <c r="I58" s="64">
        <v>8.5000000000000006E-2</v>
      </c>
      <c r="J58" s="64">
        <v>8.5000000000000006E-2</v>
      </c>
      <c r="K58" s="64">
        <v>8.5000000000000006E-2</v>
      </c>
      <c r="L58" s="64">
        <v>8.5000000000000006E-2</v>
      </c>
      <c r="M58" s="64">
        <v>8.5000000000000006E-2</v>
      </c>
      <c r="N58" s="64">
        <v>8.5000000000000006E-2</v>
      </c>
      <c r="O58" s="64">
        <v>8.5000000000000006E-2</v>
      </c>
    </row>
    <row r="59" spans="1:17" ht="15" customHeight="1" x14ac:dyDescent="0.2"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</row>
    <row r="60" spans="1:17" ht="15" customHeight="1" x14ac:dyDescent="0.2">
      <c r="A60" s="80" t="s">
        <v>49</v>
      </c>
    </row>
    <row r="61" spans="1:17" ht="15" customHeight="1" x14ac:dyDescent="0.2">
      <c r="B61" s="14" t="s">
        <v>103</v>
      </c>
      <c r="F61" s="86">
        <f>E64</f>
        <v>29016</v>
      </c>
      <c r="G61" s="86">
        <f t="shared" ref="G61:O61" si="41">F64</f>
        <v>36650.625750000007</v>
      </c>
      <c r="H61" s="86">
        <f t="shared" si="41"/>
        <v>44862.620307750003</v>
      </c>
      <c r="I61" s="86">
        <f t="shared" si="41"/>
        <v>53734.954859196747</v>
      </c>
      <c r="J61" s="86">
        <f t="shared" si="41"/>
        <v>63134.937948464467</v>
      </c>
      <c r="K61" s="86">
        <f t="shared" si="41"/>
        <v>72983.994424358738</v>
      </c>
      <c r="L61" s="86">
        <f t="shared" si="41"/>
        <v>83434.789612171924</v>
      </c>
      <c r="M61" s="86">
        <f t="shared" si="41"/>
        <v>94639.147143271664</v>
      </c>
      <c r="N61" s="86">
        <f t="shared" si="41"/>
        <v>106751.03277236575</v>
      </c>
      <c r="O61" s="86">
        <f t="shared" si="41"/>
        <v>119929.33703504824</v>
      </c>
      <c r="P61" s="84">
        <v>14</v>
      </c>
    </row>
    <row r="62" spans="1:17" ht="15" customHeight="1" x14ac:dyDescent="0.2">
      <c r="B62" s="14" t="s">
        <v>54</v>
      </c>
      <c r="C62" s="62">
        <v>7358</v>
      </c>
      <c r="D62" s="62">
        <v>10959</v>
      </c>
      <c r="E62" s="62">
        <v>9915</v>
      </c>
      <c r="F62" s="86">
        <f>F53*F20</f>
        <v>12654.393749999999</v>
      </c>
      <c r="G62" s="86">
        <f t="shared" ref="G62:O62" si="42">G53*G20</f>
        <v>14552.552812499998</v>
      </c>
      <c r="H62" s="86">
        <f t="shared" si="42"/>
        <v>16633.567864687499</v>
      </c>
      <c r="I62" s="86">
        <f t="shared" si="42"/>
        <v>18696.13027990875</v>
      </c>
      <c r="J62" s="86">
        <f t="shared" si="42"/>
        <v>20771.400740978617</v>
      </c>
      <c r="K62" s="86">
        <f t="shared" si="42"/>
        <v>23077.026223227247</v>
      </c>
      <c r="L62" s="86">
        <f t="shared" si="42"/>
        <v>25638.576134005471</v>
      </c>
      <c r="M62" s="86">
        <f t="shared" si="42"/>
        <v>28484.45808488008</v>
      </c>
      <c r="N62" s="86">
        <f t="shared" si="42"/>
        <v>31646.232932301766</v>
      </c>
      <c r="O62" s="86">
        <f t="shared" si="42"/>
        <v>35158.964787787263</v>
      </c>
      <c r="P62" s="84">
        <v>15</v>
      </c>
    </row>
    <row r="63" spans="1:17" ht="15" customHeight="1" x14ac:dyDescent="0.2">
      <c r="B63" s="14" t="s">
        <v>86</v>
      </c>
      <c r="F63" s="86">
        <f>F28*-1</f>
        <v>-5019.768</v>
      </c>
      <c r="G63" s="86">
        <f t="shared" ref="G63:O63" si="43">G28*-1</f>
        <v>-6340.5582547500007</v>
      </c>
      <c r="H63" s="86">
        <f t="shared" si="43"/>
        <v>-7761.2333132407502</v>
      </c>
      <c r="I63" s="86">
        <f t="shared" si="43"/>
        <v>-9296.147190641037</v>
      </c>
      <c r="J63" s="86">
        <f t="shared" si="43"/>
        <v>-10922.344265084352</v>
      </c>
      <c r="K63" s="86">
        <f t="shared" si="43"/>
        <v>-12626.231035414061</v>
      </c>
      <c r="L63" s="86">
        <f t="shared" si="43"/>
        <v>-14434.218602905741</v>
      </c>
      <c r="M63" s="86">
        <f t="shared" si="43"/>
        <v>-16372.572455785998</v>
      </c>
      <c r="N63" s="86">
        <f t="shared" si="43"/>
        <v>-18467.928669619276</v>
      </c>
      <c r="O63" s="86">
        <f t="shared" si="43"/>
        <v>-20747.775307063344</v>
      </c>
      <c r="P63" s="84">
        <v>16</v>
      </c>
    </row>
    <row r="64" spans="1:17" ht="15" customHeight="1" x14ac:dyDescent="0.2">
      <c r="B64" s="14" t="s">
        <v>109</v>
      </c>
      <c r="E64" s="86">
        <f>E85</f>
        <v>29016</v>
      </c>
      <c r="F64" s="86">
        <f>SUM(F61:F63)</f>
        <v>36650.625750000007</v>
      </c>
      <c r="G64" s="86">
        <f t="shared" ref="G64:O64" si="44">SUM(G61:G63)</f>
        <v>44862.620307750003</v>
      </c>
      <c r="H64" s="86">
        <f t="shared" si="44"/>
        <v>53734.954859196747</v>
      </c>
      <c r="I64" s="86">
        <f t="shared" si="44"/>
        <v>63134.937948464467</v>
      </c>
      <c r="J64" s="86">
        <f t="shared" si="44"/>
        <v>72983.994424358738</v>
      </c>
      <c r="K64" s="86">
        <f t="shared" si="44"/>
        <v>83434.789612171924</v>
      </c>
      <c r="L64" s="86">
        <f t="shared" si="44"/>
        <v>94639.147143271664</v>
      </c>
      <c r="M64" s="86">
        <f t="shared" si="44"/>
        <v>106751.03277236575</v>
      </c>
      <c r="N64" s="86">
        <f t="shared" si="44"/>
        <v>119929.33703504824</v>
      </c>
      <c r="O64" s="86">
        <f t="shared" si="44"/>
        <v>134340.52651577219</v>
      </c>
      <c r="P64" s="84">
        <v>17</v>
      </c>
    </row>
    <row r="66" spans="1:16" ht="15" customHeight="1" x14ac:dyDescent="0.2">
      <c r="B66" s="14" t="s">
        <v>104</v>
      </c>
      <c r="F66" s="86">
        <f>E68</f>
        <v>3847</v>
      </c>
      <c r="G66" s="86">
        <f t="shared" ref="G66:O66" si="45">F68</f>
        <v>3041</v>
      </c>
      <c r="H66" s="86">
        <f t="shared" si="45"/>
        <v>2317</v>
      </c>
      <c r="I66" s="86">
        <f t="shared" si="45"/>
        <v>1680</v>
      </c>
      <c r="J66" s="86">
        <f t="shared" si="45"/>
        <v>1152</v>
      </c>
      <c r="K66" s="86">
        <f t="shared" si="45"/>
        <v>718</v>
      </c>
      <c r="L66" s="86">
        <f t="shared" si="45"/>
        <v>574.4</v>
      </c>
      <c r="M66" s="86">
        <f t="shared" si="45"/>
        <v>430.79999999999995</v>
      </c>
      <c r="N66" s="86">
        <f t="shared" si="45"/>
        <v>287.19999999999993</v>
      </c>
      <c r="O66" s="86">
        <f t="shared" si="45"/>
        <v>143.59999999999994</v>
      </c>
      <c r="P66" s="84">
        <v>18</v>
      </c>
    </row>
    <row r="67" spans="1:16" ht="15" customHeight="1" x14ac:dyDescent="0.2">
      <c r="B67" s="14" t="s">
        <v>87</v>
      </c>
      <c r="F67" s="86">
        <f>F29*-1</f>
        <v>-806</v>
      </c>
      <c r="G67" s="86">
        <f t="shared" ref="G67:O67" si="46">G29*-1</f>
        <v>-724</v>
      </c>
      <c r="H67" s="86">
        <f t="shared" si="46"/>
        <v>-637</v>
      </c>
      <c r="I67" s="86">
        <f t="shared" si="46"/>
        <v>-528</v>
      </c>
      <c r="J67" s="86">
        <f t="shared" si="46"/>
        <v>-434</v>
      </c>
      <c r="K67" s="86">
        <f t="shared" si="46"/>
        <v>-143.6</v>
      </c>
      <c r="L67" s="86">
        <f t="shared" si="46"/>
        <v>-143.6</v>
      </c>
      <c r="M67" s="86">
        <f t="shared" si="46"/>
        <v>-143.6</v>
      </c>
      <c r="N67" s="86">
        <f t="shared" si="46"/>
        <v>-143.6</v>
      </c>
      <c r="O67" s="86">
        <f t="shared" si="46"/>
        <v>-143.6</v>
      </c>
      <c r="P67" s="84">
        <v>19</v>
      </c>
    </row>
    <row r="68" spans="1:16" ht="15" customHeight="1" x14ac:dyDescent="0.2">
      <c r="B68" s="14" t="s">
        <v>105</v>
      </c>
      <c r="E68" s="86">
        <f>E88</f>
        <v>3847</v>
      </c>
      <c r="F68" s="86">
        <f>SUM(F66:F67)</f>
        <v>3041</v>
      </c>
      <c r="G68" s="86">
        <f t="shared" ref="G68:O68" si="47">SUM(G66:G67)</f>
        <v>2317</v>
      </c>
      <c r="H68" s="86">
        <f t="shared" si="47"/>
        <v>1680</v>
      </c>
      <c r="I68" s="86">
        <f t="shared" si="47"/>
        <v>1152</v>
      </c>
      <c r="J68" s="86">
        <f t="shared" si="47"/>
        <v>718</v>
      </c>
      <c r="K68" s="86">
        <f t="shared" si="47"/>
        <v>574.4</v>
      </c>
      <c r="L68" s="86">
        <f t="shared" si="47"/>
        <v>430.79999999999995</v>
      </c>
      <c r="M68" s="86">
        <f t="shared" si="47"/>
        <v>287.19999999999993</v>
      </c>
      <c r="N68" s="86">
        <f t="shared" si="47"/>
        <v>143.59999999999994</v>
      </c>
      <c r="O68" s="86">
        <f t="shared" si="47"/>
        <v>0</v>
      </c>
      <c r="P68" s="84">
        <v>20</v>
      </c>
    </row>
    <row r="70" spans="1:16" ht="15" customHeight="1" x14ac:dyDescent="0.2">
      <c r="B70" s="14" t="s">
        <v>55</v>
      </c>
      <c r="F70" s="86">
        <f>E73</f>
        <v>120331</v>
      </c>
      <c r="G70" s="86">
        <f t="shared" ref="G70:O70" ca="1" si="48">F73</f>
        <v>138081.52411168083</v>
      </c>
      <c r="H70" s="86">
        <f t="shared" ca="1" si="48"/>
        <v>158567.13874195376</v>
      </c>
      <c r="I70" s="86">
        <f t="shared" ca="1" si="48"/>
        <v>181984.80608363746</v>
      </c>
      <c r="J70" s="86">
        <f t="shared" ca="1" si="48"/>
        <v>208310.92036646369</v>
      </c>
      <c r="K70" s="86">
        <f t="shared" ca="1" si="48"/>
        <v>237565.62323698701</v>
      </c>
      <c r="L70" s="86">
        <f t="shared" ca="1" si="48"/>
        <v>270074.24862601305</v>
      </c>
      <c r="M70" s="86">
        <f t="shared" ca="1" si="48"/>
        <v>306198.26045729732</v>
      </c>
      <c r="N70" s="86">
        <f t="shared" ca="1" si="48"/>
        <v>346339.32911235298</v>
      </c>
      <c r="O70" s="86">
        <f t="shared" ca="1" si="48"/>
        <v>390943.64647794847</v>
      </c>
      <c r="P70" s="84">
        <v>21</v>
      </c>
    </row>
    <row r="71" spans="1:16" ht="15" customHeight="1" x14ac:dyDescent="0.2">
      <c r="B71" s="14" t="s">
        <v>29</v>
      </c>
      <c r="F71" s="86">
        <f ca="1">F41</f>
        <v>17750.524111680839</v>
      </c>
      <c r="G71" s="86">
        <f t="shared" ref="G71:O71" ca="1" si="49">G41</f>
        <v>20485.614630272936</v>
      </c>
      <c r="H71" s="86">
        <f t="shared" ca="1" si="49"/>
        <v>23417.667341683697</v>
      </c>
      <c r="I71" s="86">
        <f t="shared" ca="1" si="49"/>
        <v>26326.11428282622</v>
      </c>
      <c r="J71" s="86">
        <f t="shared" ca="1" si="49"/>
        <v>29254.702870523317</v>
      </c>
      <c r="K71" s="86">
        <f t="shared" ca="1" si="49"/>
        <v>32508.625389026027</v>
      </c>
      <c r="L71" s="86">
        <f t="shared" ca="1" si="49"/>
        <v>36124.011831284246</v>
      </c>
      <c r="M71" s="86">
        <f t="shared" ca="1" si="49"/>
        <v>40141.068655055678</v>
      </c>
      <c r="N71" s="86">
        <f t="shared" ca="1" si="49"/>
        <v>44604.317365595489</v>
      </c>
      <c r="O71" s="86">
        <f t="shared" ca="1" si="49"/>
        <v>49563.232409971737</v>
      </c>
      <c r="P71" s="84">
        <v>22</v>
      </c>
    </row>
    <row r="72" spans="1:16" ht="15" customHeight="1" x14ac:dyDescent="0.2">
      <c r="B72" s="14" t="s">
        <v>56</v>
      </c>
      <c r="F72" s="86">
        <f>F47*F46*-1</f>
        <v>0</v>
      </c>
      <c r="G72" s="86">
        <f t="shared" ref="G72:O72" si="50">G47*G46*-1</f>
        <v>0</v>
      </c>
      <c r="H72" s="86">
        <f t="shared" si="50"/>
        <v>0</v>
      </c>
      <c r="I72" s="86">
        <f t="shared" si="50"/>
        <v>0</v>
      </c>
      <c r="J72" s="86">
        <f t="shared" si="50"/>
        <v>0</v>
      </c>
      <c r="K72" s="86">
        <f t="shared" si="50"/>
        <v>0</v>
      </c>
      <c r="L72" s="86">
        <f t="shared" si="50"/>
        <v>0</v>
      </c>
      <c r="M72" s="86">
        <f t="shared" si="50"/>
        <v>0</v>
      </c>
      <c r="N72" s="86">
        <f t="shared" si="50"/>
        <v>0</v>
      </c>
      <c r="O72" s="86">
        <f t="shared" si="50"/>
        <v>0</v>
      </c>
      <c r="P72" s="84">
        <v>23</v>
      </c>
    </row>
    <row r="73" spans="1:16" ht="15" customHeight="1" x14ac:dyDescent="0.2">
      <c r="B73" s="14" t="s">
        <v>57</v>
      </c>
      <c r="E73" s="86">
        <f>E100</f>
        <v>120331</v>
      </c>
      <c r="F73" s="86">
        <f ca="1">SUM(F70:F72)</f>
        <v>138081.52411168083</v>
      </c>
      <c r="G73" s="86">
        <f t="shared" ref="G73:O73" ca="1" si="51">SUM(G70:G72)</f>
        <v>158567.13874195376</v>
      </c>
      <c r="H73" s="86">
        <f t="shared" ca="1" si="51"/>
        <v>181984.80608363746</v>
      </c>
      <c r="I73" s="86">
        <f t="shared" ca="1" si="51"/>
        <v>208310.92036646369</v>
      </c>
      <c r="J73" s="86">
        <f t="shared" ca="1" si="51"/>
        <v>237565.62323698701</v>
      </c>
      <c r="K73" s="86">
        <f t="shared" ca="1" si="51"/>
        <v>270074.24862601305</v>
      </c>
      <c r="L73" s="86">
        <f t="shared" ca="1" si="51"/>
        <v>306198.26045729732</v>
      </c>
      <c r="M73" s="86">
        <f t="shared" ca="1" si="51"/>
        <v>346339.32911235298</v>
      </c>
      <c r="N73" s="86">
        <f t="shared" ca="1" si="51"/>
        <v>390943.64647794847</v>
      </c>
      <c r="O73" s="86">
        <f t="shared" ca="1" si="51"/>
        <v>440506.87888792017</v>
      </c>
      <c r="P73" s="84">
        <v>24</v>
      </c>
    </row>
    <row r="75" spans="1:16" ht="15" customHeight="1" x14ac:dyDescent="0.2">
      <c r="B75" s="14" t="s">
        <v>107</v>
      </c>
      <c r="C75">
        <f>C82</f>
        <v>15439</v>
      </c>
      <c r="D75">
        <f t="shared" ref="D75:O75" si="52">D82</f>
        <v>14261</v>
      </c>
      <c r="E75">
        <f t="shared" si="52"/>
        <v>17048</v>
      </c>
      <c r="F75">
        <f t="shared" si="52"/>
        <v>20247.03</v>
      </c>
      <c r="G75">
        <f t="shared" si="52"/>
        <v>23284.084499999997</v>
      </c>
      <c r="H75">
        <f t="shared" si="52"/>
        <v>26613.708583499996</v>
      </c>
      <c r="I75">
        <f t="shared" si="52"/>
        <v>29913.808447853997</v>
      </c>
      <c r="J75">
        <f t="shared" si="52"/>
        <v>33234.241185565792</v>
      </c>
      <c r="K75">
        <f t="shared" si="52"/>
        <v>36923.241957163591</v>
      </c>
      <c r="L75">
        <f t="shared" si="52"/>
        <v>41021.721814408753</v>
      </c>
      <c r="M75">
        <f t="shared" si="52"/>
        <v>45575.132935808128</v>
      </c>
      <c r="N75">
        <f t="shared" si="52"/>
        <v>50633.972691682829</v>
      </c>
      <c r="O75">
        <f t="shared" si="52"/>
        <v>56254.343660459621</v>
      </c>
    </row>
    <row r="76" spans="1:16" ht="15" customHeight="1" x14ac:dyDescent="0.2">
      <c r="B76" s="14" t="s">
        <v>108</v>
      </c>
      <c r="C76">
        <f>C93</f>
        <v>11534</v>
      </c>
      <c r="D76">
        <f t="shared" ref="D76:O76" si="53">D93</f>
        <v>14770</v>
      </c>
      <c r="E76">
        <f t="shared" si="53"/>
        <v>16085</v>
      </c>
      <c r="F76">
        <f t="shared" si="53"/>
        <v>18137.964375</v>
      </c>
      <c r="G76">
        <f t="shared" si="53"/>
        <v>20858.659031249997</v>
      </c>
      <c r="H76">
        <f t="shared" si="53"/>
        <v>23841.447272718746</v>
      </c>
      <c r="I76">
        <f t="shared" si="53"/>
        <v>26797.786734535875</v>
      </c>
      <c r="J76">
        <f t="shared" si="53"/>
        <v>29772.341062069354</v>
      </c>
      <c r="K76">
        <f t="shared" si="53"/>
        <v>33077.070919959049</v>
      </c>
      <c r="L76">
        <f t="shared" si="53"/>
        <v>36748.625792074505</v>
      </c>
      <c r="M76">
        <f t="shared" si="53"/>
        <v>40827.72325499478</v>
      </c>
      <c r="N76">
        <f t="shared" si="53"/>
        <v>45359.6005362992</v>
      </c>
      <c r="O76">
        <f t="shared" si="53"/>
        <v>50394.516195828415</v>
      </c>
    </row>
    <row r="77" spans="1:16" ht="15" customHeight="1" x14ac:dyDescent="0.2">
      <c r="B77" s="14" t="s">
        <v>106</v>
      </c>
      <c r="C77">
        <f>C75-C76</f>
        <v>3905</v>
      </c>
      <c r="D77">
        <f t="shared" ref="D77:O77" si="54">D75-D76</f>
        <v>-509</v>
      </c>
      <c r="E77">
        <f t="shared" si="54"/>
        <v>963</v>
      </c>
      <c r="F77">
        <f t="shared" si="54"/>
        <v>2109.0656249999993</v>
      </c>
      <c r="G77">
        <f t="shared" si="54"/>
        <v>2425.4254687499997</v>
      </c>
      <c r="H77">
        <f t="shared" si="54"/>
        <v>2772.2613107812504</v>
      </c>
      <c r="I77">
        <f t="shared" si="54"/>
        <v>3116.0217133181213</v>
      </c>
      <c r="J77">
        <f t="shared" si="54"/>
        <v>3461.900123496438</v>
      </c>
      <c r="K77">
        <f t="shared" si="54"/>
        <v>3846.1710372045418</v>
      </c>
      <c r="L77">
        <f t="shared" si="54"/>
        <v>4273.0960223342481</v>
      </c>
      <c r="M77">
        <f t="shared" si="54"/>
        <v>4747.4096808133472</v>
      </c>
      <c r="N77">
        <f t="shared" si="54"/>
        <v>5274.3721553836294</v>
      </c>
      <c r="O77">
        <f t="shared" si="54"/>
        <v>5859.8274646312057</v>
      </c>
    </row>
    <row r="79" spans="1:16" ht="15" customHeight="1" x14ac:dyDescent="0.2">
      <c r="A79" s="80" t="s">
        <v>30</v>
      </c>
    </row>
    <row r="80" spans="1:16" ht="15" customHeight="1" x14ac:dyDescent="0.2">
      <c r="A80" s="80" t="s">
        <v>174</v>
      </c>
      <c r="B80" s="14" t="s">
        <v>110</v>
      </c>
      <c r="C80" s="72">
        <v>17628</v>
      </c>
      <c r="D80" s="75">
        <v>18347</v>
      </c>
      <c r="E80" s="72">
        <v>16549</v>
      </c>
      <c r="F80">
        <f ca="1">F125</f>
        <v>22450.655861680843</v>
      </c>
      <c r="G80">
        <f t="shared" ref="G80:O80" ca="1" si="55">G125</f>
        <v>36207.539559203782</v>
      </c>
      <c r="H80">
        <f t="shared" ca="1" si="55"/>
        <v>52222.278370315733</v>
      </c>
      <c r="I80">
        <f t="shared" ca="1" si="55"/>
        <v>70501.434529962746</v>
      </c>
      <c r="J80">
        <f t="shared" ca="1" si="55"/>
        <v>91171.189109019746</v>
      </c>
      <c r="K80">
        <f t="shared" ca="1" si="55"/>
        <v>114294.86950313204</v>
      </c>
      <c r="L80">
        <f t="shared" ca="1" si="55"/>
        <v>140382.74376762784</v>
      </c>
      <c r="M80">
        <f t="shared" ca="1" si="55"/>
        <v>169693.87957393928</v>
      </c>
      <c r="N80">
        <f t="shared" ca="1" si="55"/>
        <v>202528.20261582095</v>
      </c>
      <c r="O80">
        <f t="shared" ca="1" si="55"/>
        <v>239228.93828726298</v>
      </c>
    </row>
    <row r="81" spans="1:17" ht="15" customHeight="1" x14ac:dyDescent="0.2">
      <c r="B81" s="14" t="s">
        <v>111</v>
      </c>
      <c r="C81" s="72">
        <v>39819</v>
      </c>
      <c r="D81" s="75">
        <v>46048</v>
      </c>
      <c r="E81" s="72">
        <v>56517</v>
      </c>
      <c r="F81">
        <f>F51+E81</f>
        <v>56517</v>
      </c>
      <c r="G81">
        <f t="shared" ref="G81:O81" si="56">G51+F81</f>
        <v>56517</v>
      </c>
      <c r="H81">
        <f t="shared" si="56"/>
        <v>56517</v>
      </c>
      <c r="I81">
        <f t="shared" si="56"/>
        <v>56517</v>
      </c>
      <c r="J81">
        <f t="shared" si="56"/>
        <v>56517</v>
      </c>
      <c r="K81">
        <f t="shared" si="56"/>
        <v>56517</v>
      </c>
      <c r="L81">
        <f t="shared" si="56"/>
        <v>56517</v>
      </c>
      <c r="M81">
        <f t="shared" si="56"/>
        <v>56517</v>
      </c>
      <c r="N81">
        <f t="shared" si="56"/>
        <v>56517</v>
      </c>
      <c r="O81">
        <f t="shared" si="56"/>
        <v>56517</v>
      </c>
    </row>
    <row r="82" spans="1:17" ht="15" customHeight="1" x14ac:dyDescent="0.2">
      <c r="B82" s="14" t="s">
        <v>107</v>
      </c>
      <c r="C82" s="72">
        <v>15439</v>
      </c>
      <c r="D82" s="75">
        <v>14261</v>
      </c>
      <c r="E82" s="72">
        <f>90114-E80-E81</f>
        <v>17048</v>
      </c>
      <c r="F82">
        <f>F52*F20</f>
        <v>20247.03</v>
      </c>
      <c r="G82">
        <f t="shared" ref="G82:O82" si="57">G52*G20</f>
        <v>23284.084499999997</v>
      </c>
      <c r="H82">
        <f t="shared" si="57"/>
        <v>26613.708583499996</v>
      </c>
      <c r="I82">
        <f t="shared" si="57"/>
        <v>29913.808447853997</v>
      </c>
      <c r="J82">
        <f t="shared" si="57"/>
        <v>33234.241185565792</v>
      </c>
      <c r="K82">
        <f t="shared" si="57"/>
        <v>36923.241957163591</v>
      </c>
      <c r="L82">
        <f t="shared" si="57"/>
        <v>41021.721814408753</v>
      </c>
      <c r="M82">
        <f t="shared" si="57"/>
        <v>45575.132935808128</v>
      </c>
      <c r="N82">
        <f t="shared" si="57"/>
        <v>50633.972691682829</v>
      </c>
      <c r="O82">
        <f t="shared" si="57"/>
        <v>56254.343660459621</v>
      </c>
    </row>
    <row r="83" spans="1:17" ht="15" customHeight="1" x14ac:dyDescent="0.2">
      <c r="B83" s="14" t="s">
        <v>117</v>
      </c>
      <c r="C83" s="71">
        <f>SUM(C80:C82)</f>
        <v>72886</v>
      </c>
      <c r="D83" s="71">
        <f t="shared" ref="D83:O83" si="58">SUM(D80:D82)</f>
        <v>78656</v>
      </c>
      <c r="E83" s="71">
        <f t="shared" si="58"/>
        <v>90114</v>
      </c>
      <c r="F83" s="71">
        <f t="shared" ca="1" si="58"/>
        <v>99214.685861680846</v>
      </c>
      <c r="G83" s="71">
        <f t="shared" ca="1" si="58"/>
        <v>116008.62405920378</v>
      </c>
      <c r="H83" s="71">
        <f t="shared" ca="1" si="58"/>
        <v>135352.98695381574</v>
      </c>
      <c r="I83" s="71">
        <f t="shared" ca="1" si="58"/>
        <v>156932.24297781673</v>
      </c>
      <c r="J83" s="71">
        <f t="shared" ca="1" si="58"/>
        <v>180922.43029458556</v>
      </c>
      <c r="K83" s="71">
        <f t="shared" ca="1" si="58"/>
        <v>207735.11146029562</v>
      </c>
      <c r="L83" s="71">
        <f t="shared" ca="1" si="58"/>
        <v>237921.46558203659</v>
      </c>
      <c r="M83" s="71">
        <f t="shared" ca="1" si="58"/>
        <v>271786.01250974741</v>
      </c>
      <c r="N83" s="71">
        <f t="shared" ca="1" si="58"/>
        <v>309679.17530750379</v>
      </c>
      <c r="O83" s="71">
        <f t="shared" ca="1" si="58"/>
        <v>352000.2819477226</v>
      </c>
    </row>
    <row r="85" spans="1:17" ht="15" customHeight="1" x14ac:dyDescent="0.2">
      <c r="A85" s="80" t="s">
        <v>174</v>
      </c>
      <c r="B85" s="14" t="s">
        <v>112</v>
      </c>
      <c r="C85" s="72">
        <v>16524</v>
      </c>
      <c r="D85" s="75">
        <v>23883</v>
      </c>
      <c r="E85" s="72">
        <v>29016</v>
      </c>
      <c r="F85">
        <f>F64</f>
        <v>36650.625750000007</v>
      </c>
      <c r="G85">
        <f t="shared" ref="G85:O85" si="59">G64</f>
        <v>44862.620307750003</v>
      </c>
      <c r="H85">
        <f t="shared" si="59"/>
        <v>53734.954859196747</v>
      </c>
      <c r="I85">
        <f t="shared" si="59"/>
        <v>63134.937948464467</v>
      </c>
      <c r="J85">
        <f t="shared" si="59"/>
        <v>72983.994424358738</v>
      </c>
      <c r="K85">
        <f t="shared" si="59"/>
        <v>83434.789612171924</v>
      </c>
      <c r="L85">
        <f t="shared" si="59"/>
        <v>94639.147143271664</v>
      </c>
      <c r="M85">
        <f t="shared" si="59"/>
        <v>106751.03277236575</v>
      </c>
      <c r="N85">
        <f t="shared" si="59"/>
        <v>119929.33703504824</v>
      </c>
      <c r="O85">
        <f t="shared" si="59"/>
        <v>134340.52651577219</v>
      </c>
      <c r="P85" s="84">
        <v>25</v>
      </c>
    </row>
    <row r="86" spans="1:17" ht="15" customHeight="1" x14ac:dyDescent="0.2">
      <c r="B86" s="14" t="s">
        <v>118</v>
      </c>
      <c r="C86" s="72">
        <v>1976</v>
      </c>
      <c r="D86" s="75">
        <v>3079</v>
      </c>
      <c r="E86" s="72">
        <v>5183</v>
      </c>
      <c r="F86">
        <f>F54+E86</f>
        <v>5183</v>
      </c>
      <c r="G86">
        <f t="shared" ref="G86:O86" si="60">G54+F86</f>
        <v>5183</v>
      </c>
      <c r="H86">
        <f t="shared" si="60"/>
        <v>5183</v>
      </c>
      <c r="I86">
        <f t="shared" si="60"/>
        <v>5183</v>
      </c>
      <c r="J86">
        <f t="shared" si="60"/>
        <v>5183</v>
      </c>
      <c r="K86">
        <f t="shared" si="60"/>
        <v>5183</v>
      </c>
      <c r="L86">
        <f t="shared" si="60"/>
        <v>5183</v>
      </c>
      <c r="M86">
        <f t="shared" si="60"/>
        <v>5183</v>
      </c>
      <c r="N86">
        <f t="shared" si="60"/>
        <v>5183</v>
      </c>
      <c r="O86">
        <f t="shared" si="60"/>
        <v>5183</v>
      </c>
    </row>
    <row r="87" spans="1:17" ht="15" customHeight="1" x14ac:dyDescent="0.2">
      <c r="B87" s="14" t="s">
        <v>113</v>
      </c>
      <c r="C87" s="72">
        <v>11492</v>
      </c>
      <c r="D87" s="75">
        <v>15599</v>
      </c>
      <c r="E87" s="72">
        <v>15869</v>
      </c>
      <c r="F87">
        <f>E87</f>
        <v>15869</v>
      </c>
      <c r="G87">
        <f t="shared" ref="G87:O87" si="61">F87</f>
        <v>15869</v>
      </c>
      <c r="H87">
        <f t="shared" si="61"/>
        <v>15869</v>
      </c>
      <c r="I87">
        <f t="shared" si="61"/>
        <v>15869</v>
      </c>
      <c r="J87">
        <f t="shared" si="61"/>
        <v>15869</v>
      </c>
      <c r="K87">
        <f t="shared" si="61"/>
        <v>15869</v>
      </c>
      <c r="L87">
        <f t="shared" si="61"/>
        <v>15869</v>
      </c>
      <c r="M87">
        <f t="shared" si="61"/>
        <v>15869</v>
      </c>
      <c r="N87">
        <f t="shared" si="61"/>
        <v>15869</v>
      </c>
      <c r="O87">
        <f t="shared" si="61"/>
        <v>15869</v>
      </c>
      <c r="Q87" t="s">
        <v>175</v>
      </c>
    </row>
    <row r="88" spans="1:17" ht="15" customHeight="1" x14ac:dyDescent="0.2">
      <c r="A88" s="80" t="s">
        <v>174</v>
      </c>
      <c r="B88" s="14" t="s">
        <v>114</v>
      </c>
      <c r="C88" s="72">
        <v>6066</v>
      </c>
      <c r="D88" s="75">
        <v>4607</v>
      </c>
      <c r="E88" s="72">
        <v>3847</v>
      </c>
      <c r="F88">
        <f>F68</f>
        <v>3041</v>
      </c>
      <c r="G88">
        <f t="shared" ref="G88:O88" si="62">G68</f>
        <v>2317</v>
      </c>
      <c r="H88">
        <f t="shared" si="62"/>
        <v>1680</v>
      </c>
      <c r="I88">
        <f t="shared" si="62"/>
        <v>1152</v>
      </c>
      <c r="J88">
        <f t="shared" si="62"/>
        <v>718</v>
      </c>
      <c r="K88">
        <f t="shared" si="62"/>
        <v>574.4</v>
      </c>
      <c r="L88">
        <f t="shared" si="62"/>
        <v>430.79999999999995</v>
      </c>
      <c r="M88">
        <f t="shared" si="62"/>
        <v>287.19999999999993</v>
      </c>
      <c r="N88">
        <f t="shared" si="62"/>
        <v>143.59999999999994</v>
      </c>
      <c r="O88">
        <f t="shared" si="62"/>
        <v>0</v>
      </c>
      <c r="P88" s="84">
        <v>26</v>
      </c>
    </row>
    <row r="89" spans="1:17" ht="15" customHeight="1" x14ac:dyDescent="0.2">
      <c r="B89" s="14" t="s">
        <v>119</v>
      </c>
      <c r="C89" s="72">
        <v>1976</v>
      </c>
      <c r="D89" s="75">
        <v>3363</v>
      </c>
      <c r="E89" s="72">
        <f>3181+251</f>
        <v>3432</v>
      </c>
      <c r="F89">
        <f>F55</f>
        <v>3432</v>
      </c>
      <c r="G89">
        <f t="shared" ref="G89:O89" si="63">G55</f>
        <v>3432</v>
      </c>
      <c r="H89">
        <f t="shared" si="63"/>
        <v>3432</v>
      </c>
      <c r="I89">
        <f t="shared" si="63"/>
        <v>3432</v>
      </c>
      <c r="J89">
        <f t="shared" si="63"/>
        <v>3432</v>
      </c>
      <c r="K89">
        <f t="shared" si="63"/>
        <v>3432</v>
      </c>
      <c r="L89">
        <f t="shared" si="63"/>
        <v>3432</v>
      </c>
      <c r="M89">
        <f t="shared" si="63"/>
        <v>3432</v>
      </c>
      <c r="N89">
        <f t="shared" si="63"/>
        <v>3432</v>
      </c>
      <c r="O89">
        <f t="shared" si="63"/>
        <v>3432</v>
      </c>
    </row>
    <row r="90" spans="1:17" ht="15" customHeight="1" x14ac:dyDescent="0.2">
      <c r="B90" s="14" t="s">
        <v>31</v>
      </c>
      <c r="C90" s="71">
        <f>SUM(C85:C89,C83)</f>
        <v>110920</v>
      </c>
      <c r="D90" s="71">
        <f t="shared" ref="D90:O90" si="64">SUM(D85:D89,D83)</f>
        <v>129187</v>
      </c>
      <c r="E90" s="71">
        <f t="shared" si="64"/>
        <v>147461</v>
      </c>
      <c r="F90" s="71">
        <f t="shared" ca="1" si="64"/>
        <v>163390.31161168084</v>
      </c>
      <c r="G90" s="71">
        <f t="shared" ca="1" si="64"/>
        <v>187672.24436695379</v>
      </c>
      <c r="H90" s="71">
        <f t="shared" ca="1" si="64"/>
        <v>215251.94181301247</v>
      </c>
      <c r="I90" s="71">
        <f t="shared" ca="1" si="64"/>
        <v>245703.1809262812</v>
      </c>
      <c r="J90" s="71">
        <f t="shared" ca="1" si="64"/>
        <v>279108.4247189443</v>
      </c>
      <c r="K90" s="71">
        <f t="shared" ca="1" si="64"/>
        <v>316228.30107246753</v>
      </c>
      <c r="L90" s="71">
        <f t="shared" ca="1" si="64"/>
        <v>357475.41272530827</v>
      </c>
      <c r="M90" s="71">
        <f t="shared" ca="1" si="64"/>
        <v>403308.24528211314</v>
      </c>
      <c r="N90" s="71">
        <f t="shared" ca="1" si="64"/>
        <v>454236.11234255205</v>
      </c>
      <c r="O90" s="71">
        <f t="shared" ca="1" si="64"/>
        <v>510824.80846349476</v>
      </c>
    </row>
    <row r="92" spans="1:17" ht="15" customHeight="1" x14ac:dyDescent="0.2">
      <c r="A92" s="80" t="s">
        <v>174</v>
      </c>
      <c r="B92" s="14" t="s">
        <v>120</v>
      </c>
      <c r="C92" s="72">
        <v>3374</v>
      </c>
      <c r="D92" s="72">
        <v>2009</v>
      </c>
      <c r="E92">
        <f>E157</f>
        <v>2000</v>
      </c>
      <c r="F92">
        <f ca="1">F157</f>
        <v>0</v>
      </c>
      <c r="G92">
        <f t="shared" ref="G92:O92" ca="1" si="65">G157</f>
        <v>0</v>
      </c>
      <c r="H92">
        <f t="shared" ca="1" si="65"/>
        <v>0</v>
      </c>
      <c r="I92">
        <f t="shared" ca="1" si="65"/>
        <v>0</v>
      </c>
      <c r="J92">
        <f t="shared" ca="1" si="65"/>
        <v>0</v>
      </c>
      <c r="K92">
        <f t="shared" ca="1" si="65"/>
        <v>0</v>
      </c>
      <c r="L92">
        <f t="shared" ca="1" si="65"/>
        <v>0</v>
      </c>
      <c r="M92">
        <f t="shared" ca="1" si="65"/>
        <v>0</v>
      </c>
      <c r="N92">
        <f t="shared" ca="1" si="65"/>
        <v>0</v>
      </c>
      <c r="O92">
        <f t="shared" ca="1" si="65"/>
        <v>0</v>
      </c>
      <c r="P92" s="84">
        <v>80</v>
      </c>
    </row>
    <row r="93" spans="1:17" ht="15" customHeight="1" x14ac:dyDescent="0.2">
      <c r="B93" s="14" t="s">
        <v>108</v>
      </c>
      <c r="C93" s="72">
        <v>11534</v>
      </c>
      <c r="D93" s="72">
        <f>16779-D92</f>
        <v>14770</v>
      </c>
      <c r="E93" s="72">
        <f>19310-3225</f>
        <v>16085</v>
      </c>
      <c r="F93">
        <f>F57*F20</f>
        <v>18137.964375</v>
      </c>
      <c r="G93">
        <f t="shared" ref="G93:O93" si="66">G57*G20</f>
        <v>20858.659031249997</v>
      </c>
      <c r="H93">
        <f t="shared" si="66"/>
        <v>23841.447272718746</v>
      </c>
      <c r="I93">
        <f t="shared" si="66"/>
        <v>26797.786734535875</v>
      </c>
      <c r="J93">
        <f t="shared" si="66"/>
        <v>29772.341062069354</v>
      </c>
      <c r="K93">
        <f t="shared" si="66"/>
        <v>33077.070919959049</v>
      </c>
      <c r="L93">
        <f t="shared" si="66"/>
        <v>36748.625792074505</v>
      </c>
      <c r="M93">
        <f t="shared" si="66"/>
        <v>40827.72325499478</v>
      </c>
      <c r="N93">
        <f t="shared" si="66"/>
        <v>45359.6005362992</v>
      </c>
      <c r="O93">
        <f t="shared" si="66"/>
        <v>50394.516195828415</v>
      </c>
    </row>
    <row r="94" spans="1:17" ht="15" customHeight="1" x14ac:dyDescent="0.2">
      <c r="B94" s="14" t="s">
        <v>121</v>
      </c>
      <c r="C94" s="71">
        <f>SUM(C92:C93)</f>
        <v>14908</v>
      </c>
      <c r="D94" s="71">
        <f t="shared" ref="D94:F94" si="67">SUM(D92:D93)</f>
        <v>16779</v>
      </c>
      <c r="E94" s="71">
        <f t="shared" si="67"/>
        <v>18085</v>
      </c>
      <c r="F94" s="71">
        <f t="shared" ca="1" si="67"/>
        <v>18137.964375</v>
      </c>
      <c r="G94" s="71">
        <f t="shared" ref="G94" ca="1" si="68">SUM(G92:G93)</f>
        <v>20858.659031249997</v>
      </c>
      <c r="H94" s="71">
        <f t="shared" ref="H94" ca="1" si="69">SUM(H92:H93)</f>
        <v>23841.447272718746</v>
      </c>
      <c r="I94" s="71">
        <f t="shared" ref="I94" ca="1" si="70">SUM(I92:I93)</f>
        <v>26797.786734535875</v>
      </c>
      <c r="J94" s="71">
        <f t="shared" ref="J94" ca="1" si="71">SUM(J92:J93)</f>
        <v>29772.341062069354</v>
      </c>
      <c r="K94" s="71">
        <f t="shared" ref="K94" ca="1" si="72">SUM(K92:K93)</f>
        <v>33077.070919959049</v>
      </c>
      <c r="L94" s="71">
        <f t="shared" ref="L94" ca="1" si="73">SUM(L92:L93)</f>
        <v>36748.625792074505</v>
      </c>
      <c r="M94" s="71">
        <f t="shared" ref="M94" ca="1" si="74">SUM(M92:M93)</f>
        <v>40827.72325499478</v>
      </c>
      <c r="N94" s="71">
        <f t="shared" ref="N94" ca="1" si="75">SUM(N92:N93)</f>
        <v>45359.6005362992</v>
      </c>
      <c r="O94" s="71">
        <f t="shared" ref="O94" ca="1" si="76">SUM(O92:O93)</f>
        <v>50394.516195828415</v>
      </c>
    </row>
    <row r="96" spans="1:17" ht="15" customHeight="1" x14ac:dyDescent="0.2">
      <c r="A96" s="80" t="s">
        <v>174</v>
      </c>
      <c r="B96" s="14" t="s">
        <v>167</v>
      </c>
      <c r="C96" s="72">
        <f>2990+246</f>
        <v>3236</v>
      </c>
      <c r="D96" s="72">
        <v>3228</v>
      </c>
      <c r="E96">
        <f>SUM(E166,E173,E180,E187)</f>
        <v>3225</v>
      </c>
      <c r="F96">
        <f ca="1">F166+F173+F180+F187</f>
        <v>0</v>
      </c>
      <c r="G96">
        <f t="shared" ref="G96:O96" ca="1" si="77">G166+G173+G180+G187</f>
        <v>0</v>
      </c>
      <c r="H96">
        <f t="shared" ca="1" si="77"/>
        <v>0</v>
      </c>
      <c r="I96">
        <f t="shared" ca="1" si="77"/>
        <v>0</v>
      </c>
      <c r="J96">
        <f t="shared" ca="1" si="77"/>
        <v>0</v>
      </c>
      <c r="K96">
        <f t="shared" ca="1" si="77"/>
        <v>0</v>
      </c>
      <c r="L96">
        <f t="shared" ca="1" si="77"/>
        <v>0</v>
      </c>
      <c r="M96">
        <f t="shared" ca="1" si="77"/>
        <v>0</v>
      </c>
      <c r="N96">
        <f t="shared" ca="1" si="77"/>
        <v>0</v>
      </c>
      <c r="O96">
        <f t="shared" ca="1" si="77"/>
        <v>0</v>
      </c>
      <c r="P96" s="84">
        <v>81</v>
      </c>
    </row>
    <row r="97" spans="1:16" ht="15" customHeight="1" x14ac:dyDescent="0.2">
      <c r="B97" s="14" t="s">
        <v>122</v>
      </c>
      <c r="C97" s="72">
        <v>5467</v>
      </c>
      <c r="D97" s="72">
        <f>104+3340+758+1118</f>
        <v>5320</v>
      </c>
      <c r="E97" s="72">
        <f>151+3663+189+1822-5</f>
        <v>5820</v>
      </c>
      <c r="F97">
        <f>F58*F20</f>
        <v>7170.8231250000008</v>
      </c>
      <c r="G97">
        <f t="shared" ref="G97:O97" si="78">G58*G20</f>
        <v>8246.446593749999</v>
      </c>
      <c r="H97">
        <f t="shared" si="78"/>
        <v>9425.6884566562494</v>
      </c>
      <c r="I97">
        <f t="shared" si="78"/>
        <v>10594.473825281626</v>
      </c>
      <c r="J97">
        <f t="shared" si="78"/>
        <v>11770.460419887886</v>
      </c>
      <c r="K97">
        <f t="shared" si="78"/>
        <v>13076.981526495441</v>
      </c>
      <c r="L97">
        <f t="shared" si="78"/>
        <v>14528.526475936435</v>
      </c>
      <c r="M97">
        <f t="shared" si="78"/>
        <v>16141.192914765379</v>
      </c>
      <c r="N97">
        <f t="shared" si="78"/>
        <v>17932.865328304335</v>
      </c>
      <c r="O97">
        <f t="shared" si="78"/>
        <v>19923.413379746118</v>
      </c>
    </row>
    <row r="98" spans="1:16" ht="15" customHeight="1" x14ac:dyDescent="0.2">
      <c r="B98" s="14" t="s">
        <v>32</v>
      </c>
      <c r="C98" s="71">
        <f>SUM(C96:C97,C94)</f>
        <v>23611</v>
      </c>
      <c r="D98" s="71">
        <f t="shared" ref="D98:O98" si="79">SUM(D96:D97,D94)</f>
        <v>25327</v>
      </c>
      <c r="E98" s="71">
        <f t="shared" si="79"/>
        <v>27130</v>
      </c>
      <c r="F98" s="71">
        <f t="shared" ca="1" si="79"/>
        <v>25308.787499999999</v>
      </c>
      <c r="G98" s="71">
        <f t="shared" ca="1" si="79"/>
        <v>29105.105624999997</v>
      </c>
      <c r="H98" s="71">
        <f t="shared" ca="1" si="79"/>
        <v>33267.135729374997</v>
      </c>
      <c r="I98" s="71">
        <f t="shared" ca="1" si="79"/>
        <v>37392.2605598175</v>
      </c>
      <c r="J98" s="71">
        <f t="shared" ca="1" si="79"/>
        <v>41542.801481957242</v>
      </c>
      <c r="K98" s="71">
        <f t="shared" ca="1" si="79"/>
        <v>46154.052446454487</v>
      </c>
      <c r="L98" s="71">
        <f t="shared" ca="1" si="79"/>
        <v>51277.152268010941</v>
      </c>
      <c r="M98" s="71">
        <f t="shared" ca="1" si="79"/>
        <v>56968.916169760159</v>
      </c>
      <c r="N98" s="71">
        <f t="shared" ca="1" si="79"/>
        <v>63292.465864603539</v>
      </c>
      <c r="O98" s="71">
        <f t="shared" ca="1" si="79"/>
        <v>70317.929575574526</v>
      </c>
    </row>
    <row r="100" spans="1:16" ht="15" customHeight="1" x14ac:dyDescent="0.2">
      <c r="A100" s="80" t="s">
        <v>174</v>
      </c>
      <c r="B100" s="14" t="s">
        <v>115</v>
      </c>
      <c r="C100" s="72">
        <v>87309</v>
      </c>
      <c r="D100" s="72">
        <v>103860</v>
      </c>
      <c r="E100" s="72">
        <v>120331</v>
      </c>
      <c r="F100">
        <f ca="1">F73</f>
        <v>138081.52411168083</v>
      </c>
      <c r="G100">
        <f t="shared" ref="G100:O100" ca="1" si="80">G73</f>
        <v>158567.13874195376</v>
      </c>
      <c r="H100">
        <f t="shared" ca="1" si="80"/>
        <v>181984.80608363746</v>
      </c>
      <c r="I100">
        <f t="shared" ca="1" si="80"/>
        <v>208310.92036646369</v>
      </c>
      <c r="J100">
        <f t="shared" ca="1" si="80"/>
        <v>237565.62323698701</v>
      </c>
      <c r="K100">
        <f t="shared" ca="1" si="80"/>
        <v>270074.24862601305</v>
      </c>
      <c r="L100">
        <f t="shared" ca="1" si="80"/>
        <v>306198.26045729732</v>
      </c>
      <c r="M100">
        <f t="shared" ca="1" si="80"/>
        <v>346339.32911235298</v>
      </c>
      <c r="N100">
        <f t="shared" ca="1" si="80"/>
        <v>390943.64647794847</v>
      </c>
      <c r="O100">
        <f t="shared" ca="1" si="80"/>
        <v>440506.87888792017</v>
      </c>
      <c r="P100" s="84">
        <v>27</v>
      </c>
    </row>
    <row r="101" spans="1:16" ht="15" customHeight="1" x14ac:dyDescent="0.2">
      <c r="B101" s="14" t="s">
        <v>33</v>
      </c>
      <c r="C101" s="71">
        <f>C100+C98</f>
        <v>110920</v>
      </c>
      <c r="D101" s="71">
        <f t="shared" ref="D101:O101" si="81">D100+D98</f>
        <v>129187</v>
      </c>
      <c r="E101" s="71">
        <f t="shared" si="81"/>
        <v>147461</v>
      </c>
      <c r="F101" s="71">
        <f t="shared" ca="1" si="81"/>
        <v>163390.31161168084</v>
      </c>
      <c r="G101" s="71">
        <f t="shared" ca="1" si="81"/>
        <v>187672.24436695376</v>
      </c>
      <c r="H101" s="71">
        <f t="shared" ca="1" si="81"/>
        <v>215251.94181301247</v>
      </c>
      <c r="I101" s="71">
        <f t="shared" ca="1" si="81"/>
        <v>245703.1809262812</v>
      </c>
      <c r="J101" s="71">
        <f t="shared" ca="1" si="81"/>
        <v>279108.42471894424</v>
      </c>
      <c r="K101" s="71">
        <f t="shared" ca="1" si="81"/>
        <v>316228.30107246753</v>
      </c>
      <c r="L101" s="71">
        <f t="shared" ca="1" si="81"/>
        <v>357475.41272530827</v>
      </c>
      <c r="M101" s="71">
        <f t="shared" ca="1" si="81"/>
        <v>403308.24528211314</v>
      </c>
      <c r="N101" s="71">
        <f t="shared" ca="1" si="81"/>
        <v>454236.11234255199</v>
      </c>
      <c r="O101" s="71">
        <f t="shared" ca="1" si="81"/>
        <v>510824.8084634947</v>
      </c>
    </row>
    <row r="103" spans="1:16" ht="15" customHeight="1" x14ac:dyDescent="0.2">
      <c r="B103" s="14" t="s">
        <v>116</v>
      </c>
      <c r="C103">
        <f>C101-C90</f>
        <v>0</v>
      </c>
      <c r="D103">
        <f t="shared" ref="D103:O103" si="82">D101-D90</f>
        <v>0</v>
      </c>
      <c r="E103">
        <f t="shared" si="82"/>
        <v>0</v>
      </c>
      <c r="F103">
        <f t="shared" ca="1" si="82"/>
        <v>0</v>
      </c>
      <c r="G103">
        <f t="shared" ca="1" si="82"/>
        <v>0</v>
      </c>
      <c r="H103">
        <f t="shared" ca="1" si="82"/>
        <v>0</v>
      </c>
      <c r="I103">
        <f t="shared" ca="1" si="82"/>
        <v>0</v>
      </c>
      <c r="J103">
        <f t="shared" ca="1" si="82"/>
        <v>0</v>
      </c>
      <c r="K103">
        <f t="shared" ca="1" si="82"/>
        <v>0</v>
      </c>
      <c r="L103">
        <f t="shared" ca="1" si="82"/>
        <v>0</v>
      </c>
      <c r="M103">
        <f t="shared" ca="1" si="82"/>
        <v>0</v>
      </c>
      <c r="N103">
        <f t="shared" ca="1" si="82"/>
        <v>0</v>
      </c>
      <c r="O103">
        <f t="shared" ca="1" si="82"/>
        <v>0</v>
      </c>
      <c r="P103" s="84">
        <v>45</v>
      </c>
    </row>
    <row r="105" spans="1:16" ht="15" customHeight="1" x14ac:dyDescent="0.2">
      <c r="A105" s="80" t="s">
        <v>50</v>
      </c>
    </row>
    <row r="106" spans="1:16" ht="15" customHeight="1" x14ac:dyDescent="0.2">
      <c r="B106" s="14" t="s">
        <v>29</v>
      </c>
      <c r="F106">
        <f ca="1">F41</f>
        <v>17750.524111680839</v>
      </c>
      <c r="G106">
        <f t="shared" ref="G106:O106" ca="1" si="83">G41</f>
        <v>20485.614630272936</v>
      </c>
      <c r="H106">
        <f t="shared" ca="1" si="83"/>
        <v>23417.667341683697</v>
      </c>
      <c r="I106">
        <f t="shared" ca="1" si="83"/>
        <v>26326.11428282622</v>
      </c>
      <c r="J106">
        <f t="shared" ca="1" si="83"/>
        <v>29254.702870523317</v>
      </c>
      <c r="K106">
        <f t="shared" ca="1" si="83"/>
        <v>32508.625389026027</v>
      </c>
      <c r="L106">
        <f t="shared" ca="1" si="83"/>
        <v>36124.011831284246</v>
      </c>
      <c r="M106">
        <f t="shared" ca="1" si="83"/>
        <v>40141.068655055678</v>
      </c>
      <c r="N106">
        <f t="shared" ca="1" si="83"/>
        <v>44604.317365595489</v>
      </c>
      <c r="O106">
        <f t="shared" ca="1" si="83"/>
        <v>49563.232409971737</v>
      </c>
      <c r="P106" s="84">
        <v>28</v>
      </c>
    </row>
    <row r="107" spans="1:16" ht="15" customHeight="1" x14ac:dyDescent="0.2">
      <c r="B107" s="14" t="s">
        <v>86</v>
      </c>
      <c r="F107">
        <f>F63*-1</f>
        <v>5019.768</v>
      </c>
      <c r="G107">
        <f t="shared" ref="G107:O107" si="84">G63*-1</f>
        <v>6340.5582547500007</v>
      </c>
      <c r="H107">
        <f t="shared" si="84"/>
        <v>7761.2333132407502</v>
      </c>
      <c r="I107">
        <f t="shared" si="84"/>
        <v>9296.147190641037</v>
      </c>
      <c r="J107">
        <f t="shared" si="84"/>
        <v>10922.344265084352</v>
      </c>
      <c r="K107">
        <f t="shared" si="84"/>
        <v>12626.231035414061</v>
      </c>
      <c r="L107">
        <f t="shared" si="84"/>
        <v>14434.218602905741</v>
      </c>
      <c r="M107">
        <f t="shared" si="84"/>
        <v>16372.572455785998</v>
      </c>
      <c r="N107">
        <f t="shared" si="84"/>
        <v>18467.928669619276</v>
      </c>
      <c r="O107">
        <f t="shared" si="84"/>
        <v>20747.775307063344</v>
      </c>
      <c r="P107" s="84">
        <v>29</v>
      </c>
    </row>
    <row r="108" spans="1:16" ht="15" customHeight="1" x14ac:dyDescent="0.2">
      <c r="B108" s="14" t="s">
        <v>87</v>
      </c>
      <c r="F108">
        <f>F67*-1</f>
        <v>806</v>
      </c>
      <c r="G108">
        <f t="shared" ref="G108:O108" si="85">G67*-1</f>
        <v>724</v>
      </c>
      <c r="H108">
        <f t="shared" si="85"/>
        <v>637</v>
      </c>
      <c r="I108">
        <f t="shared" si="85"/>
        <v>528</v>
      </c>
      <c r="J108">
        <f t="shared" si="85"/>
        <v>434</v>
      </c>
      <c r="K108">
        <f t="shared" si="85"/>
        <v>143.6</v>
      </c>
      <c r="L108">
        <f t="shared" si="85"/>
        <v>143.6</v>
      </c>
      <c r="M108">
        <f t="shared" si="85"/>
        <v>143.6</v>
      </c>
      <c r="N108">
        <f t="shared" si="85"/>
        <v>143.6</v>
      </c>
      <c r="O108">
        <f t="shared" si="85"/>
        <v>143.6</v>
      </c>
      <c r="P108" s="84">
        <v>30</v>
      </c>
    </row>
    <row r="109" spans="1:16" ht="15" customHeight="1" x14ac:dyDescent="0.2">
      <c r="B109" s="14" t="s">
        <v>63</v>
      </c>
      <c r="F109">
        <f>E77-F77</f>
        <v>-1146.0656249999993</v>
      </c>
      <c r="G109">
        <f t="shared" ref="G109:O109" si="86">F77-G77</f>
        <v>-316.35984375000044</v>
      </c>
      <c r="H109">
        <f t="shared" si="86"/>
        <v>-346.83584203125065</v>
      </c>
      <c r="I109">
        <f t="shared" si="86"/>
        <v>-343.76040253687097</v>
      </c>
      <c r="J109">
        <f t="shared" si="86"/>
        <v>-345.8784101783167</v>
      </c>
      <c r="K109">
        <f t="shared" si="86"/>
        <v>-384.27091370810376</v>
      </c>
      <c r="L109">
        <f t="shared" si="86"/>
        <v>-426.92498512970633</v>
      </c>
      <c r="M109">
        <f t="shared" si="86"/>
        <v>-474.3136584790991</v>
      </c>
      <c r="N109">
        <f t="shared" si="86"/>
        <v>-526.96247457028221</v>
      </c>
      <c r="O109">
        <f t="shared" si="86"/>
        <v>-585.45530924757622</v>
      </c>
      <c r="P109" s="84">
        <v>31</v>
      </c>
    </row>
    <row r="110" spans="1:16" ht="15" customHeight="1" x14ac:dyDescent="0.2">
      <c r="B110" s="14" t="s">
        <v>132</v>
      </c>
      <c r="F110">
        <f>E89-F89</f>
        <v>0</v>
      </c>
      <c r="G110">
        <f t="shared" ref="G110:O110" si="87">F89-G89</f>
        <v>0</v>
      </c>
      <c r="H110">
        <f t="shared" si="87"/>
        <v>0</v>
      </c>
      <c r="I110">
        <f t="shared" si="87"/>
        <v>0</v>
      </c>
      <c r="J110">
        <f t="shared" si="87"/>
        <v>0</v>
      </c>
      <c r="K110">
        <f t="shared" si="87"/>
        <v>0</v>
      </c>
      <c r="L110">
        <f t="shared" si="87"/>
        <v>0</v>
      </c>
      <c r="M110">
        <f t="shared" si="87"/>
        <v>0</v>
      </c>
      <c r="N110">
        <f t="shared" si="87"/>
        <v>0</v>
      </c>
      <c r="O110">
        <f t="shared" si="87"/>
        <v>0</v>
      </c>
      <c r="P110" s="84">
        <v>32</v>
      </c>
    </row>
    <row r="111" spans="1:16" ht="15" customHeight="1" x14ac:dyDescent="0.2">
      <c r="B111" s="14" t="s">
        <v>133</v>
      </c>
      <c r="F111">
        <f>F97-E97</f>
        <v>1350.8231250000008</v>
      </c>
      <c r="G111">
        <f t="shared" ref="G111:O111" si="88">G97-F97</f>
        <v>1075.6234687499982</v>
      </c>
      <c r="H111">
        <f t="shared" si="88"/>
        <v>1179.2418629062504</v>
      </c>
      <c r="I111">
        <f t="shared" si="88"/>
        <v>1168.7853686253766</v>
      </c>
      <c r="J111">
        <f t="shared" si="88"/>
        <v>1175.98659460626</v>
      </c>
      <c r="K111">
        <f t="shared" si="88"/>
        <v>1306.5211066075553</v>
      </c>
      <c r="L111">
        <f t="shared" si="88"/>
        <v>1451.5449494409932</v>
      </c>
      <c r="M111">
        <f t="shared" si="88"/>
        <v>1612.6664388289446</v>
      </c>
      <c r="N111">
        <f t="shared" si="88"/>
        <v>1791.6724135389559</v>
      </c>
      <c r="O111">
        <f t="shared" si="88"/>
        <v>1990.5480514417832</v>
      </c>
      <c r="P111" s="84">
        <v>33</v>
      </c>
    </row>
    <row r="112" spans="1:16" ht="15" customHeight="1" x14ac:dyDescent="0.2">
      <c r="B112" s="14" t="s">
        <v>154</v>
      </c>
      <c r="F112">
        <f ca="1">SUM(F106:F111)</f>
        <v>23781.049611680843</v>
      </c>
      <c r="G112">
        <f t="shared" ref="G112:O112" ca="1" si="89">SUM(G106:G111)</f>
        <v>28309.436510022933</v>
      </c>
      <c r="H112">
        <f t="shared" ca="1" si="89"/>
        <v>32648.306675799446</v>
      </c>
      <c r="I112">
        <f t="shared" ca="1" si="89"/>
        <v>36975.286439555755</v>
      </c>
      <c r="J112">
        <f t="shared" ca="1" si="89"/>
        <v>41441.155320035614</v>
      </c>
      <c r="K112">
        <f t="shared" ca="1" si="89"/>
        <v>46200.706617339543</v>
      </c>
      <c r="L112">
        <f t="shared" ca="1" si="89"/>
        <v>51726.450398501271</v>
      </c>
      <c r="M112">
        <f t="shared" ca="1" si="89"/>
        <v>57795.593891191522</v>
      </c>
      <c r="N112">
        <f t="shared" ca="1" si="89"/>
        <v>64480.555974183429</v>
      </c>
      <c r="O112">
        <f t="shared" ca="1" si="89"/>
        <v>71859.700459229294</v>
      </c>
      <c r="P112" s="84">
        <v>34</v>
      </c>
    </row>
    <row r="114" spans="2:16" ht="15" customHeight="1" x14ac:dyDescent="0.2">
      <c r="B114" s="14" t="s">
        <v>54</v>
      </c>
      <c r="F114">
        <f>-F62</f>
        <v>-12654.393749999999</v>
      </c>
      <c r="G114">
        <f t="shared" ref="G114:O114" si="90">-G62</f>
        <v>-14552.552812499998</v>
      </c>
      <c r="H114">
        <f t="shared" si="90"/>
        <v>-16633.567864687499</v>
      </c>
      <c r="I114">
        <f t="shared" si="90"/>
        <v>-18696.13027990875</v>
      </c>
      <c r="J114">
        <f t="shared" si="90"/>
        <v>-20771.400740978617</v>
      </c>
      <c r="K114">
        <f t="shared" si="90"/>
        <v>-23077.026223227247</v>
      </c>
      <c r="L114">
        <f t="shared" si="90"/>
        <v>-25638.576134005471</v>
      </c>
      <c r="M114">
        <f t="shared" si="90"/>
        <v>-28484.45808488008</v>
      </c>
      <c r="N114">
        <f t="shared" si="90"/>
        <v>-31646.232932301766</v>
      </c>
      <c r="O114">
        <f t="shared" si="90"/>
        <v>-35158.964787787263</v>
      </c>
      <c r="P114" s="84">
        <v>35</v>
      </c>
    </row>
    <row r="115" spans="2:16" ht="15" customHeight="1" x14ac:dyDescent="0.2">
      <c r="B115" s="14" t="s">
        <v>134</v>
      </c>
      <c r="F115">
        <f>E81-F81</f>
        <v>0</v>
      </c>
      <c r="G115">
        <f t="shared" ref="G115:O115" si="91">F81-G81</f>
        <v>0</v>
      </c>
      <c r="H115">
        <f t="shared" si="91"/>
        <v>0</v>
      </c>
      <c r="I115">
        <f t="shared" si="91"/>
        <v>0</v>
      </c>
      <c r="J115">
        <f t="shared" si="91"/>
        <v>0</v>
      </c>
      <c r="K115">
        <f t="shared" si="91"/>
        <v>0</v>
      </c>
      <c r="L115">
        <f t="shared" si="91"/>
        <v>0</v>
      </c>
      <c r="M115">
        <f t="shared" si="91"/>
        <v>0</v>
      </c>
      <c r="N115">
        <f t="shared" si="91"/>
        <v>0</v>
      </c>
      <c r="O115">
        <f t="shared" si="91"/>
        <v>0</v>
      </c>
      <c r="P115" s="84">
        <v>36</v>
      </c>
    </row>
    <row r="116" spans="2:16" ht="15" customHeight="1" x14ac:dyDescent="0.2">
      <c r="B116" s="14" t="s">
        <v>135</v>
      </c>
      <c r="F116">
        <f>E86-F86</f>
        <v>0</v>
      </c>
      <c r="G116">
        <f t="shared" ref="G116:O116" si="92">F86-G86</f>
        <v>0</v>
      </c>
      <c r="H116">
        <f t="shared" si="92"/>
        <v>0</v>
      </c>
      <c r="I116">
        <f t="shared" si="92"/>
        <v>0</v>
      </c>
      <c r="J116">
        <f t="shared" si="92"/>
        <v>0</v>
      </c>
      <c r="K116">
        <f t="shared" si="92"/>
        <v>0</v>
      </c>
      <c r="L116">
        <f t="shared" si="92"/>
        <v>0</v>
      </c>
      <c r="M116">
        <f t="shared" si="92"/>
        <v>0</v>
      </c>
      <c r="N116">
        <f t="shared" si="92"/>
        <v>0</v>
      </c>
      <c r="O116">
        <f t="shared" si="92"/>
        <v>0</v>
      </c>
      <c r="P116" s="84">
        <v>37</v>
      </c>
    </row>
    <row r="117" spans="2:16" ht="15" customHeight="1" x14ac:dyDescent="0.2">
      <c r="B117" s="14" t="s">
        <v>155</v>
      </c>
      <c r="F117">
        <f>SUM(F114:F116)</f>
        <v>-12654.393749999999</v>
      </c>
      <c r="G117">
        <f t="shared" ref="G117:O117" si="93">SUM(G114:G116)</f>
        <v>-14552.552812499998</v>
      </c>
      <c r="H117">
        <f t="shared" si="93"/>
        <v>-16633.567864687499</v>
      </c>
      <c r="I117">
        <f t="shared" si="93"/>
        <v>-18696.13027990875</v>
      </c>
      <c r="J117">
        <f t="shared" si="93"/>
        <v>-20771.400740978617</v>
      </c>
      <c r="K117">
        <f t="shared" si="93"/>
        <v>-23077.026223227247</v>
      </c>
      <c r="L117">
        <f t="shared" si="93"/>
        <v>-25638.576134005471</v>
      </c>
      <c r="M117">
        <f t="shared" si="93"/>
        <v>-28484.45808488008</v>
      </c>
      <c r="N117">
        <f t="shared" si="93"/>
        <v>-31646.232932301766</v>
      </c>
      <c r="O117">
        <f t="shared" si="93"/>
        <v>-35158.964787787263</v>
      </c>
      <c r="P117" s="84">
        <v>38</v>
      </c>
    </row>
    <row r="119" spans="2:16" ht="15" customHeight="1" x14ac:dyDescent="0.2">
      <c r="B119" s="14" t="s">
        <v>156</v>
      </c>
      <c r="F119">
        <f ca="1">F92-E92</f>
        <v>-2000</v>
      </c>
      <c r="G119">
        <f t="shared" ref="G119:O119" ca="1" si="94">G92-F92</f>
        <v>0</v>
      </c>
      <c r="H119">
        <f t="shared" ca="1" si="94"/>
        <v>0</v>
      </c>
      <c r="I119">
        <f t="shared" ca="1" si="94"/>
        <v>0</v>
      </c>
      <c r="J119">
        <f t="shared" ca="1" si="94"/>
        <v>0</v>
      </c>
      <c r="K119">
        <f t="shared" ca="1" si="94"/>
        <v>0</v>
      </c>
      <c r="L119">
        <f t="shared" ca="1" si="94"/>
        <v>0</v>
      </c>
      <c r="M119">
        <f t="shared" ca="1" si="94"/>
        <v>0</v>
      </c>
      <c r="N119">
        <f t="shared" ca="1" si="94"/>
        <v>0</v>
      </c>
      <c r="O119">
        <f t="shared" ca="1" si="94"/>
        <v>0</v>
      </c>
      <c r="P119" s="84">
        <v>39</v>
      </c>
    </row>
    <row r="120" spans="2:16" ht="15" customHeight="1" x14ac:dyDescent="0.2">
      <c r="B120" s="14" t="s">
        <v>157</v>
      </c>
      <c r="F120">
        <f ca="1">F96-E96</f>
        <v>-3225</v>
      </c>
      <c r="G120">
        <f t="shared" ref="G120:O120" ca="1" si="95">G96-F96</f>
        <v>0</v>
      </c>
      <c r="H120">
        <f t="shared" ca="1" si="95"/>
        <v>0</v>
      </c>
      <c r="I120">
        <f t="shared" ca="1" si="95"/>
        <v>0</v>
      </c>
      <c r="J120">
        <f t="shared" ca="1" si="95"/>
        <v>0</v>
      </c>
      <c r="K120">
        <f t="shared" ca="1" si="95"/>
        <v>0</v>
      </c>
      <c r="L120">
        <f t="shared" ca="1" si="95"/>
        <v>0</v>
      </c>
      <c r="M120">
        <f t="shared" ca="1" si="95"/>
        <v>0</v>
      </c>
      <c r="N120">
        <f t="shared" ca="1" si="95"/>
        <v>0</v>
      </c>
      <c r="O120">
        <f t="shared" ca="1" si="95"/>
        <v>0</v>
      </c>
      <c r="P120" s="84">
        <v>40</v>
      </c>
    </row>
    <row r="121" spans="2:16" ht="15" customHeight="1" x14ac:dyDescent="0.2">
      <c r="B121" s="14" t="s">
        <v>150</v>
      </c>
      <c r="F121">
        <f>F72</f>
        <v>0</v>
      </c>
      <c r="G121">
        <f t="shared" ref="G121:O121" si="96">G72</f>
        <v>0</v>
      </c>
      <c r="H121">
        <f t="shared" si="96"/>
        <v>0</v>
      </c>
      <c r="I121">
        <f t="shared" si="96"/>
        <v>0</v>
      </c>
      <c r="J121">
        <f t="shared" si="96"/>
        <v>0</v>
      </c>
      <c r="K121">
        <f t="shared" si="96"/>
        <v>0</v>
      </c>
      <c r="L121">
        <f t="shared" si="96"/>
        <v>0</v>
      </c>
      <c r="M121">
        <f t="shared" si="96"/>
        <v>0</v>
      </c>
      <c r="N121">
        <f t="shared" si="96"/>
        <v>0</v>
      </c>
      <c r="O121">
        <f t="shared" si="96"/>
        <v>0</v>
      </c>
      <c r="P121" s="84">
        <v>41</v>
      </c>
    </row>
    <row r="122" spans="2:16" ht="15" customHeight="1" x14ac:dyDescent="0.2">
      <c r="B122" s="14" t="s">
        <v>151</v>
      </c>
      <c r="F122">
        <f ca="1">SUM(F119:F121)</f>
        <v>-5225</v>
      </c>
      <c r="G122">
        <f t="shared" ref="G122:O122" ca="1" si="97">SUM(G119:G121)</f>
        <v>0</v>
      </c>
      <c r="H122">
        <f t="shared" ca="1" si="97"/>
        <v>0</v>
      </c>
      <c r="I122">
        <f t="shared" ca="1" si="97"/>
        <v>0</v>
      </c>
      <c r="J122">
        <f t="shared" ca="1" si="97"/>
        <v>0</v>
      </c>
      <c r="K122">
        <f t="shared" ca="1" si="97"/>
        <v>0</v>
      </c>
      <c r="L122">
        <f t="shared" ca="1" si="97"/>
        <v>0</v>
      </c>
      <c r="M122">
        <f t="shared" ca="1" si="97"/>
        <v>0</v>
      </c>
      <c r="N122">
        <f t="shared" ca="1" si="97"/>
        <v>0</v>
      </c>
      <c r="O122">
        <f t="shared" ca="1" si="97"/>
        <v>0</v>
      </c>
      <c r="P122" s="84">
        <v>42</v>
      </c>
    </row>
    <row r="124" spans="2:16" ht="15" customHeight="1" x14ac:dyDescent="0.2">
      <c r="B124" s="14" t="s">
        <v>152</v>
      </c>
      <c r="F124">
        <f ca="1">F122+F117+F112</f>
        <v>5901.6558616808434</v>
      </c>
      <c r="G124">
        <f t="shared" ref="G124:O124" ca="1" si="98">G122+G117+G112</f>
        <v>13756.883697522935</v>
      </c>
      <c r="H124">
        <f t="shared" ca="1" si="98"/>
        <v>16014.738811111947</v>
      </c>
      <c r="I124">
        <f t="shared" ca="1" si="98"/>
        <v>18279.156159647006</v>
      </c>
      <c r="J124">
        <f t="shared" ca="1" si="98"/>
        <v>20669.754579056997</v>
      </c>
      <c r="K124">
        <f t="shared" ca="1" si="98"/>
        <v>23123.680394112296</v>
      </c>
      <c r="L124">
        <f t="shared" ca="1" si="98"/>
        <v>26087.8742644958</v>
      </c>
      <c r="M124">
        <f t="shared" ca="1" si="98"/>
        <v>29311.135806311442</v>
      </c>
      <c r="N124">
        <f t="shared" ca="1" si="98"/>
        <v>32834.323041881667</v>
      </c>
      <c r="O124">
        <f t="shared" ca="1" si="98"/>
        <v>36700.735671442031</v>
      </c>
      <c r="P124" s="84">
        <v>43</v>
      </c>
    </row>
    <row r="125" spans="2:16" ht="15" customHeight="1" x14ac:dyDescent="0.2">
      <c r="B125" s="14" t="s">
        <v>153</v>
      </c>
      <c r="E125">
        <f>E80</f>
        <v>16549</v>
      </c>
      <c r="F125">
        <f ca="1">E125+F124</f>
        <v>22450.655861680843</v>
      </c>
      <c r="G125">
        <f t="shared" ref="G125:O125" ca="1" si="99">F125+G124</f>
        <v>36207.539559203782</v>
      </c>
      <c r="H125">
        <f t="shared" ca="1" si="99"/>
        <v>52222.278370315733</v>
      </c>
      <c r="I125">
        <f t="shared" ca="1" si="99"/>
        <v>70501.434529962746</v>
      </c>
      <c r="J125">
        <f t="shared" ca="1" si="99"/>
        <v>91171.189109019746</v>
      </c>
      <c r="K125">
        <f t="shared" ca="1" si="99"/>
        <v>114294.86950313204</v>
      </c>
      <c r="L125">
        <f t="shared" ca="1" si="99"/>
        <v>140382.74376762784</v>
      </c>
      <c r="M125">
        <f t="shared" ca="1" si="99"/>
        <v>169693.87957393928</v>
      </c>
      <c r="N125">
        <f t="shared" ca="1" si="99"/>
        <v>202528.20261582095</v>
      </c>
      <c r="O125">
        <f t="shared" ca="1" si="99"/>
        <v>239228.93828726298</v>
      </c>
      <c r="P125" s="84">
        <v>44</v>
      </c>
    </row>
    <row r="127" spans="2:16" ht="15" customHeight="1" x14ac:dyDescent="0.2">
      <c r="B127" s="14" t="s">
        <v>116</v>
      </c>
      <c r="F127">
        <f ca="1">F125-F193</f>
        <v>0</v>
      </c>
      <c r="G127">
        <f t="shared" ref="G127:O127" ca="1" si="100">G125-G193</f>
        <v>0</v>
      </c>
      <c r="H127">
        <f t="shared" ca="1" si="100"/>
        <v>0</v>
      </c>
      <c r="I127">
        <f t="shared" ca="1" si="100"/>
        <v>0</v>
      </c>
      <c r="J127">
        <f t="shared" ca="1" si="100"/>
        <v>0</v>
      </c>
      <c r="K127">
        <f t="shared" ca="1" si="100"/>
        <v>0</v>
      </c>
      <c r="L127">
        <f t="shared" ca="1" si="100"/>
        <v>0</v>
      </c>
      <c r="M127">
        <f t="shared" ca="1" si="100"/>
        <v>0</v>
      </c>
      <c r="N127">
        <f t="shared" ca="1" si="100"/>
        <v>0</v>
      </c>
      <c r="O127">
        <f t="shared" ca="1" si="100"/>
        <v>0</v>
      </c>
      <c r="P127" s="84">
        <v>79</v>
      </c>
    </row>
    <row r="129" spans="1:16" ht="15" customHeight="1" x14ac:dyDescent="0.2">
      <c r="A129" s="80" t="s">
        <v>48</v>
      </c>
    </row>
    <row r="130" spans="1:16" ht="15" customHeight="1" x14ac:dyDescent="0.2">
      <c r="B130" s="14" t="s">
        <v>123</v>
      </c>
      <c r="D130" s="68"/>
      <c r="F130" s="69">
        <v>-1000</v>
      </c>
      <c r="G130" s="69">
        <v>0</v>
      </c>
      <c r="H130" s="69">
        <v>0</v>
      </c>
      <c r="I130" s="69">
        <v>0</v>
      </c>
      <c r="J130" s="69">
        <v>0</v>
      </c>
      <c r="K130" s="69">
        <v>0</v>
      </c>
      <c r="L130" s="69">
        <v>0</v>
      </c>
      <c r="M130" s="69">
        <v>0</v>
      </c>
      <c r="N130" s="69">
        <v>0</v>
      </c>
      <c r="O130" s="69">
        <v>0</v>
      </c>
    </row>
    <row r="131" spans="1:16" ht="15" customHeight="1" x14ac:dyDescent="0.2">
      <c r="B131" s="14" t="s">
        <v>124</v>
      </c>
      <c r="D131" s="68"/>
      <c r="E131" s="68"/>
      <c r="F131" s="69">
        <v>0</v>
      </c>
      <c r="G131" s="69">
        <v>0</v>
      </c>
      <c r="H131" s="69">
        <v>0</v>
      </c>
      <c r="I131" s="69">
        <v>0</v>
      </c>
      <c r="J131" s="69">
        <v>0</v>
      </c>
      <c r="K131" s="69">
        <v>-1000</v>
      </c>
      <c r="L131" s="69">
        <v>0</v>
      </c>
      <c r="M131" s="69">
        <v>0</v>
      </c>
      <c r="N131" s="69">
        <v>0</v>
      </c>
      <c r="O131" s="69">
        <v>0</v>
      </c>
    </row>
    <row r="132" spans="1:16" ht="15" customHeight="1" x14ac:dyDescent="0.2">
      <c r="B132" s="14" t="s">
        <v>125</v>
      </c>
      <c r="D132" s="68"/>
      <c r="E132" s="68"/>
      <c r="F132" s="69">
        <v>0</v>
      </c>
      <c r="G132" s="69">
        <v>0</v>
      </c>
      <c r="H132" s="69">
        <v>0</v>
      </c>
      <c r="I132" s="69">
        <v>0</v>
      </c>
      <c r="J132" s="69">
        <v>0</v>
      </c>
      <c r="K132" s="69">
        <v>0</v>
      </c>
      <c r="L132" s="69">
        <v>0</v>
      </c>
      <c r="M132" s="69">
        <v>0</v>
      </c>
      <c r="N132" s="69">
        <v>-1000</v>
      </c>
      <c r="O132" s="69">
        <v>0</v>
      </c>
    </row>
    <row r="133" spans="1:16" ht="15" customHeight="1" x14ac:dyDescent="0.2">
      <c r="B133" s="14" t="s">
        <v>126</v>
      </c>
      <c r="D133" s="68"/>
      <c r="E133" s="68"/>
      <c r="F133" s="73">
        <f>F134-SUM(F130:F132)</f>
        <v>-225</v>
      </c>
      <c r="G133" s="73">
        <f t="shared" ref="G133:J133" si="101">G134-SUM(G130:G132)</f>
        <v>0</v>
      </c>
      <c r="H133" s="73">
        <f t="shared" si="101"/>
        <v>0</v>
      </c>
      <c r="I133" s="73">
        <f t="shared" si="101"/>
        <v>0</v>
      </c>
      <c r="J133" s="73">
        <f t="shared" si="101"/>
        <v>0</v>
      </c>
      <c r="K133" s="73">
        <f t="shared" ref="K133:O133" si="102">K134-SUM(K130:K132)</f>
        <v>0</v>
      </c>
      <c r="L133" s="73">
        <f t="shared" si="102"/>
        <v>0</v>
      </c>
      <c r="M133" s="73">
        <f t="shared" si="102"/>
        <v>0</v>
      </c>
      <c r="N133" s="73">
        <f t="shared" si="102"/>
        <v>0</v>
      </c>
      <c r="O133" s="73">
        <f t="shared" si="102"/>
        <v>0</v>
      </c>
    </row>
    <row r="134" spans="1:16" ht="15" customHeight="1" x14ac:dyDescent="0.2">
      <c r="B134" s="14" t="s">
        <v>173</v>
      </c>
      <c r="F134" s="69">
        <v>-1225</v>
      </c>
      <c r="G134" s="69">
        <v>0</v>
      </c>
      <c r="H134" s="69">
        <v>0</v>
      </c>
      <c r="I134" s="69">
        <v>0</v>
      </c>
      <c r="J134" s="69">
        <v>0</v>
      </c>
      <c r="K134" s="69">
        <v>-1000</v>
      </c>
      <c r="L134" s="69">
        <v>0</v>
      </c>
      <c r="M134" s="69">
        <v>0</v>
      </c>
      <c r="N134" s="69">
        <v>-1000</v>
      </c>
      <c r="O134" s="69">
        <v>0</v>
      </c>
    </row>
    <row r="135" spans="1:16" ht="15" customHeight="1" x14ac:dyDescent="0.2"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</row>
    <row r="136" spans="1:16" ht="15" customHeight="1" x14ac:dyDescent="0.2">
      <c r="B136" s="14" t="s">
        <v>127</v>
      </c>
      <c r="D136" s="63"/>
      <c r="E136" s="63"/>
      <c r="F136" s="64">
        <v>1.4999999999999999E-2</v>
      </c>
      <c r="G136" s="64">
        <v>1.4999999999999999E-2</v>
      </c>
      <c r="H136" s="64">
        <v>1.4999999999999999E-2</v>
      </c>
      <c r="I136" s="64">
        <v>1.4999999999999999E-2</v>
      </c>
      <c r="J136" s="64">
        <v>1.4999999999999999E-2</v>
      </c>
      <c r="K136" s="64">
        <v>1.4999999999999999E-2</v>
      </c>
      <c r="L136" s="64">
        <v>1.4999999999999999E-2</v>
      </c>
      <c r="M136" s="64">
        <v>1.4999999999999999E-2</v>
      </c>
      <c r="N136" s="64">
        <v>1.4999999999999999E-2</v>
      </c>
      <c r="O136" s="64">
        <v>1.4999999999999999E-2</v>
      </c>
    </row>
    <row r="137" spans="1:16" ht="15" customHeight="1" x14ac:dyDescent="0.2">
      <c r="B137" s="14" t="s">
        <v>128</v>
      </c>
      <c r="D137" s="63"/>
      <c r="E137" s="63"/>
      <c r="F137" s="64">
        <v>2.1250000000000002E-2</v>
      </c>
      <c r="G137" s="64">
        <v>2.1250000000000002E-2</v>
      </c>
      <c r="H137" s="64">
        <v>2.1250000000000002E-2</v>
      </c>
      <c r="I137" s="64">
        <v>2.1250000000000002E-2</v>
      </c>
      <c r="J137" s="64">
        <v>2.1250000000000002E-2</v>
      </c>
      <c r="K137" s="64">
        <v>2.1250000000000002E-2</v>
      </c>
      <c r="L137" s="64">
        <v>2.1250000000000002E-2</v>
      </c>
      <c r="M137" s="64">
        <v>2.1250000000000002E-2</v>
      </c>
      <c r="N137" s="64">
        <v>2.1250000000000002E-2</v>
      </c>
      <c r="O137" s="64">
        <v>2.1250000000000002E-2</v>
      </c>
    </row>
    <row r="138" spans="1:16" ht="15" customHeight="1" x14ac:dyDescent="0.2">
      <c r="B138" s="14" t="s">
        <v>129</v>
      </c>
      <c r="F138" s="64">
        <v>3.6249999999999998E-2</v>
      </c>
      <c r="G138" s="64">
        <v>3.6249999999999998E-2</v>
      </c>
      <c r="H138" s="64">
        <v>3.6249999999999998E-2</v>
      </c>
      <c r="I138" s="64">
        <v>3.6249999999999998E-2</v>
      </c>
      <c r="J138" s="64">
        <v>3.6249999999999998E-2</v>
      </c>
      <c r="K138" s="64">
        <v>3.6249999999999998E-2</v>
      </c>
      <c r="L138" s="64">
        <v>3.6249999999999998E-2</v>
      </c>
      <c r="M138" s="64">
        <v>3.6249999999999998E-2</v>
      </c>
      <c r="N138" s="64">
        <v>3.6249999999999998E-2</v>
      </c>
      <c r="O138" s="64">
        <v>3.6249999999999998E-2</v>
      </c>
    </row>
    <row r="139" spans="1:16" ht="15" customHeight="1" x14ac:dyDescent="0.2">
      <c r="B139" s="14" t="s">
        <v>130</v>
      </c>
      <c r="F139" s="64">
        <v>3.3750000000000002E-2</v>
      </c>
      <c r="G139" s="64">
        <v>3.3750000000000002E-2</v>
      </c>
      <c r="H139" s="64">
        <v>3.3750000000000002E-2</v>
      </c>
      <c r="I139" s="64">
        <v>3.3750000000000002E-2</v>
      </c>
      <c r="J139" s="64">
        <v>3.3750000000000002E-2</v>
      </c>
      <c r="K139" s="64">
        <v>3.3750000000000002E-2</v>
      </c>
      <c r="L139" s="64">
        <v>3.3750000000000002E-2</v>
      </c>
      <c r="M139" s="64">
        <v>3.3750000000000002E-2</v>
      </c>
      <c r="N139" s="64">
        <v>3.3750000000000002E-2</v>
      </c>
      <c r="O139" s="64">
        <v>3.3750000000000002E-2</v>
      </c>
    </row>
    <row r="140" spans="1:16" ht="15" customHeight="1" x14ac:dyDescent="0.2">
      <c r="B140" s="14" t="s">
        <v>131</v>
      </c>
      <c r="F140" s="64">
        <v>3.3750000000000002E-2</v>
      </c>
      <c r="G140" s="64">
        <v>3.3750000000000002E-2</v>
      </c>
      <c r="H140" s="64">
        <v>3.3750000000000002E-2</v>
      </c>
      <c r="I140" s="64">
        <v>3.3750000000000002E-2</v>
      </c>
      <c r="J140" s="64">
        <v>3.3750000000000002E-2</v>
      </c>
      <c r="K140" s="64">
        <v>3.3750000000000002E-2</v>
      </c>
      <c r="L140" s="64">
        <v>3.3750000000000002E-2</v>
      </c>
      <c r="M140" s="64">
        <v>3.3750000000000002E-2</v>
      </c>
      <c r="N140" s="64">
        <v>3.3750000000000002E-2</v>
      </c>
      <c r="O140" s="64">
        <v>3.3750000000000002E-2</v>
      </c>
    </row>
    <row r="141" spans="1:16" ht="15" customHeight="1" x14ac:dyDescent="0.2">
      <c r="B141" s="14" t="s">
        <v>60</v>
      </c>
      <c r="F141" s="64">
        <v>1E-3</v>
      </c>
      <c r="G141" s="64">
        <v>1E-3</v>
      </c>
      <c r="H141" s="64">
        <v>1E-3</v>
      </c>
      <c r="I141" s="64">
        <v>1E-3</v>
      </c>
      <c r="J141" s="64">
        <v>1E-3</v>
      </c>
      <c r="K141" s="64">
        <v>1E-3</v>
      </c>
      <c r="L141" s="64">
        <v>1E-3</v>
      </c>
      <c r="M141" s="64">
        <v>1E-3</v>
      </c>
      <c r="N141" s="64">
        <v>1E-3</v>
      </c>
      <c r="O141" s="64">
        <v>1E-3</v>
      </c>
    </row>
    <row r="143" spans="1:16" ht="15" customHeight="1" x14ac:dyDescent="0.2">
      <c r="A143" s="80" t="s">
        <v>51</v>
      </c>
    </row>
    <row r="144" spans="1:16" ht="15" customHeight="1" x14ac:dyDescent="0.2">
      <c r="B144" s="14" t="s">
        <v>171</v>
      </c>
      <c r="F144">
        <f ca="1">F112</f>
        <v>23781.049611680843</v>
      </c>
      <c r="G144">
        <f t="shared" ref="G144:O144" ca="1" si="103">G112</f>
        <v>28309.436510022933</v>
      </c>
      <c r="H144">
        <f t="shared" ca="1" si="103"/>
        <v>32648.306675799446</v>
      </c>
      <c r="I144">
        <f t="shared" ca="1" si="103"/>
        <v>36975.286439555755</v>
      </c>
      <c r="J144">
        <f t="shared" ca="1" si="103"/>
        <v>41441.155320035614</v>
      </c>
      <c r="K144">
        <f t="shared" ca="1" si="103"/>
        <v>46200.706617339543</v>
      </c>
      <c r="L144">
        <f t="shared" ca="1" si="103"/>
        <v>51726.450398501271</v>
      </c>
      <c r="M144">
        <f t="shared" ca="1" si="103"/>
        <v>57795.593891191522</v>
      </c>
      <c r="N144">
        <f t="shared" ca="1" si="103"/>
        <v>64480.555974183429</v>
      </c>
      <c r="O144">
        <f t="shared" ca="1" si="103"/>
        <v>71859.700459229294</v>
      </c>
      <c r="P144" s="84">
        <v>46</v>
      </c>
    </row>
    <row r="145" spans="2:16" ht="15" customHeight="1" x14ac:dyDescent="0.2">
      <c r="B145" s="14" t="s">
        <v>172</v>
      </c>
      <c r="F145">
        <f>F117</f>
        <v>-12654.393749999999</v>
      </c>
      <c r="G145">
        <f t="shared" ref="G145:O145" si="104">G117</f>
        <v>-14552.552812499998</v>
      </c>
      <c r="H145">
        <f t="shared" si="104"/>
        <v>-16633.567864687499</v>
      </c>
      <c r="I145">
        <f t="shared" si="104"/>
        <v>-18696.13027990875</v>
      </c>
      <c r="J145">
        <f t="shared" si="104"/>
        <v>-20771.400740978617</v>
      </c>
      <c r="K145">
        <f t="shared" si="104"/>
        <v>-23077.026223227247</v>
      </c>
      <c r="L145">
        <f t="shared" si="104"/>
        <v>-25638.576134005471</v>
      </c>
      <c r="M145">
        <f t="shared" si="104"/>
        <v>-28484.45808488008</v>
      </c>
      <c r="N145">
        <f t="shared" si="104"/>
        <v>-31646.232932301766</v>
      </c>
      <c r="O145">
        <f t="shared" si="104"/>
        <v>-35158.964787787263</v>
      </c>
      <c r="P145" s="84">
        <v>47</v>
      </c>
    </row>
    <row r="146" spans="2:16" ht="15" customHeight="1" x14ac:dyDescent="0.2">
      <c r="B146" s="14" t="s">
        <v>56</v>
      </c>
      <c r="F146">
        <f>F121</f>
        <v>0</v>
      </c>
      <c r="G146">
        <f t="shared" ref="G146:O146" si="105">G121</f>
        <v>0</v>
      </c>
      <c r="H146">
        <f t="shared" si="105"/>
        <v>0</v>
      </c>
      <c r="I146">
        <f t="shared" si="105"/>
        <v>0</v>
      </c>
      <c r="J146">
        <f t="shared" si="105"/>
        <v>0</v>
      </c>
      <c r="K146">
        <f t="shared" si="105"/>
        <v>0</v>
      </c>
      <c r="L146">
        <f t="shared" si="105"/>
        <v>0</v>
      </c>
      <c r="M146">
        <f t="shared" si="105"/>
        <v>0</v>
      </c>
      <c r="N146">
        <f t="shared" si="105"/>
        <v>0</v>
      </c>
      <c r="O146">
        <f t="shared" si="105"/>
        <v>0</v>
      </c>
      <c r="P146" s="84">
        <v>48</v>
      </c>
    </row>
    <row r="147" spans="2:16" ht="15" customHeight="1" x14ac:dyDescent="0.2">
      <c r="B147" s="14" t="s">
        <v>62</v>
      </c>
      <c r="F147">
        <f ca="1">SUM(F144:F146)</f>
        <v>11126.655861680843</v>
      </c>
      <c r="G147">
        <f t="shared" ref="G147:O147" ca="1" si="106">SUM(G144:G146)</f>
        <v>13756.883697522935</v>
      </c>
      <c r="H147">
        <f t="shared" ca="1" si="106"/>
        <v>16014.738811111947</v>
      </c>
      <c r="I147">
        <f t="shared" ca="1" si="106"/>
        <v>18279.156159647006</v>
      </c>
      <c r="J147">
        <f t="shared" ca="1" si="106"/>
        <v>20669.754579056997</v>
      </c>
      <c r="K147">
        <f t="shared" ca="1" si="106"/>
        <v>23123.680394112296</v>
      </c>
      <c r="L147">
        <f t="shared" ca="1" si="106"/>
        <v>26087.8742644958</v>
      </c>
      <c r="M147">
        <f t="shared" ca="1" si="106"/>
        <v>29311.135806311442</v>
      </c>
      <c r="N147">
        <f t="shared" ca="1" si="106"/>
        <v>32834.323041881667</v>
      </c>
      <c r="O147">
        <f t="shared" ca="1" si="106"/>
        <v>36700.735671442031</v>
      </c>
      <c r="P147" s="84">
        <v>49</v>
      </c>
    </row>
    <row r="149" spans="2:16" ht="15" customHeight="1" x14ac:dyDescent="0.2">
      <c r="B149" s="14" t="s">
        <v>35</v>
      </c>
      <c r="F149">
        <f>E125</f>
        <v>16549</v>
      </c>
      <c r="G149">
        <f t="shared" ref="G149:O149" ca="1" si="107">F125</f>
        <v>22450.655861680843</v>
      </c>
      <c r="H149">
        <f t="shared" ca="1" si="107"/>
        <v>36207.539559203782</v>
      </c>
      <c r="I149">
        <f t="shared" ca="1" si="107"/>
        <v>52222.278370315733</v>
      </c>
      <c r="J149">
        <f t="shared" ca="1" si="107"/>
        <v>70501.434529962746</v>
      </c>
      <c r="K149">
        <f t="shared" ca="1" si="107"/>
        <v>91171.189109019746</v>
      </c>
      <c r="L149">
        <f t="shared" ca="1" si="107"/>
        <v>114294.86950313204</v>
      </c>
      <c r="M149">
        <f t="shared" ca="1" si="107"/>
        <v>140382.74376762784</v>
      </c>
      <c r="N149">
        <f t="shared" ca="1" si="107"/>
        <v>169693.87957393928</v>
      </c>
      <c r="O149">
        <f t="shared" ca="1" si="107"/>
        <v>202528.20261582095</v>
      </c>
      <c r="P149" s="84">
        <v>50</v>
      </c>
    </row>
    <row r="150" spans="2:16" ht="15" customHeight="1" x14ac:dyDescent="0.2">
      <c r="B150" s="14" t="s">
        <v>61</v>
      </c>
      <c r="F150">
        <f ca="1">F149+F147</f>
        <v>27675.655861680843</v>
      </c>
      <c r="G150">
        <f t="shared" ref="G150:O150" ca="1" si="108">G149+G147</f>
        <v>36207.539559203782</v>
      </c>
      <c r="H150">
        <f t="shared" ca="1" si="108"/>
        <v>52222.278370315733</v>
      </c>
      <c r="I150">
        <f t="shared" ca="1" si="108"/>
        <v>70501.434529962746</v>
      </c>
      <c r="J150">
        <f t="shared" ca="1" si="108"/>
        <v>91171.189109019746</v>
      </c>
      <c r="K150">
        <f t="shared" ca="1" si="108"/>
        <v>114294.86950313204</v>
      </c>
      <c r="L150">
        <f t="shared" ca="1" si="108"/>
        <v>140382.74376762784</v>
      </c>
      <c r="M150">
        <f t="shared" ca="1" si="108"/>
        <v>169693.87957393928</v>
      </c>
      <c r="N150">
        <f t="shared" ca="1" si="108"/>
        <v>202528.20261582095</v>
      </c>
      <c r="O150">
        <f t="shared" ca="1" si="108"/>
        <v>239228.93828726298</v>
      </c>
      <c r="P150" s="84">
        <v>51</v>
      </c>
    </row>
    <row r="152" spans="2:16" ht="15" customHeight="1" x14ac:dyDescent="0.2">
      <c r="B152" s="14" t="s">
        <v>136</v>
      </c>
      <c r="F152">
        <f>F164+F171+F178+F185</f>
        <v>-1225</v>
      </c>
      <c r="G152">
        <f t="shared" ref="G152:O152" ca="1" si="109">G164+G171+G178+G185</f>
        <v>0</v>
      </c>
      <c r="H152">
        <f t="shared" ca="1" si="109"/>
        <v>0</v>
      </c>
      <c r="I152">
        <f t="shared" ca="1" si="109"/>
        <v>0</v>
      </c>
      <c r="J152">
        <f t="shared" ca="1" si="109"/>
        <v>0</v>
      </c>
      <c r="K152">
        <f t="shared" ca="1" si="109"/>
        <v>1000</v>
      </c>
      <c r="L152">
        <f t="shared" ca="1" si="109"/>
        <v>0</v>
      </c>
      <c r="M152">
        <f t="shared" ca="1" si="109"/>
        <v>0</v>
      </c>
      <c r="N152">
        <f t="shared" ca="1" si="109"/>
        <v>1000</v>
      </c>
      <c r="O152">
        <f t="shared" ca="1" si="109"/>
        <v>0</v>
      </c>
      <c r="P152" s="84">
        <v>52</v>
      </c>
    </row>
    <row r="153" spans="2:16" ht="15" customHeight="1" x14ac:dyDescent="0.2">
      <c r="B153" s="14" t="s">
        <v>64</v>
      </c>
      <c r="F153">
        <f ca="1">F150+F152</f>
        <v>26450.655861680843</v>
      </c>
      <c r="G153">
        <f t="shared" ref="G153:O153" ca="1" si="110">G150+G152</f>
        <v>36207.539559203782</v>
      </c>
      <c r="H153">
        <f t="shared" ca="1" si="110"/>
        <v>52222.278370315733</v>
      </c>
      <c r="I153">
        <f t="shared" ca="1" si="110"/>
        <v>70501.434529962746</v>
      </c>
      <c r="J153">
        <f t="shared" ca="1" si="110"/>
        <v>91171.189109019746</v>
      </c>
      <c r="K153">
        <f t="shared" ca="1" si="110"/>
        <v>115294.86950313204</v>
      </c>
      <c r="L153">
        <f t="shared" ca="1" si="110"/>
        <v>140382.74376762784</v>
      </c>
      <c r="M153">
        <f t="shared" ca="1" si="110"/>
        <v>169693.87957393928</v>
      </c>
      <c r="N153">
        <f t="shared" ca="1" si="110"/>
        <v>203528.20261582095</v>
      </c>
      <c r="O153">
        <f t="shared" ca="1" si="110"/>
        <v>239228.93828726298</v>
      </c>
      <c r="P153" s="84">
        <v>53</v>
      </c>
    </row>
    <row r="155" spans="2:16" ht="15" customHeight="1" x14ac:dyDescent="0.2">
      <c r="B155" s="14" t="s">
        <v>147</v>
      </c>
      <c r="F155">
        <f>E157</f>
        <v>2000</v>
      </c>
      <c r="G155">
        <f t="shared" ref="G155:O155" ca="1" si="111">F157</f>
        <v>0</v>
      </c>
      <c r="H155">
        <f t="shared" ca="1" si="111"/>
        <v>0</v>
      </c>
      <c r="I155">
        <f t="shared" ca="1" si="111"/>
        <v>0</v>
      </c>
      <c r="J155">
        <f t="shared" ca="1" si="111"/>
        <v>0</v>
      </c>
      <c r="K155">
        <f t="shared" ca="1" si="111"/>
        <v>0</v>
      </c>
      <c r="L155">
        <f t="shared" ca="1" si="111"/>
        <v>0</v>
      </c>
      <c r="M155">
        <f t="shared" ca="1" si="111"/>
        <v>0</v>
      </c>
      <c r="N155">
        <f t="shared" ca="1" si="111"/>
        <v>0</v>
      </c>
      <c r="O155">
        <f t="shared" ca="1" si="111"/>
        <v>0</v>
      </c>
      <c r="P155" s="84">
        <v>54</v>
      </c>
    </row>
    <row r="156" spans="2:16" ht="15" customHeight="1" x14ac:dyDescent="0.2">
      <c r="B156" s="14" t="s">
        <v>148</v>
      </c>
      <c r="F156">
        <f ca="1">MIN(F155,F153)*-1</f>
        <v>-2000</v>
      </c>
      <c r="G156">
        <f t="shared" ref="G156:O156" ca="1" si="112">MIN(G155,G153)*-1</f>
        <v>0</v>
      </c>
      <c r="H156">
        <f t="shared" ca="1" si="112"/>
        <v>0</v>
      </c>
      <c r="I156">
        <f t="shared" ca="1" si="112"/>
        <v>0</v>
      </c>
      <c r="J156">
        <f t="shared" ca="1" si="112"/>
        <v>0</v>
      </c>
      <c r="K156">
        <f t="shared" ca="1" si="112"/>
        <v>0</v>
      </c>
      <c r="L156">
        <f t="shared" ca="1" si="112"/>
        <v>0</v>
      </c>
      <c r="M156">
        <f t="shared" ca="1" si="112"/>
        <v>0</v>
      </c>
      <c r="N156">
        <f t="shared" ca="1" si="112"/>
        <v>0</v>
      </c>
      <c r="O156">
        <f t="shared" ca="1" si="112"/>
        <v>0</v>
      </c>
      <c r="P156" s="84">
        <v>55</v>
      </c>
    </row>
    <row r="157" spans="2:16" ht="15" customHeight="1" x14ac:dyDescent="0.2">
      <c r="B157" s="14" t="s">
        <v>165</v>
      </c>
      <c r="E157" s="72">
        <f>3225-1225</f>
        <v>2000</v>
      </c>
      <c r="F157">
        <f ca="1">SUM(F155:F156)</f>
        <v>0</v>
      </c>
      <c r="G157">
        <f t="shared" ref="G157:O157" ca="1" si="113">SUM(G155:G156)</f>
        <v>0</v>
      </c>
      <c r="H157">
        <f t="shared" ca="1" si="113"/>
        <v>0</v>
      </c>
      <c r="I157">
        <f t="shared" ca="1" si="113"/>
        <v>0</v>
      </c>
      <c r="J157">
        <f t="shared" ca="1" si="113"/>
        <v>0</v>
      </c>
      <c r="K157">
        <f t="shared" ca="1" si="113"/>
        <v>0</v>
      </c>
      <c r="L157">
        <f t="shared" ca="1" si="113"/>
        <v>0</v>
      </c>
      <c r="M157">
        <f t="shared" ca="1" si="113"/>
        <v>0</v>
      </c>
      <c r="N157">
        <f t="shared" ca="1" si="113"/>
        <v>0</v>
      </c>
      <c r="O157">
        <f t="shared" ca="1" si="113"/>
        <v>0</v>
      </c>
      <c r="P157" s="84">
        <v>56</v>
      </c>
    </row>
    <row r="158" spans="2:16" ht="15" customHeight="1" x14ac:dyDescent="0.2">
      <c r="B158" s="14" t="s">
        <v>145</v>
      </c>
      <c r="F158" s="63">
        <f>F136</f>
        <v>1.4999999999999999E-2</v>
      </c>
      <c r="G158" s="63">
        <f t="shared" ref="G158:O158" si="114">G136</f>
        <v>1.4999999999999999E-2</v>
      </c>
      <c r="H158" s="63">
        <f t="shared" si="114"/>
        <v>1.4999999999999999E-2</v>
      </c>
      <c r="I158" s="63">
        <f t="shared" si="114"/>
        <v>1.4999999999999999E-2</v>
      </c>
      <c r="J158" s="63">
        <f t="shared" si="114"/>
        <v>1.4999999999999999E-2</v>
      </c>
      <c r="K158" s="63">
        <f t="shared" si="114"/>
        <v>1.4999999999999999E-2</v>
      </c>
      <c r="L158" s="63">
        <f t="shared" si="114"/>
        <v>1.4999999999999999E-2</v>
      </c>
      <c r="M158" s="63">
        <f t="shared" si="114"/>
        <v>1.4999999999999999E-2</v>
      </c>
      <c r="N158" s="63">
        <f t="shared" si="114"/>
        <v>1.4999999999999999E-2</v>
      </c>
      <c r="O158" s="63">
        <f t="shared" si="114"/>
        <v>1.4999999999999999E-2</v>
      </c>
      <c r="P158" s="84">
        <v>82</v>
      </c>
    </row>
    <row r="159" spans="2:16" ht="15" customHeight="1" x14ac:dyDescent="0.2">
      <c r="B159" s="14" t="s">
        <v>45</v>
      </c>
      <c r="F159">
        <f ca="1">F158*AVERAGE(E157:F157)</f>
        <v>15</v>
      </c>
      <c r="G159">
        <f t="shared" ref="G159:O159" ca="1" si="115">G158*AVERAGE(F157:G157)</f>
        <v>0</v>
      </c>
      <c r="H159">
        <f t="shared" ca="1" si="115"/>
        <v>0</v>
      </c>
      <c r="I159">
        <f t="shared" ca="1" si="115"/>
        <v>0</v>
      </c>
      <c r="J159">
        <f t="shared" ca="1" si="115"/>
        <v>0</v>
      </c>
      <c r="K159">
        <f t="shared" ca="1" si="115"/>
        <v>0</v>
      </c>
      <c r="L159">
        <f t="shared" ca="1" si="115"/>
        <v>0</v>
      </c>
      <c r="M159">
        <f t="shared" ca="1" si="115"/>
        <v>0</v>
      </c>
      <c r="N159">
        <f t="shared" ca="1" si="115"/>
        <v>0</v>
      </c>
      <c r="O159">
        <f t="shared" ca="1" si="115"/>
        <v>0</v>
      </c>
      <c r="P159" s="84">
        <v>83</v>
      </c>
    </row>
    <row r="161" spans="2:16" ht="15" customHeight="1" x14ac:dyDescent="0.2">
      <c r="B161" s="14" t="s">
        <v>164</v>
      </c>
      <c r="F161">
        <f ca="1">SUM(F156,F153)</f>
        <v>24450.655861680843</v>
      </c>
      <c r="G161">
        <f t="shared" ref="G161:O161" ca="1" si="116">SUM(G156,G153)</f>
        <v>36207.539559203782</v>
      </c>
      <c r="H161">
        <f t="shared" ca="1" si="116"/>
        <v>52222.278370315733</v>
      </c>
      <c r="I161">
        <f t="shared" ca="1" si="116"/>
        <v>70501.434529962746</v>
      </c>
      <c r="J161">
        <f t="shared" ca="1" si="116"/>
        <v>91171.189109019746</v>
      </c>
      <c r="K161">
        <f t="shared" ca="1" si="116"/>
        <v>115294.86950313204</v>
      </c>
      <c r="L161">
        <f t="shared" ca="1" si="116"/>
        <v>140382.74376762784</v>
      </c>
      <c r="M161">
        <f t="shared" ca="1" si="116"/>
        <v>169693.87957393928</v>
      </c>
      <c r="N161">
        <f t="shared" ca="1" si="116"/>
        <v>203528.20261582095</v>
      </c>
      <c r="O161">
        <f t="shared" ca="1" si="116"/>
        <v>239228.93828726298</v>
      </c>
      <c r="P161" s="84">
        <v>57</v>
      </c>
    </row>
    <row r="163" spans="2:16" ht="15" customHeight="1" x14ac:dyDescent="0.2">
      <c r="B163" s="14" t="s">
        <v>138</v>
      </c>
      <c r="C163" s="14" t="s">
        <v>162</v>
      </c>
      <c r="E163" s="76">
        <v>1</v>
      </c>
      <c r="F163">
        <f>E166</f>
        <v>1000</v>
      </c>
      <c r="G163">
        <f t="shared" ref="G163:O163" ca="1" si="117">F166</f>
        <v>0</v>
      </c>
      <c r="H163">
        <f t="shared" ca="1" si="117"/>
        <v>0</v>
      </c>
      <c r="I163">
        <f t="shared" ca="1" si="117"/>
        <v>0</v>
      </c>
      <c r="J163">
        <f t="shared" ca="1" si="117"/>
        <v>0</v>
      </c>
      <c r="K163">
        <f t="shared" ca="1" si="117"/>
        <v>0</v>
      </c>
      <c r="L163">
        <f t="shared" ca="1" si="117"/>
        <v>0</v>
      </c>
      <c r="M163">
        <f t="shared" ca="1" si="117"/>
        <v>0</v>
      </c>
      <c r="N163">
        <f t="shared" ca="1" si="117"/>
        <v>0</v>
      </c>
      <c r="O163">
        <f t="shared" ca="1" si="117"/>
        <v>0</v>
      </c>
      <c r="P163" s="84">
        <v>58</v>
      </c>
    </row>
    <row r="164" spans="2:16" ht="15" customHeight="1" x14ac:dyDescent="0.2">
      <c r="B164" s="14" t="s">
        <v>137</v>
      </c>
      <c r="F164">
        <f>MIN(F163,-F130)*-1</f>
        <v>-1000</v>
      </c>
      <c r="G164">
        <f t="shared" ref="G164:O164" ca="1" si="118">MIN(G163,-G130)*-1</f>
        <v>0</v>
      </c>
      <c r="H164">
        <f t="shared" ca="1" si="118"/>
        <v>0</v>
      </c>
      <c r="I164">
        <f t="shared" ca="1" si="118"/>
        <v>0</v>
      </c>
      <c r="J164">
        <f t="shared" ca="1" si="118"/>
        <v>0</v>
      </c>
      <c r="K164">
        <f t="shared" ca="1" si="118"/>
        <v>0</v>
      </c>
      <c r="L164">
        <f t="shared" ca="1" si="118"/>
        <v>0</v>
      </c>
      <c r="M164">
        <f t="shared" ca="1" si="118"/>
        <v>0</v>
      </c>
      <c r="N164">
        <f t="shared" ca="1" si="118"/>
        <v>0</v>
      </c>
      <c r="O164">
        <f t="shared" ca="1" si="118"/>
        <v>0</v>
      </c>
      <c r="P164" s="84">
        <v>59</v>
      </c>
    </row>
    <row r="165" spans="2:16" ht="15" customHeight="1" x14ac:dyDescent="0.2">
      <c r="B165" s="14" t="s">
        <v>163</v>
      </c>
      <c r="F165">
        <f ca="1">MIN(F163+F164,F161)*-1*$E$163</f>
        <v>0</v>
      </c>
      <c r="G165">
        <f t="shared" ref="G165:O165" ca="1" si="119">MIN(G163+G164,G161)*-1*$E$163</f>
        <v>0</v>
      </c>
      <c r="H165">
        <f t="shared" ca="1" si="119"/>
        <v>0</v>
      </c>
      <c r="I165">
        <f t="shared" ca="1" si="119"/>
        <v>0</v>
      </c>
      <c r="J165">
        <f t="shared" ca="1" si="119"/>
        <v>0</v>
      </c>
      <c r="K165">
        <f t="shared" ca="1" si="119"/>
        <v>0</v>
      </c>
      <c r="L165">
        <f t="shared" ca="1" si="119"/>
        <v>0</v>
      </c>
      <c r="M165">
        <f t="shared" ca="1" si="119"/>
        <v>0</v>
      </c>
      <c r="N165">
        <f t="shared" ca="1" si="119"/>
        <v>0</v>
      </c>
      <c r="O165">
        <f t="shared" ca="1" si="119"/>
        <v>0</v>
      </c>
      <c r="P165" s="84">
        <v>60</v>
      </c>
    </row>
    <row r="166" spans="2:16" ht="15" customHeight="1" x14ac:dyDescent="0.2">
      <c r="B166" s="14" t="s">
        <v>139</v>
      </c>
      <c r="E166" s="68">
        <v>1000</v>
      </c>
      <c r="F166">
        <f ca="1">SUM(F163:F165)</f>
        <v>0</v>
      </c>
      <c r="G166">
        <f t="shared" ref="G166:O166" ca="1" si="120">SUM(G163:G165)</f>
        <v>0</v>
      </c>
      <c r="H166">
        <f t="shared" ca="1" si="120"/>
        <v>0</v>
      </c>
      <c r="I166">
        <f t="shared" ca="1" si="120"/>
        <v>0</v>
      </c>
      <c r="J166">
        <f t="shared" ca="1" si="120"/>
        <v>0</v>
      </c>
      <c r="K166">
        <f t="shared" ca="1" si="120"/>
        <v>0</v>
      </c>
      <c r="L166">
        <f t="shared" ca="1" si="120"/>
        <v>0</v>
      </c>
      <c r="M166">
        <f t="shared" ca="1" si="120"/>
        <v>0</v>
      </c>
      <c r="N166">
        <f t="shared" ca="1" si="120"/>
        <v>0</v>
      </c>
      <c r="O166">
        <f t="shared" ca="1" si="120"/>
        <v>0</v>
      </c>
      <c r="P166" s="84">
        <v>61</v>
      </c>
    </row>
    <row r="167" spans="2:16" ht="15" customHeight="1" x14ac:dyDescent="0.2">
      <c r="B167" s="14" t="s">
        <v>145</v>
      </c>
      <c r="F167" s="63">
        <f>F137</f>
        <v>2.1250000000000002E-2</v>
      </c>
      <c r="G167" s="63">
        <f t="shared" ref="G167:O167" si="121">G137</f>
        <v>2.1250000000000002E-2</v>
      </c>
      <c r="H167" s="63">
        <f t="shared" si="121"/>
        <v>2.1250000000000002E-2</v>
      </c>
      <c r="I167" s="63">
        <f t="shared" si="121"/>
        <v>2.1250000000000002E-2</v>
      </c>
      <c r="J167" s="63">
        <f t="shared" si="121"/>
        <v>2.1250000000000002E-2</v>
      </c>
      <c r="K167" s="63">
        <f t="shared" si="121"/>
        <v>2.1250000000000002E-2</v>
      </c>
      <c r="L167" s="63">
        <f t="shared" si="121"/>
        <v>2.1250000000000002E-2</v>
      </c>
      <c r="M167" s="63">
        <f t="shared" si="121"/>
        <v>2.1250000000000002E-2</v>
      </c>
      <c r="N167" s="63">
        <f t="shared" si="121"/>
        <v>2.1250000000000002E-2</v>
      </c>
      <c r="O167" s="63">
        <f t="shared" si="121"/>
        <v>2.1250000000000002E-2</v>
      </c>
      <c r="P167" s="84">
        <v>84</v>
      </c>
    </row>
    <row r="168" spans="2:16" ht="15" customHeight="1" x14ac:dyDescent="0.2">
      <c r="B168" s="14" t="s">
        <v>45</v>
      </c>
      <c r="F168">
        <f ca="1">F167*AVERAGE(E166:F166)</f>
        <v>10.625</v>
      </c>
      <c r="G168">
        <f t="shared" ref="G168:O168" ca="1" si="122">G167*AVERAGE(F166:G166)</f>
        <v>0</v>
      </c>
      <c r="H168">
        <f t="shared" ca="1" si="122"/>
        <v>0</v>
      </c>
      <c r="I168">
        <f t="shared" ca="1" si="122"/>
        <v>0</v>
      </c>
      <c r="J168">
        <f t="shared" ca="1" si="122"/>
        <v>0</v>
      </c>
      <c r="K168">
        <f t="shared" ca="1" si="122"/>
        <v>0</v>
      </c>
      <c r="L168">
        <f t="shared" ca="1" si="122"/>
        <v>0</v>
      </c>
      <c r="M168">
        <f t="shared" ca="1" si="122"/>
        <v>0</v>
      </c>
      <c r="N168">
        <f t="shared" ca="1" si="122"/>
        <v>0</v>
      </c>
      <c r="O168">
        <f t="shared" ca="1" si="122"/>
        <v>0</v>
      </c>
      <c r="P168" s="84">
        <v>85</v>
      </c>
    </row>
    <row r="170" spans="2:16" ht="15" customHeight="1" x14ac:dyDescent="0.2">
      <c r="B170" s="14" t="s">
        <v>140</v>
      </c>
      <c r="C170" s="14" t="s">
        <v>162</v>
      </c>
      <c r="E170" s="76">
        <v>1</v>
      </c>
      <c r="F170">
        <f>E173</f>
        <v>1000</v>
      </c>
      <c r="G170">
        <f t="shared" ref="G170:O170" ca="1" si="123">F173</f>
        <v>0</v>
      </c>
      <c r="H170">
        <f t="shared" ca="1" si="123"/>
        <v>0</v>
      </c>
      <c r="I170">
        <f t="shared" ca="1" si="123"/>
        <v>0</v>
      </c>
      <c r="J170">
        <f t="shared" ca="1" si="123"/>
        <v>0</v>
      </c>
      <c r="K170">
        <f t="shared" ca="1" si="123"/>
        <v>0</v>
      </c>
      <c r="L170">
        <f t="shared" ca="1" si="123"/>
        <v>0</v>
      </c>
      <c r="M170">
        <f t="shared" ca="1" si="123"/>
        <v>0</v>
      </c>
      <c r="N170">
        <f t="shared" ca="1" si="123"/>
        <v>0</v>
      </c>
      <c r="O170">
        <f t="shared" ca="1" si="123"/>
        <v>0</v>
      </c>
      <c r="P170" s="84">
        <v>62</v>
      </c>
    </row>
    <row r="171" spans="2:16" ht="15" customHeight="1" x14ac:dyDescent="0.2">
      <c r="B171" s="14" t="s">
        <v>137</v>
      </c>
      <c r="F171">
        <f>MIN(F170,-F131)*-1</f>
        <v>0</v>
      </c>
      <c r="G171">
        <f t="shared" ref="G171:O171" ca="1" si="124">MIN(G170,G131)*-1</f>
        <v>0</v>
      </c>
      <c r="H171">
        <f t="shared" ca="1" si="124"/>
        <v>0</v>
      </c>
      <c r="I171">
        <f t="shared" ca="1" si="124"/>
        <v>0</v>
      </c>
      <c r="J171">
        <f t="shared" ca="1" si="124"/>
        <v>0</v>
      </c>
      <c r="K171">
        <f t="shared" ca="1" si="124"/>
        <v>1000</v>
      </c>
      <c r="L171">
        <f t="shared" ca="1" si="124"/>
        <v>0</v>
      </c>
      <c r="M171">
        <f t="shared" ca="1" si="124"/>
        <v>0</v>
      </c>
      <c r="N171">
        <f t="shared" ca="1" si="124"/>
        <v>0</v>
      </c>
      <c r="O171">
        <f t="shared" ca="1" si="124"/>
        <v>0</v>
      </c>
      <c r="P171" s="84">
        <v>63</v>
      </c>
    </row>
    <row r="172" spans="2:16" ht="15" customHeight="1" x14ac:dyDescent="0.2">
      <c r="B172" s="14" t="s">
        <v>163</v>
      </c>
      <c r="F172">
        <f ca="1">MIN(F170+F171,F161+F165)*-1*$E$170</f>
        <v>-1000</v>
      </c>
      <c r="G172">
        <f t="shared" ref="G172:O172" ca="1" si="125">MIN(G170+G171,G161+G165)*-1*$E$170</f>
        <v>0</v>
      </c>
      <c r="H172">
        <f t="shared" ca="1" si="125"/>
        <v>0</v>
      </c>
      <c r="I172">
        <f t="shared" ca="1" si="125"/>
        <v>0</v>
      </c>
      <c r="J172">
        <f t="shared" ca="1" si="125"/>
        <v>0</v>
      </c>
      <c r="K172">
        <f t="shared" ca="1" si="125"/>
        <v>-1000</v>
      </c>
      <c r="L172">
        <f t="shared" ca="1" si="125"/>
        <v>0</v>
      </c>
      <c r="M172">
        <f t="shared" ca="1" si="125"/>
        <v>0</v>
      </c>
      <c r="N172">
        <f t="shared" ca="1" si="125"/>
        <v>0</v>
      </c>
      <c r="O172">
        <f t="shared" ca="1" si="125"/>
        <v>0</v>
      </c>
      <c r="P172" s="84">
        <v>64</v>
      </c>
    </row>
    <row r="173" spans="2:16" ht="15" customHeight="1" x14ac:dyDescent="0.2">
      <c r="B173" s="14" t="s">
        <v>141</v>
      </c>
      <c r="E173" s="68">
        <v>1000</v>
      </c>
      <c r="F173">
        <f ca="1">SUM(F170:F172)</f>
        <v>0</v>
      </c>
      <c r="G173">
        <f t="shared" ref="G173:O173" ca="1" si="126">SUM(G170:G172)</f>
        <v>0</v>
      </c>
      <c r="H173">
        <f t="shared" ca="1" si="126"/>
        <v>0</v>
      </c>
      <c r="I173">
        <f t="shared" ca="1" si="126"/>
        <v>0</v>
      </c>
      <c r="J173">
        <f t="shared" ca="1" si="126"/>
        <v>0</v>
      </c>
      <c r="K173">
        <f t="shared" ca="1" si="126"/>
        <v>0</v>
      </c>
      <c r="L173">
        <f t="shared" ca="1" si="126"/>
        <v>0</v>
      </c>
      <c r="M173">
        <f t="shared" ca="1" si="126"/>
        <v>0</v>
      </c>
      <c r="N173">
        <f t="shared" ca="1" si="126"/>
        <v>0</v>
      </c>
      <c r="O173">
        <f t="shared" ca="1" si="126"/>
        <v>0</v>
      </c>
      <c r="P173" s="84">
        <v>65</v>
      </c>
    </row>
    <row r="174" spans="2:16" ht="15" customHeight="1" x14ac:dyDescent="0.2">
      <c r="B174" s="14" t="s">
        <v>145</v>
      </c>
      <c r="F174" s="63">
        <f>F138</f>
        <v>3.6249999999999998E-2</v>
      </c>
      <c r="G174" s="63">
        <f t="shared" ref="G174:O174" si="127">G138</f>
        <v>3.6249999999999998E-2</v>
      </c>
      <c r="H174" s="63">
        <f t="shared" si="127"/>
        <v>3.6249999999999998E-2</v>
      </c>
      <c r="I174" s="63">
        <f t="shared" si="127"/>
        <v>3.6249999999999998E-2</v>
      </c>
      <c r="J174" s="63">
        <f t="shared" si="127"/>
        <v>3.6249999999999998E-2</v>
      </c>
      <c r="K174" s="63">
        <f t="shared" si="127"/>
        <v>3.6249999999999998E-2</v>
      </c>
      <c r="L174" s="63">
        <f t="shared" si="127"/>
        <v>3.6249999999999998E-2</v>
      </c>
      <c r="M174" s="63">
        <f t="shared" si="127"/>
        <v>3.6249999999999998E-2</v>
      </c>
      <c r="N174" s="63">
        <f t="shared" si="127"/>
        <v>3.6249999999999998E-2</v>
      </c>
      <c r="O174" s="63">
        <f t="shared" si="127"/>
        <v>3.6249999999999998E-2</v>
      </c>
      <c r="P174" s="84">
        <v>86</v>
      </c>
    </row>
    <row r="175" spans="2:16" ht="15" customHeight="1" x14ac:dyDescent="0.2">
      <c r="B175" s="14" t="s">
        <v>45</v>
      </c>
      <c r="F175">
        <f ca="1">F174*AVERAGE(E173:F173)</f>
        <v>18.125</v>
      </c>
      <c r="G175">
        <f ca="1">G174*AVERAGE(F173:G173)</f>
        <v>0</v>
      </c>
      <c r="H175">
        <f t="shared" ref="H175:O175" ca="1" si="128">H174*AVERAGE(G173:H173)</f>
        <v>0</v>
      </c>
      <c r="I175">
        <f t="shared" ca="1" si="128"/>
        <v>0</v>
      </c>
      <c r="J175">
        <f t="shared" ca="1" si="128"/>
        <v>0</v>
      </c>
      <c r="K175">
        <f t="shared" ca="1" si="128"/>
        <v>0</v>
      </c>
      <c r="L175">
        <f t="shared" ca="1" si="128"/>
        <v>0</v>
      </c>
      <c r="M175">
        <f t="shared" ca="1" si="128"/>
        <v>0</v>
      </c>
      <c r="N175">
        <f t="shared" ca="1" si="128"/>
        <v>0</v>
      </c>
      <c r="O175">
        <f t="shared" ca="1" si="128"/>
        <v>0</v>
      </c>
      <c r="P175" s="84">
        <v>87</v>
      </c>
    </row>
    <row r="177" spans="2:16" ht="15" customHeight="1" x14ac:dyDescent="0.2">
      <c r="B177" s="14" t="s">
        <v>142</v>
      </c>
      <c r="C177" s="14" t="s">
        <v>162</v>
      </c>
      <c r="E177" s="76">
        <v>1</v>
      </c>
      <c r="F177">
        <f>E180</f>
        <v>1000</v>
      </c>
      <c r="G177">
        <f t="shared" ref="G177:O177" ca="1" si="129">F180</f>
        <v>0</v>
      </c>
      <c r="H177">
        <f t="shared" ca="1" si="129"/>
        <v>0</v>
      </c>
      <c r="I177">
        <f t="shared" ca="1" si="129"/>
        <v>0</v>
      </c>
      <c r="J177">
        <f t="shared" ca="1" si="129"/>
        <v>0</v>
      </c>
      <c r="K177">
        <f t="shared" ca="1" si="129"/>
        <v>0</v>
      </c>
      <c r="L177">
        <f t="shared" ca="1" si="129"/>
        <v>0</v>
      </c>
      <c r="M177">
        <f t="shared" ca="1" si="129"/>
        <v>0</v>
      </c>
      <c r="N177">
        <f t="shared" ca="1" si="129"/>
        <v>0</v>
      </c>
      <c r="O177">
        <f t="shared" ca="1" si="129"/>
        <v>0</v>
      </c>
      <c r="P177" s="84">
        <v>66</v>
      </c>
    </row>
    <row r="178" spans="2:16" ht="15" customHeight="1" x14ac:dyDescent="0.2">
      <c r="B178" s="14" t="s">
        <v>137</v>
      </c>
      <c r="F178">
        <f>MIN(F177,-F132)*-1</f>
        <v>0</v>
      </c>
      <c r="G178">
        <f t="shared" ref="G178:O178" ca="1" si="130">MIN(G177,G132)*-1</f>
        <v>0</v>
      </c>
      <c r="H178">
        <f t="shared" ca="1" si="130"/>
        <v>0</v>
      </c>
      <c r="I178">
        <f t="shared" ca="1" si="130"/>
        <v>0</v>
      </c>
      <c r="J178">
        <f t="shared" ca="1" si="130"/>
        <v>0</v>
      </c>
      <c r="K178">
        <f t="shared" ca="1" si="130"/>
        <v>0</v>
      </c>
      <c r="L178">
        <f t="shared" ca="1" si="130"/>
        <v>0</v>
      </c>
      <c r="M178">
        <f t="shared" ca="1" si="130"/>
        <v>0</v>
      </c>
      <c r="N178">
        <f t="shared" ca="1" si="130"/>
        <v>1000</v>
      </c>
      <c r="O178">
        <f t="shared" ca="1" si="130"/>
        <v>0</v>
      </c>
      <c r="P178" s="84">
        <v>67</v>
      </c>
    </row>
    <row r="179" spans="2:16" ht="15" customHeight="1" x14ac:dyDescent="0.2">
      <c r="B179" s="14" t="s">
        <v>163</v>
      </c>
      <c r="F179">
        <f ca="1">MIN(F178+F177,F161+F172+F165)*-1*$E$177</f>
        <v>-1000</v>
      </c>
      <c r="G179">
        <f t="shared" ref="G179:O179" ca="1" si="131">MIN(G178+G177,G161+G172+G165)*-1*$E$177</f>
        <v>0</v>
      </c>
      <c r="H179">
        <f t="shared" ca="1" si="131"/>
        <v>0</v>
      </c>
      <c r="I179">
        <f t="shared" ca="1" si="131"/>
        <v>0</v>
      </c>
      <c r="J179">
        <f t="shared" ca="1" si="131"/>
        <v>0</v>
      </c>
      <c r="K179">
        <f t="shared" ca="1" si="131"/>
        <v>0</v>
      </c>
      <c r="L179">
        <f t="shared" ca="1" si="131"/>
        <v>0</v>
      </c>
      <c r="M179">
        <f t="shared" ca="1" si="131"/>
        <v>0</v>
      </c>
      <c r="N179">
        <f t="shared" ca="1" si="131"/>
        <v>-1000</v>
      </c>
      <c r="O179">
        <f t="shared" ca="1" si="131"/>
        <v>0</v>
      </c>
      <c r="P179" s="84">
        <v>68</v>
      </c>
    </row>
    <row r="180" spans="2:16" ht="15" customHeight="1" x14ac:dyDescent="0.2">
      <c r="B180" s="14" t="s">
        <v>143</v>
      </c>
      <c r="E180" s="68">
        <v>1000</v>
      </c>
      <c r="F180">
        <f ca="1">SUM(F177:F179)</f>
        <v>0</v>
      </c>
      <c r="G180">
        <f t="shared" ref="G180:O180" ca="1" si="132">SUM(G177:G179)</f>
        <v>0</v>
      </c>
      <c r="H180">
        <f t="shared" ca="1" si="132"/>
        <v>0</v>
      </c>
      <c r="I180">
        <f t="shared" ca="1" si="132"/>
        <v>0</v>
      </c>
      <c r="J180">
        <f t="shared" ca="1" si="132"/>
        <v>0</v>
      </c>
      <c r="K180">
        <f t="shared" ca="1" si="132"/>
        <v>0</v>
      </c>
      <c r="L180">
        <f t="shared" ca="1" si="132"/>
        <v>0</v>
      </c>
      <c r="M180">
        <f t="shared" ca="1" si="132"/>
        <v>0</v>
      </c>
      <c r="N180">
        <f t="shared" ca="1" si="132"/>
        <v>0</v>
      </c>
      <c r="O180">
        <f t="shared" ca="1" si="132"/>
        <v>0</v>
      </c>
      <c r="P180" s="84">
        <v>69</v>
      </c>
    </row>
    <row r="181" spans="2:16" ht="15" customHeight="1" x14ac:dyDescent="0.2">
      <c r="B181" s="14" t="s">
        <v>145</v>
      </c>
      <c r="F181" s="63">
        <f>F139</f>
        <v>3.3750000000000002E-2</v>
      </c>
      <c r="G181" s="63">
        <f t="shared" ref="G181:O181" si="133">G139</f>
        <v>3.3750000000000002E-2</v>
      </c>
      <c r="H181" s="63">
        <f t="shared" si="133"/>
        <v>3.3750000000000002E-2</v>
      </c>
      <c r="I181" s="63">
        <f t="shared" si="133"/>
        <v>3.3750000000000002E-2</v>
      </c>
      <c r="J181" s="63">
        <f t="shared" si="133"/>
        <v>3.3750000000000002E-2</v>
      </c>
      <c r="K181" s="63">
        <f t="shared" si="133"/>
        <v>3.3750000000000002E-2</v>
      </c>
      <c r="L181" s="63">
        <f t="shared" si="133"/>
        <v>3.3750000000000002E-2</v>
      </c>
      <c r="M181" s="63">
        <f t="shared" si="133"/>
        <v>3.3750000000000002E-2</v>
      </c>
      <c r="N181" s="63">
        <f t="shared" si="133"/>
        <v>3.3750000000000002E-2</v>
      </c>
      <c r="O181" s="63">
        <f t="shared" si="133"/>
        <v>3.3750000000000002E-2</v>
      </c>
      <c r="P181" s="84">
        <v>88</v>
      </c>
    </row>
    <row r="182" spans="2:16" ht="15" customHeight="1" x14ac:dyDescent="0.2">
      <c r="B182" s="14" t="s">
        <v>45</v>
      </c>
      <c r="F182">
        <f ca="1">F181*AVERAGE(E180:F180)</f>
        <v>16.875</v>
      </c>
      <c r="G182">
        <f t="shared" ref="G182:O182" ca="1" si="134">G181*AVERAGE(F180:G180)</f>
        <v>0</v>
      </c>
      <c r="H182">
        <f t="shared" ca="1" si="134"/>
        <v>0</v>
      </c>
      <c r="I182">
        <f t="shared" ca="1" si="134"/>
        <v>0</v>
      </c>
      <c r="J182">
        <f t="shared" ca="1" si="134"/>
        <v>0</v>
      </c>
      <c r="K182">
        <f t="shared" ca="1" si="134"/>
        <v>0</v>
      </c>
      <c r="L182">
        <f t="shared" ca="1" si="134"/>
        <v>0</v>
      </c>
      <c r="M182">
        <f t="shared" ca="1" si="134"/>
        <v>0</v>
      </c>
      <c r="N182">
        <f t="shared" ca="1" si="134"/>
        <v>0</v>
      </c>
      <c r="O182">
        <f t="shared" ca="1" si="134"/>
        <v>0</v>
      </c>
      <c r="P182" s="84">
        <v>89</v>
      </c>
    </row>
    <row r="184" spans="2:16" ht="15" customHeight="1" x14ac:dyDescent="0.2">
      <c r="B184" s="14" t="s">
        <v>144</v>
      </c>
      <c r="C184" s="14" t="s">
        <v>162</v>
      </c>
      <c r="E184" s="76">
        <v>1</v>
      </c>
      <c r="F184">
        <f>E187</f>
        <v>225</v>
      </c>
      <c r="G184">
        <f t="shared" ref="G184:O184" ca="1" si="135">F187</f>
        <v>0</v>
      </c>
      <c r="H184">
        <f t="shared" ca="1" si="135"/>
        <v>0</v>
      </c>
      <c r="I184">
        <f t="shared" ca="1" si="135"/>
        <v>0</v>
      </c>
      <c r="J184">
        <f t="shared" ca="1" si="135"/>
        <v>0</v>
      </c>
      <c r="K184">
        <f t="shared" ca="1" si="135"/>
        <v>0</v>
      </c>
      <c r="L184">
        <f t="shared" ca="1" si="135"/>
        <v>0</v>
      </c>
      <c r="M184">
        <f t="shared" ca="1" si="135"/>
        <v>0</v>
      </c>
      <c r="N184">
        <f t="shared" ca="1" si="135"/>
        <v>0</v>
      </c>
      <c r="O184">
        <f t="shared" ca="1" si="135"/>
        <v>0</v>
      </c>
      <c r="P184" s="84">
        <v>70</v>
      </c>
    </row>
    <row r="185" spans="2:16" ht="15" customHeight="1" x14ac:dyDescent="0.2">
      <c r="B185" s="14" t="s">
        <v>137</v>
      </c>
      <c r="F185">
        <f>MIN(F184,-F133)*-1</f>
        <v>-225</v>
      </c>
      <c r="G185">
        <f t="shared" ref="G185:O185" ca="1" si="136">MIN(G184,-G133)*-1</f>
        <v>0</v>
      </c>
      <c r="H185">
        <f t="shared" ca="1" si="136"/>
        <v>0</v>
      </c>
      <c r="I185">
        <f t="shared" ca="1" si="136"/>
        <v>0</v>
      </c>
      <c r="J185">
        <f t="shared" ca="1" si="136"/>
        <v>0</v>
      </c>
      <c r="K185">
        <f t="shared" ca="1" si="136"/>
        <v>0</v>
      </c>
      <c r="L185">
        <f t="shared" ca="1" si="136"/>
        <v>0</v>
      </c>
      <c r="M185">
        <f t="shared" ca="1" si="136"/>
        <v>0</v>
      </c>
      <c r="N185">
        <f t="shared" ca="1" si="136"/>
        <v>0</v>
      </c>
      <c r="O185">
        <f t="shared" ca="1" si="136"/>
        <v>0</v>
      </c>
      <c r="P185" s="84">
        <v>71</v>
      </c>
    </row>
    <row r="186" spans="2:16" ht="15" customHeight="1" x14ac:dyDescent="0.2">
      <c r="B186" s="14" t="s">
        <v>163</v>
      </c>
      <c r="F186">
        <f ca="1">MIN(F185+F184,F161+F179+F172+F165)*-1*$E$184</f>
        <v>0</v>
      </c>
      <c r="G186">
        <f t="shared" ref="G186:O186" ca="1" si="137">MIN(G185+G184,G161+G179+G172+G165)*-1*$E$184</f>
        <v>0</v>
      </c>
      <c r="H186">
        <f t="shared" ca="1" si="137"/>
        <v>0</v>
      </c>
      <c r="I186">
        <f t="shared" ca="1" si="137"/>
        <v>0</v>
      </c>
      <c r="J186">
        <f t="shared" ca="1" si="137"/>
        <v>0</v>
      </c>
      <c r="K186">
        <f t="shared" ca="1" si="137"/>
        <v>0</v>
      </c>
      <c r="L186">
        <f t="shared" ca="1" si="137"/>
        <v>0</v>
      </c>
      <c r="M186">
        <f t="shared" ca="1" si="137"/>
        <v>0</v>
      </c>
      <c r="N186">
        <f t="shared" ca="1" si="137"/>
        <v>0</v>
      </c>
      <c r="O186">
        <f t="shared" ca="1" si="137"/>
        <v>0</v>
      </c>
      <c r="P186" s="84">
        <v>72</v>
      </c>
    </row>
    <row r="187" spans="2:16" ht="15" customHeight="1" x14ac:dyDescent="0.2">
      <c r="B187" s="14" t="s">
        <v>159</v>
      </c>
      <c r="E187" s="62">
        <v>225</v>
      </c>
      <c r="F187">
        <f ca="1">SUM(F184:F186)</f>
        <v>0</v>
      </c>
      <c r="G187">
        <f t="shared" ref="G187:O187" ca="1" si="138">SUM(G184:G186)</f>
        <v>0</v>
      </c>
      <c r="H187">
        <f t="shared" ca="1" si="138"/>
        <v>0</v>
      </c>
      <c r="I187">
        <f t="shared" ca="1" si="138"/>
        <v>0</v>
      </c>
      <c r="J187">
        <f t="shared" ca="1" si="138"/>
        <v>0</v>
      </c>
      <c r="K187">
        <f t="shared" ca="1" si="138"/>
        <v>0</v>
      </c>
      <c r="L187">
        <f t="shared" ca="1" si="138"/>
        <v>0</v>
      </c>
      <c r="M187">
        <f t="shared" ca="1" si="138"/>
        <v>0</v>
      </c>
      <c r="N187">
        <f t="shared" ca="1" si="138"/>
        <v>0</v>
      </c>
      <c r="O187">
        <f t="shared" ca="1" si="138"/>
        <v>0</v>
      </c>
      <c r="P187" s="84">
        <v>73</v>
      </c>
    </row>
    <row r="188" spans="2:16" ht="15" customHeight="1" x14ac:dyDescent="0.2">
      <c r="B188" s="14" t="s">
        <v>145</v>
      </c>
      <c r="F188" s="63">
        <f>F140</f>
        <v>3.3750000000000002E-2</v>
      </c>
      <c r="G188" s="63">
        <f t="shared" ref="G188:O188" si="139">G140</f>
        <v>3.3750000000000002E-2</v>
      </c>
      <c r="H188" s="63">
        <f t="shared" si="139"/>
        <v>3.3750000000000002E-2</v>
      </c>
      <c r="I188" s="63">
        <f t="shared" si="139"/>
        <v>3.3750000000000002E-2</v>
      </c>
      <c r="J188" s="63">
        <f t="shared" si="139"/>
        <v>3.3750000000000002E-2</v>
      </c>
      <c r="K188" s="63">
        <f t="shared" si="139"/>
        <v>3.3750000000000002E-2</v>
      </c>
      <c r="L188" s="63">
        <f t="shared" si="139"/>
        <v>3.3750000000000002E-2</v>
      </c>
      <c r="M188" s="63">
        <f t="shared" si="139"/>
        <v>3.3750000000000002E-2</v>
      </c>
      <c r="N188" s="63">
        <f t="shared" si="139"/>
        <v>3.3750000000000002E-2</v>
      </c>
      <c r="O188" s="63">
        <f t="shared" si="139"/>
        <v>3.3750000000000002E-2</v>
      </c>
      <c r="P188" s="84">
        <v>90</v>
      </c>
    </row>
    <row r="189" spans="2:16" ht="15" customHeight="1" x14ac:dyDescent="0.2">
      <c r="B189" s="14" t="s">
        <v>45</v>
      </c>
      <c r="F189">
        <f ca="1">F188*AVERAGE(E187:F187)</f>
        <v>3.7968750000000004</v>
      </c>
      <c r="G189">
        <f t="shared" ref="G189:O189" ca="1" si="140">G188*AVERAGE(F187:G187)</f>
        <v>0</v>
      </c>
      <c r="H189">
        <f t="shared" ca="1" si="140"/>
        <v>0</v>
      </c>
      <c r="I189">
        <f t="shared" ca="1" si="140"/>
        <v>0</v>
      </c>
      <c r="J189">
        <f t="shared" ca="1" si="140"/>
        <v>0</v>
      </c>
      <c r="K189">
        <f t="shared" ca="1" si="140"/>
        <v>0</v>
      </c>
      <c r="L189">
        <f t="shared" ca="1" si="140"/>
        <v>0</v>
      </c>
      <c r="M189">
        <f t="shared" ca="1" si="140"/>
        <v>0</v>
      </c>
      <c r="N189">
        <f t="shared" ca="1" si="140"/>
        <v>0</v>
      </c>
      <c r="O189">
        <f t="shared" ca="1" si="140"/>
        <v>0</v>
      </c>
      <c r="P189" s="84">
        <v>91</v>
      </c>
    </row>
    <row r="191" spans="2:16" ht="15" customHeight="1" x14ac:dyDescent="0.2">
      <c r="B191" s="14" t="s">
        <v>35</v>
      </c>
      <c r="F191">
        <f>E193</f>
        <v>16549</v>
      </c>
      <c r="G191">
        <f t="shared" ref="G191:O191" ca="1" si="141">F193</f>
        <v>22450.655861680843</v>
      </c>
      <c r="H191">
        <f t="shared" ca="1" si="141"/>
        <v>36207.539559203782</v>
      </c>
      <c r="I191">
        <f t="shared" ca="1" si="141"/>
        <v>52222.278370315733</v>
      </c>
      <c r="J191">
        <f t="shared" ca="1" si="141"/>
        <v>70501.434529962746</v>
      </c>
      <c r="K191">
        <f t="shared" ca="1" si="141"/>
        <v>91171.189109019746</v>
      </c>
      <c r="L191">
        <f t="shared" ca="1" si="141"/>
        <v>114294.86950313204</v>
      </c>
      <c r="M191">
        <f t="shared" ca="1" si="141"/>
        <v>140382.74376762784</v>
      </c>
      <c r="N191">
        <f t="shared" ca="1" si="141"/>
        <v>169693.87957393928</v>
      </c>
      <c r="O191">
        <f t="shared" ca="1" si="141"/>
        <v>202528.20261582095</v>
      </c>
      <c r="P191" s="84">
        <v>74</v>
      </c>
    </row>
    <row r="192" spans="2:16" ht="15" customHeight="1" x14ac:dyDescent="0.2">
      <c r="B192" s="14" t="s">
        <v>34</v>
      </c>
      <c r="F192">
        <f ca="1">SUM(F147,F156,F164:F165,F171:F172,F178:F179,F185:F186)</f>
        <v>5901.6558616808434</v>
      </c>
      <c r="G192">
        <f t="shared" ref="G192:O192" ca="1" si="142">SUM(G147,G156,G164:G165,G171:G172,G178:G179,G185:G186)</f>
        <v>13756.883697522935</v>
      </c>
      <c r="H192">
        <f t="shared" ca="1" si="142"/>
        <v>16014.738811111947</v>
      </c>
      <c r="I192">
        <f t="shared" ca="1" si="142"/>
        <v>18279.156159647006</v>
      </c>
      <c r="J192">
        <f t="shared" ca="1" si="142"/>
        <v>20669.754579056997</v>
      </c>
      <c r="K192">
        <f t="shared" ca="1" si="142"/>
        <v>23123.680394112296</v>
      </c>
      <c r="L192">
        <f t="shared" ca="1" si="142"/>
        <v>26087.8742644958</v>
      </c>
      <c r="M192">
        <f t="shared" ca="1" si="142"/>
        <v>29311.135806311442</v>
      </c>
      <c r="N192">
        <f t="shared" ca="1" si="142"/>
        <v>32834.323041881667</v>
      </c>
      <c r="O192">
        <f t="shared" ca="1" si="142"/>
        <v>36700.735671442031</v>
      </c>
      <c r="P192" s="84">
        <v>75</v>
      </c>
    </row>
    <row r="193" spans="1:16" ht="15" customHeight="1" x14ac:dyDescent="0.2">
      <c r="B193" s="14" t="s">
        <v>36</v>
      </c>
      <c r="E193">
        <f>E80</f>
        <v>16549</v>
      </c>
      <c r="F193">
        <f ca="1">SUM(F191:F192)</f>
        <v>22450.655861680843</v>
      </c>
      <c r="G193">
        <f t="shared" ref="G193:O193" ca="1" si="143">SUM(G191:G192)</f>
        <v>36207.539559203782</v>
      </c>
      <c r="H193">
        <f t="shared" ca="1" si="143"/>
        <v>52222.278370315733</v>
      </c>
      <c r="I193">
        <f t="shared" ca="1" si="143"/>
        <v>70501.434529962746</v>
      </c>
      <c r="J193">
        <f t="shared" ca="1" si="143"/>
        <v>91171.189109019746</v>
      </c>
      <c r="K193">
        <f t="shared" ca="1" si="143"/>
        <v>114294.86950313204</v>
      </c>
      <c r="L193">
        <f t="shared" ca="1" si="143"/>
        <v>140382.74376762784</v>
      </c>
      <c r="M193">
        <f t="shared" ca="1" si="143"/>
        <v>169693.87957393928</v>
      </c>
      <c r="N193">
        <f t="shared" ca="1" si="143"/>
        <v>202528.20261582095</v>
      </c>
      <c r="O193">
        <f t="shared" ca="1" si="143"/>
        <v>239228.93828726298</v>
      </c>
      <c r="P193" s="84">
        <v>76</v>
      </c>
    </row>
    <row r="194" spans="1:16" ht="15" customHeight="1" x14ac:dyDescent="0.2">
      <c r="B194" s="14" t="str">
        <f>B81</f>
        <v>Short-term investments</v>
      </c>
      <c r="E194">
        <f>E81</f>
        <v>56517</v>
      </c>
      <c r="F194">
        <f t="shared" ref="F194" si="144">F81</f>
        <v>56517</v>
      </c>
      <c r="G194">
        <f t="shared" ref="G194:O194" si="145">G81</f>
        <v>56517</v>
      </c>
      <c r="H194">
        <f t="shared" si="145"/>
        <v>56517</v>
      </c>
      <c r="I194">
        <f t="shared" si="145"/>
        <v>56517</v>
      </c>
      <c r="J194">
        <f t="shared" si="145"/>
        <v>56517</v>
      </c>
      <c r="K194">
        <f t="shared" si="145"/>
        <v>56517</v>
      </c>
      <c r="L194">
        <f t="shared" si="145"/>
        <v>56517</v>
      </c>
      <c r="M194">
        <f t="shared" si="145"/>
        <v>56517</v>
      </c>
      <c r="N194">
        <f t="shared" si="145"/>
        <v>56517</v>
      </c>
      <c r="O194">
        <f t="shared" si="145"/>
        <v>56517</v>
      </c>
      <c r="P194" s="84">
        <v>77</v>
      </c>
    </row>
    <row r="195" spans="1:16" ht="15" customHeight="1" x14ac:dyDescent="0.2">
      <c r="B195" s="14" t="s">
        <v>161</v>
      </c>
      <c r="E195">
        <f>SUM(E193:E194)</f>
        <v>73066</v>
      </c>
      <c r="F195">
        <f t="shared" ref="F195" ca="1" si="146">SUM(F193:F194)</f>
        <v>78967.655861680847</v>
      </c>
      <c r="G195">
        <f t="shared" ref="G195" ca="1" si="147">SUM(G193:G194)</f>
        <v>92724.539559203782</v>
      </c>
      <c r="H195">
        <f t="shared" ref="H195" ca="1" si="148">SUM(H193:H194)</f>
        <v>108739.27837031573</v>
      </c>
      <c r="I195">
        <f t="shared" ref="I195" ca="1" si="149">SUM(I193:I194)</f>
        <v>127018.43452996275</v>
      </c>
      <c r="J195">
        <f t="shared" ref="J195" ca="1" si="150">SUM(J193:J194)</f>
        <v>147688.18910901976</v>
      </c>
      <c r="K195">
        <f t="shared" ref="K195" ca="1" si="151">SUM(K193:K194)</f>
        <v>170811.86950313204</v>
      </c>
      <c r="L195">
        <f t="shared" ref="L195" ca="1" si="152">SUM(L193:L194)</f>
        <v>196899.74376762784</v>
      </c>
      <c r="M195">
        <f t="shared" ref="M195" ca="1" si="153">SUM(M193:M194)</f>
        <v>226210.87957393928</v>
      </c>
      <c r="N195">
        <f t="shared" ref="N195" ca="1" si="154">SUM(N193:N194)</f>
        <v>259045.20261582095</v>
      </c>
      <c r="O195">
        <f t="shared" ref="O195" ca="1" si="155">SUM(O193:O194)</f>
        <v>295745.93828726298</v>
      </c>
      <c r="P195" s="84">
        <v>78</v>
      </c>
    </row>
    <row r="196" spans="1:16" ht="15" customHeight="1" x14ac:dyDescent="0.2">
      <c r="B196" s="14" t="s">
        <v>145</v>
      </c>
      <c r="F196" s="63">
        <f>F141</f>
        <v>1E-3</v>
      </c>
      <c r="G196" s="63">
        <f t="shared" ref="G196:O196" si="156">G141</f>
        <v>1E-3</v>
      </c>
      <c r="H196" s="63">
        <f t="shared" si="156"/>
        <v>1E-3</v>
      </c>
      <c r="I196" s="63">
        <f t="shared" si="156"/>
        <v>1E-3</v>
      </c>
      <c r="J196" s="63">
        <f t="shared" si="156"/>
        <v>1E-3</v>
      </c>
      <c r="K196" s="63">
        <f t="shared" si="156"/>
        <v>1E-3</v>
      </c>
      <c r="L196" s="63">
        <f t="shared" si="156"/>
        <v>1E-3</v>
      </c>
      <c r="M196" s="63">
        <f t="shared" si="156"/>
        <v>1E-3</v>
      </c>
      <c r="N196" s="63">
        <f t="shared" si="156"/>
        <v>1E-3</v>
      </c>
      <c r="O196" s="63">
        <f t="shared" si="156"/>
        <v>1E-3</v>
      </c>
      <c r="P196" s="84">
        <v>92</v>
      </c>
    </row>
    <row r="197" spans="1:16" ht="15" customHeight="1" x14ac:dyDescent="0.2">
      <c r="B197" s="14" t="s">
        <v>44</v>
      </c>
      <c r="F197">
        <f ca="1">F196*AVERAGE(E195:F195)</f>
        <v>76.016827930840435</v>
      </c>
      <c r="G197">
        <f t="shared" ref="G197:O197" ca="1" si="157">G196*AVERAGE(F195:G195)</f>
        <v>85.846097710442322</v>
      </c>
      <c r="H197">
        <f t="shared" ca="1" si="157"/>
        <v>100.73190896475975</v>
      </c>
      <c r="I197">
        <f t="shared" ca="1" si="157"/>
        <v>117.87885645013924</v>
      </c>
      <c r="J197">
        <f t="shared" ca="1" si="157"/>
        <v>137.35331181949127</v>
      </c>
      <c r="K197">
        <f t="shared" ca="1" si="157"/>
        <v>159.2500293060759</v>
      </c>
      <c r="L197">
        <f t="shared" ca="1" si="157"/>
        <v>183.85580663537993</v>
      </c>
      <c r="M197">
        <f t="shared" ca="1" si="157"/>
        <v>211.55531167078357</v>
      </c>
      <c r="N197">
        <f t="shared" ca="1" si="157"/>
        <v>242.62804109488013</v>
      </c>
      <c r="O197">
        <f t="shared" ca="1" si="157"/>
        <v>277.39557045154197</v>
      </c>
      <c r="P197" s="84">
        <v>93</v>
      </c>
    </row>
    <row r="199" spans="1:16" ht="15" customHeight="1" x14ac:dyDescent="0.2">
      <c r="A199" s="80" t="s">
        <v>170</v>
      </c>
    </row>
    <row r="200" spans="1:16" ht="15" customHeight="1" x14ac:dyDescent="0.2">
      <c r="B200" s="14" t="s">
        <v>52</v>
      </c>
      <c r="C200" s="63">
        <f>C26/C20</f>
        <v>0.27743655325203986</v>
      </c>
      <c r="D200" s="63">
        <f t="shared" ref="D200:O200" si="158">D26/D20</f>
        <v>0.24993560703625703</v>
      </c>
      <c r="E200" s="63">
        <f t="shared" si="158"/>
        <v>0.25817119844243824</v>
      </c>
      <c r="F200" s="63">
        <f t="shared" si="158"/>
        <v>0.25799999999999995</v>
      </c>
      <c r="G200" s="63">
        <f t="shared" si="158"/>
        <v>0.25800000000000001</v>
      </c>
      <c r="H200" s="63">
        <f t="shared" si="158"/>
        <v>0.25800000000000001</v>
      </c>
      <c r="I200" s="63">
        <f t="shared" si="158"/>
        <v>0.25799999999999995</v>
      </c>
      <c r="J200" s="63">
        <f t="shared" si="158"/>
        <v>0.25800000000000001</v>
      </c>
      <c r="K200" s="63">
        <f t="shared" si="158"/>
        <v>0.25800000000000001</v>
      </c>
      <c r="L200" s="63">
        <f t="shared" si="158"/>
        <v>0.25800000000000001</v>
      </c>
      <c r="M200" s="63">
        <f t="shared" si="158"/>
        <v>0.25800000000000001</v>
      </c>
      <c r="N200" s="63">
        <f t="shared" si="158"/>
        <v>0.2579999999999999</v>
      </c>
      <c r="O200" s="63">
        <f t="shared" si="158"/>
        <v>0.25800000000000006</v>
      </c>
    </row>
    <row r="201" spans="1:16" ht="15" customHeight="1" x14ac:dyDescent="0.2">
      <c r="B201" s="14" t="s">
        <v>70</v>
      </c>
      <c r="C201" s="63">
        <f>C30/C20</f>
        <v>0.34838523748626599</v>
      </c>
      <c r="D201" s="63">
        <f t="shared" ref="D201:O201" si="159">D30/D20</f>
        <v>0.32537385797184892</v>
      </c>
      <c r="E201" s="63">
        <f t="shared" si="159"/>
        <v>0.32568776753923911</v>
      </c>
      <c r="F201" s="63">
        <f t="shared" si="159"/>
        <v>0.32705626751182765</v>
      </c>
      <c r="G201" s="63">
        <f t="shared" si="159"/>
        <v>0.33081772152733768</v>
      </c>
      <c r="H201" s="63">
        <f t="shared" si="159"/>
        <v>0.3337345030984295</v>
      </c>
      <c r="I201" s="63">
        <f t="shared" si="159"/>
        <v>0.33681963040125684</v>
      </c>
      <c r="J201" s="63">
        <f t="shared" si="159"/>
        <v>0.34000947355476213</v>
      </c>
      <c r="K201" s="63">
        <f t="shared" si="159"/>
        <v>0.34100353073153622</v>
      </c>
      <c r="L201" s="63">
        <f t="shared" si="159"/>
        <v>0.34328838649255522</v>
      </c>
      <c r="M201" s="63">
        <f t="shared" si="159"/>
        <v>0.34497465337011096</v>
      </c>
      <c r="N201" s="63">
        <f t="shared" si="159"/>
        <v>0.34621679681164613</v>
      </c>
      <c r="O201" s="63">
        <f t="shared" si="159"/>
        <v>0.34712965199555657</v>
      </c>
    </row>
    <row r="202" spans="1:16" ht="15" customHeight="1" x14ac:dyDescent="0.2">
      <c r="B202" s="14" t="s">
        <v>178</v>
      </c>
      <c r="C202" s="63">
        <f>C38/C20</f>
        <v>0.23703596966804158</v>
      </c>
      <c r="D202" s="63">
        <f t="shared" ref="D202:O202" si="160">D38/D20</f>
        <v>0.20636050968924713</v>
      </c>
      <c r="E202" s="63">
        <f t="shared" si="160"/>
        <v>0.21800530744509194</v>
      </c>
      <c r="F202" s="63">
        <f t="shared" ca="1" si="160"/>
        <v>0.21040744182249946</v>
      </c>
      <c r="G202" s="63">
        <f t="shared" ca="1" si="160"/>
        <v>0.21115485606769316</v>
      </c>
      <c r="H202" s="63">
        <f t="shared" ca="1" si="160"/>
        <v>0.2111783911802706</v>
      </c>
      <c r="I202" s="63">
        <f t="shared" ca="1" si="160"/>
        <v>0.21121574803463589</v>
      </c>
      <c r="J202" s="63">
        <f t="shared" ca="1" si="160"/>
        <v>0.21126189250786909</v>
      </c>
      <c r="K202" s="63">
        <f t="shared" ca="1" si="160"/>
        <v>0.21130512056383885</v>
      </c>
      <c r="L202" s="63">
        <f t="shared" ca="1" si="160"/>
        <v>0.21134565922737528</v>
      </c>
      <c r="M202" s="63">
        <f t="shared" ca="1" si="160"/>
        <v>0.21138405653764086</v>
      </c>
      <c r="N202" s="63">
        <f t="shared" ca="1" si="160"/>
        <v>0.21142003280934213</v>
      </c>
      <c r="O202" s="63">
        <f t="shared" ca="1" si="160"/>
        <v>0.21145346304616414</v>
      </c>
    </row>
    <row r="204" spans="1:16" ht="15" customHeight="1" x14ac:dyDescent="0.2">
      <c r="A204" s="80" t="s">
        <v>169</v>
      </c>
    </row>
    <row r="205" spans="1:16" ht="15" customHeight="1" x14ac:dyDescent="0.2">
      <c r="B205" s="14" t="s">
        <v>58</v>
      </c>
      <c r="C205">
        <f>C77</f>
        <v>3905</v>
      </c>
      <c r="D205">
        <f t="shared" ref="D205:O205" si="161">D77</f>
        <v>-509</v>
      </c>
      <c r="E205">
        <f t="shared" si="161"/>
        <v>963</v>
      </c>
      <c r="F205">
        <f t="shared" si="161"/>
        <v>2109.0656249999993</v>
      </c>
      <c r="G205">
        <f t="shared" si="161"/>
        <v>2425.4254687499997</v>
      </c>
      <c r="H205">
        <f t="shared" si="161"/>
        <v>2772.2613107812504</v>
      </c>
      <c r="I205">
        <f t="shared" si="161"/>
        <v>3116.0217133181213</v>
      </c>
      <c r="J205">
        <f t="shared" si="161"/>
        <v>3461.900123496438</v>
      </c>
      <c r="K205">
        <f t="shared" si="161"/>
        <v>3846.1710372045418</v>
      </c>
      <c r="L205">
        <f t="shared" si="161"/>
        <v>4273.0960223342481</v>
      </c>
      <c r="M205">
        <f t="shared" si="161"/>
        <v>4747.4096808133472</v>
      </c>
      <c r="N205">
        <f t="shared" si="161"/>
        <v>5274.3721553836294</v>
      </c>
      <c r="O205">
        <f t="shared" si="161"/>
        <v>5859.8274646312057</v>
      </c>
    </row>
    <row r="206" spans="1:16" ht="15" customHeight="1" x14ac:dyDescent="0.2">
      <c r="B206" s="14" t="s">
        <v>59</v>
      </c>
      <c r="C206" s="63">
        <f>C205/C20</f>
        <v>7.0336281273077686E-2</v>
      </c>
      <c r="D206" s="63">
        <f t="shared" ref="D206:O206" si="162">D205/D20</f>
        <v>-7.7120043635702492E-3</v>
      </c>
      <c r="E206" s="63">
        <f t="shared" si="162"/>
        <v>1.2841883476243182E-2</v>
      </c>
      <c r="F206" s="63">
        <f t="shared" si="162"/>
        <v>2.4999999999999991E-2</v>
      </c>
      <c r="G206" s="63">
        <f t="shared" si="162"/>
        <v>2.5000000000000001E-2</v>
      </c>
      <c r="H206" s="63">
        <f t="shared" si="162"/>
        <v>2.5000000000000005E-2</v>
      </c>
      <c r="I206" s="63">
        <f t="shared" si="162"/>
        <v>2.499999999999997E-2</v>
      </c>
      <c r="J206" s="63">
        <f t="shared" si="162"/>
        <v>2.5000000000000012E-2</v>
      </c>
      <c r="K206" s="63">
        <f t="shared" si="162"/>
        <v>2.5000000000000005E-2</v>
      </c>
      <c r="L206" s="63">
        <f t="shared" si="162"/>
        <v>2.5000000000000019E-2</v>
      </c>
      <c r="M206" s="63">
        <f t="shared" si="162"/>
        <v>2.5000000000000005E-2</v>
      </c>
      <c r="N206" s="63">
        <f t="shared" si="162"/>
        <v>2.5000000000000008E-2</v>
      </c>
      <c r="O206" s="63">
        <f t="shared" si="162"/>
        <v>2.4999999999999977E-2</v>
      </c>
    </row>
    <row r="207" spans="1:16" ht="15" customHeight="1" x14ac:dyDescent="0.2">
      <c r="B207" s="14" t="s">
        <v>158</v>
      </c>
      <c r="C207" s="63">
        <f>C85/C20</f>
        <v>0.29762783911813973</v>
      </c>
      <c r="D207" s="63">
        <f t="shared" ref="D207:O207" si="163">D85/D20</f>
        <v>0.36185815366433843</v>
      </c>
      <c r="E207" s="63">
        <f t="shared" si="163"/>
        <v>0.38693675072343942</v>
      </c>
      <c r="F207" s="63">
        <f t="shared" si="163"/>
        <v>0.43444150475403065</v>
      </c>
      <c r="G207" s="63">
        <f t="shared" si="163"/>
        <v>0.46242010820137686</v>
      </c>
      <c r="H207" s="63">
        <f t="shared" si="163"/>
        <v>0.48457692868113617</v>
      </c>
      <c r="I207" s="63">
        <f t="shared" si="163"/>
        <v>0.50653480428763309</v>
      </c>
      <c r="J207" s="63">
        <f t="shared" si="163"/>
        <v>0.52705155998728415</v>
      </c>
      <c r="K207" s="63">
        <f t="shared" si="163"/>
        <v>0.54232370846938249</v>
      </c>
      <c r="L207" s="63">
        <f t="shared" si="163"/>
        <v>0.55369190540430191</v>
      </c>
      <c r="M207" s="63">
        <f t="shared" si="163"/>
        <v>0.56215410060248217</v>
      </c>
      <c r="N207" s="63">
        <f t="shared" si="163"/>
        <v>0.56845314239266675</v>
      </c>
      <c r="O207" s="63">
        <f t="shared" si="163"/>
        <v>0.57314198808167016</v>
      </c>
    </row>
    <row r="209" spans="1:15" ht="15" customHeight="1" x14ac:dyDescent="0.2">
      <c r="A209" s="80" t="s">
        <v>65</v>
      </c>
    </row>
    <row r="210" spans="1:15" ht="15" customHeight="1" x14ac:dyDescent="0.2">
      <c r="B210" s="14" t="s">
        <v>120</v>
      </c>
      <c r="C210">
        <f>C92</f>
        <v>3374</v>
      </c>
      <c r="D210">
        <f t="shared" ref="D210:O210" si="164">D92</f>
        <v>2009</v>
      </c>
      <c r="E210">
        <f t="shared" si="164"/>
        <v>2000</v>
      </c>
      <c r="F210">
        <f t="shared" ca="1" si="164"/>
        <v>0</v>
      </c>
      <c r="G210">
        <f t="shared" ca="1" si="164"/>
        <v>0</v>
      </c>
      <c r="H210">
        <f t="shared" ca="1" si="164"/>
        <v>0</v>
      </c>
      <c r="I210">
        <f t="shared" ca="1" si="164"/>
        <v>0</v>
      </c>
      <c r="J210">
        <f t="shared" ca="1" si="164"/>
        <v>0</v>
      </c>
      <c r="K210">
        <f t="shared" ca="1" si="164"/>
        <v>0</v>
      </c>
      <c r="L210">
        <f t="shared" ca="1" si="164"/>
        <v>0</v>
      </c>
      <c r="M210">
        <f t="shared" ca="1" si="164"/>
        <v>0</v>
      </c>
      <c r="N210">
        <f t="shared" ca="1" si="164"/>
        <v>0</v>
      </c>
      <c r="O210">
        <f t="shared" ca="1" si="164"/>
        <v>0</v>
      </c>
    </row>
    <row r="211" spans="1:15" ht="15" customHeight="1" x14ac:dyDescent="0.2">
      <c r="B211" s="14" t="s">
        <v>47</v>
      </c>
      <c r="C211">
        <f>C96</f>
        <v>3236</v>
      </c>
      <c r="D211">
        <f t="shared" ref="D211:O211" si="165">D96</f>
        <v>3228</v>
      </c>
      <c r="E211">
        <f t="shared" si="165"/>
        <v>3225</v>
      </c>
      <c r="F211">
        <f t="shared" ca="1" si="165"/>
        <v>0</v>
      </c>
      <c r="G211">
        <f t="shared" ca="1" si="165"/>
        <v>0</v>
      </c>
      <c r="H211">
        <f t="shared" ca="1" si="165"/>
        <v>0</v>
      </c>
      <c r="I211">
        <f t="shared" ca="1" si="165"/>
        <v>0</v>
      </c>
      <c r="J211">
        <f t="shared" ca="1" si="165"/>
        <v>0</v>
      </c>
      <c r="K211">
        <f t="shared" ca="1" si="165"/>
        <v>0</v>
      </c>
      <c r="L211">
        <f t="shared" ca="1" si="165"/>
        <v>0</v>
      </c>
      <c r="M211">
        <f t="shared" ca="1" si="165"/>
        <v>0</v>
      </c>
      <c r="N211">
        <f t="shared" ca="1" si="165"/>
        <v>0</v>
      </c>
      <c r="O211">
        <f t="shared" ca="1" si="165"/>
        <v>0</v>
      </c>
    </row>
    <row r="212" spans="1:15" ht="15" customHeight="1" x14ac:dyDescent="0.2">
      <c r="B212" s="14" t="s">
        <v>149</v>
      </c>
      <c r="C212">
        <f>SUM(C210:C211)</f>
        <v>6610</v>
      </c>
      <c r="D212">
        <f t="shared" ref="D212:O212" si="166">SUM(D210:D211)</f>
        <v>5237</v>
      </c>
      <c r="E212">
        <f t="shared" si="166"/>
        <v>5225</v>
      </c>
      <c r="F212">
        <f t="shared" ca="1" si="166"/>
        <v>0</v>
      </c>
      <c r="G212">
        <f t="shared" ca="1" si="166"/>
        <v>0</v>
      </c>
      <c r="H212">
        <f t="shared" ca="1" si="166"/>
        <v>0</v>
      </c>
      <c r="I212">
        <f t="shared" ca="1" si="166"/>
        <v>0</v>
      </c>
      <c r="J212">
        <f t="shared" ca="1" si="166"/>
        <v>0</v>
      </c>
      <c r="K212">
        <f t="shared" ca="1" si="166"/>
        <v>0</v>
      </c>
      <c r="L212">
        <f t="shared" ca="1" si="166"/>
        <v>0</v>
      </c>
      <c r="M212">
        <f t="shared" ca="1" si="166"/>
        <v>0</v>
      </c>
      <c r="N212">
        <f t="shared" ca="1" si="166"/>
        <v>0</v>
      </c>
      <c r="O212">
        <f t="shared" ca="1" si="166"/>
        <v>0</v>
      </c>
    </row>
    <row r="213" spans="1:15" ht="15" customHeight="1" x14ac:dyDescent="0.2">
      <c r="B213" s="14" t="s">
        <v>66</v>
      </c>
      <c r="C213">
        <f>C212-C80</f>
        <v>-11018</v>
      </c>
      <c r="D213">
        <f t="shared" ref="D213:O213" si="167">D212-D80</f>
        <v>-13110</v>
      </c>
      <c r="E213">
        <f t="shared" si="167"/>
        <v>-11324</v>
      </c>
      <c r="F213">
        <f t="shared" ca="1" si="167"/>
        <v>-22450.655861680843</v>
      </c>
      <c r="G213">
        <f t="shared" ca="1" si="167"/>
        <v>-36207.539559203782</v>
      </c>
      <c r="H213">
        <f t="shared" ca="1" si="167"/>
        <v>-52222.278370315733</v>
      </c>
      <c r="I213">
        <f t="shared" ca="1" si="167"/>
        <v>-70501.434529962746</v>
      </c>
      <c r="J213">
        <f t="shared" ca="1" si="167"/>
        <v>-91171.189109019746</v>
      </c>
      <c r="K213">
        <f t="shared" ca="1" si="167"/>
        <v>-114294.86950313204</v>
      </c>
      <c r="L213">
        <f t="shared" ca="1" si="167"/>
        <v>-140382.74376762784</v>
      </c>
      <c r="M213">
        <f t="shared" ca="1" si="167"/>
        <v>-169693.87957393928</v>
      </c>
      <c r="N213">
        <f t="shared" ca="1" si="167"/>
        <v>-202528.20261582095</v>
      </c>
      <c r="O213">
        <f t="shared" ca="1" si="167"/>
        <v>-239228.93828726298</v>
      </c>
    </row>
    <row r="214" spans="1:15" ht="15" customHeight="1" x14ac:dyDescent="0.2">
      <c r="B214" s="14" t="s">
        <v>160</v>
      </c>
      <c r="E214" s="65">
        <f t="shared" ref="E214:O214" si="168">E212/E30</f>
        <v>0.21393768169348565</v>
      </c>
      <c r="F214" s="65">
        <f t="shared" ca="1" si="168"/>
        <v>0</v>
      </c>
      <c r="G214" s="65">
        <f t="shared" ca="1" si="168"/>
        <v>0</v>
      </c>
      <c r="H214" s="65">
        <f t="shared" ca="1" si="168"/>
        <v>0</v>
      </c>
      <c r="I214" s="65">
        <f t="shared" ca="1" si="168"/>
        <v>0</v>
      </c>
      <c r="J214" s="65">
        <f t="shared" ca="1" si="168"/>
        <v>0</v>
      </c>
      <c r="K214" s="65">
        <f t="shared" ca="1" si="168"/>
        <v>0</v>
      </c>
      <c r="L214" s="65">
        <f t="shared" ca="1" si="168"/>
        <v>0</v>
      </c>
      <c r="M214" s="65">
        <f t="shared" ca="1" si="168"/>
        <v>0</v>
      </c>
      <c r="N214" s="65">
        <f t="shared" ca="1" si="168"/>
        <v>0</v>
      </c>
      <c r="O214" s="65">
        <f t="shared" ca="1" si="168"/>
        <v>0</v>
      </c>
    </row>
    <row r="215" spans="1:15" ht="15" customHeight="1" x14ac:dyDescent="0.2">
      <c r="B215" s="14" t="s">
        <v>67</v>
      </c>
      <c r="E215" s="65">
        <f t="shared" ref="E215:O215" si="169">E213/E30</f>
        <v>-0.46366130287024526</v>
      </c>
      <c r="F215" s="65">
        <f t="shared" ca="1" si="169"/>
        <v>-0.81368530356043134</v>
      </c>
      <c r="G215" s="65">
        <f t="shared" ca="1" si="169"/>
        <v>-1.1281382455268283</v>
      </c>
      <c r="H215" s="65">
        <f t="shared" ca="1" si="169"/>
        <v>-1.4111089668836534</v>
      </c>
      <c r="I215" s="65">
        <f t="shared" ca="1" si="169"/>
        <v>-1.679345644799503</v>
      </c>
      <c r="J215" s="65">
        <f t="shared" ca="1" si="169"/>
        <v>-1.9363866320551708</v>
      </c>
      <c r="K215" s="65">
        <f t="shared" ca="1" si="169"/>
        <v>-2.1786089123383414</v>
      </c>
      <c r="L215" s="65">
        <f t="shared" ca="1" si="169"/>
        <v>-2.3925001382355053</v>
      </c>
      <c r="M215" s="65">
        <f t="shared" ca="1" si="169"/>
        <v>-2.5903729086494232</v>
      </c>
      <c r="N215" s="65">
        <f t="shared" ca="1" si="169"/>
        <v>-2.7727238186273415</v>
      </c>
      <c r="O215" s="65">
        <f t="shared" ca="1" si="169"/>
        <v>-2.9402020744434512</v>
      </c>
    </row>
    <row r="216" spans="1:15" ht="15" customHeight="1" x14ac:dyDescent="0.2">
      <c r="B216" s="14" t="s">
        <v>146</v>
      </c>
      <c r="E216">
        <f>E32</f>
        <v>-104</v>
      </c>
      <c r="F216">
        <f t="shared" ref="F216:O216" ca="1" si="170">F32</f>
        <v>-64.421875</v>
      </c>
      <c r="G216">
        <f t="shared" ca="1" si="170"/>
        <v>0</v>
      </c>
      <c r="H216">
        <f t="shared" ca="1" si="170"/>
        <v>0</v>
      </c>
      <c r="I216">
        <f t="shared" ca="1" si="170"/>
        <v>0</v>
      </c>
      <c r="J216">
        <f t="shared" ca="1" si="170"/>
        <v>0</v>
      </c>
      <c r="K216">
        <f t="shared" ca="1" si="170"/>
        <v>0</v>
      </c>
      <c r="L216">
        <f t="shared" ca="1" si="170"/>
        <v>0</v>
      </c>
      <c r="M216">
        <f t="shared" ca="1" si="170"/>
        <v>0</v>
      </c>
      <c r="N216">
        <f t="shared" ca="1" si="170"/>
        <v>0</v>
      </c>
      <c r="O216">
        <f t="shared" ca="1" si="170"/>
        <v>0</v>
      </c>
    </row>
    <row r="217" spans="1:15" ht="15" customHeight="1" x14ac:dyDescent="0.2">
      <c r="B217" s="14" t="s">
        <v>68</v>
      </c>
      <c r="F217">
        <f ca="1">F30/F216*-1</f>
        <v>428.29124812030074</v>
      </c>
      <c r="G217" t="str">
        <f ca="1">IFERROR(G30/G216,"na")</f>
        <v>na</v>
      </c>
      <c r="H217" t="str">
        <f t="shared" ref="H217:O217" ca="1" si="171">IFERROR(H30/H216,"na")</f>
        <v>na</v>
      </c>
      <c r="I217" t="str">
        <f t="shared" ca="1" si="171"/>
        <v>na</v>
      </c>
      <c r="J217" t="str">
        <f t="shared" ca="1" si="171"/>
        <v>na</v>
      </c>
      <c r="K217" t="str">
        <f t="shared" ca="1" si="171"/>
        <v>na</v>
      </c>
      <c r="L217" t="str">
        <f t="shared" ca="1" si="171"/>
        <v>na</v>
      </c>
      <c r="M217" t="str">
        <f t="shared" ca="1" si="171"/>
        <v>na</v>
      </c>
      <c r="N217" t="str">
        <f t="shared" ca="1" si="171"/>
        <v>na</v>
      </c>
      <c r="O217" t="str">
        <f t="shared" ca="1" si="171"/>
        <v>na</v>
      </c>
    </row>
    <row r="218" spans="1:15" ht="15" customHeight="1" x14ac:dyDescent="0.2">
      <c r="B218" s="14" t="s">
        <v>69</v>
      </c>
      <c r="C218" s="63">
        <f>C213/(C213+C100)</f>
        <v>-0.14442070493242978</v>
      </c>
      <c r="D218" s="63">
        <f t="shared" ref="D218:O218" si="172">D213/(D213+D100)</f>
        <v>-0.14446280991735538</v>
      </c>
      <c r="E218" s="63">
        <f>E213/(E213+E100)</f>
        <v>-0.10388323685634868</v>
      </c>
      <c r="F218" s="63">
        <f t="shared" ca="1" si="172"/>
        <v>-0.19415798048961588</v>
      </c>
      <c r="G218" s="63">
        <f t="shared" ca="1" si="172"/>
        <v>-0.2959109036073751</v>
      </c>
      <c r="H218" s="63">
        <f t="shared" ca="1" si="172"/>
        <v>-0.40244498385302702</v>
      </c>
      <c r="I218" s="63">
        <f t="shared" ca="1" si="172"/>
        <v>-0.51158622428652412</v>
      </c>
      <c r="J218" s="63">
        <f t="shared" ca="1" si="172"/>
        <v>-0.62277770088803086</v>
      </c>
      <c r="K218" s="63">
        <f t="shared" ca="1" si="172"/>
        <v>-0.73369704094772781</v>
      </c>
      <c r="L218" s="63">
        <f t="shared" ca="1" si="172"/>
        <v>-0.84662006650656152</v>
      </c>
      <c r="M218" s="63">
        <f t="shared" ca="1" si="172"/>
        <v>-0.96064676456348386</v>
      </c>
      <c r="N218" s="63">
        <f t="shared" ca="1" si="172"/>
        <v>-1.074902345924575</v>
      </c>
      <c r="O218" s="63">
        <f t="shared" ca="1" si="172"/>
        <v>-1.1885502085988744</v>
      </c>
    </row>
    <row r="220" spans="1:15" ht="15" customHeight="1" x14ac:dyDescent="0.2">
      <c r="A220" s="80" t="s">
        <v>168</v>
      </c>
    </row>
  </sheetData>
  <pageMargins left="0.7" right="0.7" top="0.75" bottom="0.75" header="0.3" footer="0.3"/>
  <pageSetup paperSize="9" orientation="landscape" r:id="rId1"/>
  <headerFooter>
    <oddHeader xml:space="preserve">&amp;R&amp;10&amp;F 
&amp;A
</oddHeader>
    <oddFooter>&amp;L&amp;10© 2016&amp;C&amp;10Page &amp;P of &amp;N&amp;R&amp;G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EAA4-40C4-0340-8954-9CA85041E360}">
  <dimension ref="A1:I20"/>
  <sheetViews>
    <sheetView workbookViewId="0">
      <selection activeCell="E30" sqref="E30"/>
    </sheetView>
  </sheetViews>
  <sheetFormatPr baseColWidth="10" defaultRowHeight="15" x14ac:dyDescent="0.2"/>
  <cols>
    <col min="1" max="1" width="46" bestFit="1" customWidth="1"/>
    <col min="7" max="7" width="46" bestFit="1" customWidth="1"/>
  </cols>
  <sheetData>
    <row r="1" spans="1:9" x14ac:dyDescent="0.2">
      <c r="A1" t="s">
        <v>179</v>
      </c>
      <c r="B1" t="s">
        <v>180</v>
      </c>
      <c r="H1" t="s">
        <v>179</v>
      </c>
      <c r="I1" t="s">
        <v>180</v>
      </c>
    </row>
    <row r="2" spans="1:9" x14ac:dyDescent="0.2">
      <c r="A2" t="s">
        <v>181</v>
      </c>
      <c r="G2" t="s">
        <v>181</v>
      </c>
    </row>
    <row r="3" spans="1:9" x14ac:dyDescent="0.2">
      <c r="A3" t="s">
        <v>182</v>
      </c>
      <c r="C3">
        <v>-900</v>
      </c>
      <c r="G3" t="s">
        <v>182</v>
      </c>
      <c r="I3">
        <v>-950</v>
      </c>
    </row>
    <row r="4" spans="1:9" x14ac:dyDescent="0.2">
      <c r="A4" t="s">
        <v>183</v>
      </c>
      <c r="C4">
        <v>-450</v>
      </c>
      <c r="G4" t="s">
        <v>183</v>
      </c>
      <c r="I4">
        <v>-550</v>
      </c>
    </row>
    <row r="5" spans="1:9" x14ac:dyDescent="0.2">
      <c r="A5" t="s">
        <v>184</v>
      </c>
      <c r="C5">
        <v>1700</v>
      </c>
      <c r="G5" t="s">
        <v>184</v>
      </c>
      <c r="I5">
        <v>1800</v>
      </c>
    </row>
    <row r="7" spans="1:9" x14ac:dyDescent="0.2">
      <c r="A7" t="s">
        <v>185</v>
      </c>
      <c r="C7">
        <f>B10</f>
        <v>1000</v>
      </c>
      <c r="G7" t="s">
        <v>185</v>
      </c>
      <c r="I7">
        <f>H10</f>
        <v>1350</v>
      </c>
    </row>
    <row r="8" spans="1:9" x14ac:dyDescent="0.2">
      <c r="A8" t="s">
        <v>186</v>
      </c>
      <c r="C8">
        <f>MIN(C7,-C3)*-1</f>
        <v>-900</v>
      </c>
      <c r="F8" t="s">
        <v>190</v>
      </c>
      <c r="G8" t="s">
        <v>186</v>
      </c>
      <c r="I8">
        <f>MIN(I7,-I3)*-1</f>
        <v>-950</v>
      </c>
    </row>
    <row r="9" spans="1:9" x14ac:dyDescent="0.2">
      <c r="A9" t="s">
        <v>187</v>
      </c>
      <c r="C9">
        <f>MIN(C8+C7,C5)*-1</f>
        <v>-100</v>
      </c>
      <c r="G9" t="s">
        <v>187</v>
      </c>
      <c r="I9">
        <f>MIN(I8+I7,I5)*-1</f>
        <v>-400</v>
      </c>
    </row>
    <row r="10" spans="1:9" x14ac:dyDescent="0.2">
      <c r="A10" t="s">
        <v>188</v>
      </c>
      <c r="B10">
        <v>1000</v>
      </c>
      <c r="C10">
        <f>SUM(C7:C9)</f>
        <v>0</v>
      </c>
      <c r="G10" t="s">
        <v>188</v>
      </c>
      <c r="H10">
        <v>1350</v>
      </c>
      <c r="I10">
        <f>SUM(I7:I9)</f>
        <v>0</v>
      </c>
    </row>
    <row r="12" spans="1:9" x14ac:dyDescent="0.2">
      <c r="A12" t="s">
        <v>189</v>
      </c>
      <c r="C12">
        <f>B15</f>
        <v>1000</v>
      </c>
      <c r="G12" t="s">
        <v>189</v>
      </c>
      <c r="I12">
        <f>H15</f>
        <v>1250</v>
      </c>
    </row>
    <row r="13" spans="1:9" x14ac:dyDescent="0.2">
      <c r="A13" t="s">
        <v>186</v>
      </c>
      <c r="C13">
        <f>MIN(C12,-C4)*-1</f>
        <v>-450</v>
      </c>
      <c r="G13" t="s">
        <v>186</v>
      </c>
      <c r="I13">
        <f>MIN(I12,-I4)*-1</f>
        <v>-550</v>
      </c>
    </row>
    <row r="14" spans="1:9" x14ac:dyDescent="0.2">
      <c r="A14" t="s">
        <v>187</v>
      </c>
      <c r="C14">
        <f>(C5+C8+C13+C9)*-1</f>
        <v>-250</v>
      </c>
      <c r="G14" t="s">
        <v>187</v>
      </c>
      <c r="I14">
        <f>(I5+I8+I13+I9)*-1</f>
        <v>100</v>
      </c>
    </row>
    <row r="15" spans="1:9" x14ac:dyDescent="0.2">
      <c r="A15" t="s">
        <v>188</v>
      </c>
      <c r="B15">
        <v>1000</v>
      </c>
      <c r="C15">
        <f>SUM(C12:C14)</f>
        <v>300</v>
      </c>
      <c r="G15" t="s">
        <v>188</v>
      </c>
      <c r="H15">
        <v>1250</v>
      </c>
      <c r="I15">
        <f>SUM(I12:I14)</f>
        <v>800</v>
      </c>
    </row>
    <row r="17" spans="1:9" x14ac:dyDescent="0.2">
      <c r="A17" s="100" t="s">
        <v>191</v>
      </c>
      <c r="B17" s="100"/>
      <c r="C17" s="100"/>
      <c r="G17" s="99" t="s">
        <v>192</v>
      </c>
      <c r="H17" s="99"/>
      <c r="I17" s="99"/>
    </row>
    <row r="18" spans="1:9" x14ac:dyDescent="0.2">
      <c r="A18" s="100"/>
      <c r="B18" s="100"/>
      <c r="C18" s="100"/>
      <c r="G18" s="99"/>
      <c r="H18" s="99"/>
      <c r="I18" s="99"/>
    </row>
    <row r="19" spans="1:9" x14ac:dyDescent="0.2">
      <c r="A19" s="100"/>
      <c r="B19" s="100"/>
      <c r="C19" s="100"/>
      <c r="G19" s="99"/>
      <c r="H19" s="99"/>
      <c r="I19" s="99"/>
    </row>
    <row r="20" spans="1:9" x14ac:dyDescent="0.2">
      <c r="A20" s="100"/>
      <c r="B20" s="100"/>
      <c r="C20" s="100"/>
      <c r="G20" s="99"/>
      <c r="H20" s="99"/>
      <c r="I20" s="99"/>
    </row>
  </sheetData>
  <mergeCells count="2">
    <mergeCell ref="G17:I20"/>
    <mergeCell ref="A17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Welcome</vt:lpstr>
      <vt:lpstr>Info</vt:lpstr>
      <vt:lpstr>Model 1</vt:lpstr>
      <vt:lpstr>Special question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Microsoft Office User</cp:lastModifiedBy>
  <cp:lastPrinted>2016-02-04T14:08:33Z</cp:lastPrinted>
  <dcterms:created xsi:type="dcterms:W3CDTF">2016-02-03T14:06:14Z</dcterms:created>
  <dcterms:modified xsi:type="dcterms:W3CDTF">2022-01-07T12:54:09Z</dcterms:modified>
</cp:coreProperties>
</file>