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Intro To Modeling/Model with Cash Sweep/Error Checking/"/>
    </mc:Choice>
  </mc:AlternateContent>
  <xr:revisionPtr revIDLastSave="0" documentId="13_ncr:1_{8777570B-07D7-5A47-A955-A296E2F985A6}" xr6:coauthVersionLast="47" xr6:coauthVersionMax="47" xr10:uidLastSave="{00000000-0000-0000-0000-000000000000}"/>
  <bookViews>
    <workbookView xWindow="0" yWindow="500" windowWidth="28800" windowHeight="16000" activeTab="2" xr2:uid="{00000000-000D-0000-FFFF-FFFF00000000}"/>
  </bookViews>
  <sheets>
    <sheet name="Welcome" sheetId="1" r:id="rId1"/>
    <sheet name="Info" sheetId="6" r:id="rId2"/>
    <sheet name="Model 1" sheetId="2" r:id="rId3"/>
  </sheets>
  <definedNames>
    <definedName name="switch">Info!$N$10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" l="1"/>
  <c r="E31" i="2"/>
  <c r="G31" i="2"/>
  <c r="H31" i="2"/>
  <c r="I31" i="2"/>
  <c r="J31" i="2"/>
  <c r="K31" i="2"/>
  <c r="L31" i="2"/>
  <c r="M31" i="2"/>
  <c r="N31" i="2"/>
  <c r="O31" i="2"/>
  <c r="A7" i="1"/>
  <c r="D58" i="2" l="1"/>
  <c r="E58" i="2"/>
  <c r="C58" i="2"/>
  <c r="E53" i="2"/>
  <c r="E52" i="2"/>
  <c r="D53" i="2"/>
  <c r="D52" i="2"/>
  <c r="C53" i="2"/>
  <c r="C52" i="2"/>
  <c r="H16" i="2"/>
  <c r="I16" i="2"/>
  <c r="J16" i="2"/>
  <c r="K16" i="2"/>
  <c r="L16" i="2"/>
  <c r="M16" i="2"/>
  <c r="N16" i="2"/>
  <c r="O16" i="2"/>
  <c r="G16" i="2"/>
  <c r="F16" i="2"/>
  <c r="K10" i="2"/>
  <c r="L10" i="2"/>
  <c r="M10" i="2"/>
  <c r="N10" i="2"/>
  <c r="O10" i="2"/>
  <c r="E8" i="2"/>
  <c r="E104" i="2"/>
  <c r="E108" i="2"/>
  <c r="E150" i="2"/>
  <c r="F120" i="2" l="1"/>
  <c r="E29" i="2"/>
  <c r="E7" i="2" s="1"/>
  <c r="E39" i="2"/>
  <c r="D39" i="2"/>
  <c r="C29" i="2"/>
  <c r="D29" i="2"/>
  <c r="E100" i="2"/>
  <c r="E93" i="2"/>
  <c r="D108" i="2"/>
  <c r="D104" i="2"/>
  <c r="C107" i="2"/>
  <c r="E187" i="2" l="1"/>
  <c r="B187" i="2"/>
  <c r="G34" i="2"/>
  <c r="G78" i="2" s="1"/>
  <c r="G133" i="2" s="1"/>
  <c r="G206" i="2" s="1"/>
  <c r="H34" i="2"/>
  <c r="I34" i="2"/>
  <c r="I78" i="2" s="1"/>
  <c r="I133" i="2" s="1"/>
  <c r="I206" i="2" s="1"/>
  <c r="J34" i="2"/>
  <c r="J78" i="2" s="1"/>
  <c r="J133" i="2" s="1"/>
  <c r="J206" i="2" s="1"/>
  <c r="K34" i="2"/>
  <c r="K78" i="2" s="1"/>
  <c r="K133" i="2" s="1"/>
  <c r="K206" i="2" s="1"/>
  <c r="L34" i="2"/>
  <c r="L78" i="2" s="1"/>
  <c r="L133" i="2" s="1"/>
  <c r="L206" i="2" s="1"/>
  <c r="M34" i="2"/>
  <c r="M78" i="2" s="1"/>
  <c r="M133" i="2" s="1"/>
  <c r="M206" i="2" s="1"/>
  <c r="N34" i="2"/>
  <c r="O34" i="2"/>
  <c r="O78" i="2" s="1"/>
  <c r="O133" i="2" s="1"/>
  <c r="O206" i="2" s="1"/>
  <c r="G39" i="2"/>
  <c r="H39" i="2"/>
  <c r="I39" i="2"/>
  <c r="J39" i="2"/>
  <c r="K39" i="2"/>
  <c r="L39" i="2"/>
  <c r="M39" i="2"/>
  <c r="N39" i="2"/>
  <c r="O39" i="2"/>
  <c r="G45" i="2"/>
  <c r="H45" i="2"/>
  <c r="I45" i="2"/>
  <c r="J45" i="2"/>
  <c r="K45" i="2"/>
  <c r="L45" i="2"/>
  <c r="M45" i="2"/>
  <c r="N45" i="2"/>
  <c r="O45" i="2"/>
  <c r="G51" i="2"/>
  <c r="H51" i="2"/>
  <c r="I51" i="2"/>
  <c r="J51" i="2"/>
  <c r="K51" i="2"/>
  <c r="L51" i="2"/>
  <c r="M51" i="2"/>
  <c r="N51" i="2"/>
  <c r="O51" i="2"/>
  <c r="G52" i="2"/>
  <c r="H52" i="2"/>
  <c r="I52" i="2"/>
  <c r="J52" i="2"/>
  <c r="J83" i="2" s="1"/>
  <c r="J140" i="2" s="1"/>
  <c r="J219" i="2" s="1"/>
  <c r="K52" i="2"/>
  <c r="K83" i="2" s="1"/>
  <c r="K140" i="2" s="1"/>
  <c r="K219" i="2" s="1"/>
  <c r="L52" i="2"/>
  <c r="M52" i="2"/>
  <c r="N52" i="2"/>
  <c r="N83" i="2" s="1"/>
  <c r="N140" i="2" s="1"/>
  <c r="N219" i="2" s="1"/>
  <c r="O52" i="2"/>
  <c r="O83" i="2" s="1"/>
  <c r="O140" i="2" s="1"/>
  <c r="O219" i="2" s="1"/>
  <c r="H78" i="2"/>
  <c r="H133" i="2" s="1"/>
  <c r="H206" i="2" s="1"/>
  <c r="N78" i="2"/>
  <c r="N133" i="2" s="1"/>
  <c r="N206" i="2" s="1"/>
  <c r="G83" i="2"/>
  <c r="G98" i="2"/>
  <c r="H98" i="2"/>
  <c r="I98" i="2"/>
  <c r="J98" i="2"/>
  <c r="K98" i="2"/>
  <c r="L98" i="2"/>
  <c r="M98" i="2"/>
  <c r="N98" i="2"/>
  <c r="O98" i="2"/>
  <c r="G100" i="2"/>
  <c r="H100" i="2"/>
  <c r="I100" i="2"/>
  <c r="J135" i="2" s="1"/>
  <c r="J208" i="2" s="1"/>
  <c r="J100" i="2"/>
  <c r="K100" i="2"/>
  <c r="L100" i="2"/>
  <c r="M100" i="2"/>
  <c r="N100" i="2"/>
  <c r="N135" i="2" s="1"/>
  <c r="N208" i="2" s="1"/>
  <c r="O100" i="2"/>
  <c r="G140" i="2"/>
  <c r="G219" i="2" s="1"/>
  <c r="G145" i="2"/>
  <c r="H145" i="2"/>
  <c r="I145" i="2"/>
  <c r="J145" i="2"/>
  <c r="K145" i="2"/>
  <c r="L145" i="2"/>
  <c r="M145" i="2"/>
  <c r="N145" i="2"/>
  <c r="O145" i="2"/>
  <c r="G151" i="2"/>
  <c r="H151" i="2"/>
  <c r="I151" i="2"/>
  <c r="J151" i="2"/>
  <c r="K151" i="2"/>
  <c r="L151" i="2"/>
  <c r="M151" i="2"/>
  <c r="N151" i="2"/>
  <c r="O151" i="2"/>
  <c r="G160" i="2"/>
  <c r="H160" i="2"/>
  <c r="I160" i="2"/>
  <c r="J160" i="2"/>
  <c r="K160" i="2"/>
  <c r="L160" i="2"/>
  <c r="M160" i="2"/>
  <c r="N160" i="2"/>
  <c r="O160" i="2"/>
  <c r="G167" i="2"/>
  <c r="H167" i="2"/>
  <c r="I167" i="2"/>
  <c r="J167" i="2"/>
  <c r="K167" i="2"/>
  <c r="L167" i="2"/>
  <c r="M167" i="2"/>
  <c r="N167" i="2"/>
  <c r="O167" i="2"/>
  <c r="G174" i="2"/>
  <c r="H174" i="2"/>
  <c r="I174" i="2"/>
  <c r="J174" i="2"/>
  <c r="K174" i="2"/>
  <c r="L174" i="2"/>
  <c r="M174" i="2"/>
  <c r="N174" i="2"/>
  <c r="O174" i="2"/>
  <c r="G181" i="2"/>
  <c r="H181" i="2"/>
  <c r="I181" i="2"/>
  <c r="J181" i="2"/>
  <c r="K181" i="2"/>
  <c r="L181" i="2"/>
  <c r="M181" i="2"/>
  <c r="N181" i="2"/>
  <c r="O181" i="2"/>
  <c r="G189" i="2"/>
  <c r="H189" i="2"/>
  <c r="I189" i="2"/>
  <c r="J189" i="2"/>
  <c r="K189" i="2"/>
  <c r="L189" i="2"/>
  <c r="M189" i="2"/>
  <c r="N189" i="2"/>
  <c r="O189" i="2"/>
  <c r="E194" i="2"/>
  <c r="E193" i="2"/>
  <c r="E103" i="2" s="1"/>
  <c r="F156" i="2"/>
  <c r="F157" i="2" s="1"/>
  <c r="F148" i="2"/>
  <c r="F213" i="2"/>
  <c r="B214" i="2"/>
  <c r="B213" i="2"/>
  <c r="B212" i="2"/>
  <c r="B204" i="2"/>
  <c r="B205" i="2"/>
  <c r="B206" i="2"/>
  <c r="B209" i="2"/>
  <c r="B208" i="2"/>
  <c r="B207" i="2"/>
  <c r="F189" i="2"/>
  <c r="E186" i="2"/>
  <c r="F184" i="2" s="1"/>
  <c r="F181" i="2"/>
  <c r="F174" i="2"/>
  <c r="F167" i="2"/>
  <c r="F160" i="2"/>
  <c r="F151" i="2"/>
  <c r="F145" i="2"/>
  <c r="F142" i="2"/>
  <c r="F100" i="2"/>
  <c r="F135" i="2" s="1"/>
  <c r="F208" i="2" s="1"/>
  <c r="F98" i="2"/>
  <c r="F97" i="2"/>
  <c r="F139" i="2" s="1"/>
  <c r="F214" i="2" s="1"/>
  <c r="F92" i="2"/>
  <c r="F138" i="2" s="1"/>
  <c r="D87" i="2"/>
  <c r="C87" i="2"/>
  <c r="D86" i="2"/>
  <c r="E86" i="2"/>
  <c r="C86" i="2"/>
  <c r="D84" i="2"/>
  <c r="E84" i="2"/>
  <c r="F81" i="2" s="1"/>
  <c r="C84" i="2"/>
  <c r="D79" i="2"/>
  <c r="E79" i="2"/>
  <c r="F77" i="2" s="1"/>
  <c r="C79" i="2"/>
  <c r="D75" i="2"/>
  <c r="E75" i="2"/>
  <c r="F72" i="2" s="1"/>
  <c r="C75" i="2"/>
  <c r="D69" i="2"/>
  <c r="E69" i="2"/>
  <c r="C69" i="2"/>
  <c r="D64" i="2"/>
  <c r="E64" i="2"/>
  <c r="C64" i="2"/>
  <c r="D63" i="2"/>
  <c r="C63" i="2"/>
  <c r="D61" i="2"/>
  <c r="E61" i="2"/>
  <c r="C61" i="2"/>
  <c r="D60" i="2"/>
  <c r="E60" i="2"/>
  <c r="C60" i="2"/>
  <c r="E59" i="2"/>
  <c r="D59" i="2"/>
  <c r="D57" i="2"/>
  <c r="E57" i="2"/>
  <c r="C57" i="2"/>
  <c r="E56" i="2"/>
  <c r="D56" i="2"/>
  <c r="F51" i="2"/>
  <c r="F45" i="2"/>
  <c r="F39" i="2"/>
  <c r="F34" i="2"/>
  <c r="F78" i="2" s="1"/>
  <c r="F133" i="2" s="1"/>
  <c r="F206" i="2" s="1"/>
  <c r="F33" i="2"/>
  <c r="F74" i="2" s="1"/>
  <c r="F132" i="2" s="1"/>
  <c r="F205" i="2" s="1"/>
  <c r="F25" i="2"/>
  <c r="D16" i="2"/>
  <c r="E16" i="2"/>
  <c r="D17" i="2"/>
  <c r="E17" i="2"/>
  <c r="C17" i="2"/>
  <c r="C16" i="2"/>
  <c r="D15" i="2"/>
  <c r="E15" i="2"/>
  <c r="C15" i="2"/>
  <c r="D14" i="2"/>
  <c r="E14" i="2"/>
  <c r="C14" i="2"/>
  <c r="D11" i="2"/>
  <c r="E11" i="2"/>
  <c r="C11" i="2"/>
  <c r="D10" i="2"/>
  <c r="E10" i="2"/>
  <c r="C10" i="2"/>
  <c r="E9" i="2"/>
  <c r="D9" i="2"/>
  <c r="D8" i="2"/>
  <c r="C8" i="2"/>
  <c r="D7" i="2"/>
  <c r="C7" i="2"/>
  <c r="D6" i="2"/>
  <c r="E6" i="2"/>
  <c r="C6" i="2"/>
  <c r="E5" i="2"/>
  <c r="D5" i="2"/>
  <c r="K120" i="2"/>
  <c r="L120" i="2"/>
  <c r="M120" i="2"/>
  <c r="N120" i="2"/>
  <c r="O120" i="2"/>
  <c r="J120" i="2"/>
  <c r="I120" i="2"/>
  <c r="H120" i="2"/>
  <c r="G120" i="2"/>
  <c r="D105" i="2"/>
  <c r="C105" i="2"/>
  <c r="C109" i="2" s="1"/>
  <c r="C112" i="2" s="1"/>
  <c r="E94" i="2"/>
  <c r="E101" i="2" s="1"/>
  <c r="D94" i="2"/>
  <c r="D101" i="2" s="1"/>
  <c r="C94" i="2"/>
  <c r="C101" i="2" s="1"/>
  <c r="E27" i="2"/>
  <c r="D27" i="2"/>
  <c r="D31" i="2" s="1"/>
  <c r="D20" i="2" s="1"/>
  <c r="C27" i="2"/>
  <c r="C31" i="2" s="1"/>
  <c r="C20" i="2" s="1"/>
  <c r="F52" i="2"/>
  <c r="E195" i="2" l="1"/>
  <c r="E107" i="2"/>
  <c r="E20" i="2"/>
  <c r="G25" i="2"/>
  <c r="G73" i="2" s="1"/>
  <c r="F73" i="2"/>
  <c r="M135" i="2"/>
  <c r="M208" i="2" s="1"/>
  <c r="O135" i="2"/>
  <c r="O208" i="2" s="1"/>
  <c r="K135" i="2"/>
  <c r="K208" i="2" s="1"/>
  <c r="L83" i="2"/>
  <c r="L140" i="2" s="1"/>
  <c r="L219" i="2" s="1"/>
  <c r="H83" i="2"/>
  <c r="H140" i="2" s="1"/>
  <c r="H219" i="2" s="1"/>
  <c r="M83" i="2"/>
  <c r="M140" i="2" s="1"/>
  <c r="M219" i="2" s="1"/>
  <c r="I83" i="2"/>
  <c r="I140" i="2" s="1"/>
  <c r="I219" i="2" s="1"/>
  <c r="L135" i="2"/>
  <c r="L208" i="2" s="1"/>
  <c r="H135" i="2"/>
  <c r="H208" i="2" s="1"/>
  <c r="G135" i="2"/>
  <c r="G208" i="2" s="1"/>
  <c r="E105" i="2"/>
  <c r="E109" i="2" s="1"/>
  <c r="E112" i="2" s="1"/>
  <c r="E114" i="2" s="1"/>
  <c r="H25" i="2"/>
  <c r="H73" i="2" s="1"/>
  <c r="G30" i="2"/>
  <c r="G108" i="2"/>
  <c r="G104" i="2"/>
  <c r="G87" i="2" s="1"/>
  <c r="G29" i="2"/>
  <c r="G137" i="2"/>
  <c r="G212" i="2" s="1"/>
  <c r="G93" i="2"/>
  <c r="G86" i="2" s="1"/>
  <c r="E223" i="2"/>
  <c r="G92" i="2"/>
  <c r="G187" i="2" s="1"/>
  <c r="F187" i="2"/>
  <c r="E196" i="2"/>
  <c r="E201" i="2" s="1"/>
  <c r="E188" i="2"/>
  <c r="G97" i="2"/>
  <c r="H97" i="2" s="1"/>
  <c r="H29" i="2"/>
  <c r="H30" i="2"/>
  <c r="H104" i="2"/>
  <c r="H87" i="2" s="1"/>
  <c r="I25" i="2"/>
  <c r="I73" i="2" s="1"/>
  <c r="H26" i="2"/>
  <c r="H27" i="2" s="1"/>
  <c r="H137" i="2"/>
  <c r="H212" i="2" s="1"/>
  <c r="H93" i="2"/>
  <c r="H86" i="2" s="1"/>
  <c r="H108" i="2"/>
  <c r="G26" i="2"/>
  <c r="G27" i="2" s="1"/>
  <c r="I135" i="2"/>
  <c r="I208" i="2" s="1"/>
  <c r="G139" i="2"/>
  <c r="G214" i="2" s="1"/>
  <c r="C88" i="2"/>
  <c r="C67" i="2" s="1"/>
  <c r="C68" i="2" s="1"/>
  <c r="F83" i="2"/>
  <c r="F140" i="2" s="1"/>
  <c r="F219" i="2" s="1"/>
  <c r="D88" i="2"/>
  <c r="D67" i="2" s="1"/>
  <c r="D68" i="2" s="1"/>
  <c r="F177" i="2"/>
  <c r="F178" i="2" s="1"/>
  <c r="F79" i="2"/>
  <c r="F108" i="2"/>
  <c r="F136" i="2" s="1"/>
  <c r="F209" i="2" s="1"/>
  <c r="F170" i="2"/>
  <c r="F171" i="2" s="1"/>
  <c r="F93" i="2"/>
  <c r="F104" i="2"/>
  <c r="F163" i="2"/>
  <c r="F164" i="2" s="1"/>
  <c r="F26" i="2"/>
  <c r="F27" i="2" s="1"/>
  <c r="F30" i="2"/>
  <c r="F137" i="2"/>
  <c r="F212" i="2" s="1"/>
  <c r="F215" i="2" s="1"/>
  <c r="F29" i="2"/>
  <c r="C114" i="2"/>
  <c r="D109" i="2"/>
  <c r="D112" i="2" s="1"/>
  <c r="D114" i="2" s="1"/>
  <c r="F17" i="2"/>
  <c r="C40" i="2"/>
  <c r="C35" i="2"/>
  <c r="C21" i="2" s="1"/>
  <c r="D35" i="2"/>
  <c r="D21" i="2" s="1"/>
  <c r="D40" i="2"/>
  <c r="E35" i="2"/>
  <c r="E21" i="2" s="1"/>
  <c r="E40" i="2"/>
  <c r="G88" i="2" l="1"/>
  <c r="G67" i="2" s="1"/>
  <c r="G68" i="2" s="1"/>
  <c r="G136" i="2"/>
  <c r="G209" i="2" s="1"/>
  <c r="H88" i="2"/>
  <c r="H67" i="2" s="1"/>
  <c r="H68" i="2" s="1"/>
  <c r="H20" i="2"/>
  <c r="E87" i="2"/>
  <c r="E88" i="2" s="1"/>
  <c r="E67" i="2" s="1"/>
  <c r="E68" i="2" s="1"/>
  <c r="E63" i="2"/>
  <c r="H136" i="2"/>
  <c r="H209" i="2" s="1"/>
  <c r="G20" i="2"/>
  <c r="H139" i="2"/>
  <c r="H214" i="2" s="1"/>
  <c r="G138" i="2"/>
  <c r="G213" i="2" s="1"/>
  <c r="G215" i="2" s="1"/>
  <c r="E197" i="2"/>
  <c r="E198" i="2"/>
  <c r="H92" i="2"/>
  <c r="I92" i="2" s="1"/>
  <c r="F99" i="2"/>
  <c r="G77" i="2"/>
  <c r="G79" i="2" s="1"/>
  <c r="I97" i="2"/>
  <c r="I139" i="2" s="1"/>
  <c r="I214" i="2" s="1"/>
  <c r="I93" i="2"/>
  <c r="I86" i="2" s="1"/>
  <c r="I108" i="2"/>
  <c r="I136" i="2" s="1"/>
  <c r="I209" i="2" s="1"/>
  <c r="J25" i="2"/>
  <c r="J73" i="2" s="1"/>
  <c r="I29" i="2"/>
  <c r="I137" i="2"/>
  <c r="I212" i="2" s="1"/>
  <c r="I30" i="2"/>
  <c r="I104" i="2"/>
  <c r="I87" i="2" s="1"/>
  <c r="I26" i="2"/>
  <c r="I27" i="2" s="1"/>
  <c r="H134" i="2"/>
  <c r="F75" i="2"/>
  <c r="F20" i="2"/>
  <c r="F87" i="2"/>
  <c r="F86" i="2"/>
  <c r="G17" i="2"/>
  <c r="F53" i="2"/>
  <c r="E43" i="2"/>
  <c r="E12" i="2"/>
  <c r="D43" i="2"/>
  <c r="D12" i="2"/>
  <c r="C43" i="2"/>
  <c r="C12" i="2"/>
  <c r="H17" i="2" l="1"/>
  <c r="G53" i="2"/>
  <c r="I138" i="2"/>
  <c r="I213" i="2" s="1"/>
  <c r="I215" i="2" s="1"/>
  <c r="I187" i="2"/>
  <c r="H138" i="2"/>
  <c r="H213" i="2" s="1"/>
  <c r="H215" i="2" s="1"/>
  <c r="H187" i="2"/>
  <c r="J97" i="2"/>
  <c r="J139" i="2"/>
  <c r="J214" i="2" s="1"/>
  <c r="F96" i="2"/>
  <c r="G72" i="2"/>
  <c r="G99" i="2"/>
  <c r="H77" i="2"/>
  <c r="H79" i="2" s="1"/>
  <c r="I20" i="2"/>
  <c r="I88" i="2"/>
  <c r="K25" i="2"/>
  <c r="K73" i="2" s="1"/>
  <c r="J26" i="2"/>
  <c r="J27" i="2" s="1"/>
  <c r="J137" i="2"/>
  <c r="J212" i="2" s="1"/>
  <c r="J93" i="2"/>
  <c r="J86" i="2" s="1"/>
  <c r="J108" i="2"/>
  <c r="J136" i="2" s="1"/>
  <c r="J209" i="2" s="1"/>
  <c r="J30" i="2"/>
  <c r="J104" i="2"/>
  <c r="J87" i="2" s="1"/>
  <c r="J29" i="2"/>
  <c r="H207" i="2"/>
  <c r="J92" i="2"/>
  <c r="J187" i="2" s="1"/>
  <c r="F35" i="2"/>
  <c r="F21" i="2" s="1"/>
  <c r="F88" i="2"/>
  <c r="G134" i="2" s="1"/>
  <c r="G207" i="2" s="1"/>
  <c r="D46" i="2"/>
  <c r="D22" i="2"/>
  <c r="C46" i="2"/>
  <c r="C22" i="2"/>
  <c r="E46" i="2"/>
  <c r="E22" i="2"/>
  <c r="J138" i="2" l="1"/>
  <c r="J213" i="2" s="1"/>
  <c r="J215" i="2" s="1"/>
  <c r="I17" i="2"/>
  <c r="H53" i="2"/>
  <c r="J20" i="2"/>
  <c r="F69" i="2"/>
  <c r="G33" i="2"/>
  <c r="H99" i="2"/>
  <c r="I77" i="2"/>
  <c r="I79" i="2" s="1"/>
  <c r="K97" i="2"/>
  <c r="L97" i="2" s="1"/>
  <c r="J88" i="2"/>
  <c r="J134" i="2" s="1"/>
  <c r="J207" i="2" s="1"/>
  <c r="K30" i="2"/>
  <c r="K104" i="2"/>
  <c r="K87" i="2" s="1"/>
  <c r="L25" i="2"/>
  <c r="L73" i="2" s="1"/>
  <c r="K26" i="2"/>
  <c r="K27" i="2" s="1"/>
  <c r="K137" i="2"/>
  <c r="K212" i="2" s="1"/>
  <c r="K93" i="2"/>
  <c r="K86" i="2" s="1"/>
  <c r="K108" i="2"/>
  <c r="K29" i="2"/>
  <c r="I67" i="2"/>
  <c r="I68" i="2" s="1"/>
  <c r="I134" i="2"/>
  <c r="I207" i="2" s="1"/>
  <c r="K92" i="2"/>
  <c r="K187" i="2" s="1"/>
  <c r="K138" i="2"/>
  <c r="F67" i="2"/>
  <c r="F68" i="2" s="1"/>
  <c r="F134" i="2"/>
  <c r="F207" i="2" s="1"/>
  <c r="K20" i="2" l="1"/>
  <c r="J17" i="2"/>
  <c r="I53" i="2"/>
  <c r="K139" i="2"/>
  <c r="K214" i="2" s="1"/>
  <c r="G74" i="2"/>
  <c r="G35" i="2"/>
  <c r="G21" i="2" s="1"/>
  <c r="L139" i="2"/>
  <c r="L214" i="2" s="1"/>
  <c r="M97" i="2"/>
  <c r="J77" i="2"/>
  <c r="J79" i="2" s="1"/>
  <c r="I99" i="2"/>
  <c r="K136" i="2"/>
  <c r="K209" i="2" s="1"/>
  <c r="J67" i="2"/>
  <c r="J68" i="2" s="1"/>
  <c r="K88" i="2"/>
  <c r="K134" i="2" s="1"/>
  <c r="K207" i="2" s="1"/>
  <c r="L29" i="2"/>
  <c r="L93" i="2"/>
  <c r="L86" i="2" s="1"/>
  <c r="L108" i="2"/>
  <c r="L136" i="2" s="1"/>
  <c r="L209" i="2" s="1"/>
  <c r="L30" i="2"/>
  <c r="L104" i="2"/>
  <c r="L87" i="2" s="1"/>
  <c r="M25" i="2"/>
  <c r="M73" i="2" s="1"/>
  <c r="L26" i="2"/>
  <c r="L27" i="2" s="1"/>
  <c r="L137" i="2"/>
  <c r="L212" i="2" s="1"/>
  <c r="L92" i="2"/>
  <c r="L187" i="2" s="1"/>
  <c r="K213" i="2"/>
  <c r="K215" i="2" s="1"/>
  <c r="K17" i="2" l="1"/>
  <c r="J53" i="2"/>
  <c r="L88" i="2"/>
  <c r="L67" i="2" s="1"/>
  <c r="L68" i="2" s="1"/>
  <c r="L20" i="2"/>
  <c r="J99" i="2"/>
  <c r="K77" i="2"/>
  <c r="K79" i="2" s="1"/>
  <c r="G132" i="2"/>
  <c r="G205" i="2" s="1"/>
  <c r="G75" i="2"/>
  <c r="M139" i="2"/>
  <c r="M214" i="2" s="1"/>
  <c r="N97" i="2"/>
  <c r="O97" i="2" s="1"/>
  <c r="O139" i="2" s="1"/>
  <c r="O214" i="2" s="1"/>
  <c r="K67" i="2"/>
  <c r="K68" i="2" s="1"/>
  <c r="M93" i="2"/>
  <c r="M86" i="2" s="1"/>
  <c r="M108" i="2"/>
  <c r="M136" i="2" s="1"/>
  <c r="M209" i="2" s="1"/>
  <c r="M29" i="2"/>
  <c r="N25" i="2"/>
  <c r="N73" i="2" s="1"/>
  <c r="M26" i="2"/>
  <c r="M27" i="2" s="1"/>
  <c r="M30" i="2"/>
  <c r="M104" i="2"/>
  <c r="M87" i="2" s="1"/>
  <c r="M137" i="2"/>
  <c r="M212" i="2" s="1"/>
  <c r="M92" i="2"/>
  <c r="M187" i="2" s="1"/>
  <c r="L138" i="2"/>
  <c r="L134" i="2" l="1"/>
  <c r="L207" i="2" s="1"/>
  <c r="M20" i="2"/>
  <c r="L17" i="2"/>
  <c r="K53" i="2"/>
  <c r="M138" i="2"/>
  <c r="M213" i="2" s="1"/>
  <c r="M215" i="2" s="1"/>
  <c r="H72" i="2"/>
  <c r="G96" i="2"/>
  <c r="N139" i="2"/>
  <c r="N214" i="2" s="1"/>
  <c r="K99" i="2"/>
  <c r="L77" i="2"/>
  <c r="L79" i="2" s="1"/>
  <c r="O25" i="2"/>
  <c r="O73" i="2" s="1"/>
  <c r="N26" i="2"/>
  <c r="N27" i="2" s="1"/>
  <c r="N137" i="2"/>
  <c r="N212" i="2" s="1"/>
  <c r="N104" i="2"/>
  <c r="N87" i="2" s="1"/>
  <c r="N93" i="2"/>
  <c r="N86" i="2" s="1"/>
  <c r="N108" i="2"/>
  <c r="N136" i="2" s="1"/>
  <c r="N209" i="2" s="1"/>
  <c r="N29" i="2"/>
  <c r="N30" i="2"/>
  <c r="M88" i="2"/>
  <c r="L213" i="2"/>
  <c r="L215" i="2" s="1"/>
  <c r="N92" i="2"/>
  <c r="N187" i="2" s="1"/>
  <c r="M17" i="2" l="1"/>
  <c r="L53" i="2"/>
  <c r="N138" i="2"/>
  <c r="N213" i="2" s="1"/>
  <c r="N215" i="2" s="1"/>
  <c r="G69" i="2"/>
  <c r="H33" i="2"/>
  <c r="M77" i="2"/>
  <c r="M79" i="2" s="1"/>
  <c r="L99" i="2"/>
  <c r="N88" i="2"/>
  <c r="N134" i="2" s="1"/>
  <c r="N207" i="2" s="1"/>
  <c r="M67" i="2"/>
  <c r="M68" i="2" s="1"/>
  <c r="M134" i="2"/>
  <c r="M207" i="2" s="1"/>
  <c r="O30" i="2"/>
  <c r="O104" i="2"/>
  <c r="O87" i="2" s="1"/>
  <c r="O26" i="2"/>
  <c r="O27" i="2" s="1"/>
  <c r="O137" i="2"/>
  <c r="O212" i="2" s="1"/>
  <c r="O29" i="2"/>
  <c r="O93" i="2"/>
  <c r="O86" i="2" s="1"/>
  <c r="O88" i="2" s="1"/>
  <c r="O67" i="2" s="1"/>
  <c r="O68" i="2" s="1"/>
  <c r="O108" i="2"/>
  <c r="O136" i="2" s="1"/>
  <c r="O209" i="2" s="1"/>
  <c r="O138" i="2"/>
  <c r="O92" i="2"/>
  <c r="O187" i="2" s="1"/>
  <c r="O20" i="2" l="1"/>
  <c r="N17" i="2"/>
  <c r="M53" i="2"/>
  <c r="N77" i="2"/>
  <c r="N79" i="2" s="1"/>
  <c r="M99" i="2"/>
  <c r="H74" i="2"/>
  <c r="H35" i="2"/>
  <c r="H21" i="2" s="1"/>
  <c r="N20" i="2"/>
  <c r="O134" i="2"/>
  <c r="O207" i="2" s="1"/>
  <c r="N67" i="2"/>
  <c r="N68" i="2" s="1"/>
  <c r="O213" i="2"/>
  <c r="O215" i="2" s="1"/>
  <c r="O17" i="2" l="1"/>
  <c r="O53" i="2" s="1"/>
  <c r="N53" i="2"/>
  <c r="H132" i="2"/>
  <c r="H205" i="2" s="1"/>
  <c r="H75" i="2"/>
  <c r="O77" i="2"/>
  <c r="O79" i="2" s="1"/>
  <c r="O99" i="2" s="1"/>
  <c r="N99" i="2"/>
  <c r="I72" i="2" l="1"/>
  <c r="H96" i="2"/>
  <c r="H69" i="2" l="1"/>
  <c r="I33" i="2"/>
  <c r="I74" i="2" l="1"/>
  <c r="I35" i="2"/>
  <c r="I21" i="2" s="1"/>
  <c r="I132" i="2" l="1"/>
  <c r="I205" i="2" s="1"/>
  <c r="I75" i="2"/>
  <c r="I96" i="2" l="1"/>
  <c r="J72" i="2"/>
  <c r="I69" i="2" l="1"/>
  <c r="J33" i="2"/>
  <c r="J74" i="2" l="1"/>
  <c r="J35" i="2"/>
  <c r="J21" i="2" s="1"/>
  <c r="J132" i="2" l="1"/>
  <c r="J205" i="2" s="1"/>
  <c r="J75" i="2"/>
  <c r="K72" i="2" l="1"/>
  <c r="J96" i="2"/>
  <c r="K33" i="2" l="1"/>
  <c r="J69" i="2"/>
  <c r="K74" i="2" l="1"/>
  <c r="K35" i="2"/>
  <c r="K21" i="2" s="1"/>
  <c r="K132" i="2" l="1"/>
  <c r="K205" i="2" s="1"/>
  <c r="K75" i="2"/>
  <c r="L72" i="2" l="1"/>
  <c r="K96" i="2"/>
  <c r="L33" i="2" l="1"/>
  <c r="K69" i="2"/>
  <c r="L74" i="2" l="1"/>
  <c r="L35" i="2"/>
  <c r="L21" i="2" s="1"/>
  <c r="L132" i="2" l="1"/>
  <c r="L205" i="2" s="1"/>
  <c r="L75" i="2"/>
  <c r="M72" i="2" l="1"/>
  <c r="L96" i="2"/>
  <c r="M33" i="2" l="1"/>
  <c r="L69" i="2"/>
  <c r="M74" i="2" l="1"/>
  <c r="M35" i="2"/>
  <c r="M21" i="2" s="1"/>
  <c r="M132" i="2" l="1"/>
  <c r="M205" i="2" s="1"/>
  <c r="M75" i="2"/>
  <c r="M96" i="2" l="1"/>
  <c r="N72" i="2"/>
  <c r="N33" i="2" l="1"/>
  <c r="M69" i="2"/>
  <c r="N74" i="2" l="1"/>
  <c r="N35" i="2"/>
  <c r="N21" i="2" s="1"/>
  <c r="N132" i="2" l="1"/>
  <c r="N205" i="2" s="1"/>
  <c r="N75" i="2"/>
  <c r="E2" i="2"/>
  <c r="A1" i="6"/>
  <c r="N96" i="2" l="1"/>
  <c r="O72" i="2"/>
  <c r="D2" i="2"/>
  <c r="C2" i="2" s="1"/>
  <c r="O33" i="2" l="1"/>
  <c r="N69" i="2"/>
  <c r="F2" i="2"/>
  <c r="G2" i="2" s="1"/>
  <c r="H2" i="2" s="1"/>
  <c r="I2" i="2" s="1"/>
  <c r="J2" i="2" s="1"/>
  <c r="K2" i="2" s="1"/>
  <c r="L2" i="2" s="1"/>
  <c r="M2" i="2" s="1"/>
  <c r="N2" i="2" s="1"/>
  <c r="O2" i="2" s="1"/>
  <c r="O74" i="2" l="1"/>
  <c r="O35" i="2"/>
  <c r="O21" i="2" s="1"/>
  <c r="O132" i="2" l="1"/>
  <c r="O205" i="2" s="1"/>
  <c r="O75" i="2"/>
  <c r="O96" i="2" s="1"/>
  <c r="O69" i="2" s="1"/>
  <c r="H38" i="2" l="1"/>
  <c r="M38" i="2"/>
  <c r="I38" i="2"/>
  <c r="L38" i="2"/>
  <c r="F38" i="2"/>
  <c r="K38" i="2"/>
  <c r="N38" i="2"/>
  <c r="O38" i="2"/>
  <c r="G38" i="2"/>
  <c r="H37" i="2"/>
  <c r="O37" i="2"/>
  <c r="J38" i="2"/>
  <c r="M37" i="2"/>
  <c r="N37" i="2"/>
  <c r="J37" i="2"/>
  <c r="K37" i="2"/>
  <c r="G37" i="2"/>
  <c r="L37" i="2"/>
  <c r="F37" i="2"/>
  <c r="I37" i="2"/>
  <c r="N40" i="2" l="1"/>
  <c r="N42" i="2" s="1"/>
  <c r="H40" i="2"/>
  <c r="H42" i="2" s="1"/>
  <c r="H43" i="2" s="1"/>
  <c r="O40" i="2"/>
  <c r="O42" i="2" s="1"/>
  <c r="O43" i="2" s="1"/>
  <c r="J40" i="2"/>
  <c r="J42" i="2" s="1"/>
  <c r="J43" i="2" s="1"/>
  <c r="G40" i="2"/>
  <c r="G42" i="2" s="1"/>
  <c r="G43" i="2" s="1"/>
  <c r="L40" i="2"/>
  <c r="L42" i="2" s="1"/>
  <c r="L43" i="2" s="1"/>
  <c r="M40" i="2"/>
  <c r="M42" i="2" s="1"/>
  <c r="M43" i="2" s="1"/>
  <c r="K40" i="2"/>
  <c r="K42" i="2" s="1"/>
  <c r="F40" i="2"/>
  <c r="F42" i="2" s="1"/>
  <c r="F43" i="2" s="1"/>
  <c r="I40" i="2"/>
  <c r="I42" i="2" s="1"/>
  <c r="I43" i="2" s="1"/>
  <c r="N43" i="2" l="1"/>
  <c r="N22" i="2" s="1"/>
  <c r="K43" i="2"/>
  <c r="K46" i="2" s="1"/>
  <c r="I22" i="2"/>
  <c r="I46" i="2"/>
  <c r="H46" i="2"/>
  <c r="H22" i="2"/>
  <c r="G22" i="2"/>
  <c r="G46" i="2"/>
  <c r="O22" i="2"/>
  <c r="O46" i="2"/>
  <c r="M22" i="2"/>
  <c r="M46" i="2"/>
  <c r="F22" i="2"/>
  <c r="F46" i="2"/>
  <c r="J22" i="2"/>
  <c r="J46" i="2"/>
  <c r="L22" i="2"/>
  <c r="L46" i="2"/>
  <c r="N46" i="2" l="1"/>
  <c r="N82" i="2" s="1"/>
  <c r="N131" i="2" s="1"/>
  <c r="K22" i="2"/>
  <c r="K48" i="2"/>
  <c r="K50" i="2" s="1"/>
  <c r="K82" i="2"/>
  <c r="K131" i="2" s="1"/>
  <c r="J48" i="2"/>
  <c r="J50" i="2" s="1"/>
  <c r="J82" i="2"/>
  <c r="J131" i="2" s="1"/>
  <c r="O82" i="2"/>
  <c r="O131" i="2" s="1"/>
  <c r="O48" i="2"/>
  <c r="O50" i="2" s="1"/>
  <c r="H48" i="2"/>
  <c r="H50" i="2" s="1"/>
  <c r="H82" i="2"/>
  <c r="H131" i="2" s="1"/>
  <c r="F48" i="2"/>
  <c r="F50" i="2" s="1"/>
  <c r="F82" i="2"/>
  <c r="G82" i="2"/>
  <c r="G131" i="2" s="1"/>
  <c r="G48" i="2"/>
  <c r="G50" i="2" s="1"/>
  <c r="I48" i="2"/>
  <c r="I50" i="2" s="1"/>
  <c r="I82" i="2"/>
  <c r="I131" i="2" s="1"/>
  <c r="L48" i="2"/>
  <c r="L50" i="2" s="1"/>
  <c r="L82" i="2"/>
  <c r="L131" i="2" s="1"/>
  <c r="M82" i="2"/>
  <c r="M131" i="2" s="1"/>
  <c r="M48" i="2"/>
  <c r="M50" i="2" s="1"/>
  <c r="N48" i="2" l="1"/>
  <c r="N50" i="2" s="1"/>
  <c r="L141" i="2"/>
  <c r="L204" i="2"/>
  <c r="L210" i="2" s="1"/>
  <c r="I141" i="2"/>
  <c r="I204" i="2"/>
  <c r="I210" i="2" s="1"/>
  <c r="J204" i="2"/>
  <c r="J210" i="2" s="1"/>
  <c r="J141" i="2"/>
  <c r="M141" i="2"/>
  <c r="M204" i="2"/>
  <c r="M210" i="2" s="1"/>
  <c r="F84" i="2"/>
  <c r="F131" i="2"/>
  <c r="K204" i="2"/>
  <c r="K210" i="2" s="1"/>
  <c r="K141" i="2"/>
  <c r="O204" i="2"/>
  <c r="O210" i="2" s="1"/>
  <c r="O141" i="2"/>
  <c r="N141" i="2"/>
  <c r="N204" i="2"/>
  <c r="N210" i="2" s="1"/>
  <c r="G141" i="2"/>
  <c r="G204" i="2"/>
  <c r="G210" i="2" s="1"/>
  <c r="H141" i="2"/>
  <c r="H204" i="2"/>
  <c r="H210" i="2" s="1"/>
  <c r="F111" i="2" l="1"/>
  <c r="G81" i="2"/>
  <c r="G84" i="2" s="1"/>
  <c r="F204" i="2"/>
  <c r="F210" i="2" s="1"/>
  <c r="F141" i="2"/>
  <c r="G111" i="2" l="1"/>
  <c r="H81" i="2"/>
  <c r="H84" i="2" s="1"/>
  <c r="F143" i="2"/>
  <c r="F146" i="2" s="1"/>
  <c r="F149" i="2" l="1"/>
  <c r="H111" i="2"/>
  <c r="I81" i="2"/>
  <c r="I84" i="2" s="1"/>
  <c r="F150" i="2" l="1"/>
  <c r="F193" i="2" s="1"/>
  <c r="F103" i="2" s="1"/>
  <c r="F154" i="2"/>
  <c r="I111" i="2"/>
  <c r="J81" i="2"/>
  <c r="J84" i="2" s="1"/>
  <c r="F152" i="2" l="1"/>
  <c r="G148" i="2"/>
  <c r="F158" i="2"/>
  <c r="J111" i="2"/>
  <c r="K81" i="2"/>
  <c r="K84" i="2" s="1"/>
  <c r="F217" i="2"/>
  <c r="F105" i="2"/>
  <c r="F159" i="2" l="1"/>
  <c r="F161" i="2" s="1"/>
  <c r="F165" i="2"/>
  <c r="F166" i="2" s="1"/>
  <c r="G163" i="2" s="1"/>
  <c r="K111" i="2"/>
  <c r="L81" i="2"/>
  <c r="L84" i="2" s="1"/>
  <c r="G156" i="2" l="1"/>
  <c r="G157" i="2" s="1"/>
  <c r="F168" i="2"/>
  <c r="F172" i="2"/>
  <c r="F173" i="2" s="1"/>
  <c r="G164" i="2"/>
  <c r="L111" i="2"/>
  <c r="M81" i="2"/>
  <c r="M84" i="2" s="1"/>
  <c r="F179" i="2" l="1"/>
  <c r="F180" i="2" s="1"/>
  <c r="F194" i="2" s="1"/>
  <c r="G170" i="2"/>
  <c r="F175" i="2"/>
  <c r="M111" i="2"/>
  <c r="N81" i="2"/>
  <c r="N84" i="2" s="1"/>
  <c r="F185" i="2" l="1"/>
  <c r="F186" i="2" s="1"/>
  <c r="G184" i="2" s="1"/>
  <c r="F182" i="2"/>
  <c r="F199" i="2" s="1"/>
  <c r="F200" i="2" s="1"/>
  <c r="G177" i="2"/>
  <c r="F107" i="2"/>
  <c r="F195" i="2"/>
  <c r="G171" i="2"/>
  <c r="N111" i="2"/>
  <c r="O81" i="2"/>
  <c r="O84" i="2" s="1"/>
  <c r="O111" i="2" s="1"/>
  <c r="F188" i="2" l="1"/>
  <c r="F190" i="2" s="1"/>
  <c r="G178" i="2"/>
  <c r="F218" i="2"/>
  <c r="F220" i="2" s="1"/>
  <c r="F222" i="2" s="1"/>
  <c r="F223" i="2" s="1"/>
  <c r="F109" i="2"/>
  <c r="F112" i="2" s="1"/>
  <c r="F197" i="2"/>
  <c r="F196" i="2"/>
  <c r="F225" i="2" l="1"/>
  <c r="F91" i="2"/>
  <c r="F201" i="2"/>
  <c r="F198" i="2"/>
  <c r="F94" i="2" l="1"/>
  <c r="F101" i="2" s="1"/>
  <c r="F114" i="2" s="1"/>
  <c r="G142" i="2"/>
  <c r="G143" i="2" s="1"/>
  <c r="G146" i="2" s="1"/>
  <c r="G149" i="2" s="1"/>
  <c r="G154" i="2" l="1"/>
  <c r="G150" i="2"/>
  <c r="G193" i="2" l="1"/>
  <c r="H148" i="2"/>
  <c r="G152" i="2"/>
  <c r="G158" i="2"/>
  <c r="G159" i="2" l="1"/>
  <c r="H156" i="2" s="1"/>
  <c r="H157" i="2" s="1"/>
  <c r="G165" i="2"/>
  <c r="G166" i="2" s="1"/>
  <c r="G103" i="2"/>
  <c r="G161" i="2" l="1"/>
  <c r="G172" i="2"/>
  <c r="G173" i="2" s="1"/>
  <c r="H170" i="2" s="1"/>
  <c r="G105" i="2"/>
  <c r="G217" i="2"/>
  <c r="G168" i="2"/>
  <c r="H163" i="2"/>
  <c r="H164" i="2" s="1"/>
  <c r="G175" i="2" l="1"/>
  <c r="G179" i="2"/>
  <c r="H171" i="2"/>
  <c r="G180" i="2" l="1"/>
  <c r="G185" i="2"/>
  <c r="G186" i="2" s="1"/>
  <c r="H177" i="2" l="1"/>
  <c r="H178" i="2" s="1"/>
  <c r="G194" i="2"/>
  <c r="G182" i="2"/>
  <c r="G199" i="2" s="1"/>
  <c r="G200" i="2" s="1"/>
  <c r="H184" i="2"/>
  <c r="G188" i="2"/>
  <c r="G190" i="2" s="1"/>
  <c r="G195" i="2" l="1"/>
  <c r="G107" i="2"/>
  <c r="G218" i="2" l="1"/>
  <c r="G220" i="2" s="1"/>
  <c r="G222" i="2" s="1"/>
  <c r="G223" i="2" s="1"/>
  <c r="G109" i="2"/>
  <c r="G112" i="2" s="1"/>
  <c r="G196" i="2"/>
  <c r="G197" i="2"/>
  <c r="G198" i="2" l="1"/>
  <c r="G201" i="2"/>
  <c r="G225" i="2"/>
  <c r="G91" i="2"/>
  <c r="G94" i="2" l="1"/>
  <c r="G101" i="2" s="1"/>
  <c r="G114" i="2" s="1"/>
  <c r="H142" i="2"/>
  <c r="H143" i="2" s="1"/>
  <c r="H146" i="2" s="1"/>
  <c r="H149" i="2" l="1"/>
  <c r="H154" i="2" s="1"/>
  <c r="H158" i="2" l="1"/>
  <c r="H159" i="2" s="1"/>
  <c r="H150" i="2"/>
  <c r="H165" i="2" l="1"/>
  <c r="H166" i="2" s="1"/>
  <c r="I163" i="2" s="1"/>
  <c r="I164" i="2" s="1"/>
  <c r="H152" i="2"/>
  <c r="H193" i="2"/>
  <c r="I148" i="2"/>
  <c r="H161" i="2"/>
  <c r="I156" i="2"/>
  <c r="I157" i="2" s="1"/>
  <c r="H168" i="2" l="1"/>
  <c r="H172" i="2"/>
  <c r="H173" i="2" s="1"/>
  <c r="I170" i="2" s="1"/>
  <c r="I171" i="2" s="1"/>
  <c r="H103" i="2"/>
  <c r="H179" i="2" l="1"/>
  <c r="H180" i="2" s="1"/>
  <c r="I177" i="2" s="1"/>
  <c r="I178" i="2" s="1"/>
  <c r="H175" i="2"/>
  <c r="H105" i="2"/>
  <c r="H217" i="2"/>
  <c r="H182" i="2" l="1"/>
  <c r="H199" i="2" s="1"/>
  <c r="H200" i="2" s="1"/>
  <c r="H194" i="2"/>
  <c r="H195" i="2" s="1"/>
  <c r="H185" i="2"/>
  <c r="H186" i="2" s="1"/>
  <c r="H107" i="2" l="1"/>
  <c r="H218" i="2" s="1"/>
  <c r="H220" i="2" s="1"/>
  <c r="H222" i="2" s="1"/>
  <c r="H223" i="2" s="1"/>
  <c r="H225" i="2" s="1"/>
  <c r="I184" i="2"/>
  <c r="H188" i="2"/>
  <c r="H190" i="2" s="1"/>
  <c r="H197" i="2"/>
  <c r="H196" i="2"/>
  <c r="H109" i="2" l="1"/>
  <c r="H112" i="2" s="1"/>
  <c r="H91" i="2"/>
  <c r="H201" i="2"/>
  <c r="H198" i="2"/>
  <c r="H94" i="2" l="1"/>
  <c r="H101" i="2" s="1"/>
  <c r="H114" i="2" s="1"/>
  <c r="I142" i="2"/>
  <c r="I143" i="2" s="1"/>
  <c r="I146" i="2" s="1"/>
  <c r="I149" i="2" s="1"/>
  <c r="I154" i="2" s="1"/>
  <c r="I158" i="2" s="1"/>
  <c r="I159" i="2" s="1"/>
  <c r="I150" i="2" l="1"/>
  <c r="J148" i="2" s="1"/>
  <c r="I161" i="2"/>
  <c r="J156" i="2"/>
  <c r="J157" i="2" s="1"/>
  <c r="I165" i="2"/>
  <c r="I166" i="2" s="1"/>
  <c r="I152" i="2" l="1"/>
  <c r="I193" i="2"/>
  <c r="I103" i="2" s="1"/>
  <c r="I105" i="2" s="1"/>
  <c r="I168" i="2"/>
  <c r="J163" i="2"/>
  <c r="J164" i="2" s="1"/>
  <c r="I172" i="2"/>
  <c r="I173" i="2" s="1"/>
  <c r="I217" i="2" l="1"/>
  <c r="I179" i="2"/>
  <c r="J170" i="2"/>
  <c r="J171" i="2" s="1"/>
  <c r="I175" i="2"/>
  <c r="I180" i="2" l="1"/>
  <c r="I185" i="2"/>
  <c r="I186" i="2" s="1"/>
  <c r="J184" i="2" l="1"/>
  <c r="I188" i="2"/>
  <c r="I190" i="2" s="1"/>
  <c r="I194" i="2"/>
  <c r="I182" i="2"/>
  <c r="I199" i="2" s="1"/>
  <c r="I200" i="2" s="1"/>
  <c r="J177" i="2"/>
  <c r="J178" i="2" s="1"/>
  <c r="I107" i="2" l="1"/>
  <c r="I195" i="2"/>
  <c r="I196" i="2" l="1"/>
  <c r="I197" i="2"/>
  <c r="I218" i="2"/>
  <c r="I220" i="2" s="1"/>
  <c r="I222" i="2" s="1"/>
  <c r="I223" i="2" s="1"/>
  <c r="I109" i="2"/>
  <c r="I112" i="2" s="1"/>
  <c r="I201" i="2" l="1"/>
  <c r="I198" i="2"/>
  <c r="I91" i="2"/>
  <c r="I225" i="2"/>
  <c r="I94" i="2" l="1"/>
  <c r="I101" i="2" s="1"/>
  <c r="I114" i="2" s="1"/>
  <c r="J142" i="2"/>
  <c r="J143" i="2" s="1"/>
  <c r="J146" i="2" s="1"/>
  <c r="J149" i="2" l="1"/>
  <c r="J154" i="2" s="1"/>
  <c r="J158" i="2" l="1"/>
  <c r="J159" i="2" s="1"/>
  <c r="J150" i="2"/>
  <c r="K148" i="2" l="1"/>
  <c r="J193" i="2"/>
  <c r="J152" i="2"/>
  <c r="J165" i="2"/>
  <c r="J172" i="2" s="1"/>
  <c r="J173" i="2" s="1"/>
  <c r="K156" i="2"/>
  <c r="K157" i="2" s="1"/>
  <c r="J161" i="2"/>
  <c r="J175" i="2" l="1"/>
  <c r="K170" i="2"/>
  <c r="K171" i="2" s="1"/>
  <c r="J103" i="2"/>
  <c r="J166" i="2"/>
  <c r="J179" i="2"/>
  <c r="J180" i="2" s="1"/>
  <c r="J185" i="2" l="1"/>
  <c r="J186" i="2" s="1"/>
  <c r="K184" i="2" s="1"/>
  <c r="K177" i="2"/>
  <c r="K178" i="2" s="1"/>
  <c r="J182" i="2"/>
  <c r="J217" i="2"/>
  <c r="J105" i="2"/>
  <c r="K163" i="2"/>
  <c r="K164" i="2" s="1"/>
  <c r="J168" i="2"/>
  <c r="J194" i="2"/>
  <c r="J199" i="2" l="1"/>
  <c r="J200" i="2" s="1"/>
  <c r="J188" i="2"/>
  <c r="J190" i="2" s="1"/>
  <c r="J107" i="2"/>
  <c r="J218" i="2" s="1"/>
  <c r="J220" i="2" s="1"/>
  <c r="J222" i="2" s="1"/>
  <c r="J223" i="2" s="1"/>
  <c r="J195" i="2"/>
  <c r="J196" i="2" l="1"/>
  <c r="J197" i="2"/>
  <c r="J91" i="2"/>
  <c r="J225" i="2"/>
  <c r="J109" i="2"/>
  <c r="J112" i="2" s="1"/>
  <c r="K142" i="2" l="1"/>
  <c r="K143" i="2" s="1"/>
  <c r="K146" i="2" s="1"/>
  <c r="J94" i="2"/>
  <c r="J101" i="2" s="1"/>
  <c r="J114" i="2" s="1"/>
  <c r="J198" i="2"/>
  <c r="J201" i="2"/>
  <c r="K149" i="2" l="1"/>
  <c r="K154" i="2" s="1"/>
  <c r="K158" i="2" l="1"/>
  <c r="K159" i="2" s="1"/>
  <c r="K150" i="2"/>
  <c r="K165" i="2" l="1"/>
  <c r="K166" i="2" s="1"/>
  <c r="L163" i="2" s="1"/>
  <c r="L164" i="2" s="1"/>
  <c r="L148" i="2"/>
  <c r="K193" i="2"/>
  <c r="K152" i="2"/>
  <c r="L156" i="2"/>
  <c r="L157" i="2" s="1"/>
  <c r="K161" i="2"/>
  <c r="K172" i="2" l="1"/>
  <c r="K173" i="2" s="1"/>
  <c r="L170" i="2" s="1"/>
  <c r="L171" i="2" s="1"/>
  <c r="K168" i="2"/>
  <c r="K103" i="2"/>
  <c r="K175" i="2" l="1"/>
  <c r="K179" i="2"/>
  <c r="K180" i="2" s="1"/>
  <c r="K105" i="2"/>
  <c r="K217" i="2"/>
  <c r="K185" i="2" l="1"/>
  <c r="K186" i="2" s="1"/>
  <c r="K188" i="2" s="1"/>
  <c r="K190" i="2" s="1"/>
  <c r="L177" i="2"/>
  <c r="L178" i="2" s="1"/>
  <c r="K182" i="2"/>
  <c r="K199" i="2" s="1"/>
  <c r="K200" i="2" s="1"/>
  <c r="K194" i="2"/>
  <c r="L184" i="2" l="1"/>
  <c r="K107" i="2"/>
  <c r="K195" i="2"/>
  <c r="K197" i="2" l="1"/>
  <c r="K196" i="2"/>
  <c r="K218" i="2"/>
  <c r="K220" i="2" s="1"/>
  <c r="K222" i="2" s="1"/>
  <c r="K223" i="2" s="1"/>
  <c r="K109" i="2"/>
  <c r="K112" i="2" s="1"/>
  <c r="K91" i="2" l="1"/>
  <c r="K225" i="2"/>
  <c r="K198" i="2"/>
  <c r="K201" i="2"/>
  <c r="L142" i="2" l="1"/>
  <c r="L143" i="2" s="1"/>
  <c r="L146" i="2" s="1"/>
  <c r="L149" i="2" s="1"/>
  <c r="K94" i="2"/>
  <c r="K101" i="2" s="1"/>
  <c r="K114" i="2" s="1"/>
  <c r="L154" i="2" l="1"/>
  <c r="L150" i="2"/>
  <c r="L158" i="2" l="1"/>
  <c r="L152" i="2"/>
  <c r="M148" i="2"/>
  <c r="L193" i="2"/>
  <c r="L165" i="2" l="1"/>
  <c r="L166" i="2" s="1"/>
  <c r="M163" i="2" s="1"/>
  <c r="M164" i="2" s="1"/>
  <c r="L103" i="2"/>
  <c r="L159" i="2"/>
  <c r="L168" i="2" l="1"/>
  <c r="L172" i="2"/>
  <c r="L173" i="2" s="1"/>
  <c r="L161" i="2"/>
  <c r="M156" i="2"/>
  <c r="M157" i="2" s="1"/>
  <c r="L217" i="2"/>
  <c r="L105" i="2"/>
  <c r="L175" i="2" l="1"/>
  <c r="M170" i="2"/>
  <c r="M171" i="2" s="1"/>
  <c r="L179" i="2"/>
  <c r="L180" i="2" l="1"/>
  <c r="L185" i="2"/>
  <c r="L186" i="2" s="1"/>
  <c r="M184" i="2" l="1"/>
  <c r="L188" i="2"/>
  <c r="L190" i="2" s="1"/>
  <c r="M177" i="2"/>
  <c r="M178" i="2" s="1"/>
  <c r="L182" i="2"/>
  <c r="L199" i="2" s="1"/>
  <c r="L200" i="2" s="1"/>
  <c r="L194" i="2"/>
  <c r="L195" i="2" l="1"/>
  <c r="L107" i="2"/>
  <c r="L196" i="2" l="1"/>
  <c r="L197" i="2"/>
  <c r="L218" i="2"/>
  <c r="L220" i="2" s="1"/>
  <c r="L222" i="2" s="1"/>
  <c r="L223" i="2" s="1"/>
  <c r="L109" i="2"/>
  <c r="L112" i="2" s="1"/>
  <c r="L198" i="2" l="1"/>
  <c r="L201" i="2"/>
  <c r="L91" i="2"/>
  <c r="L225" i="2"/>
  <c r="M142" i="2" l="1"/>
  <c r="M143" i="2" s="1"/>
  <c r="M146" i="2" s="1"/>
  <c r="L94" i="2"/>
  <c r="L101" i="2" s="1"/>
  <c r="L114" i="2" s="1"/>
  <c r="M149" i="2" l="1"/>
  <c r="M150" i="2" l="1"/>
  <c r="M154" i="2"/>
  <c r="M158" i="2" l="1"/>
  <c r="M152" i="2"/>
  <c r="N148" i="2"/>
  <c r="M193" i="2"/>
  <c r="M159" i="2" l="1"/>
  <c r="M103" i="2"/>
  <c r="M165" i="2"/>
  <c r="M166" i="2" s="1"/>
  <c r="M161" i="2" l="1"/>
  <c r="N156" i="2"/>
  <c r="N157" i="2" s="1"/>
  <c r="M217" i="2"/>
  <c r="M105" i="2"/>
  <c r="M168" i="2"/>
  <c r="N163" i="2"/>
  <c r="N164" i="2" s="1"/>
  <c r="M172" i="2"/>
  <c r="M173" i="2" s="1"/>
  <c r="M175" i="2" l="1"/>
  <c r="N170" i="2"/>
  <c r="N171" i="2" s="1"/>
  <c r="M179" i="2"/>
  <c r="M180" i="2" s="1"/>
  <c r="N177" i="2" l="1"/>
  <c r="N178" i="2" s="1"/>
  <c r="M182" i="2"/>
  <c r="M199" i="2" s="1"/>
  <c r="M200" i="2" s="1"/>
  <c r="M185" i="2"/>
  <c r="M186" i="2" s="1"/>
  <c r="M194" i="2"/>
  <c r="M107" i="2" l="1"/>
  <c r="M195" i="2"/>
  <c r="M188" i="2"/>
  <c r="M190" i="2" s="1"/>
  <c r="N184" i="2"/>
  <c r="M196" i="2" l="1"/>
  <c r="M197" i="2"/>
  <c r="M218" i="2"/>
  <c r="M220" i="2" s="1"/>
  <c r="M222" i="2" s="1"/>
  <c r="M223" i="2" s="1"/>
  <c r="M109" i="2"/>
  <c r="M112" i="2" s="1"/>
  <c r="M91" i="2" l="1"/>
  <c r="M225" i="2"/>
  <c r="M201" i="2"/>
  <c r="M198" i="2"/>
  <c r="N142" i="2" l="1"/>
  <c r="N143" i="2" s="1"/>
  <c r="N146" i="2" s="1"/>
  <c r="M94" i="2"/>
  <c r="M101" i="2" s="1"/>
  <c r="M114" i="2" s="1"/>
  <c r="N149" i="2" l="1"/>
  <c r="N150" i="2" l="1"/>
  <c r="N154" i="2"/>
  <c r="N152" i="2" l="1"/>
  <c r="N193" i="2"/>
  <c r="O148" i="2"/>
  <c r="N158" i="2"/>
  <c r="N165" i="2" s="1"/>
  <c r="N166" i="2" s="1"/>
  <c r="N159" i="2" l="1"/>
  <c r="N172" i="2"/>
  <c r="N103" i="2"/>
  <c r="O163" i="2"/>
  <c r="O164" i="2" s="1"/>
  <c r="N168" i="2"/>
  <c r="N105" i="2" l="1"/>
  <c r="N217" i="2"/>
  <c r="N179" i="2"/>
  <c r="N180" i="2" s="1"/>
  <c r="N173" i="2"/>
  <c r="O156" i="2"/>
  <c r="N161" i="2"/>
  <c r="N194" i="2" l="1"/>
  <c r="N107" i="2" s="1"/>
  <c r="N185" i="2"/>
  <c r="N186" i="2" s="1"/>
  <c r="O170" i="2"/>
  <c r="O171" i="2" s="1"/>
  <c r="N175" i="2"/>
  <c r="O177" i="2"/>
  <c r="O178" i="2" s="1"/>
  <c r="N182" i="2"/>
  <c r="O157" i="2"/>
  <c r="N195" i="2" l="1"/>
  <c r="N196" i="2" s="1"/>
  <c r="N218" i="2"/>
  <c r="N220" i="2" s="1"/>
  <c r="N222" i="2" s="1"/>
  <c r="N223" i="2" s="1"/>
  <c r="N91" i="2" s="1"/>
  <c r="N94" i="2" s="1"/>
  <c r="N101" i="2" s="1"/>
  <c r="N109" i="2"/>
  <c r="N112" i="2" s="1"/>
  <c r="N199" i="2"/>
  <c r="N200" i="2" s="1"/>
  <c r="O184" i="2"/>
  <c r="N188" i="2"/>
  <c r="N190" i="2" s="1"/>
  <c r="O142" i="2" l="1"/>
  <c r="O143" i="2" s="1"/>
  <c r="O146" i="2" s="1"/>
  <c r="O149" i="2" s="1"/>
  <c r="O150" i="2" s="1"/>
  <c r="N197" i="2"/>
  <c r="N225" i="2"/>
  <c r="N114" i="2"/>
  <c r="N201" i="2"/>
  <c r="N198" i="2"/>
  <c r="O154" i="2" l="1"/>
  <c r="O193" i="2"/>
  <c r="O103" i="2" s="1"/>
  <c r="O152" i="2"/>
  <c r="O105" i="2" l="1"/>
  <c r="O217" i="2"/>
  <c r="O158" i="2"/>
  <c r="O165" i="2" s="1"/>
  <c r="O166" i="2" s="1"/>
  <c r="O168" i="2" s="1"/>
  <c r="O159" i="2" l="1"/>
  <c r="O172" i="2"/>
  <c r="O173" i="2" s="1"/>
  <c r="O175" i="2" s="1"/>
  <c r="O179" i="2" l="1"/>
  <c r="O180" i="2" s="1"/>
  <c r="O182" i="2" s="1"/>
  <c r="O161" i="2"/>
  <c r="O185" i="2" l="1"/>
  <c r="O186" i="2" s="1"/>
  <c r="O188" i="2" s="1"/>
  <c r="O190" i="2" s="1"/>
  <c r="O194" i="2"/>
  <c r="O107" i="2" s="1"/>
  <c r="O199" i="2"/>
  <c r="O200" i="2" s="1"/>
  <c r="O195" i="2" l="1"/>
  <c r="O197" i="2" s="1"/>
  <c r="O218" i="2"/>
  <c r="O220" i="2" s="1"/>
  <c r="O222" i="2" s="1"/>
  <c r="O223" i="2" s="1"/>
  <c r="O109" i="2"/>
  <c r="O112" i="2" s="1"/>
  <c r="O196" i="2" l="1"/>
  <c r="O198" i="2" s="1"/>
  <c r="O91" i="2"/>
  <c r="O94" i="2" s="1"/>
  <c r="O101" i="2" s="1"/>
  <c r="O114" i="2" s="1"/>
  <c r="O225" i="2"/>
  <c r="O20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</author>
  </authors>
  <commentList>
    <comment ref="F1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8 2015 10K pg 80 pdf pg 84</t>
        </r>
      </text>
    </comment>
    <comment ref="F1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From front page of 10Q</t>
        </r>
      </text>
    </comment>
    <comment ref="B3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10 2015K pg 82 pdf pg 86</t>
        </r>
      </text>
    </comment>
    <comment ref="B38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10 2015K pg 82 pdf pg 86</t>
        </r>
      </text>
    </comment>
    <comment ref="B39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10 2015K pg 82 pdf pg 86</t>
        </r>
      </text>
    </comment>
    <comment ref="B196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Short term investments have not been included in net debt since not used as a cash equivalent</t>
        </r>
      </text>
    </comment>
  </commentList>
</comments>
</file>

<file path=xl/sharedStrings.xml><?xml version="1.0" encoding="utf-8"?>
<sst xmlns="http://schemas.openxmlformats.org/spreadsheetml/2006/main" count="229" uniqueCount="173">
  <si>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</si>
  <si>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</si>
  <si>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</si>
  <si>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</si>
  <si>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</si>
  <si>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</si>
  <si>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</si>
  <si>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</si>
  <si>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</si>
  <si>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</si>
  <si>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</si>
  <si>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</si>
  <si>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</si>
  <si>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</si>
  <si>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</si>
  <si>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</si>
  <si>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</si>
  <si>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</si>
  <si>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</si>
  <si>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</si>
  <si>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</si>
  <si>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</si>
  <si>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Modeling an income statement</t>
  </si>
  <si>
    <t>Modeling a balance sheet</t>
  </si>
  <si>
    <t>Modeling a cash flow statement</t>
  </si>
  <si>
    <t>Assumptions, income statement, balance sheet, cash flow statement</t>
  </si>
  <si>
    <t>Revenue growth</t>
  </si>
  <si>
    <t>Income Statement</t>
  </si>
  <si>
    <t>Revenues</t>
  </si>
  <si>
    <t>Net income</t>
  </si>
  <si>
    <t>Balance Sheet</t>
  </si>
  <si>
    <t>Total assets</t>
  </si>
  <si>
    <t>Total liabilities</t>
  </si>
  <si>
    <t>Total liabilities and equity</t>
  </si>
  <si>
    <t>Net cash flow</t>
  </si>
  <si>
    <t>Beginning cash and cash equivalents</t>
  </si>
  <si>
    <t>Ending cash and cash equivalents</t>
  </si>
  <si>
    <t>Model 2</t>
  </si>
  <si>
    <t>Model 1</t>
  </si>
  <si>
    <t>Dealing with circular references</t>
  </si>
  <si>
    <t>Income Statement Assumptions</t>
  </si>
  <si>
    <t>Balance Sheet Assumptions</t>
  </si>
  <si>
    <t>EBITDA</t>
  </si>
  <si>
    <t>EBIT</t>
  </si>
  <si>
    <t>Interest income</t>
  </si>
  <si>
    <t>Interest expense</t>
  </si>
  <si>
    <t>Earnings before tax</t>
  </si>
  <si>
    <t>Long term debt</t>
  </si>
  <si>
    <t>Net Debt and Interest Assumptions</t>
  </si>
  <si>
    <t>Operating Statistics</t>
  </si>
  <si>
    <t>Balance Sheet Calculations</t>
  </si>
  <si>
    <t>Cash Flow Statement</t>
  </si>
  <si>
    <t>Net Debt and Interest Calculations</t>
  </si>
  <si>
    <t>EBIT margin</t>
  </si>
  <si>
    <t>Capex % revenues</t>
  </si>
  <si>
    <t>Capex</t>
  </si>
  <si>
    <t>Beginning equity</t>
  </si>
  <si>
    <t>Dividends</t>
  </si>
  <si>
    <t>Ending equity</t>
  </si>
  <si>
    <t>OWC</t>
  </si>
  <si>
    <t>OWC % revenues</t>
  </si>
  <si>
    <t>Cash and cash equivalents interest rate</t>
  </si>
  <si>
    <t>Cash available to service debt</t>
  </si>
  <si>
    <t>Cash flow generated to service debt</t>
  </si>
  <si>
    <t>Change in OWC</t>
  </si>
  <si>
    <t>Surplus cash / (revolver requirement)</t>
  </si>
  <si>
    <t>Net Debt and Interest Statistics</t>
  </si>
  <si>
    <t>Net debt</t>
  </si>
  <si>
    <t>Net debt / EBITDA</t>
  </si>
  <si>
    <t>EBITDA / interest expense</t>
  </si>
  <si>
    <t>Net debt / net debt + equity</t>
  </si>
  <si>
    <t>EBITDA margin</t>
  </si>
  <si>
    <t>Cash sweep modeling</t>
  </si>
  <si>
    <t>COGS % revenues</t>
  </si>
  <si>
    <t>SG&amp;A costs % revenues</t>
  </si>
  <si>
    <t>R&amp;D expenses % revenues</t>
  </si>
  <si>
    <t>Depreciation % beginning net PP&amp;E</t>
  </si>
  <si>
    <t>Effective tax rate</t>
  </si>
  <si>
    <t>Marginal tax rate</t>
  </si>
  <si>
    <t>Earnings from discontinued operations</t>
  </si>
  <si>
    <t>Dividends per share</t>
  </si>
  <si>
    <t>Basic WASO</t>
  </si>
  <si>
    <t>Diluted WASO</t>
  </si>
  <si>
    <t>Cost of goods sold</t>
  </si>
  <si>
    <t>Gross profit</t>
  </si>
  <si>
    <t>SG&amp;A costs</t>
  </si>
  <si>
    <t>Depreciation</t>
  </si>
  <si>
    <t>Amortization</t>
  </si>
  <si>
    <t>Income tax expense</t>
  </si>
  <si>
    <t>Amortization amount</t>
  </si>
  <si>
    <t>Non recurring items amount</t>
  </si>
  <si>
    <t>R&amp;D expenses</t>
  </si>
  <si>
    <t>Non recurring items</t>
  </si>
  <si>
    <t>Earnings from continuing operations</t>
  </si>
  <si>
    <t>Earnings of discontinued operations</t>
  </si>
  <si>
    <t>Recurring net income</t>
  </si>
  <si>
    <t>Recurring diluted EPS</t>
  </si>
  <si>
    <t>Current operating assets % revenues</t>
  </si>
  <si>
    <t>Current operating liabilities % revenues</t>
  </si>
  <si>
    <t>Other non current liabilities % revenues</t>
  </si>
  <si>
    <t>Other long term assets amount</t>
  </si>
  <si>
    <t>Goodwill amount</t>
  </si>
  <si>
    <t>Change in long term investments amount</t>
  </si>
  <si>
    <t>Change in short term investments amount</t>
  </si>
  <si>
    <t>Beginning PP&amp;E</t>
  </si>
  <si>
    <t>Beginning intangibles</t>
  </si>
  <si>
    <t>Ending intangibles</t>
  </si>
  <si>
    <t>Operating working capital</t>
  </si>
  <si>
    <t>Current operating assets</t>
  </si>
  <si>
    <t>Current operating liabilities</t>
  </si>
  <si>
    <t>Ending PP&amp;E</t>
  </si>
  <si>
    <t>Cash and equivalents</t>
  </si>
  <si>
    <t>Short-term investments</t>
  </si>
  <si>
    <t>Net PP&amp;E</t>
  </si>
  <si>
    <t>Goodwill</t>
  </si>
  <si>
    <t>Other intangibles</t>
  </si>
  <si>
    <t>Total equity</t>
  </si>
  <si>
    <t>Check?</t>
  </si>
  <si>
    <t>Total current assets</t>
  </si>
  <si>
    <t>Long term Investments</t>
  </si>
  <si>
    <t>Other long term assets</t>
  </si>
  <si>
    <t>Short term borrowings</t>
  </si>
  <si>
    <t>Total current liabilities</t>
  </si>
  <si>
    <t>Other non current liabilities</t>
  </si>
  <si>
    <t>2.125% Notes due on May 19, 2016 repayment</t>
  </si>
  <si>
    <t>3.625% Notes due on May 19, 2021 repayment</t>
  </si>
  <si>
    <t>3.375% Notes due on February 25, 2024 repayment</t>
  </si>
  <si>
    <t>Capital lease obligation repayment</t>
  </si>
  <si>
    <t xml:space="preserve"> Total debt repayment</t>
  </si>
  <si>
    <t>Short term borrowings interest rate</t>
  </si>
  <si>
    <t>2.125% Notes due on May 19, 2016 interest rate</t>
  </si>
  <si>
    <t>3.625% Notes due on May 19, 2021 interest rate</t>
  </si>
  <si>
    <t>3.375% Notes due on February 25, 2024 interest rate</t>
  </si>
  <si>
    <t>Capital lease obligation interest rate</t>
  </si>
  <si>
    <t>Change in other long term assets</t>
  </si>
  <si>
    <t>Change in other non current liabilities</t>
  </si>
  <si>
    <t>Change in short term investments</t>
  </si>
  <si>
    <t>Change in long term investments</t>
  </si>
  <si>
    <t>Total mandatory debt repayments</t>
  </si>
  <si>
    <t>Mandatory repayment</t>
  </si>
  <si>
    <t>Beginning 2.125% Notes due on May 19, 2016</t>
  </si>
  <si>
    <t>Ending 2.125% Notes due on May 19, 2016</t>
  </si>
  <si>
    <t>Beginning 3.625% Notes due on May 19, 2021</t>
  </si>
  <si>
    <t>Ending 3.625% Notes due on May 19, 2021</t>
  </si>
  <si>
    <t>Beginning 3.375% Notes due on February 25, 2024</t>
  </si>
  <si>
    <t>Ending 3.375% Notes due on February 25, 2024</t>
  </si>
  <si>
    <t>Beginning capital lease obligation</t>
  </si>
  <si>
    <t>Interest rate</t>
  </si>
  <si>
    <t>Total interest expense</t>
  </si>
  <si>
    <t>Beginning short term borrowings</t>
  </si>
  <si>
    <t>Short term borrowings issuance (repayment)</t>
  </si>
  <si>
    <t>Total debt</t>
  </si>
  <si>
    <t>(Dividends)</t>
  </si>
  <si>
    <t>Cash from financing</t>
  </si>
  <si>
    <t>Net change in cash</t>
  </si>
  <si>
    <t>Cash balance</t>
  </si>
  <si>
    <t>Cash flow from operations</t>
  </si>
  <si>
    <t>Cash from investing activities</t>
  </si>
  <si>
    <t>Change in short term borrowings</t>
  </si>
  <si>
    <t>Change in long term debt</t>
  </si>
  <si>
    <t>Recurring NI margin</t>
  </si>
  <si>
    <t>PP&amp;E % revenue</t>
  </si>
  <si>
    <t>Ending capital lease obligation</t>
  </si>
  <si>
    <t>Total debt / EBITDA</t>
  </si>
  <si>
    <t>Total interest bearing assets</t>
  </si>
  <si>
    <t>Acceleration switch</t>
  </si>
  <si>
    <t>Accelerated repayment</t>
  </si>
  <si>
    <t>Cash available for accelerated repayments</t>
  </si>
  <si>
    <t>Ending short term borrowings</t>
  </si>
  <si>
    <t>Finding errors in models</t>
  </si>
  <si>
    <t>Workout</t>
  </si>
  <si>
    <t>XXXX</t>
  </si>
  <si>
    <t>EBIT jumping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</si>
</sst>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_);\(#,##0.0\)"/>
    <numFmt numFmtId="176" formatCode="#,##0.00_);\(#,##0.00\);0.00_);@_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172" fontId="9" fillId="0" borderId="0" applyFont="0" applyFill="0" applyBorder="0" applyAlignment="0" applyProtection="0"/>
    <xf numFmtId="175" fontId="30" fillId="0" borderId="0" applyNumberFormat="0" applyFill="0" applyBorder="0" applyAlignment="0" applyProtection="0"/>
  </cellStyleXfs>
  <cellXfs count="93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4" fillId="0" borderId="0" xfId="50" applyNumberFormat="1" applyFill="1">
      <alignment horizontal="left" vertical="center"/>
    </xf>
    <xf numFmtId="174" fontId="30" fillId="0" borderId="0" xfId="58" applyNumberFormat="1" applyFill="1"/>
    <xf numFmtId="172" fontId="0" fillId="0" borderId="0" xfId="57" applyFont="1" applyFill="1"/>
    <xf numFmtId="172" fontId="30" fillId="37" borderId="11" xfId="61" applyNumberFormat="1">
      <protection locked="0"/>
    </xf>
    <xf numFmtId="171" fontId="0" fillId="0" borderId="0" xfId="56" applyFont="1"/>
    <xf numFmtId="172" fontId="0" fillId="0" borderId="0" xfId="65" applyFont="1"/>
    <xf numFmtId="174" fontId="0" fillId="0" borderId="0" xfId="0" applyFont="1"/>
    <xf numFmtId="175" fontId="30" fillId="0" borderId="0" xfId="66"/>
    <xf numFmtId="175" fontId="30" fillId="37" borderId="11" xfId="61" applyNumberFormat="1">
      <protection locked="0"/>
    </xf>
    <xf numFmtId="39" fontId="30" fillId="0" borderId="0" xfId="66" applyNumberFormat="1"/>
    <xf numFmtId="174" fontId="9" fillId="0" borderId="0" xfId="0" applyFont="1"/>
    <xf numFmtId="175" fontId="30" fillId="0" borderId="0" xfId="58" applyNumberFormat="1" applyFill="1"/>
    <xf numFmtId="175" fontId="29" fillId="0" borderId="0" xfId="66" applyFont="1"/>
    <xf numFmtId="176" fontId="0" fillId="0" borderId="0" xfId="0" applyNumberFormat="1"/>
    <xf numFmtId="175" fontId="30" fillId="0" borderId="0" xfId="58" applyNumberFormat="1" applyFont="1" applyFill="1"/>
    <xf numFmtId="37" fontId="30" fillId="0" borderId="0" xfId="66" applyNumberFormat="1"/>
    <xf numFmtId="171" fontId="0" fillId="0" borderId="0" xfId="56" applyFont="1" applyAlignment="1">
      <alignment horizontal="right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 xr:uid="{00000000-0005-0000-0000-000018000000}"/>
    <cellStyle name="Background Fill" xfId="51" xr:uid="{00000000-0005-0000-0000-000019000000}"/>
    <cellStyle name="Bad" xfId="13" builtinId="27" hidden="1"/>
    <cellStyle name="BG Border" xfId="62" xr:uid="{00000000-0005-0000-0000-00001B000000}"/>
    <cellStyle name="Blank" xfId="60" xr:uid="{00000000-0005-0000-0000-00001C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1000000}"/>
    <cellStyle name="Currency" xfId="4" builtinId="4" hidden="1"/>
    <cellStyle name="Currency [0]" xfId="5" builtinId="7" hidden="1"/>
    <cellStyle name="Date" xfId="55" xr:uid="{00000000-0005-0000-0000-000024000000}"/>
    <cellStyle name="Date Heading" xfId="52" xr:uid="{00000000-0005-0000-0000-000025000000}"/>
    <cellStyle name="Explanatory Text" xfId="22" builtinId="53" hidden="1"/>
    <cellStyle name="Good" xfId="12" builtinId="26" hidden="1"/>
    <cellStyle name="Hard Coded Number" xfId="58" xr:uid="{00000000-0005-0000-0000-000028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D000000}"/>
    <cellStyle name="Hist Proj Title" xfId="53" xr:uid="{00000000-0005-0000-0000-00002E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3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7000000}"/>
    <cellStyle name="Output" xfId="16" builtinId="21" hidden="1"/>
    <cellStyle name="P" xfId="65" xr:uid="{00000000-0005-0000-0000-000039000000}"/>
    <cellStyle name="Percent" xfId="6" builtinId="5" hidden="1"/>
    <cellStyle name="Percent" xfId="57" builtinId="5" customBuiltin="1"/>
    <cellStyle name="Primary Title" xfId="48" xr:uid="{00000000-0005-0000-0000-00003C000000}"/>
    <cellStyle name="Row Label" xfId="54" xr:uid="{00000000-0005-0000-0000-00003D000000}"/>
    <cellStyle name="Secondary Title" xfId="49" xr:uid="{00000000-0005-0000-0000-00003E000000}"/>
    <cellStyle name="Tertiary Title" xfId="50" xr:uid="{00000000-0005-0000-0000-00003F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332031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2" spans="1:14" s="22" customFormat="1" ht="75" customHeight="1" x14ac:dyDescent="0.2">
      <c r="A2" s="84" t="s">
        <v>21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83"/>
      <c r="D4" s="83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85" t="s">
        <v>12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</row>
    <row r="6" spans="1:14" s="23" customFormat="1" ht="15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</row>
    <row r="7" spans="1:14" s="23" customFormat="1" ht="15" customHeight="1" x14ac:dyDescent="0.2">
      <c r="A7" s="85" t="str">
        <f ca="1">"© "&amp;YEAR(TODAY())&amp;" Financial Edge Training "</f>
        <v xml:space="preserve">© 2022 Financial Edge Training 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86"/>
      <c r="H9" s="86"/>
      <c r="I9" s="86"/>
      <c r="J9" s="86"/>
      <c r="K9" s="28"/>
    </row>
    <row r="10" spans="1:14" s="23" customFormat="1" ht="15" customHeight="1" x14ac:dyDescent="0.2">
      <c r="B10" s="24"/>
      <c r="C10" s="24"/>
      <c r="F10" s="28"/>
      <c r="G10" s="86"/>
      <c r="H10" s="86"/>
      <c r="I10" s="86"/>
      <c r="J10" s="86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82"/>
      <c r="H12" s="82"/>
      <c r="I12" s="82"/>
      <c r="J12" s="82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82"/>
      <c r="H13" s="82"/>
      <c r="I13" s="82"/>
      <c r="J13" s="82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82"/>
      <c r="H14" s="82"/>
      <c r="I14" s="82"/>
      <c r="J14" s="82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82"/>
      <c r="H16" s="82"/>
      <c r="I16" s="82"/>
      <c r="J16" s="82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baseColWidth="10" defaultColWidth="9.1640625" defaultRowHeight="15" x14ac:dyDescent="0.2"/>
  <cols>
    <col min="1" max="1" width="1.5" customWidth="1"/>
    <col min="2" max="2" width="2.83203125" customWidth="1"/>
    <col min="3" max="3" width="13.33203125" customWidth="1"/>
    <col min="4" max="4" width="2.83203125" customWidth="1"/>
    <col min="5" max="7" width="1.5" customWidth="1"/>
    <col min="8" max="8" width="2.83203125" customWidth="1"/>
    <col min="9" max="9" width="42.6640625" customWidth="1"/>
    <col min="10" max="11" width="1.5" customWidth="1"/>
    <col min="12" max="12" width="15.5" bestFit="1" customWidth="1"/>
    <col min="13" max="14" width="1.5" customWidth="1"/>
    <col min="15" max="15" width="2.83203125" customWidth="1"/>
    <col min="16" max="16" width="32.5" customWidth="1"/>
    <col min="17" max="17" width="2.83203125" customWidth="1"/>
    <col min="18" max="18" width="1.5" customWidth="1"/>
    <col min="23" max="23" width="17.6640625" bestFit="1" customWidth="1"/>
  </cols>
  <sheetData>
    <row r="1" spans="1:18" s="36" customFormat="1" ht="45" customHeight="1" x14ac:dyDescent="0.35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19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88" t="s">
        <v>0</v>
      </c>
      <c r="C4" s="88"/>
      <c r="D4" s="88"/>
      <c r="E4" s="88"/>
      <c r="F4" s="88"/>
      <c r="G4" s="88"/>
      <c r="H4" s="88"/>
      <c r="I4" s="88"/>
      <c r="K4" s="1"/>
      <c r="L4" s="88" t="s">
        <v>2</v>
      </c>
      <c r="M4" s="88"/>
      <c r="N4" s="88"/>
      <c r="O4" s="88"/>
      <c r="P4" s="88"/>
      <c r="Q4" s="45"/>
      <c r="R4" s="45"/>
    </row>
    <row r="5" spans="1:18" s="2" customFormat="1" ht="15" customHeight="1" x14ac:dyDescent="0.2">
      <c r="A5" s="17"/>
      <c r="B5" s="8" t="s">
        <v>1</v>
      </c>
      <c r="C5" s="59" t="s">
        <v>22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90" t="s">
        <v>171</v>
      </c>
      <c r="O5" s="90"/>
      <c r="P5" s="90"/>
      <c r="Q5" s="90"/>
      <c r="R5" s="45"/>
    </row>
    <row r="6" spans="1:18" s="2" customFormat="1" ht="15" customHeight="1" x14ac:dyDescent="0.2">
      <c r="A6" s="3"/>
      <c r="B6" s="8" t="s">
        <v>1</v>
      </c>
      <c r="C6" s="18" t="s">
        <v>23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91">
        <v>42369</v>
      </c>
      <c r="O6" s="91"/>
      <c r="P6" s="91"/>
      <c r="Q6" s="91"/>
      <c r="R6" s="45"/>
    </row>
    <row r="7" spans="1:18" s="2" customFormat="1" ht="15" customHeight="1" x14ac:dyDescent="0.2">
      <c r="A7" s="18"/>
      <c r="B7" s="8" t="s">
        <v>1</v>
      </c>
      <c r="C7" s="18" t="s">
        <v>24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90" t="s">
        <v>9</v>
      </c>
      <c r="O7" s="90"/>
      <c r="P7" s="90"/>
      <c r="Q7" s="90"/>
      <c r="R7" s="45"/>
    </row>
    <row r="8" spans="1:18" s="2" customFormat="1" ht="15" customHeight="1" x14ac:dyDescent="0.2">
      <c r="A8" s="18"/>
      <c r="B8" s="8" t="s">
        <v>1</v>
      </c>
      <c r="C8" s="18" t="s">
        <v>72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90" t="s">
        <v>10</v>
      </c>
      <c r="O8" s="90"/>
      <c r="P8" s="90"/>
      <c r="Q8" s="90"/>
      <c r="R8" s="45"/>
    </row>
    <row r="9" spans="1:18" s="2" customFormat="1" ht="15" customHeight="1" x14ac:dyDescent="0.2">
      <c r="A9" s="43"/>
      <c r="B9" s="8" t="s">
        <v>1</v>
      </c>
      <c r="C9" s="18" t="s">
        <v>39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90" t="s">
        <v>11</v>
      </c>
      <c r="O9" s="90"/>
      <c r="P9" s="90"/>
      <c r="Q9" s="90"/>
      <c r="R9" s="45"/>
    </row>
    <row r="10" spans="1:18" s="2" customFormat="1" ht="15" customHeight="1" x14ac:dyDescent="0.2">
      <c r="A10" s="44"/>
      <c r="B10" s="8" t="s">
        <v>1</v>
      </c>
      <c r="C10" s="18" t="s">
        <v>169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92">
        <v>0</v>
      </c>
      <c r="O10" s="92"/>
      <c r="P10" s="92"/>
      <c r="Q10" s="92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89" t="s">
        <v>20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  <c r="N13" s="1"/>
      <c r="O13" s="88" t="s">
        <v>15</v>
      </c>
      <c r="P13" s="88"/>
      <c r="Q13" s="88"/>
      <c r="R13" s="62"/>
    </row>
    <row r="14" spans="1:18" s="2" customFormat="1" ht="15" customHeight="1" x14ac:dyDescent="0.2">
      <c r="A14" s="60"/>
      <c r="B14" s="87" t="s">
        <v>38</v>
      </c>
      <c r="C14" s="87"/>
      <c r="D14" s="87" t="s">
        <v>25</v>
      </c>
      <c r="E14" s="87"/>
      <c r="F14" s="87"/>
      <c r="G14" s="87"/>
      <c r="H14" s="87"/>
      <c r="I14" s="87"/>
      <c r="J14" s="87"/>
      <c r="K14" s="87"/>
      <c r="L14" s="87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87" t="s">
        <v>37</v>
      </c>
      <c r="C15" s="87"/>
      <c r="D15" s="87" t="s">
        <v>25</v>
      </c>
      <c r="E15" s="87"/>
      <c r="F15" s="87"/>
      <c r="G15" s="87"/>
      <c r="H15" s="87"/>
      <c r="I15" s="87"/>
      <c r="J15" s="87"/>
      <c r="K15" s="87"/>
      <c r="L15" s="87"/>
      <c r="N15" s="3"/>
      <c r="O15" s="27"/>
      <c r="P15" s="56" t="s">
        <v>16</v>
      </c>
      <c r="Q15" s="22"/>
      <c r="R15" s="60"/>
    </row>
    <row r="16" spans="1:18" s="2" customFormat="1" ht="15" customHeight="1" x14ac:dyDescent="0.2">
      <c r="A16" s="60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N16" s="18"/>
      <c r="O16" s="27"/>
      <c r="P16" s="38" t="s">
        <v>17</v>
      </c>
      <c r="Q16" s="22"/>
      <c r="R16" s="60"/>
    </row>
    <row r="17" spans="1:18" s="2" customFormat="1" ht="15" customHeight="1" x14ac:dyDescent="0.2">
      <c r="A17" s="60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N17" s="18"/>
      <c r="O17" s="27"/>
      <c r="P17" t="s">
        <v>18</v>
      </c>
      <c r="Q17" s="22"/>
      <c r="R17" s="60"/>
    </row>
    <row r="18" spans="1:18" s="2" customFormat="1" ht="15" customHeight="1" x14ac:dyDescent="0.2">
      <c r="A18" s="44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N18" s="44"/>
      <c r="O18" s="57"/>
      <c r="P18" s="57"/>
      <c r="Q18" s="57"/>
      <c r="R18" s="44"/>
    </row>
    <row r="19" spans="1:18" ht="16" thickBot="1" x14ac:dyDescent="0.2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x14ac:dyDescent="0.2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D15:L15"/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5"/>
  <sheetViews>
    <sheetView tabSelected="1" zoomScale="150" zoomScaleNormal="100" workbookViewId="0">
      <pane xSplit="2" ySplit="2" topLeftCell="H20" activePane="bottomRight" state="frozen"/>
      <selection pane="topRight" activeCell="C1" sqref="C1"/>
      <selection pane="bottomLeft" activeCell="A3" sqref="A3"/>
      <selection pane="bottomRight" activeCell="Q32" sqref="Q32"/>
    </sheetView>
  </sheetViews>
  <sheetFormatPr baseColWidth="10" defaultColWidth="9.1640625" defaultRowHeight="15" customHeight="1" x14ac:dyDescent="0.2"/>
  <cols>
    <col min="1" max="1" width="1.5" style="15" customWidth="1"/>
    <col min="2" max="2" width="41.6640625" style="16" customWidth="1"/>
    <col min="3" max="10" width="11" customWidth="1"/>
    <col min="11" max="12" width="9.83203125" customWidth="1"/>
    <col min="13" max="15" width="9.83203125" bestFit="1" customWidth="1"/>
  </cols>
  <sheetData>
    <row r="1" spans="1:15" s="50" customFormat="1" ht="45" customHeight="1" x14ac:dyDescent="0.35">
      <c r="A1" s="5" t="s">
        <v>21</v>
      </c>
      <c r="B1" s="10"/>
      <c r="C1" s="12" t="s">
        <v>13</v>
      </c>
      <c r="D1" s="12" t="s">
        <v>13</v>
      </c>
      <c r="E1" s="12" t="s">
        <v>13</v>
      </c>
      <c r="F1" s="12" t="s">
        <v>14</v>
      </c>
      <c r="G1" s="12" t="s">
        <v>14</v>
      </c>
      <c r="H1" s="12" t="s">
        <v>14</v>
      </c>
      <c r="I1" s="12" t="s">
        <v>14</v>
      </c>
      <c r="J1" s="12" t="s">
        <v>14</v>
      </c>
      <c r="K1" s="12" t="s">
        <v>14</v>
      </c>
      <c r="L1" s="12" t="s">
        <v>14</v>
      </c>
      <c r="M1" s="12" t="s">
        <v>14</v>
      </c>
      <c r="N1" s="12" t="s">
        <v>14</v>
      </c>
      <c r="O1" s="12" t="s">
        <v>14</v>
      </c>
    </row>
    <row r="2" spans="1:15" s="37" customFormat="1" ht="30" customHeight="1" x14ac:dyDescent="0.25">
      <c r="A2" s="14" t="s">
        <v>170</v>
      </c>
      <c r="B2" s="7"/>
      <c r="C2" s="11">
        <f>DATE(YEAR(D2)-1,MONTH(D2),DAY(D2))</f>
        <v>41639</v>
      </c>
      <c r="D2" s="11">
        <f>DATE(YEAR(E2)-1,MONTH(E2),DAY(E2))</f>
        <v>42004</v>
      </c>
      <c r="E2" s="11">
        <f>Info!N6</f>
        <v>42369</v>
      </c>
      <c r="F2" s="11">
        <f>DATE(YEAR(E2)+1,MONTH(E2),DAY(E2))</f>
        <v>42735</v>
      </c>
      <c r="G2" s="11">
        <f>DATE(YEAR(F2)+1,MONTH(F2),DAY(F2))</f>
        <v>43100</v>
      </c>
      <c r="H2" s="11">
        <f>DATE(YEAR(G2)+1,MONTH(G2),DAY(G2))</f>
        <v>43465</v>
      </c>
      <c r="I2" s="11">
        <f>DATE(YEAR(H2)+1,MONTH(H2),DAY(H2))</f>
        <v>43830</v>
      </c>
      <c r="J2" s="11">
        <f>DATE(YEAR(I2)+1,MONTH(I2),DAY(I2))</f>
        <v>44196</v>
      </c>
      <c r="K2" s="11">
        <f t="shared" ref="K2:O2" si="0">DATE(YEAR(J2)+1,MONTH(J2),DAY(J2))</f>
        <v>44561</v>
      </c>
      <c r="L2" s="11">
        <f t="shared" si="0"/>
        <v>44926</v>
      </c>
      <c r="M2" s="11">
        <f t="shared" si="0"/>
        <v>45291</v>
      </c>
      <c r="N2" s="11">
        <f t="shared" si="0"/>
        <v>45657</v>
      </c>
      <c r="O2" s="11">
        <f t="shared" si="0"/>
        <v>46022</v>
      </c>
    </row>
    <row r="4" spans="1:15" ht="15" customHeight="1" x14ac:dyDescent="0.2">
      <c r="A4" s="15" t="s">
        <v>40</v>
      </c>
    </row>
    <row r="5" spans="1:15" ht="15" customHeight="1" x14ac:dyDescent="0.2">
      <c r="B5" s="16" t="s">
        <v>26</v>
      </c>
      <c r="D5" s="69">
        <f>(D25/C25)-1</f>
        <v>0.18880023055170292</v>
      </c>
      <c r="E5" s="69">
        <f>(E25/D25)-1</f>
        <v>0.13617975485219924</v>
      </c>
      <c r="F5" s="67">
        <v>0.125</v>
      </c>
      <c r="G5" s="67">
        <v>0.15</v>
      </c>
      <c r="H5" s="67">
        <v>0.14299999999999999</v>
      </c>
      <c r="I5" s="67">
        <v>0.124</v>
      </c>
      <c r="J5" s="67">
        <v>0.111</v>
      </c>
      <c r="K5" s="67">
        <v>0.111</v>
      </c>
      <c r="L5" s="67">
        <v>0.111</v>
      </c>
      <c r="M5" s="67">
        <v>0.111</v>
      </c>
      <c r="N5" s="67">
        <v>0.111</v>
      </c>
      <c r="O5" s="67">
        <v>0.111</v>
      </c>
    </row>
    <row r="6" spans="1:15" ht="15" customHeight="1" x14ac:dyDescent="0.2">
      <c r="B6" s="16" t="s">
        <v>73</v>
      </c>
      <c r="C6" s="69">
        <f>C26/C25</f>
        <v>-0.39613465660404545</v>
      </c>
      <c r="D6" s="69">
        <f t="shared" ref="D6:E6" si="1">D26/D25</f>
        <v>-0.3892516780048787</v>
      </c>
      <c r="E6" s="69">
        <f t="shared" si="1"/>
        <v>-0.37557508434570402</v>
      </c>
      <c r="F6" s="67">
        <v>-0.376</v>
      </c>
      <c r="G6" s="67">
        <v>-0.376</v>
      </c>
      <c r="H6" s="67">
        <v>-0.376</v>
      </c>
      <c r="I6" s="67">
        <v>-0.376</v>
      </c>
      <c r="J6" s="67">
        <v>-0.376</v>
      </c>
      <c r="K6" s="67">
        <v>-0.376</v>
      </c>
      <c r="L6" s="67">
        <v>-0.376</v>
      </c>
      <c r="M6" s="67">
        <v>-0.376</v>
      </c>
      <c r="N6" s="67">
        <v>-0.376</v>
      </c>
      <c r="O6" s="67">
        <v>-0.376</v>
      </c>
    </row>
    <row r="7" spans="1:15" ht="15" customHeight="1" x14ac:dyDescent="0.2">
      <c r="B7" s="16" t="s">
        <v>74</v>
      </c>
      <c r="C7" s="69">
        <f>C29/C25</f>
        <v>-0.19787820385813865</v>
      </c>
      <c r="D7" s="69">
        <f t="shared" ref="D7" si="2">D29/D25</f>
        <v>-0.21184527507158982</v>
      </c>
      <c r="E7" s="69">
        <f>E29/E25</f>
        <v>-0.20246969555534811</v>
      </c>
      <c r="F7" s="67">
        <v>-0.20200000000000001</v>
      </c>
      <c r="G7" s="67">
        <v>-0.20200000000000001</v>
      </c>
      <c r="H7" s="67">
        <v>-0.20200000000000001</v>
      </c>
      <c r="I7" s="67">
        <v>-0.20200000000000001</v>
      </c>
      <c r="J7" s="67">
        <v>-0.20200000000000001</v>
      </c>
      <c r="K7" s="67">
        <v>-0.20200000000000001</v>
      </c>
      <c r="L7" s="67">
        <v>-0.20200000000000001</v>
      </c>
      <c r="M7" s="67">
        <v>-0.20200000000000001</v>
      </c>
      <c r="N7" s="67">
        <v>-0.20200000000000001</v>
      </c>
      <c r="O7" s="67">
        <v>-0.20200000000000001</v>
      </c>
    </row>
    <row r="8" spans="1:15" ht="15" customHeight="1" x14ac:dyDescent="0.2">
      <c r="B8" s="16" t="s">
        <v>75</v>
      </c>
      <c r="C8" s="69">
        <f>C30/C25</f>
        <v>-0.12855058628577604</v>
      </c>
      <c r="D8" s="69">
        <f t="shared" ref="D8:E8" si="3">D30/D25</f>
        <v>-0.14896743988727443</v>
      </c>
      <c r="E8" s="69">
        <f t="shared" si="3"/>
        <v>-0.16378402165650963</v>
      </c>
      <c r="F8" s="67">
        <v>-0.16400000000000001</v>
      </c>
      <c r="G8" s="67">
        <v>-0.16400000000000001</v>
      </c>
      <c r="H8" s="67">
        <v>-0.16400000000000001</v>
      </c>
      <c r="I8" s="67">
        <v>-0.16400000000000001</v>
      </c>
      <c r="J8" s="67">
        <v>-0.16400000000000001</v>
      </c>
      <c r="K8" s="67">
        <v>-0.16400000000000001</v>
      </c>
      <c r="L8" s="67">
        <v>-0.16400000000000001</v>
      </c>
      <c r="M8" s="67">
        <v>-0.16400000000000001</v>
      </c>
      <c r="N8" s="67">
        <v>-0.16400000000000001</v>
      </c>
      <c r="O8" s="67">
        <v>-0.16400000000000001</v>
      </c>
    </row>
    <row r="9" spans="1:15" ht="15" customHeight="1" x14ac:dyDescent="0.2">
      <c r="B9" s="16" t="s">
        <v>76</v>
      </c>
      <c r="C9" s="69"/>
      <c r="D9" s="69">
        <f>D33/C96</f>
        <v>0.21320503510045993</v>
      </c>
      <c r="E9" s="69">
        <f>E33/D96</f>
        <v>0.17301009085960725</v>
      </c>
      <c r="F9" s="67">
        <v>0.17299999999999999</v>
      </c>
      <c r="G9" s="67">
        <v>0.17299999999999999</v>
      </c>
      <c r="H9" s="67">
        <v>0.17299999999999999</v>
      </c>
      <c r="I9" s="67">
        <v>0.17299999999999999</v>
      </c>
      <c r="J9" s="67">
        <v>0.17299999999999999</v>
      </c>
      <c r="K9" s="67">
        <v>0.17299999999999999</v>
      </c>
      <c r="L9" s="67">
        <v>0.17299999999999999</v>
      </c>
      <c r="M9" s="67">
        <v>0.17299999999999999</v>
      </c>
      <c r="N9" s="67">
        <v>0.17299999999999999</v>
      </c>
      <c r="O9" s="67">
        <v>0.17299999999999999</v>
      </c>
    </row>
    <row r="10" spans="1:15" ht="15" customHeight="1" x14ac:dyDescent="0.2">
      <c r="B10" s="16" t="s">
        <v>89</v>
      </c>
      <c r="C10" s="70">
        <f>C34</f>
        <v>1158</v>
      </c>
      <c r="D10" s="70">
        <f t="shared" ref="D10:E10" si="4">D34</f>
        <v>1456</v>
      </c>
      <c r="E10" s="70">
        <f t="shared" si="4"/>
        <v>931</v>
      </c>
      <c r="F10" s="72">
        <v>806</v>
      </c>
      <c r="G10" s="72">
        <v>724</v>
      </c>
      <c r="H10" s="72">
        <v>637</v>
      </c>
      <c r="I10" s="72">
        <v>528</v>
      </c>
      <c r="J10" s="72">
        <v>434</v>
      </c>
      <c r="K10" s="72">
        <f t="shared" ref="K10:O10" si="5">718/5</f>
        <v>143.6</v>
      </c>
      <c r="L10" s="72">
        <f t="shared" si="5"/>
        <v>143.6</v>
      </c>
      <c r="M10" s="72">
        <f t="shared" si="5"/>
        <v>143.6</v>
      </c>
      <c r="N10" s="72">
        <f t="shared" si="5"/>
        <v>143.6</v>
      </c>
      <c r="O10" s="72">
        <f t="shared" si="5"/>
        <v>143.6</v>
      </c>
    </row>
    <row r="11" spans="1:15" ht="15" customHeight="1" x14ac:dyDescent="0.2">
      <c r="B11" s="16" t="s">
        <v>90</v>
      </c>
      <c r="C11">
        <f>C39</f>
        <v>-189</v>
      </c>
      <c r="D11">
        <f t="shared" ref="D11:E11" si="6">D39</f>
        <v>118</v>
      </c>
      <c r="E11">
        <f t="shared" si="6"/>
        <v>-604</v>
      </c>
      <c r="F11" s="72">
        <v>0</v>
      </c>
      <c r="G11" s="72">
        <v>0</v>
      </c>
      <c r="H11" s="72">
        <v>0</v>
      </c>
      <c r="I11" s="72">
        <v>0</v>
      </c>
      <c r="J11" s="72">
        <v>0</v>
      </c>
      <c r="K11" s="72">
        <v>0</v>
      </c>
      <c r="L11" s="72">
        <v>0</v>
      </c>
      <c r="M11" s="72">
        <v>0</v>
      </c>
      <c r="N11" s="72">
        <v>0</v>
      </c>
      <c r="O11" s="72">
        <v>0</v>
      </c>
    </row>
    <row r="12" spans="1:15" ht="15" customHeight="1" x14ac:dyDescent="0.2">
      <c r="B12" s="16" t="s">
        <v>77</v>
      </c>
      <c r="C12" s="69">
        <f>C42/C40</f>
        <v>-0.17227498584816656</v>
      </c>
      <c r="D12" s="69">
        <f t="shared" ref="D12:E12" si="7">D42/D40</f>
        <v>-0.21084651486181122</v>
      </c>
      <c r="E12" s="69">
        <f t="shared" si="7"/>
        <v>-0.16808304920869166</v>
      </c>
      <c r="F12" s="67">
        <v>-0.185</v>
      </c>
      <c r="G12" s="67">
        <v>-0.185</v>
      </c>
      <c r="H12" s="67">
        <v>-0.185</v>
      </c>
      <c r="I12" s="67">
        <v>-0.185</v>
      </c>
      <c r="J12" s="67">
        <v>-0.185</v>
      </c>
      <c r="K12" s="67">
        <v>-0.185</v>
      </c>
      <c r="L12" s="67">
        <v>-0.185</v>
      </c>
      <c r="M12" s="67">
        <v>-0.185</v>
      </c>
      <c r="N12" s="67">
        <v>-0.185</v>
      </c>
      <c r="O12" s="67">
        <v>-0.185</v>
      </c>
    </row>
    <row r="13" spans="1:15" ht="15" customHeight="1" x14ac:dyDescent="0.2">
      <c r="B13" s="16" t="s">
        <v>78</v>
      </c>
      <c r="C13" s="69"/>
      <c r="D13" s="69"/>
      <c r="E13" s="69"/>
      <c r="F13" s="67">
        <v>-0.35</v>
      </c>
      <c r="G13" s="67">
        <v>-0.35</v>
      </c>
      <c r="H13" s="67">
        <v>-0.35</v>
      </c>
      <c r="I13" s="67">
        <v>-0.35</v>
      </c>
      <c r="J13" s="67">
        <v>-0.35</v>
      </c>
      <c r="K13" s="67">
        <v>-0.35</v>
      </c>
      <c r="L13" s="67">
        <v>-0.35</v>
      </c>
      <c r="M13" s="67">
        <v>-0.35</v>
      </c>
      <c r="N13" s="67">
        <v>-0.35</v>
      </c>
      <c r="O13" s="67">
        <v>-0.35</v>
      </c>
    </row>
    <row r="14" spans="1:15" ht="15" customHeight="1" x14ac:dyDescent="0.2">
      <c r="B14" s="16" t="s">
        <v>79</v>
      </c>
      <c r="C14">
        <f>C45</f>
        <v>-427</v>
      </c>
      <c r="D14">
        <f t="shared" ref="D14:E14" si="8">D45</f>
        <v>516</v>
      </c>
      <c r="E14">
        <f t="shared" si="8"/>
        <v>0</v>
      </c>
      <c r="F14" s="72">
        <v>0</v>
      </c>
      <c r="G14" s="72">
        <v>0</v>
      </c>
      <c r="H14" s="72">
        <v>0</v>
      </c>
      <c r="I14" s="72">
        <v>0</v>
      </c>
      <c r="J14" s="72">
        <v>0</v>
      </c>
      <c r="K14" s="72">
        <v>0</v>
      </c>
      <c r="L14" s="72">
        <v>0</v>
      </c>
      <c r="M14" s="72">
        <v>0</v>
      </c>
      <c r="N14" s="72">
        <v>0</v>
      </c>
      <c r="O14" s="72">
        <v>0</v>
      </c>
    </row>
    <row r="15" spans="1:15" ht="15" customHeight="1" x14ac:dyDescent="0.2">
      <c r="B15" s="16" t="s">
        <v>80</v>
      </c>
      <c r="C15">
        <f>C51</f>
        <v>0</v>
      </c>
      <c r="D15">
        <f t="shared" ref="D15:E15" si="9">D51</f>
        <v>0</v>
      </c>
      <c r="E15">
        <f t="shared" si="9"/>
        <v>0</v>
      </c>
      <c r="F15" s="72">
        <v>0</v>
      </c>
      <c r="G15" s="72">
        <v>0</v>
      </c>
      <c r="H15" s="72">
        <v>0</v>
      </c>
      <c r="I15" s="72">
        <v>0</v>
      </c>
      <c r="J15" s="72">
        <v>0</v>
      </c>
      <c r="K15" s="72">
        <v>0</v>
      </c>
      <c r="L15" s="72">
        <v>0</v>
      </c>
      <c r="M15" s="72">
        <v>0</v>
      </c>
      <c r="N15" s="72">
        <v>0</v>
      </c>
      <c r="O15" s="72">
        <v>0</v>
      </c>
    </row>
    <row r="16" spans="1:15" ht="15" customHeight="1" x14ac:dyDescent="0.2">
      <c r="B16" s="16" t="s">
        <v>81</v>
      </c>
      <c r="C16">
        <f>C52</f>
        <v>665.69200000000001</v>
      </c>
      <c r="D16">
        <f t="shared" ref="D16:E16" si="10">D52</f>
        <v>675.93499999999995</v>
      </c>
      <c r="E16">
        <f t="shared" si="10"/>
        <v>684.62599999999998</v>
      </c>
      <c r="F16" s="72">
        <f>292.580627+50.199837+345.539303</f>
        <v>688.31976699999996</v>
      </c>
      <c r="G16" s="72">
        <f>292.580627+50.199837+345.539303</f>
        <v>688.31976699999996</v>
      </c>
      <c r="H16" s="72">
        <f t="shared" ref="H16:O16" si="11">292.580627+50.199837+345.539303</f>
        <v>688.31976699999996</v>
      </c>
      <c r="I16" s="72">
        <f t="shared" si="11"/>
        <v>688.31976699999996</v>
      </c>
      <c r="J16" s="72">
        <f t="shared" si="11"/>
        <v>688.31976699999996</v>
      </c>
      <c r="K16" s="72">
        <f t="shared" si="11"/>
        <v>688.31976699999996</v>
      </c>
      <c r="L16" s="72">
        <f t="shared" si="11"/>
        <v>688.31976699999996</v>
      </c>
      <c r="M16" s="72">
        <f t="shared" si="11"/>
        <v>688.31976699999996</v>
      </c>
      <c r="N16" s="72">
        <f t="shared" si="11"/>
        <v>688.31976699999996</v>
      </c>
      <c r="O16" s="72">
        <f t="shared" si="11"/>
        <v>688.31976699999996</v>
      </c>
    </row>
    <row r="17" spans="1:17" ht="15" customHeight="1" x14ac:dyDescent="0.2">
      <c r="B17" s="16" t="s">
        <v>82</v>
      </c>
      <c r="C17">
        <f>C53</f>
        <v>736.95</v>
      </c>
      <c r="D17">
        <f t="shared" ref="D17:E17" si="12">D53</f>
        <v>741.99800000000005</v>
      </c>
      <c r="E17">
        <f t="shared" si="12"/>
        <v>744.67499999999995</v>
      </c>
      <c r="F17">
        <f>E17/E16*F16</f>
        <v>748.69274975055714</v>
      </c>
      <c r="G17">
        <f t="shared" ref="G17:J17" si="13">F17/F16*G16</f>
        <v>748.69274975055714</v>
      </c>
      <c r="H17">
        <f t="shared" si="13"/>
        <v>748.69274975055714</v>
      </c>
      <c r="I17">
        <f t="shared" si="13"/>
        <v>748.69274975055714</v>
      </c>
      <c r="J17">
        <f t="shared" si="13"/>
        <v>748.69274975055714</v>
      </c>
      <c r="K17">
        <f t="shared" ref="K17" si="14">J17/J16*K16</f>
        <v>748.69274975055714</v>
      </c>
      <c r="L17">
        <f t="shared" ref="L17" si="15">K17/K16*L16</f>
        <v>748.69274975055714</v>
      </c>
      <c r="M17">
        <f t="shared" ref="M17" si="16">L17/L16*M16</f>
        <v>748.69274975055714</v>
      </c>
      <c r="N17">
        <f t="shared" ref="N17" si="17">M17/M16*N16</f>
        <v>748.69274975055714</v>
      </c>
      <c r="O17">
        <f t="shared" ref="O17" si="18">N17/N16*O16</f>
        <v>748.69274975055714</v>
      </c>
    </row>
    <row r="18" spans="1:17" ht="15" customHeight="1" x14ac:dyDescent="0.2">
      <c r="A18" s="64"/>
    </row>
    <row r="19" spans="1:17" ht="15" customHeight="1" x14ac:dyDescent="0.2">
      <c r="A19" s="15" t="s">
        <v>49</v>
      </c>
    </row>
    <row r="20" spans="1:17" ht="15" customHeight="1" x14ac:dyDescent="0.2">
      <c r="B20" s="16" t="s">
        <v>53</v>
      </c>
      <c r="C20" s="66">
        <f>C31/C25</f>
        <v>0.27743655325203986</v>
      </c>
      <c r="D20" s="66">
        <f t="shared" ref="D20:O20" si="19">D31/D25</f>
        <v>0.24993560703625703</v>
      </c>
      <c r="E20" s="66">
        <f t="shared" si="19"/>
        <v>0.25817119844243824</v>
      </c>
      <c r="F20" s="66">
        <f t="shared" si="19"/>
        <v>0.42199999999999993</v>
      </c>
      <c r="G20" s="66">
        <f t="shared" si="19"/>
        <v>0.42200000000000004</v>
      </c>
      <c r="H20" s="66">
        <f t="shared" si="19"/>
        <v>0.42200000000000004</v>
      </c>
      <c r="I20" s="66">
        <f t="shared" si="19"/>
        <v>0.42199999999999993</v>
      </c>
      <c r="J20" s="66">
        <f t="shared" si="19"/>
        <v>0.42199999999999999</v>
      </c>
      <c r="K20" s="66">
        <f t="shared" si="19"/>
        <v>0.42199999999999999</v>
      </c>
      <c r="L20" s="66">
        <f t="shared" si="19"/>
        <v>0.42199999999999999</v>
      </c>
      <c r="M20" s="66">
        <f t="shared" si="19"/>
        <v>0.42199999999999999</v>
      </c>
      <c r="N20" s="66">
        <f t="shared" si="19"/>
        <v>0.42199999999999993</v>
      </c>
      <c r="O20" s="66">
        <f t="shared" si="19"/>
        <v>0.42200000000000004</v>
      </c>
    </row>
    <row r="21" spans="1:17" ht="15" customHeight="1" x14ac:dyDescent="0.2">
      <c r="B21" s="16" t="s">
        <v>71</v>
      </c>
      <c r="C21" s="66">
        <f>C35/C25</f>
        <v>0.34838523748626599</v>
      </c>
      <c r="D21" s="66">
        <f t="shared" ref="D21:O21" si="20">D35/D25</f>
        <v>0.32537385797184892</v>
      </c>
      <c r="E21" s="66">
        <f t="shared" si="20"/>
        <v>0.32568776753923911</v>
      </c>
      <c r="F21" s="66">
        <f t="shared" si="20"/>
        <v>0.49105626751182757</v>
      </c>
      <c r="G21" s="66">
        <f t="shared" si="20"/>
        <v>0.49481772152733772</v>
      </c>
      <c r="H21" s="66">
        <f t="shared" si="20"/>
        <v>0.49773450309842954</v>
      </c>
      <c r="I21" s="66">
        <f t="shared" si="20"/>
        <v>0.50081963040125688</v>
      </c>
      <c r="J21" s="66">
        <f t="shared" si="20"/>
        <v>0.50400947355476211</v>
      </c>
      <c r="K21" s="66">
        <f t="shared" si="20"/>
        <v>0.50500353073153625</v>
      </c>
      <c r="L21" s="66">
        <f t="shared" si="20"/>
        <v>0.50728838649255525</v>
      </c>
      <c r="M21" s="66">
        <f t="shared" si="20"/>
        <v>0.50897465337011094</v>
      </c>
      <c r="N21" s="66">
        <f t="shared" si="20"/>
        <v>0.51021679681164611</v>
      </c>
      <c r="O21" s="66">
        <f t="shared" si="20"/>
        <v>0.51112965199555649</v>
      </c>
    </row>
    <row r="22" spans="1:17" ht="15" customHeight="1" x14ac:dyDescent="0.2">
      <c r="B22" s="16" t="s">
        <v>160</v>
      </c>
      <c r="C22" s="66">
        <f>C43/C25</f>
        <v>0.23703596966804158</v>
      </c>
      <c r="D22" s="66">
        <f t="shared" ref="D22:O22" si="21">D43/D25</f>
        <v>0.20636050968924713</v>
      </c>
      <c r="E22" s="66">
        <f t="shared" si="21"/>
        <v>0.21800530744509194</v>
      </c>
      <c r="F22" s="66">
        <f t="shared" si="21"/>
        <v>0.34392999999999996</v>
      </c>
      <c r="G22" s="66">
        <f t="shared" si="21"/>
        <v>0.34393000000000001</v>
      </c>
      <c r="H22" s="66">
        <f t="shared" si="21"/>
        <v>0.34393000000000001</v>
      </c>
      <c r="I22" s="66">
        <f t="shared" si="21"/>
        <v>0.3439299999999999</v>
      </c>
      <c r="J22" s="66">
        <f t="shared" si="21"/>
        <v>0.34393000000000001</v>
      </c>
      <c r="K22" s="66">
        <f t="shared" si="21"/>
        <v>0.34393000000000001</v>
      </c>
      <c r="L22" s="66">
        <f t="shared" si="21"/>
        <v>0.34393000000000001</v>
      </c>
      <c r="M22" s="66">
        <f t="shared" si="21"/>
        <v>0.34392999999999996</v>
      </c>
      <c r="N22" s="66">
        <f t="shared" si="21"/>
        <v>0.34392999999999996</v>
      </c>
      <c r="O22" s="66">
        <f t="shared" si="21"/>
        <v>0.34393000000000001</v>
      </c>
    </row>
    <row r="24" spans="1:17" ht="15" customHeight="1" x14ac:dyDescent="0.2">
      <c r="A24" s="15" t="s">
        <v>27</v>
      </c>
    </row>
    <row r="25" spans="1:17" ht="15" customHeight="1" x14ac:dyDescent="0.2">
      <c r="B25" s="16" t="s">
        <v>28</v>
      </c>
      <c r="C25" s="75">
        <v>55519</v>
      </c>
      <c r="D25" s="75">
        <v>66001</v>
      </c>
      <c r="E25" s="75">
        <v>74989</v>
      </c>
      <c r="F25">
        <f>E25*(1+F5)</f>
        <v>84362.625</v>
      </c>
      <c r="G25">
        <f t="shared" ref="G25:O25" si="22">F25*(1+G5)</f>
        <v>97017.018749999988</v>
      </c>
      <c r="H25">
        <f t="shared" si="22"/>
        <v>110890.45243124999</v>
      </c>
      <c r="I25">
        <f t="shared" si="22"/>
        <v>124640.868532725</v>
      </c>
      <c r="J25">
        <f t="shared" si="22"/>
        <v>138476.00493985746</v>
      </c>
      <c r="K25">
        <f t="shared" si="22"/>
        <v>153846.84148818164</v>
      </c>
      <c r="L25">
        <f t="shared" si="22"/>
        <v>170923.84089336981</v>
      </c>
      <c r="M25">
        <f t="shared" si="22"/>
        <v>189896.38723253386</v>
      </c>
      <c r="N25">
        <f t="shared" si="22"/>
        <v>210974.88621534512</v>
      </c>
      <c r="O25">
        <f t="shared" si="22"/>
        <v>234393.09858524843</v>
      </c>
    </row>
    <row r="26" spans="1:17" ht="15" customHeight="1" x14ac:dyDescent="0.2">
      <c r="B26" s="16" t="s">
        <v>83</v>
      </c>
      <c r="C26" s="75">
        <v>-21993</v>
      </c>
      <c r="D26" s="75">
        <v>-25691</v>
      </c>
      <c r="E26" s="75">
        <v>-28164</v>
      </c>
      <c r="F26">
        <f>F25*F6</f>
        <v>-31720.347000000002</v>
      </c>
      <c r="G26">
        <f t="shared" ref="G26:O26" si="23">G25*G6</f>
        <v>-36478.399049999993</v>
      </c>
      <c r="H26">
        <f t="shared" si="23"/>
        <v>-41694.810114149994</v>
      </c>
      <c r="I26">
        <f t="shared" si="23"/>
        <v>-46864.966568304597</v>
      </c>
      <c r="J26">
        <f t="shared" si="23"/>
        <v>-52066.97785738641</v>
      </c>
      <c r="K26">
        <f t="shared" si="23"/>
        <v>-57846.412399556299</v>
      </c>
      <c r="L26">
        <f t="shared" si="23"/>
        <v>-64267.364175907045</v>
      </c>
      <c r="M26">
        <f t="shared" si="23"/>
        <v>-71401.041599432734</v>
      </c>
      <c r="N26">
        <f t="shared" si="23"/>
        <v>-79326.55721696977</v>
      </c>
      <c r="O26">
        <f t="shared" si="23"/>
        <v>-88131.805068053407</v>
      </c>
    </row>
    <row r="27" spans="1:17" ht="15" customHeight="1" x14ac:dyDescent="0.2">
      <c r="B27" s="16" t="s">
        <v>84</v>
      </c>
      <c r="C27" s="74">
        <f>SUM(C25:C26)</f>
        <v>33526</v>
      </c>
      <c r="D27" s="74">
        <f t="shared" ref="D27:F27" si="24">SUM(D25:D26)</f>
        <v>40310</v>
      </c>
      <c r="E27" s="74">
        <f t="shared" si="24"/>
        <v>46825</v>
      </c>
      <c r="F27" s="74">
        <f t="shared" si="24"/>
        <v>52642.277999999998</v>
      </c>
      <c r="G27" s="74">
        <f t="shared" ref="G27:O27" si="25">SUM(G25:G26)</f>
        <v>60538.619699999996</v>
      </c>
      <c r="H27" s="74">
        <f t="shared" si="25"/>
        <v>69195.642317099991</v>
      </c>
      <c r="I27" s="74">
        <f t="shared" si="25"/>
        <v>77775.901964420395</v>
      </c>
      <c r="J27" s="74">
        <f t="shared" si="25"/>
        <v>86409.027082471061</v>
      </c>
      <c r="K27" s="74">
        <f t="shared" si="25"/>
        <v>96000.429088625344</v>
      </c>
      <c r="L27" s="74">
        <f t="shared" si="25"/>
        <v>106656.47671746276</v>
      </c>
      <c r="M27" s="74">
        <f t="shared" si="25"/>
        <v>118495.34563310113</v>
      </c>
      <c r="N27" s="74">
        <f t="shared" si="25"/>
        <v>131648.32899837533</v>
      </c>
      <c r="O27" s="74">
        <f t="shared" si="25"/>
        <v>146261.29351719504</v>
      </c>
    </row>
    <row r="29" spans="1:17" ht="15" customHeight="1" x14ac:dyDescent="0.2">
      <c r="B29" s="16" t="s">
        <v>85</v>
      </c>
      <c r="C29" s="75">
        <f>(6554+4432)*-1</f>
        <v>-10986</v>
      </c>
      <c r="D29" s="75">
        <f>(8131+5851)*-1</f>
        <v>-13982</v>
      </c>
      <c r="E29" s="65">
        <f>(9047+6136)*-1</f>
        <v>-15183</v>
      </c>
      <c r="F29">
        <f>F25*F7</f>
        <v>-17041.250250000001</v>
      </c>
      <c r="G29">
        <f t="shared" ref="G29:O29" si="26">G25*G7</f>
        <v>-19597.437787499999</v>
      </c>
      <c r="H29">
        <f t="shared" si="26"/>
        <v>-22399.871391112498</v>
      </c>
      <c r="I29">
        <f t="shared" si="26"/>
        <v>-25177.455443610452</v>
      </c>
      <c r="J29">
        <f t="shared" si="26"/>
        <v>-27972.152997851208</v>
      </c>
      <c r="K29">
        <f t="shared" si="26"/>
        <v>-31077.061980612692</v>
      </c>
      <c r="L29">
        <f t="shared" si="26"/>
        <v>-34526.615860460704</v>
      </c>
      <c r="M29">
        <f t="shared" si="26"/>
        <v>-38359.070220971844</v>
      </c>
      <c r="N29">
        <f t="shared" si="26"/>
        <v>-42616.927015499714</v>
      </c>
      <c r="O29">
        <f t="shared" si="26"/>
        <v>-47347.405914220188</v>
      </c>
    </row>
    <row r="30" spans="1:17" ht="15" customHeight="1" x14ac:dyDescent="0.2">
      <c r="B30" s="16" t="s">
        <v>91</v>
      </c>
      <c r="C30" s="75">
        <v>-7137</v>
      </c>
      <c r="D30" s="75">
        <v>-9832</v>
      </c>
      <c r="E30" s="75">
        <v>-12282</v>
      </c>
      <c r="F30">
        <f>F25*F8</f>
        <v>-13835.470500000001</v>
      </c>
      <c r="G30">
        <f t="shared" ref="G30:O30" si="27">G25*G8</f>
        <v>-15910.791074999999</v>
      </c>
      <c r="H30">
        <f t="shared" si="27"/>
        <v>-18186.034198724999</v>
      </c>
      <c r="I30">
        <f t="shared" si="27"/>
        <v>-20441.102439366899</v>
      </c>
      <c r="J30">
        <f t="shared" si="27"/>
        <v>-22710.064810136624</v>
      </c>
      <c r="K30">
        <f t="shared" si="27"/>
        <v>-25230.88200406179</v>
      </c>
      <c r="L30">
        <f t="shared" si="27"/>
        <v>-28031.509906512649</v>
      </c>
      <c r="M30">
        <f t="shared" si="27"/>
        <v>-31143.007506135553</v>
      </c>
      <c r="N30">
        <f t="shared" si="27"/>
        <v>-34599.881339316598</v>
      </c>
      <c r="O30">
        <f t="shared" si="27"/>
        <v>-38440.468167980747</v>
      </c>
    </row>
    <row r="31" spans="1:17" ht="15" customHeight="1" x14ac:dyDescent="0.2">
      <c r="B31" s="16" t="s">
        <v>43</v>
      </c>
      <c r="C31" s="74">
        <f>SUM(C27,C29:C30)</f>
        <v>15403</v>
      </c>
      <c r="D31" s="74">
        <f t="shared" ref="D31:E31" si="28">SUM(D27,D29:D30)</f>
        <v>16496</v>
      </c>
      <c r="E31" s="74">
        <f t="shared" si="28"/>
        <v>19360</v>
      </c>
      <c r="F31">
        <f>SUM(F27,F29)</f>
        <v>35601.027749999994</v>
      </c>
      <c r="G31">
        <f t="shared" ref="G31:O31" si="29">SUM(G27,G29)</f>
        <v>40941.181912499997</v>
      </c>
      <c r="H31">
        <f t="shared" si="29"/>
        <v>46795.770925987497</v>
      </c>
      <c r="I31">
        <f t="shared" si="29"/>
        <v>52598.446520809943</v>
      </c>
      <c r="J31">
        <f t="shared" si="29"/>
        <v>58436.874084619849</v>
      </c>
      <c r="K31">
        <f t="shared" si="29"/>
        <v>64923.367108012651</v>
      </c>
      <c r="L31">
        <f t="shared" si="29"/>
        <v>72129.860857002059</v>
      </c>
      <c r="M31">
        <f t="shared" si="29"/>
        <v>80136.275412129282</v>
      </c>
      <c r="N31">
        <f t="shared" si="29"/>
        <v>89031.401982875628</v>
      </c>
      <c r="O31">
        <f t="shared" si="29"/>
        <v>98913.88760297485</v>
      </c>
      <c r="Q31" t="s">
        <v>172</v>
      </c>
    </row>
    <row r="33" spans="2:15" ht="15" customHeight="1" x14ac:dyDescent="0.2">
      <c r="B33" s="16" t="s">
        <v>86</v>
      </c>
      <c r="C33" s="75">
        <v>2781</v>
      </c>
      <c r="D33" s="75">
        <v>3523</v>
      </c>
      <c r="E33" s="75">
        <v>4132</v>
      </c>
      <c r="F33">
        <f>F9*E96</f>
        <v>5019.768</v>
      </c>
      <c r="G33">
        <f t="shared" ref="G33:O33" si="30">G9*F96</f>
        <v>6340.5582547500007</v>
      </c>
      <c r="H33">
        <f t="shared" si="30"/>
        <v>7761.2333132407502</v>
      </c>
      <c r="I33">
        <f t="shared" si="30"/>
        <v>9296.147190641037</v>
      </c>
      <c r="J33">
        <f t="shared" si="30"/>
        <v>10922.344265084352</v>
      </c>
      <c r="K33">
        <f t="shared" si="30"/>
        <v>12626.231035414061</v>
      </c>
      <c r="L33">
        <f t="shared" si="30"/>
        <v>14434.218602905741</v>
      </c>
      <c r="M33">
        <f t="shared" si="30"/>
        <v>16372.572455785998</v>
      </c>
      <c r="N33">
        <f t="shared" si="30"/>
        <v>18467.928669619276</v>
      </c>
      <c r="O33">
        <f t="shared" si="30"/>
        <v>20747.775307063344</v>
      </c>
    </row>
    <row r="34" spans="2:15" ht="15" customHeight="1" x14ac:dyDescent="0.2">
      <c r="B34" s="16" t="s">
        <v>87</v>
      </c>
      <c r="C34" s="75">
        <v>1158</v>
      </c>
      <c r="D34" s="75">
        <v>1456</v>
      </c>
      <c r="E34" s="75">
        <v>931</v>
      </c>
      <c r="F34">
        <f>F10</f>
        <v>806</v>
      </c>
      <c r="G34">
        <f t="shared" ref="G34:O34" si="31">G10</f>
        <v>724</v>
      </c>
      <c r="H34">
        <f t="shared" si="31"/>
        <v>637</v>
      </c>
      <c r="I34">
        <f t="shared" si="31"/>
        <v>528</v>
      </c>
      <c r="J34">
        <f t="shared" si="31"/>
        <v>434</v>
      </c>
      <c r="K34">
        <f t="shared" si="31"/>
        <v>143.6</v>
      </c>
      <c r="L34">
        <f t="shared" si="31"/>
        <v>143.6</v>
      </c>
      <c r="M34">
        <f t="shared" si="31"/>
        <v>143.6</v>
      </c>
      <c r="N34">
        <f t="shared" si="31"/>
        <v>143.6</v>
      </c>
      <c r="O34">
        <f t="shared" si="31"/>
        <v>143.6</v>
      </c>
    </row>
    <row r="35" spans="2:15" ht="15" customHeight="1" x14ac:dyDescent="0.2">
      <c r="B35" s="16" t="s">
        <v>42</v>
      </c>
      <c r="C35" s="74">
        <f>C31+C33+C34</f>
        <v>19342</v>
      </c>
      <c r="D35" s="74">
        <f>D31+D33+D34</f>
        <v>21475</v>
      </c>
      <c r="E35" s="74">
        <f>E31+E33+E34</f>
        <v>24423</v>
      </c>
      <c r="F35" s="74">
        <f t="shared" ref="F35:O35" si="32">F31+F33+F34</f>
        <v>41426.79574999999</v>
      </c>
      <c r="G35" s="74">
        <f t="shared" si="32"/>
        <v>48005.740167249998</v>
      </c>
      <c r="H35" s="74">
        <f t="shared" si="32"/>
        <v>55194.004239228248</v>
      </c>
      <c r="I35" s="74">
        <f t="shared" si="32"/>
        <v>62422.59371145098</v>
      </c>
      <c r="J35" s="74">
        <f t="shared" si="32"/>
        <v>69793.218349704199</v>
      </c>
      <c r="K35" s="74">
        <f t="shared" si="32"/>
        <v>77693.198143426722</v>
      </c>
      <c r="L35" s="74">
        <f t="shared" si="32"/>
        <v>86707.679459907813</v>
      </c>
      <c r="M35" s="74">
        <f t="shared" si="32"/>
        <v>96652.447867915282</v>
      </c>
      <c r="N35" s="74">
        <f t="shared" si="32"/>
        <v>107642.93065249491</v>
      </c>
      <c r="O35" s="74">
        <f t="shared" si="32"/>
        <v>119805.2629100382</v>
      </c>
    </row>
    <row r="37" spans="2:15" ht="15" customHeight="1" x14ac:dyDescent="0.2">
      <c r="B37" s="16" t="s">
        <v>45</v>
      </c>
      <c r="C37" s="75">
        <v>-81</v>
      </c>
      <c r="D37" s="75">
        <v>-101</v>
      </c>
      <c r="E37" s="75">
        <v>-104</v>
      </c>
      <c r="F37">
        <f t="shared" ref="F37:O37" si="33">IF(switch=1,F199*-1,0)</f>
        <v>0</v>
      </c>
      <c r="G37">
        <f t="shared" si="33"/>
        <v>0</v>
      </c>
      <c r="H37">
        <f t="shared" si="33"/>
        <v>0</v>
      </c>
      <c r="I37">
        <f t="shared" si="33"/>
        <v>0</v>
      </c>
      <c r="J37">
        <f t="shared" si="33"/>
        <v>0</v>
      </c>
      <c r="K37">
        <f t="shared" si="33"/>
        <v>0</v>
      </c>
      <c r="L37">
        <f t="shared" si="33"/>
        <v>0</v>
      </c>
      <c r="M37">
        <f t="shared" si="33"/>
        <v>0</v>
      </c>
      <c r="N37">
        <f t="shared" si="33"/>
        <v>0</v>
      </c>
      <c r="O37">
        <f t="shared" si="33"/>
        <v>0</v>
      </c>
    </row>
    <row r="38" spans="2:15" ht="15" customHeight="1" x14ac:dyDescent="0.2">
      <c r="B38" s="16" t="s">
        <v>44</v>
      </c>
      <c r="C38" s="75">
        <v>766</v>
      </c>
      <c r="D38" s="75">
        <v>746</v>
      </c>
      <c r="E38" s="75">
        <v>999</v>
      </c>
      <c r="F38">
        <f t="shared" ref="F38:O38" si="34">IF(switch=1,F190,0)</f>
        <v>0</v>
      </c>
      <c r="G38">
        <f t="shared" si="34"/>
        <v>0</v>
      </c>
      <c r="H38">
        <f t="shared" si="34"/>
        <v>0</v>
      </c>
      <c r="I38">
        <f t="shared" si="34"/>
        <v>0</v>
      </c>
      <c r="J38">
        <f t="shared" si="34"/>
        <v>0</v>
      </c>
      <c r="K38">
        <f t="shared" si="34"/>
        <v>0</v>
      </c>
      <c r="L38">
        <f t="shared" si="34"/>
        <v>0</v>
      </c>
      <c r="M38">
        <f t="shared" si="34"/>
        <v>0</v>
      </c>
      <c r="N38">
        <f t="shared" si="34"/>
        <v>0</v>
      </c>
      <c r="O38">
        <f t="shared" si="34"/>
        <v>0</v>
      </c>
    </row>
    <row r="39" spans="2:15" ht="15" customHeight="1" x14ac:dyDescent="0.2">
      <c r="B39" s="16" t="s">
        <v>92</v>
      </c>
      <c r="C39" s="75">
        <v>-189</v>
      </c>
      <c r="D39" s="75">
        <f>763-D37-D38</f>
        <v>118</v>
      </c>
      <c r="E39" s="75">
        <f>291-E38-E37</f>
        <v>-604</v>
      </c>
      <c r="F39">
        <f>F11</f>
        <v>0</v>
      </c>
      <c r="G39">
        <f t="shared" ref="G39:O39" si="35">G11</f>
        <v>0</v>
      </c>
      <c r="H39">
        <f t="shared" si="35"/>
        <v>0</v>
      </c>
      <c r="I39">
        <f t="shared" si="35"/>
        <v>0</v>
      </c>
      <c r="J39">
        <f t="shared" si="35"/>
        <v>0</v>
      </c>
      <c r="K39">
        <f t="shared" si="35"/>
        <v>0</v>
      </c>
      <c r="L39">
        <f t="shared" si="35"/>
        <v>0</v>
      </c>
      <c r="M39">
        <f t="shared" si="35"/>
        <v>0</v>
      </c>
      <c r="N39">
        <f t="shared" si="35"/>
        <v>0</v>
      </c>
      <c r="O39">
        <f t="shared" si="35"/>
        <v>0</v>
      </c>
    </row>
    <row r="40" spans="2:15" ht="15" customHeight="1" x14ac:dyDescent="0.2">
      <c r="B40" s="16" t="s">
        <v>46</v>
      </c>
      <c r="C40" s="74">
        <f>SUM(C31,C37:C39)</f>
        <v>15899</v>
      </c>
      <c r="D40" s="74">
        <f t="shared" ref="D40:F40" si="36">SUM(D31,D37:D39)</f>
        <v>17259</v>
      </c>
      <c r="E40" s="74">
        <f>SUM(E31,E37:E39)</f>
        <v>19651</v>
      </c>
      <c r="F40" s="74">
        <f t="shared" si="36"/>
        <v>35601.027749999994</v>
      </c>
      <c r="G40" s="74">
        <f t="shared" ref="G40:O40" si="37">SUM(G31,G37:G39)</f>
        <v>40941.181912499997</v>
      </c>
      <c r="H40" s="74">
        <f t="shared" si="37"/>
        <v>46795.770925987497</v>
      </c>
      <c r="I40" s="74">
        <f t="shared" si="37"/>
        <v>52598.446520809943</v>
      </c>
      <c r="J40" s="74">
        <f t="shared" si="37"/>
        <v>58436.874084619849</v>
      </c>
      <c r="K40" s="74">
        <f t="shared" si="37"/>
        <v>64923.367108012651</v>
      </c>
      <c r="L40" s="74">
        <f t="shared" si="37"/>
        <v>72129.860857002059</v>
      </c>
      <c r="M40" s="74">
        <f t="shared" si="37"/>
        <v>80136.275412129282</v>
      </c>
      <c r="N40" s="74">
        <f t="shared" si="37"/>
        <v>89031.401982875628</v>
      </c>
      <c r="O40" s="74">
        <f t="shared" si="37"/>
        <v>98913.88760297485</v>
      </c>
    </row>
    <row r="42" spans="2:15" ht="15" customHeight="1" x14ac:dyDescent="0.2">
      <c r="B42" s="16" t="s">
        <v>88</v>
      </c>
      <c r="C42" s="75">
        <v>-2739</v>
      </c>
      <c r="D42" s="75">
        <v>-3639</v>
      </c>
      <c r="E42" s="75">
        <v>-3303</v>
      </c>
      <c r="F42">
        <f>F40*F12</f>
        <v>-6586.1901337499985</v>
      </c>
      <c r="G42">
        <f t="shared" ref="G42:O42" si="38">G40*G12</f>
        <v>-7574.1186538124994</v>
      </c>
      <c r="H42">
        <f t="shared" si="38"/>
        <v>-8657.2176213076873</v>
      </c>
      <c r="I42">
        <f t="shared" si="38"/>
        <v>-9730.7126063498399</v>
      </c>
      <c r="J42">
        <f t="shared" si="38"/>
        <v>-10810.821705654673</v>
      </c>
      <c r="K42">
        <f t="shared" si="38"/>
        <v>-12010.82291498234</v>
      </c>
      <c r="L42">
        <f t="shared" si="38"/>
        <v>-13344.024258545382</v>
      </c>
      <c r="M42">
        <f t="shared" si="38"/>
        <v>-14825.210951243916</v>
      </c>
      <c r="N42">
        <f t="shared" si="38"/>
        <v>-16470.809366831993</v>
      </c>
      <c r="O42">
        <f t="shared" si="38"/>
        <v>-18299.069206550346</v>
      </c>
    </row>
    <row r="43" spans="2:15" ht="15" customHeight="1" x14ac:dyDescent="0.2">
      <c r="B43" s="16" t="s">
        <v>93</v>
      </c>
      <c r="C43">
        <f>C40+C42</f>
        <v>13160</v>
      </c>
      <c r="D43">
        <f t="shared" ref="D43:F43" si="39">D40+D42</f>
        <v>13620</v>
      </c>
      <c r="E43">
        <f t="shared" si="39"/>
        <v>16348</v>
      </c>
      <c r="F43">
        <f t="shared" si="39"/>
        <v>29014.837616249995</v>
      </c>
      <c r="G43">
        <f t="shared" ref="G43:O43" si="40">G40+G42</f>
        <v>33367.0632586875</v>
      </c>
      <c r="H43">
        <f t="shared" si="40"/>
        <v>38138.553304679808</v>
      </c>
      <c r="I43">
        <f t="shared" si="40"/>
        <v>42867.733914460099</v>
      </c>
      <c r="J43">
        <f t="shared" si="40"/>
        <v>47626.052378965178</v>
      </c>
      <c r="K43">
        <f t="shared" si="40"/>
        <v>52912.544193030313</v>
      </c>
      <c r="L43">
        <f t="shared" si="40"/>
        <v>58785.836598456677</v>
      </c>
      <c r="M43">
        <f t="shared" si="40"/>
        <v>65311.064460885362</v>
      </c>
      <c r="N43">
        <f t="shared" si="40"/>
        <v>72560.592616043636</v>
      </c>
      <c r="O43">
        <f t="shared" si="40"/>
        <v>80614.818396424496</v>
      </c>
    </row>
    <row r="45" spans="2:15" ht="15" customHeight="1" x14ac:dyDescent="0.2">
      <c r="B45" s="16" t="s">
        <v>94</v>
      </c>
      <c r="C45" s="75">
        <v>-427</v>
      </c>
      <c r="D45" s="75">
        <v>516</v>
      </c>
      <c r="E45" s="75">
        <v>0</v>
      </c>
      <c r="F45">
        <f>F14</f>
        <v>0</v>
      </c>
      <c r="G45">
        <f t="shared" ref="G45:O45" si="41">G14</f>
        <v>0</v>
      </c>
      <c r="H45">
        <f t="shared" si="41"/>
        <v>0</v>
      </c>
      <c r="I45">
        <f t="shared" si="41"/>
        <v>0</v>
      </c>
      <c r="J45">
        <f t="shared" si="41"/>
        <v>0</v>
      </c>
      <c r="K45">
        <f t="shared" si="41"/>
        <v>0</v>
      </c>
      <c r="L45">
        <f t="shared" si="41"/>
        <v>0</v>
      </c>
      <c r="M45">
        <f t="shared" si="41"/>
        <v>0</v>
      </c>
      <c r="N45">
        <f t="shared" si="41"/>
        <v>0</v>
      </c>
      <c r="O45">
        <f t="shared" si="41"/>
        <v>0</v>
      </c>
    </row>
    <row r="46" spans="2:15" ht="15" customHeight="1" x14ac:dyDescent="0.2">
      <c r="B46" s="16" t="s">
        <v>29</v>
      </c>
      <c r="C46" s="74">
        <f>C43+C45</f>
        <v>12733</v>
      </c>
      <c r="D46" s="74">
        <f t="shared" ref="D46:F46" si="42">D43+D45</f>
        <v>14136</v>
      </c>
      <c r="E46" s="74">
        <f t="shared" si="42"/>
        <v>16348</v>
      </c>
      <c r="F46" s="74">
        <f t="shared" si="42"/>
        <v>29014.837616249995</v>
      </c>
      <c r="G46" s="74">
        <f t="shared" ref="G46:O46" si="43">G43+G45</f>
        <v>33367.0632586875</v>
      </c>
      <c r="H46" s="74">
        <f t="shared" si="43"/>
        <v>38138.553304679808</v>
      </c>
      <c r="I46" s="74">
        <f t="shared" si="43"/>
        <v>42867.733914460099</v>
      </c>
      <c r="J46" s="74">
        <f t="shared" si="43"/>
        <v>47626.052378965178</v>
      </c>
      <c r="K46" s="74">
        <f t="shared" si="43"/>
        <v>52912.544193030313</v>
      </c>
      <c r="L46" s="74">
        <f t="shared" si="43"/>
        <v>58785.836598456677</v>
      </c>
      <c r="M46" s="74">
        <f t="shared" si="43"/>
        <v>65311.064460885362</v>
      </c>
      <c r="N46" s="74">
        <f t="shared" si="43"/>
        <v>72560.592616043636</v>
      </c>
      <c r="O46" s="74">
        <f t="shared" si="43"/>
        <v>80614.818396424496</v>
      </c>
    </row>
    <row r="48" spans="2:15" ht="15" customHeight="1" x14ac:dyDescent="0.2">
      <c r="B48" s="16" t="s">
        <v>95</v>
      </c>
      <c r="C48" s="75">
        <v>13347</v>
      </c>
      <c r="D48" s="75">
        <v>13928</v>
      </c>
      <c r="E48" s="75">
        <v>16740.599999999999</v>
      </c>
      <c r="F48">
        <f>F46-F45-F39*(1+F13)</f>
        <v>29014.837616249995</v>
      </c>
      <c r="G48">
        <f t="shared" ref="G48:O48" si="44">G46-G45-G39*(1+G13)</f>
        <v>33367.0632586875</v>
      </c>
      <c r="H48">
        <f t="shared" si="44"/>
        <v>38138.553304679808</v>
      </c>
      <c r="I48">
        <f t="shared" si="44"/>
        <v>42867.733914460099</v>
      </c>
      <c r="J48">
        <f t="shared" si="44"/>
        <v>47626.052378965178</v>
      </c>
      <c r="K48">
        <f t="shared" si="44"/>
        <v>52912.544193030313</v>
      </c>
      <c r="L48">
        <f t="shared" si="44"/>
        <v>58785.836598456677</v>
      </c>
      <c r="M48">
        <f t="shared" si="44"/>
        <v>65311.064460885362</v>
      </c>
      <c r="N48">
        <f t="shared" si="44"/>
        <v>72560.592616043636</v>
      </c>
      <c r="O48">
        <f t="shared" si="44"/>
        <v>80614.818396424496</v>
      </c>
    </row>
    <row r="49" spans="1:17" ht="15" customHeight="1" x14ac:dyDescent="0.2">
      <c r="C49" s="71"/>
      <c r="D49" s="73"/>
      <c r="E49" s="73"/>
    </row>
    <row r="50" spans="1:17" ht="15" customHeight="1" x14ac:dyDescent="0.2">
      <c r="B50" s="16" t="s">
        <v>96</v>
      </c>
      <c r="C50" s="73">
        <v>19.420000000000002</v>
      </c>
      <c r="D50" s="73">
        <v>19.82</v>
      </c>
      <c r="E50" s="73">
        <v>22.84</v>
      </c>
      <c r="F50" s="77">
        <f>F48/F53</f>
        <v>38.753998387077878</v>
      </c>
      <c r="G50" s="77">
        <f t="shared" ref="G50:O50" si="45">G48/G53</f>
        <v>44.567098145139568</v>
      </c>
      <c r="H50" s="77">
        <f t="shared" si="45"/>
        <v>50.940193179894521</v>
      </c>
      <c r="I50" s="77">
        <f t="shared" si="45"/>
        <v>57.256777134201435</v>
      </c>
      <c r="J50" s="77">
        <f t="shared" si="45"/>
        <v>63.612279396097804</v>
      </c>
      <c r="K50" s="77">
        <f t="shared" si="45"/>
        <v>70.67324240906467</v>
      </c>
      <c r="L50" s="77">
        <f t="shared" si="45"/>
        <v>78.517972316470846</v>
      </c>
      <c r="M50" s="77">
        <f t="shared" si="45"/>
        <v>87.233467243599094</v>
      </c>
      <c r="N50" s="77">
        <f t="shared" si="45"/>
        <v>96.916382107638597</v>
      </c>
      <c r="O50" s="77">
        <f t="shared" si="45"/>
        <v>107.6741005215865</v>
      </c>
    </row>
    <row r="51" spans="1:17" ht="15" customHeight="1" x14ac:dyDescent="0.2">
      <c r="B51" s="16" t="s">
        <v>80</v>
      </c>
      <c r="C51" s="73">
        <v>0</v>
      </c>
      <c r="D51" s="73">
        <v>0</v>
      </c>
      <c r="E51" s="73">
        <v>0</v>
      </c>
      <c r="F51" s="77">
        <f>F14</f>
        <v>0</v>
      </c>
      <c r="G51" s="77">
        <f t="shared" ref="G51:O51" si="46">G14</f>
        <v>0</v>
      </c>
      <c r="H51" s="77">
        <f t="shared" si="46"/>
        <v>0</v>
      </c>
      <c r="I51" s="77">
        <f t="shared" si="46"/>
        <v>0</v>
      </c>
      <c r="J51" s="77">
        <f t="shared" si="46"/>
        <v>0</v>
      </c>
      <c r="K51" s="77">
        <f t="shared" si="46"/>
        <v>0</v>
      </c>
      <c r="L51" s="77">
        <f t="shared" si="46"/>
        <v>0</v>
      </c>
      <c r="M51" s="77">
        <f t="shared" si="46"/>
        <v>0</v>
      </c>
      <c r="N51" s="77">
        <f t="shared" si="46"/>
        <v>0</v>
      </c>
      <c r="O51" s="77">
        <f t="shared" si="46"/>
        <v>0</v>
      </c>
    </row>
    <row r="52" spans="1:17" ht="15" customHeight="1" x14ac:dyDescent="0.2">
      <c r="B52" s="16" t="s">
        <v>81</v>
      </c>
      <c r="C52" s="75">
        <f>273.518+59.328+332.846</f>
        <v>665.69200000000001</v>
      </c>
      <c r="D52" s="75">
        <f>282.877+54.928+338.13</f>
        <v>675.93499999999995</v>
      </c>
      <c r="E52" s="75">
        <f>289.64+51.745+343.241</f>
        <v>684.62599999999998</v>
      </c>
      <c r="F52">
        <f>F16</f>
        <v>688.31976699999996</v>
      </c>
      <c r="G52">
        <f t="shared" ref="G52:O52" si="47">G16</f>
        <v>688.31976699999996</v>
      </c>
      <c r="H52">
        <f t="shared" si="47"/>
        <v>688.31976699999996</v>
      </c>
      <c r="I52">
        <f t="shared" si="47"/>
        <v>688.31976699999996</v>
      </c>
      <c r="J52">
        <f t="shared" si="47"/>
        <v>688.31976699999996</v>
      </c>
      <c r="K52">
        <f t="shared" si="47"/>
        <v>688.31976699999996</v>
      </c>
      <c r="L52">
        <f t="shared" si="47"/>
        <v>688.31976699999996</v>
      </c>
      <c r="M52">
        <f t="shared" si="47"/>
        <v>688.31976699999996</v>
      </c>
      <c r="N52">
        <f t="shared" si="47"/>
        <v>688.31976699999996</v>
      </c>
      <c r="O52">
        <f t="shared" si="47"/>
        <v>688.31976699999996</v>
      </c>
    </row>
    <row r="53" spans="1:17" ht="15" customHeight="1" x14ac:dyDescent="0.2">
      <c r="B53" s="16" t="s">
        <v>82</v>
      </c>
      <c r="C53" s="75">
        <f>338.809+59.332+338.809</f>
        <v>736.95</v>
      </c>
      <c r="D53" s="75">
        <f>342.377+54.928+344.693</f>
        <v>741.99800000000005</v>
      </c>
      <c r="E53" s="75">
        <f>343.78+51.745+349.15</f>
        <v>744.67499999999995</v>
      </c>
      <c r="F53">
        <f>F17</f>
        <v>748.69274975055714</v>
      </c>
      <c r="G53">
        <f t="shared" ref="G53:O53" si="48">G17</f>
        <v>748.69274975055714</v>
      </c>
      <c r="H53">
        <f t="shared" si="48"/>
        <v>748.69274975055714</v>
      </c>
      <c r="I53">
        <f t="shared" si="48"/>
        <v>748.69274975055714</v>
      </c>
      <c r="J53">
        <f t="shared" si="48"/>
        <v>748.69274975055714</v>
      </c>
      <c r="K53">
        <f t="shared" si="48"/>
        <v>748.69274975055714</v>
      </c>
      <c r="L53">
        <f t="shared" si="48"/>
        <v>748.69274975055714</v>
      </c>
      <c r="M53">
        <f t="shared" si="48"/>
        <v>748.69274975055714</v>
      </c>
      <c r="N53">
        <f t="shared" si="48"/>
        <v>748.69274975055714</v>
      </c>
      <c r="O53">
        <f t="shared" si="48"/>
        <v>748.69274975055714</v>
      </c>
    </row>
    <row r="55" spans="1:17" ht="15" customHeight="1" x14ac:dyDescent="0.2">
      <c r="A55" s="15" t="s">
        <v>41</v>
      </c>
    </row>
    <row r="56" spans="1:17" ht="15" customHeight="1" x14ac:dyDescent="0.2">
      <c r="B56" s="16" t="s">
        <v>103</v>
      </c>
      <c r="D56">
        <f>D92-C92</f>
        <v>6229</v>
      </c>
      <c r="E56">
        <f>E92-D92</f>
        <v>10469</v>
      </c>
      <c r="F56" s="72">
        <v>0</v>
      </c>
      <c r="G56" s="72">
        <v>0</v>
      </c>
      <c r="H56" s="72">
        <v>0</v>
      </c>
      <c r="I56" s="72">
        <v>0</v>
      </c>
      <c r="J56" s="72">
        <v>0</v>
      </c>
      <c r="K56" s="72">
        <v>0</v>
      </c>
      <c r="L56" s="72">
        <v>0</v>
      </c>
      <c r="M56" s="72">
        <v>0</v>
      </c>
      <c r="N56" s="72">
        <v>0</v>
      </c>
      <c r="O56" s="72">
        <v>0</v>
      </c>
    </row>
    <row r="57" spans="1:17" ht="15" customHeight="1" x14ac:dyDescent="0.2">
      <c r="B57" s="16" t="s">
        <v>97</v>
      </c>
      <c r="C57" s="66">
        <f>C93/C25</f>
        <v>0.27808497991678527</v>
      </c>
      <c r="D57" s="66">
        <f t="shared" ref="D57:E57" si="49">D93/D25</f>
        <v>0.21607248375024621</v>
      </c>
      <c r="E57" s="66">
        <f t="shared" si="49"/>
        <v>0.22734000986811398</v>
      </c>
      <c r="F57" s="67">
        <v>0.24</v>
      </c>
      <c r="G57" s="67">
        <v>0.24</v>
      </c>
      <c r="H57" s="67">
        <v>0.24</v>
      </c>
      <c r="I57" s="67">
        <v>0.24</v>
      </c>
      <c r="J57" s="67">
        <v>0.24</v>
      </c>
      <c r="K57" s="67">
        <v>0.24</v>
      </c>
      <c r="L57" s="67">
        <v>0.24</v>
      </c>
      <c r="M57" s="67">
        <v>0.24</v>
      </c>
      <c r="N57" s="67">
        <v>0.24</v>
      </c>
      <c r="O57" s="67">
        <v>0.24</v>
      </c>
    </row>
    <row r="58" spans="1:17" ht="15" customHeight="1" x14ac:dyDescent="0.2">
      <c r="B58" s="16" t="s">
        <v>54</v>
      </c>
      <c r="C58" s="66">
        <f>C73/C25</f>
        <v>0.13253120553324088</v>
      </c>
      <c r="D58" s="66">
        <f t="shared" ref="D58:E58" si="50">D73/D25</f>
        <v>0.16604293874335238</v>
      </c>
      <c r="E58" s="66">
        <f t="shared" si="50"/>
        <v>0.13221939217751938</v>
      </c>
      <c r="F58" s="67">
        <v>0.15</v>
      </c>
      <c r="G58" s="67">
        <v>0.15</v>
      </c>
      <c r="H58" s="67">
        <v>0.15</v>
      </c>
      <c r="I58" s="67">
        <v>0.15</v>
      </c>
      <c r="J58" s="67">
        <v>0.15</v>
      </c>
      <c r="K58" s="67">
        <v>0.15</v>
      </c>
      <c r="L58" s="67">
        <v>0.15</v>
      </c>
      <c r="M58" s="67">
        <v>0.15</v>
      </c>
      <c r="N58" s="67">
        <v>0.15</v>
      </c>
      <c r="O58" s="67">
        <v>0.15</v>
      </c>
    </row>
    <row r="59" spans="1:17" ht="15" customHeight="1" x14ac:dyDescent="0.2">
      <c r="B59" s="16" t="s">
        <v>102</v>
      </c>
      <c r="D59">
        <f>D97-C97</f>
        <v>1103</v>
      </c>
      <c r="E59">
        <f>E97-D97</f>
        <v>2104</v>
      </c>
      <c r="F59" s="72">
        <v>0</v>
      </c>
      <c r="G59" s="72">
        <v>0</v>
      </c>
      <c r="H59" s="72">
        <v>0</v>
      </c>
      <c r="I59" s="72">
        <v>0</v>
      </c>
      <c r="J59" s="72">
        <v>0</v>
      </c>
      <c r="K59" s="72">
        <v>0</v>
      </c>
      <c r="L59" s="72">
        <v>0</v>
      </c>
      <c r="M59" s="72">
        <v>0</v>
      </c>
      <c r="N59" s="72">
        <v>0</v>
      </c>
      <c r="O59" s="72">
        <v>0</v>
      </c>
    </row>
    <row r="60" spans="1:17" ht="15" customHeight="1" x14ac:dyDescent="0.2">
      <c r="B60" s="16" t="s">
        <v>101</v>
      </c>
      <c r="C60">
        <f>C98</f>
        <v>11492</v>
      </c>
      <c r="D60">
        <f t="shared" ref="D60:E60" si="51">D98</f>
        <v>15599</v>
      </c>
      <c r="E60">
        <f t="shared" si="51"/>
        <v>15869</v>
      </c>
      <c r="F60" s="72">
        <v>15869</v>
      </c>
      <c r="G60" s="72">
        <v>15869</v>
      </c>
      <c r="H60" s="72">
        <v>15869</v>
      </c>
      <c r="I60" s="72">
        <v>15869</v>
      </c>
      <c r="J60" s="72">
        <v>15869</v>
      </c>
      <c r="K60" s="72">
        <v>15869</v>
      </c>
      <c r="L60" s="72">
        <v>15869</v>
      </c>
      <c r="M60" s="72">
        <v>15869</v>
      </c>
      <c r="N60" s="72">
        <v>15869</v>
      </c>
      <c r="O60" s="72">
        <v>15869</v>
      </c>
    </row>
    <row r="61" spans="1:17" ht="15" customHeight="1" x14ac:dyDescent="0.2">
      <c r="B61" s="16" t="s">
        <v>100</v>
      </c>
      <c r="C61">
        <f>C100</f>
        <v>1976</v>
      </c>
      <c r="D61">
        <f t="shared" ref="D61:E61" si="52">D100</f>
        <v>3363</v>
      </c>
      <c r="E61">
        <f t="shared" si="52"/>
        <v>3432</v>
      </c>
      <c r="F61" s="72">
        <v>3432</v>
      </c>
      <c r="G61" s="72">
        <v>3432</v>
      </c>
      <c r="H61" s="72">
        <v>3432</v>
      </c>
      <c r="I61" s="72">
        <v>3432</v>
      </c>
      <c r="J61" s="72">
        <v>3432</v>
      </c>
      <c r="K61" s="72">
        <v>3432</v>
      </c>
      <c r="L61" s="72">
        <v>3432</v>
      </c>
      <c r="M61" s="72">
        <v>3432</v>
      </c>
      <c r="N61" s="72">
        <v>3432</v>
      </c>
      <c r="O61" s="72">
        <v>3432</v>
      </c>
    </row>
    <row r="62" spans="1:17" ht="15" customHeight="1" x14ac:dyDescent="0.2"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</row>
    <row r="63" spans="1:17" ht="15" customHeight="1" x14ac:dyDescent="0.2">
      <c r="B63" s="16" t="s">
        <v>98</v>
      </c>
      <c r="C63" s="66">
        <f>C104/C25</f>
        <v>0.20774869864370757</v>
      </c>
      <c r="D63" s="66">
        <f t="shared" ref="D63:E63" si="53">D104/D25</f>
        <v>0.22378448811381646</v>
      </c>
      <c r="E63" s="66">
        <f t="shared" si="53"/>
        <v>0.2144981263918708</v>
      </c>
      <c r="F63" s="67">
        <v>0.215</v>
      </c>
      <c r="G63" s="67">
        <v>0.215</v>
      </c>
      <c r="H63" s="67">
        <v>0.215</v>
      </c>
      <c r="I63" s="67">
        <v>0.215</v>
      </c>
      <c r="J63" s="67">
        <v>0.215</v>
      </c>
      <c r="K63" s="67">
        <v>0.215</v>
      </c>
      <c r="L63" s="67">
        <v>0.215</v>
      </c>
      <c r="M63" s="67">
        <v>0.215</v>
      </c>
      <c r="N63" s="67">
        <v>0.215</v>
      </c>
      <c r="O63" s="67">
        <v>0.215</v>
      </c>
    </row>
    <row r="64" spans="1:17" ht="15" customHeight="1" x14ac:dyDescent="0.2">
      <c r="B64" s="16" t="s">
        <v>99</v>
      </c>
      <c r="C64" s="66">
        <f>C108/C25</f>
        <v>9.847079378230876E-2</v>
      </c>
      <c r="D64" s="66">
        <f t="shared" ref="D64:E64" si="54">D108/D25</f>
        <v>8.060483932061635E-2</v>
      </c>
      <c r="E64" s="66">
        <f t="shared" si="54"/>
        <v>7.7611383002840414E-2</v>
      </c>
      <c r="F64" s="67">
        <v>8.5000000000000006E-2</v>
      </c>
      <c r="G64" s="67">
        <v>8.5000000000000006E-2</v>
      </c>
      <c r="H64" s="67">
        <v>8.5000000000000006E-2</v>
      </c>
      <c r="I64" s="67">
        <v>8.5000000000000006E-2</v>
      </c>
      <c r="J64" s="67">
        <v>8.5000000000000006E-2</v>
      </c>
      <c r="K64" s="67">
        <v>8.5000000000000006E-2</v>
      </c>
      <c r="L64" s="67">
        <v>8.5000000000000006E-2</v>
      </c>
      <c r="M64" s="67">
        <v>8.5000000000000006E-2</v>
      </c>
      <c r="N64" s="67">
        <v>8.5000000000000006E-2</v>
      </c>
      <c r="O64" s="67">
        <v>8.5000000000000006E-2</v>
      </c>
    </row>
    <row r="65" spans="1:15" ht="15" customHeight="1" x14ac:dyDescent="0.2"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15" customHeight="1" x14ac:dyDescent="0.2">
      <c r="A66" s="15" t="s">
        <v>49</v>
      </c>
    </row>
    <row r="67" spans="1:15" ht="15" customHeight="1" x14ac:dyDescent="0.2">
      <c r="B67" s="16" t="s">
        <v>59</v>
      </c>
      <c r="C67">
        <f>C88</f>
        <v>3905</v>
      </c>
      <c r="D67">
        <f t="shared" ref="D67:O67" si="55">D88</f>
        <v>-509</v>
      </c>
      <c r="E67">
        <f t="shared" si="55"/>
        <v>963</v>
      </c>
      <c r="F67">
        <f t="shared" si="55"/>
        <v>2109.0656249999993</v>
      </c>
      <c r="G67">
        <f t="shared" si="55"/>
        <v>2425.4254687499997</v>
      </c>
      <c r="H67">
        <f t="shared" si="55"/>
        <v>2772.2613107812504</v>
      </c>
      <c r="I67">
        <f t="shared" si="55"/>
        <v>3116.0217133181213</v>
      </c>
      <c r="J67">
        <f t="shared" si="55"/>
        <v>3461.900123496438</v>
      </c>
      <c r="K67">
        <f t="shared" si="55"/>
        <v>3846.1710372045418</v>
      </c>
      <c r="L67">
        <f t="shared" si="55"/>
        <v>4273.0960223342481</v>
      </c>
      <c r="M67">
        <f t="shared" si="55"/>
        <v>4747.4096808133472</v>
      </c>
      <c r="N67">
        <f t="shared" si="55"/>
        <v>5274.3721553836294</v>
      </c>
      <c r="O67">
        <f t="shared" si="55"/>
        <v>5859.8274646312057</v>
      </c>
    </row>
    <row r="68" spans="1:15" ht="15" customHeight="1" x14ac:dyDescent="0.2">
      <c r="B68" s="16" t="s">
        <v>60</v>
      </c>
      <c r="C68" s="66">
        <f>C67/C25</f>
        <v>7.0336281273077686E-2</v>
      </c>
      <c r="D68" s="66">
        <f t="shared" ref="D68:O68" si="56">D67/D25</f>
        <v>-7.7120043635702492E-3</v>
      </c>
      <c r="E68" s="66">
        <f t="shared" si="56"/>
        <v>1.2841883476243182E-2</v>
      </c>
      <c r="F68" s="66">
        <f t="shared" si="56"/>
        <v>2.4999999999999991E-2</v>
      </c>
      <c r="G68" s="66">
        <f t="shared" si="56"/>
        <v>2.5000000000000001E-2</v>
      </c>
      <c r="H68" s="66">
        <f t="shared" si="56"/>
        <v>2.5000000000000005E-2</v>
      </c>
      <c r="I68" s="66">
        <f t="shared" si="56"/>
        <v>2.499999999999997E-2</v>
      </c>
      <c r="J68" s="66">
        <f t="shared" si="56"/>
        <v>2.5000000000000012E-2</v>
      </c>
      <c r="K68" s="66">
        <f t="shared" si="56"/>
        <v>2.5000000000000005E-2</v>
      </c>
      <c r="L68" s="66">
        <f t="shared" si="56"/>
        <v>2.5000000000000019E-2</v>
      </c>
      <c r="M68" s="66">
        <f t="shared" si="56"/>
        <v>2.5000000000000005E-2</v>
      </c>
      <c r="N68" s="66">
        <f t="shared" si="56"/>
        <v>2.5000000000000008E-2</v>
      </c>
      <c r="O68" s="66">
        <f t="shared" si="56"/>
        <v>2.4999999999999977E-2</v>
      </c>
    </row>
    <row r="69" spans="1:15" ht="15" customHeight="1" x14ac:dyDescent="0.2">
      <c r="B69" s="16" t="s">
        <v>161</v>
      </c>
      <c r="C69" s="66">
        <f>C96/C25</f>
        <v>0.29762783911813973</v>
      </c>
      <c r="D69" s="66">
        <f t="shared" ref="D69:O69" si="57">D96/D25</f>
        <v>0.36185815366433843</v>
      </c>
      <c r="E69" s="66">
        <f t="shared" si="57"/>
        <v>0.38693675072343942</v>
      </c>
      <c r="F69" s="66">
        <f t="shared" si="57"/>
        <v>0.43444150475403065</v>
      </c>
      <c r="G69" s="66">
        <f t="shared" si="57"/>
        <v>0.46242010820137686</v>
      </c>
      <c r="H69" s="66">
        <f t="shared" si="57"/>
        <v>0.48457692868113617</v>
      </c>
      <c r="I69" s="66">
        <f t="shared" si="57"/>
        <v>0.50653480428763309</v>
      </c>
      <c r="J69" s="66">
        <f t="shared" si="57"/>
        <v>0.52705155998728415</v>
      </c>
      <c r="K69" s="66">
        <f t="shared" si="57"/>
        <v>0.54232370846938249</v>
      </c>
      <c r="L69" s="66">
        <f t="shared" si="57"/>
        <v>0.55369190540430191</v>
      </c>
      <c r="M69" s="66">
        <f t="shared" si="57"/>
        <v>0.56215410060248217</v>
      </c>
      <c r="N69" s="66">
        <f t="shared" si="57"/>
        <v>0.56845314239266675</v>
      </c>
      <c r="O69" s="66">
        <f t="shared" si="57"/>
        <v>0.57314198808167016</v>
      </c>
    </row>
    <row r="71" spans="1:15" ht="15" customHeight="1" x14ac:dyDescent="0.2">
      <c r="A71" s="15" t="s">
        <v>50</v>
      </c>
    </row>
    <row r="72" spans="1:15" ht="15" customHeight="1" x14ac:dyDescent="0.2">
      <c r="B72" s="16" t="s">
        <v>104</v>
      </c>
      <c r="F72">
        <f>E75</f>
        <v>29016</v>
      </c>
      <c r="G72">
        <f t="shared" ref="G72:O72" si="58">F75</f>
        <v>36650.625750000007</v>
      </c>
      <c r="H72">
        <f t="shared" si="58"/>
        <v>44862.620307750003</v>
      </c>
      <c r="I72">
        <f t="shared" si="58"/>
        <v>53734.954859196747</v>
      </c>
      <c r="J72">
        <f t="shared" si="58"/>
        <v>63134.937948464467</v>
      </c>
      <c r="K72">
        <f t="shared" si="58"/>
        <v>72983.994424358738</v>
      </c>
      <c r="L72">
        <f t="shared" si="58"/>
        <v>83434.789612171924</v>
      </c>
      <c r="M72">
        <f t="shared" si="58"/>
        <v>94639.147143271664</v>
      </c>
      <c r="N72">
        <f t="shared" si="58"/>
        <v>106751.03277236575</v>
      </c>
      <c r="O72">
        <f t="shared" si="58"/>
        <v>119929.33703504824</v>
      </c>
    </row>
    <row r="73" spans="1:15" ht="15" customHeight="1" x14ac:dyDescent="0.2">
      <c r="B73" s="16" t="s">
        <v>55</v>
      </c>
      <c r="C73" s="65">
        <v>7358</v>
      </c>
      <c r="D73" s="65">
        <v>10959</v>
      </c>
      <c r="E73" s="65">
        <v>9915</v>
      </c>
      <c r="F73">
        <f>F58*F25</f>
        <v>12654.393749999999</v>
      </c>
      <c r="G73">
        <f t="shared" ref="G73:O73" si="59">G58*G25</f>
        <v>14552.552812499998</v>
      </c>
      <c r="H73">
        <f t="shared" si="59"/>
        <v>16633.567864687499</v>
      </c>
      <c r="I73">
        <f t="shared" si="59"/>
        <v>18696.13027990875</v>
      </c>
      <c r="J73">
        <f t="shared" si="59"/>
        <v>20771.400740978617</v>
      </c>
      <c r="K73">
        <f t="shared" si="59"/>
        <v>23077.026223227247</v>
      </c>
      <c r="L73">
        <f t="shared" si="59"/>
        <v>25638.576134005471</v>
      </c>
      <c r="M73">
        <f t="shared" si="59"/>
        <v>28484.45808488008</v>
      </c>
      <c r="N73">
        <f t="shared" si="59"/>
        <v>31646.232932301766</v>
      </c>
      <c r="O73">
        <f t="shared" si="59"/>
        <v>35158.964787787263</v>
      </c>
    </row>
    <row r="74" spans="1:15" ht="15" customHeight="1" x14ac:dyDescent="0.2">
      <c r="B74" s="16" t="s">
        <v>86</v>
      </c>
      <c r="F74">
        <f>F33*-1</f>
        <v>-5019.768</v>
      </c>
      <c r="G74">
        <f t="shared" ref="G74:O74" si="60">G33*-1</f>
        <v>-6340.5582547500007</v>
      </c>
      <c r="H74">
        <f t="shared" si="60"/>
        <v>-7761.2333132407502</v>
      </c>
      <c r="I74">
        <f t="shared" si="60"/>
        <v>-9296.147190641037</v>
      </c>
      <c r="J74">
        <f t="shared" si="60"/>
        <v>-10922.344265084352</v>
      </c>
      <c r="K74">
        <f t="shared" si="60"/>
        <v>-12626.231035414061</v>
      </c>
      <c r="L74">
        <f t="shared" si="60"/>
        <v>-14434.218602905741</v>
      </c>
      <c r="M74">
        <f t="shared" si="60"/>
        <v>-16372.572455785998</v>
      </c>
      <c r="N74">
        <f t="shared" si="60"/>
        <v>-18467.928669619276</v>
      </c>
      <c r="O74">
        <f t="shared" si="60"/>
        <v>-20747.775307063344</v>
      </c>
    </row>
    <row r="75" spans="1:15" ht="15" customHeight="1" x14ac:dyDescent="0.2">
      <c r="B75" s="16" t="s">
        <v>110</v>
      </c>
      <c r="C75">
        <f>C96</f>
        <v>16524</v>
      </c>
      <c r="D75">
        <f t="shared" ref="D75:E75" si="61">D96</f>
        <v>23883</v>
      </c>
      <c r="E75">
        <f t="shared" si="61"/>
        <v>29016</v>
      </c>
      <c r="F75">
        <f>SUM(F72:F74)</f>
        <v>36650.625750000007</v>
      </c>
      <c r="G75">
        <f t="shared" ref="G75:O75" si="62">SUM(G72:G74)</f>
        <v>44862.620307750003</v>
      </c>
      <c r="H75">
        <f t="shared" si="62"/>
        <v>53734.954859196747</v>
      </c>
      <c r="I75">
        <f t="shared" si="62"/>
        <v>63134.937948464467</v>
      </c>
      <c r="J75">
        <f t="shared" si="62"/>
        <v>72983.994424358738</v>
      </c>
      <c r="K75">
        <f t="shared" si="62"/>
        <v>83434.789612171924</v>
      </c>
      <c r="L75">
        <f t="shared" si="62"/>
        <v>94639.147143271664</v>
      </c>
      <c r="M75">
        <f t="shared" si="62"/>
        <v>106751.03277236575</v>
      </c>
      <c r="N75">
        <f t="shared" si="62"/>
        <v>119929.33703504824</v>
      </c>
      <c r="O75">
        <f t="shared" si="62"/>
        <v>134340.52651577219</v>
      </c>
    </row>
    <row r="77" spans="1:15" ht="15" customHeight="1" x14ac:dyDescent="0.2">
      <c r="B77" s="16" t="s">
        <v>105</v>
      </c>
      <c r="F77">
        <f>E79</f>
        <v>3847</v>
      </c>
      <c r="G77">
        <f t="shared" ref="G77:O77" si="63">F79</f>
        <v>3041</v>
      </c>
      <c r="H77">
        <f t="shared" si="63"/>
        <v>2317</v>
      </c>
      <c r="I77">
        <f t="shared" si="63"/>
        <v>1680</v>
      </c>
      <c r="J77">
        <f t="shared" si="63"/>
        <v>1152</v>
      </c>
      <c r="K77">
        <f t="shared" si="63"/>
        <v>718</v>
      </c>
      <c r="L77">
        <f t="shared" si="63"/>
        <v>574.4</v>
      </c>
      <c r="M77">
        <f t="shared" si="63"/>
        <v>430.79999999999995</v>
      </c>
      <c r="N77">
        <f t="shared" si="63"/>
        <v>287.19999999999993</v>
      </c>
      <c r="O77">
        <f t="shared" si="63"/>
        <v>143.59999999999994</v>
      </c>
    </row>
    <row r="78" spans="1:15" ht="15" customHeight="1" x14ac:dyDescent="0.2">
      <c r="B78" s="16" t="s">
        <v>87</v>
      </c>
      <c r="F78">
        <f>F34*-1</f>
        <v>-806</v>
      </c>
      <c r="G78">
        <f t="shared" ref="G78:O78" si="64">G34*-1</f>
        <v>-724</v>
      </c>
      <c r="H78">
        <f t="shared" si="64"/>
        <v>-637</v>
      </c>
      <c r="I78">
        <f t="shared" si="64"/>
        <v>-528</v>
      </c>
      <c r="J78">
        <f t="shared" si="64"/>
        <v>-434</v>
      </c>
      <c r="K78">
        <f t="shared" si="64"/>
        <v>-143.6</v>
      </c>
      <c r="L78">
        <f t="shared" si="64"/>
        <v>-143.6</v>
      </c>
      <c r="M78">
        <f t="shared" si="64"/>
        <v>-143.6</v>
      </c>
      <c r="N78">
        <f t="shared" si="64"/>
        <v>-143.6</v>
      </c>
      <c r="O78">
        <f t="shared" si="64"/>
        <v>-143.6</v>
      </c>
    </row>
    <row r="79" spans="1:15" ht="15" customHeight="1" x14ac:dyDescent="0.2">
      <c r="B79" s="16" t="s">
        <v>106</v>
      </c>
      <c r="C79">
        <f>C99</f>
        <v>6066</v>
      </c>
      <c r="D79">
        <f t="shared" ref="D79:E79" si="65">D99</f>
        <v>4607</v>
      </c>
      <c r="E79">
        <f t="shared" si="65"/>
        <v>3847</v>
      </c>
      <c r="F79">
        <f>SUM(F77:F78)</f>
        <v>3041</v>
      </c>
      <c r="G79">
        <f t="shared" ref="G79:O79" si="66">SUM(G77:G78)</f>
        <v>2317</v>
      </c>
      <c r="H79">
        <f t="shared" si="66"/>
        <v>1680</v>
      </c>
      <c r="I79">
        <f t="shared" si="66"/>
        <v>1152</v>
      </c>
      <c r="J79">
        <f t="shared" si="66"/>
        <v>718</v>
      </c>
      <c r="K79">
        <f t="shared" si="66"/>
        <v>574.4</v>
      </c>
      <c r="L79">
        <f t="shared" si="66"/>
        <v>430.79999999999995</v>
      </c>
      <c r="M79">
        <f t="shared" si="66"/>
        <v>287.19999999999993</v>
      </c>
      <c r="N79">
        <f t="shared" si="66"/>
        <v>143.59999999999994</v>
      </c>
      <c r="O79">
        <f t="shared" si="66"/>
        <v>0</v>
      </c>
    </row>
    <row r="81" spans="1:15" ht="15" customHeight="1" x14ac:dyDescent="0.2">
      <c r="B81" s="16" t="s">
        <v>56</v>
      </c>
      <c r="F81">
        <f>E84</f>
        <v>120331</v>
      </c>
      <c r="G81">
        <f t="shared" ref="G81:O81" si="67">F84</f>
        <v>149345.83761625001</v>
      </c>
      <c r="H81">
        <f t="shared" si="67"/>
        <v>182712.90087493751</v>
      </c>
      <c r="I81">
        <f t="shared" si="67"/>
        <v>220851.45417961731</v>
      </c>
      <c r="J81">
        <f t="shared" si="67"/>
        <v>263719.1880940774</v>
      </c>
      <c r="K81">
        <f t="shared" si="67"/>
        <v>311345.24047304259</v>
      </c>
      <c r="L81">
        <f t="shared" si="67"/>
        <v>364257.78466607293</v>
      </c>
      <c r="M81">
        <f t="shared" si="67"/>
        <v>423043.62126452959</v>
      </c>
      <c r="N81">
        <f t="shared" si="67"/>
        <v>488354.68572541495</v>
      </c>
      <c r="O81">
        <f t="shared" si="67"/>
        <v>560915.27834145864</v>
      </c>
    </row>
    <row r="82" spans="1:15" ht="15" customHeight="1" x14ac:dyDescent="0.2">
      <c r="B82" s="16" t="s">
        <v>29</v>
      </c>
      <c r="F82">
        <f>F46</f>
        <v>29014.837616249995</v>
      </c>
      <c r="G82">
        <f t="shared" ref="G82:O82" si="68">G46</f>
        <v>33367.0632586875</v>
      </c>
      <c r="H82">
        <f t="shared" si="68"/>
        <v>38138.553304679808</v>
      </c>
      <c r="I82">
        <f t="shared" si="68"/>
        <v>42867.733914460099</v>
      </c>
      <c r="J82">
        <f t="shared" si="68"/>
        <v>47626.052378965178</v>
      </c>
      <c r="K82">
        <f t="shared" si="68"/>
        <v>52912.544193030313</v>
      </c>
      <c r="L82">
        <f t="shared" si="68"/>
        <v>58785.836598456677</v>
      </c>
      <c r="M82">
        <f t="shared" si="68"/>
        <v>65311.064460885362</v>
      </c>
      <c r="N82">
        <f t="shared" si="68"/>
        <v>72560.592616043636</v>
      </c>
      <c r="O82">
        <f t="shared" si="68"/>
        <v>80614.818396424496</v>
      </c>
    </row>
    <row r="83" spans="1:15" ht="15" customHeight="1" x14ac:dyDescent="0.2">
      <c r="B83" s="16" t="s">
        <v>57</v>
      </c>
      <c r="F83">
        <f>F51*F52*-1</f>
        <v>0</v>
      </c>
      <c r="G83">
        <f t="shared" ref="G83:O83" si="69">G51*G52*-1</f>
        <v>0</v>
      </c>
      <c r="H83">
        <f t="shared" si="69"/>
        <v>0</v>
      </c>
      <c r="I83">
        <f t="shared" si="69"/>
        <v>0</v>
      </c>
      <c r="J83">
        <f t="shared" si="69"/>
        <v>0</v>
      </c>
      <c r="K83">
        <f t="shared" si="69"/>
        <v>0</v>
      </c>
      <c r="L83">
        <f t="shared" si="69"/>
        <v>0</v>
      </c>
      <c r="M83">
        <f t="shared" si="69"/>
        <v>0</v>
      </c>
      <c r="N83">
        <f t="shared" si="69"/>
        <v>0</v>
      </c>
      <c r="O83">
        <f t="shared" si="69"/>
        <v>0</v>
      </c>
    </row>
    <row r="84" spans="1:15" ht="15" customHeight="1" x14ac:dyDescent="0.2">
      <c r="B84" s="16" t="s">
        <v>58</v>
      </c>
      <c r="C84">
        <f>C111</f>
        <v>87309</v>
      </c>
      <c r="D84">
        <f t="shared" ref="D84:E84" si="70">D111</f>
        <v>103860</v>
      </c>
      <c r="E84">
        <f t="shared" si="70"/>
        <v>120331</v>
      </c>
      <c r="F84">
        <f>SUM(F81:F83)</f>
        <v>149345.83761625001</v>
      </c>
      <c r="G84">
        <f t="shared" ref="G84:O84" si="71">SUM(G81:G83)</f>
        <v>182712.90087493751</v>
      </c>
      <c r="H84">
        <f t="shared" si="71"/>
        <v>220851.45417961731</v>
      </c>
      <c r="I84">
        <f t="shared" si="71"/>
        <v>263719.1880940774</v>
      </c>
      <c r="J84">
        <f t="shared" si="71"/>
        <v>311345.24047304259</v>
      </c>
      <c r="K84">
        <f t="shared" si="71"/>
        <v>364257.78466607293</v>
      </c>
      <c r="L84">
        <f t="shared" si="71"/>
        <v>423043.62126452959</v>
      </c>
      <c r="M84">
        <f t="shared" si="71"/>
        <v>488354.68572541495</v>
      </c>
      <c r="N84">
        <f t="shared" si="71"/>
        <v>560915.27834145864</v>
      </c>
      <c r="O84">
        <f t="shared" si="71"/>
        <v>641530.09673788317</v>
      </c>
    </row>
    <row r="86" spans="1:15" ht="15" customHeight="1" x14ac:dyDescent="0.2">
      <c r="B86" s="16" t="s">
        <v>108</v>
      </c>
      <c r="C86">
        <f>C93</f>
        <v>15439</v>
      </c>
      <c r="D86">
        <f t="shared" ref="D86:F86" si="72">D93</f>
        <v>14261</v>
      </c>
      <c r="E86">
        <f t="shared" si="72"/>
        <v>17048</v>
      </c>
      <c r="F86">
        <f t="shared" si="72"/>
        <v>20247.03</v>
      </c>
      <c r="G86">
        <f t="shared" ref="G86:O86" si="73">G93</f>
        <v>23284.084499999997</v>
      </c>
      <c r="H86">
        <f t="shared" si="73"/>
        <v>26613.708583499996</v>
      </c>
      <c r="I86">
        <f t="shared" si="73"/>
        <v>29913.808447853997</v>
      </c>
      <c r="J86">
        <f t="shared" si="73"/>
        <v>33234.241185565792</v>
      </c>
      <c r="K86">
        <f t="shared" si="73"/>
        <v>36923.241957163591</v>
      </c>
      <c r="L86">
        <f t="shared" si="73"/>
        <v>41021.721814408753</v>
      </c>
      <c r="M86">
        <f t="shared" si="73"/>
        <v>45575.132935808128</v>
      </c>
      <c r="N86">
        <f t="shared" si="73"/>
        <v>50633.972691682829</v>
      </c>
      <c r="O86">
        <f t="shared" si="73"/>
        <v>56254.343660459621</v>
      </c>
    </row>
    <row r="87" spans="1:15" ht="15" customHeight="1" x14ac:dyDescent="0.2">
      <c r="B87" s="16" t="s">
        <v>109</v>
      </c>
      <c r="C87">
        <f>C104</f>
        <v>11534</v>
      </c>
      <c r="D87">
        <f t="shared" ref="D87:F87" si="74">D104</f>
        <v>14770</v>
      </c>
      <c r="E87">
        <f t="shared" si="74"/>
        <v>16085</v>
      </c>
      <c r="F87">
        <f t="shared" si="74"/>
        <v>18137.964375</v>
      </c>
      <c r="G87">
        <f t="shared" ref="G87:O87" si="75">G104</f>
        <v>20858.659031249997</v>
      </c>
      <c r="H87">
        <f t="shared" si="75"/>
        <v>23841.447272718746</v>
      </c>
      <c r="I87">
        <f t="shared" si="75"/>
        <v>26797.786734535875</v>
      </c>
      <c r="J87">
        <f t="shared" si="75"/>
        <v>29772.341062069354</v>
      </c>
      <c r="K87">
        <f t="shared" si="75"/>
        <v>33077.070919959049</v>
      </c>
      <c r="L87">
        <f t="shared" si="75"/>
        <v>36748.625792074505</v>
      </c>
      <c r="M87">
        <f t="shared" si="75"/>
        <v>40827.72325499478</v>
      </c>
      <c r="N87">
        <f t="shared" si="75"/>
        <v>45359.6005362992</v>
      </c>
      <c r="O87">
        <f t="shared" si="75"/>
        <v>50394.516195828415</v>
      </c>
    </row>
    <row r="88" spans="1:15" ht="15" customHeight="1" x14ac:dyDescent="0.2">
      <c r="B88" s="16" t="s">
        <v>107</v>
      </c>
      <c r="C88">
        <f>C86-C87</f>
        <v>3905</v>
      </c>
      <c r="D88">
        <f t="shared" ref="D88:F88" si="76">D86-D87</f>
        <v>-509</v>
      </c>
      <c r="E88">
        <f t="shared" si="76"/>
        <v>963</v>
      </c>
      <c r="F88">
        <f t="shared" si="76"/>
        <v>2109.0656249999993</v>
      </c>
      <c r="G88">
        <f t="shared" ref="G88" si="77">G86-G87</f>
        <v>2425.4254687499997</v>
      </c>
      <c r="H88">
        <f t="shared" ref="H88" si="78">H86-H87</f>
        <v>2772.2613107812504</v>
      </c>
      <c r="I88">
        <f t="shared" ref="I88" si="79">I86-I87</f>
        <v>3116.0217133181213</v>
      </c>
      <c r="J88">
        <f t="shared" ref="J88" si="80">J86-J87</f>
        <v>3461.900123496438</v>
      </c>
      <c r="K88">
        <f t="shared" ref="K88" si="81">K86-K87</f>
        <v>3846.1710372045418</v>
      </c>
      <c r="L88">
        <f t="shared" ref="L88" si="82">L86-L87</f>
        <v>4273.0960223342481</v>
      </c>
      <c r="M88">
        <f t="shared" ref="M88" si="83">M86-M87</f>
        <v>4747.4096808133472</v>
      </c>
      <c r="N88">
        <f t="shared" ref="N88" si="84">N86-N87</f>
        <v>5274.3721553836294</v>
      </c>
      <c r="O88">
        <f t="shared" ref="O88" si="85">O86-O87</f>
        <v>5859.8274646312057</v>
      </c>
    </row>
    <row r="90" spans="1:15" ht="15" customHeight="1" x14ac:dyDescent="0.2">
      <c r="A90" s="15" t="s">
        <v>30</v>
      </c>
    </row>
    <row r="91" spans="1:15" ht="15" customHeight="1" x14ac:dyDescent="0.2">
      <c r="B91" s="16" t="s">
        <v>111</v>
      </c>
      <c r="C91" s="75">
        <v>17628</v>
      </c>
      <c r="D91" s="78">
        <v>18347</v>
      </c>
      <c r="E91" s="75">
        <v>16549</v>
      </c>
      <c r="F91">
        <f>F223</f>
        <v>33714.969366250007</v>
      </c>
      <c r="G91">
        <f t="shared" ref="G91:O91" si="86">G223</f>
        <v>60353.30169218751</v>
      </c>
      <c r="H91">
        <f t="shared" si="86"/>
        <v>91088.926466295568</v>
      </c>
      <c r="I91">
        <f t="shared" si="86"/>
        <v>125909.70225757646</v>
      </c>
      <c r="J91">
        <f t="shared" si="86"/>
        <v>164950.80634507531</v>
      </c>
      <c r="K91">
        <f t="shared" si="86"/>
        <v>208478.40554319188</v>
      </c>
      <c r="L91">
        <f t="shared" si="86"/>
        <v>257228.10457486013</v>
      </c>
      <c r="M91">
        <f t="shared" si="86"/>
        <v>311709.23618700122</v>
      </c>
      <c r="N91">
        <f t="shared" si="86"/>
        <v>372499.83447933104</v>
      </c>
      <c r="O91">
        <f t="shared" si="86"/>
        <v>440252.1561372258</v>
      </c>
    </row>
    <row r="92" spans="1:15" ht="15" customHeight="1" x14ac:dyDescent="0.2">
      <c r="B92" s="16" t="s">
        <v>112</v>
      </c>
      <c r="C92" s="75">
        <v>39819</v>
      </c>
      <c r="D92" s="78">
        <v>46048</v>
      </c>
      <c r="E92" s="75">
        <v>56517</v>
      </c>
      <c r="F92">
        <f>E92+F56</f>
        <v>56517</v>
      </c>
      <c r="G92">
        <f t="shared" ref="G92:O92" si="87">F92+G56</f>
        <v>56517</v>
      </c>
      <c r="H92">
        <f t="shared" si="87"/>
        <v>56517</v>
      </c>
      <c r="I92">
        <f t="shared" si="87"/>
        <v>56517</v>
      </c>
      <c r="J92">
        <f t="shared" si="87"/>
        <v>56517</v>
      </c>
      <c r="K92">
        <f t="shared" si="87"/>
        <v>56517</v>
      </c>
      <c r="L92">
        <f t="shared" si="87"/>
        <v>56517</v>
      </c>
      <c r="M92">
        <f t="shared" si="87"/>
        <v>56517</v>
      </c>
      <c r="N92">
        <f t="shared" si="87"/>
        <v>56517</v>
      </c>
      <c r="O92">
        <f t="shared" si="87"/>
        <v>56517</v>
      </c>
    </row>
    <row r="93" spans="1:15" ht="15" customHeight="1" x14ac:dyDescent="0.2">
      <c r="B93" s="16" t="s">
        <v>108</v>
      </c>
      <c r="C93" s="75">
        <v>15439</v>
      </c>
      <c r="D93" s="78">
        <v>14261</v>
      </c>
      <c r="E93" s="75">
        <f>90114-E91-E92</f>
        <v>17048</v>
      </c>
      <c r="F93">
        <f>F57*F25</f>
        <v>20247.03</v>
      </c>
      <c r="G93">
        <f t="shared" ref="G93:O93" si="88">G57*G25</f>
        <v>23284.084499999997</v>
      </c>
      <c r="H93">
        <f t="shared" si="88"/>
        <v>26613.708583499996</v>
      </c>
      <c r="I93">
        <f t="shared" si="88"/>
        <v>29913.808447853997</v>
      </c>
      <c r="J93">
        <f t="shared" si="88"/>
        <v>33234.241185565792</v>
      </c>
      <c r="K93">
        <f t="shared" si="88"/>
        <v>36923.241957163591</v>
      </c>
      <c r="L93">
        <f t="shared" si="88"/>
        <v>41021.721814408753</v>
      </c>
      <c r="M93">
        <f t="shared" si="88"/>
        <v>45575.132935808128</v>
      </c>
      <c r="N93">
        <f t="shared" si="88"/>
        <v>50633.972691682829</v>
      </c>
      <c r="O93">
        <f t="shared" si="88"/>
        <v>56254.343660459621</v>
      </c>
    </row>
    <row r="94" spans="1:15" ht="15" customHeight="1" x14ac:dyDescent="0.2">
      <c r="B94" s="16" t="s">
        <v>118</v>
      </c>
      <c r="C94" s="74">
        <f>SUM(C91:C93)</f>
        <v>72886</v>
      </c>
      <c r="D94" s="74">
        <f>SUM(D91:D93)</f>
        <v>78656</v>
      </c>
      <c r="E94" s="74">
        <f>SUM(E91:E93)</f>
        <v>90114</v>
      </c>
      <c r="F94" s="74">
        <f>SUM(F91:F93)</f>
        <v>110478.99936625001</v>
      </c>
      <c r="G94" s="74">
        <f t="shared" ref="G94:O94" si="89">SUM(G91:G93)</f>
        <v>140154.38619218749</v>
      </c>
      <c r="H94" s="74">
        <f t="shared" si="89"/>
        <v>174219.63504979556</v>
      </c>
      <c r="I94" s="74">
        <f t="shared" si="89"/>
        <v>212340.51070543047</v>
      </c>
      <c r="J94" s="74">
        <f t="shared" si="89"/>
        <v>254702.04753064111</v>
      </c>
      <c r="K94" s="74">
        <f t="shared" si="89"/>
        <v>301918.6475003555</v>
      </c>
      <c r="L94" s="74">
        <f t="shared" si="89"/>
        <v>354766.82638926886</v>
      </c>
      <c r="M94" s="74">
        <f t="shared" si="89"/>
        <v>413801.36912280938</v>
      </c>
      <c r="N94" s="74">
        <f t="shared" si="89"/>
        <v>479650.80717101385</v>
      </c>
      <c r="O94" s="74">
        <f t="shared" si="89"/>
        <v>553023.49979768542</v>
      </c>
    </row>
    <row r="96" spans="1:15" ht="15" customHeight="1" x14ac:dyDescent="0.2">
      <c r="B96" s="16" t="s">
        <v>113</v>
      </c>
      <c r="C96" s="75">
        <v>16524</v>
      </c>
      <c r="D96" s="78">
        <v>23883</v>
      </c>
      <c r="E96" s="75">
        <v>29016</v>
      </c>
      <c r="F96">
        <f>F75</f>
        <v>36650.625750000007</v>
      </c>
      <c r="G96">
        <f t="shared" ref="G96:O96" si="90">G75</f>
        <v>44862.620307750003</v>
      </c>
      <c r="H96">
        <f t="shared" si="90"/>
        <v>53734.954859196747</v>
      </c>
      <c r="I96">
        <f t="shared" si="90"/>
        <v>63134.937948464467</v>
      </c>
      <c r="J96">
        <f t="shared" si="90"/>
        <v>72983.994424358738</v>
      </c>
      <c r="K96">
        <f t="shared" si="90"/>
        <v>83434.789612171924</v>
      </c>
      <c r="L96">
        <f t="shared" si="90"/>
        <v>94639.147143271664</v>
      </c>
      <c r="M96">
        <f t="shared" si="90"/>
        <v>106751.03277236575</v>
      </c>
      <c r="N96">
        <f t="shared" si="90"/>
        <v>119929.33703504824</v>
      </c>
      <c r="O96">
        <f t="shared" si="90"/>
        <v>134340.52651577219</v>
      </c>
    </row>
    <row r="97" spans="2:15" ht="15" customHeight="1" x14ac:dyDescent="0.2">
      <c r="B97" s="16" t="s">
        <v>119</v>
      </c>
      <c r="C97" s="75">
        <v>1976</v>
      </c>
      <c r="D97" s="78">
        <v>3079</v>
      </c>
      <c r="E97" s="75">
        <v>5183</v>
      </c>
      <c r="F97">
        <f>E97+F59</f>
        <v>5183</v>
      </c>
      <c r="G97">
        <f t="shared" ref="G97:O97" si="91">F97+G59</f>
        <v>5183</v>
      </c>
      <c r="H97">
        <f t="shared" si="91"/>
        <v>5183</v>
      </c>
      <c r="I97">
        <f t="shared" si="91"/>
        <v>5183</v>
      </c>
      <c r="J97">
        <f t="shared" si="91"/>
        <v>5183</v>
      </c>
      <c r="K97">
        <f t="shared" si="91"/>
        <v>5183</v>
      </c>
      <c r="L97">
        <f t="shared" si="91"/>
        <v>5183</v>
      </c>
      <c r="M97">
        <f t="shared" si="91"/>
        <v>5183</v>
      </c>
      <c r="N97">
        <f t="shared" si="91"/>
        <v>5183</v>
      </c>
      <c r="O97">
        <f t="shared" si="91"/>
        <v>5183</v>
      </c>
    </row>
    <row r="98" spans="2:15" ht="15" customHeight="1" x14ac:dyDescent="0.2">
      <c r="B98" s="16" t="s">
        <v>114</v>
      </c>
      <c r="C98" s="75">
        <v>11492</v>
      </c>
      <c r="D98" s="78">
        <v>15599</v>
      </c>
      <c r="E98" s="75">
        <v>15869</v>
      </c>
      <c r="F98">
        <f>F60</f>
        <v>15869</v>
      </c>
      <c r="G98">
        <f t="shared" ref="G98:O98" si="92">G60</f>
        <v>15869</v>
      </c>
      <c r="H98">
        <f t="shared" si="92"/>
        <v>15869</v>
      </c>
      <c r="I98">
        <f t="shared" si="92"/>
        <v>15869</v>
      </c>
      <c r="J98">
        <f t="shared" si="92"/>
        <v>15869</v>
      </c>
      <c r="K98">
        <f t="shared" si="92"/>
        <v>15869</v>
      </c>
      <c r="L98">
        <f t="shared" si="92"/>
        <v>15869</v>
      </c>
      <c r="M98">
        <f t="shared" si="92"/>
        <v>15869</v>
      </c>
      <c r="N98">
        <f t="shared" si="92"/>
        <v>15869</v>
      </c>
      <c r="O98">
        <f t="shared" si="92"/>
        <v>15869</v>
      </c>
    </row>
    <row r="99" spans="2:15" ht="15" customHeight="1" x14ac:dyDescent="0.2">
      <c r="B99" s="16" t="s">
        <v>115</v>
      </c>
      <c r="C99" s="75">
        <v>6066</v>
      </c>
      <c r="D99" s="78">
        <v>4607</v>
      </c>
      <c r="E99" s="75">
        <v>3847</v>
      </c>
      <c r="F99">
        <f>F79</f>
        <v>3041</v>
      </c>
      <c r="G99">
        <f t="shared" ref="G99:O99" si="93">G79</f>
        <v>2317</v>
      </c>
      <c r="H99">
        <f t="shared" si="93"/>
        <v>1680</v>
      </c>
      <c r="I99">
        <f t="shared" si="93"/>
        <v>1152</v>
      </c>
      <c r="J99">
        <f t="shared" si="93"/>
        <v>718</v>
      </c>
      <c r="K99">
        <f t="shared" si="93"/>
        <v>574.4</v>
      </c>
      <c r="L99">
        <f t="shared" si="93"/>
        <v>430.79999999999995</v>
      </c>
      <c r="M99">
        <f t="shared" si="93"/>
        <v>287.19999999999993</v>
      </c>
      <c r="N99">
        <f t="shared" si="93"/>
        <v>143.59999999999994</v>
      </c>
      <c r="O99">
        <f t="shared" si="93"/>
        <v>0</v>
      </c>
    </row>
    <row r="100" spans="2:15" ht="15" customHeight="1" x14ac:dyDescent="0.2">
      <c r="B100" s="16" t="s">
        <v>120</v>
      </c>
      <c r="C100" s="75">
        <v>1976</v>
      </c>
      <c r="D100" s="78">
        <v>3363</v>
      </c>
      <c r="E100" s="75">
        <f>3181+251</f>
        <v>3432</v>
      </c>
      <c r="F100">
        <f>F61</f>
        <v>3432</v>
      </c>
      <c r="G100">
        <f t="shared" ref="G100:O100" si="94">G61</f>
        <v>3432</v>
      </c>
      <c r="H100">
        <f t="shared" si="94"/>
        <v>3432</v>
      </c>
      <c r="I100">
        <f t="shared" si="94"/>
        <v>3432</v>
      </c>
      <c r="J100">
        <f t="shared" si="94"/>
        <v>3432</v>
      </c>
      <c r="K100">
        <f t="shared" si="94"/>
        <v>3432</v>
      </c>
      <c r="L100">
        <f t="shared" si="94"/>
        <v>3432</v>
      </c>
      <c r="M100">
        <f t="shared" si="94"/>
        <v>3432</v>
      </c>
      <c r="N100">
        <f t="shared" si="94"/>
        <v>3432</v>
      </c>
      <c r="O100">
        <f t="shared" si="94"/>
        <v>3432</v>
      </c>
    </row>
    <row r="101" spans="2:15" ht="15" customHeight="1" x14ac:dyDescent="0.2">
      <c r="B101" s="16" t="s">
        <v>31</v>
      </c>
      <c r="C101" s="74">
        <f>SUM(C94,C96:C100)</f>
        <v>110920</v>
      </c>
      <c r="D101" s="74">
        <f>SUM(D94,D96:D100)</f>
        <v>129187</v>
      </c>
      <c r="E101" s="74">
        <f>SUM(E94,E96:E100)</f>
        <v>147461</v>
      </c>
      <c r="F101" s="74">
        <f>SUM(F94,F96:F100)</f>
        <v>174654.62511625001</v>
      </c>
      <c r="G101" s="74">
        <f t="shared" ref="G101:O101" si="95">SUM(G94,G96:G100)</f>
        <v>211818.0064999375</v>
      </c>
      <c r="H101" s="74">
        <f t="shared" si="95"/>
        <v>254118.58990899229</v>
      </c>
      <c r="I101" s="74">
        <f t="shared" si="95"/>
        <v>301111.44865389494</v>
      </c>
      <c r="J101" s="74">
        <f t="shared" si="95"/>
        <v>352888.04195499985</v>
      </c>
      <c r="K101" s="74">
        <f t="shared" si="95"/>
        <v>410411.83711252746</v>
      </c>
      <c r="L101" s="74">
        <f t="shared" si="95"/>
        <v>474320.77353254048</v>
      </c>
      <c r="M101" s="74">
        <f t="shared" si="95"/>
        <v>545323.60189517506</v>
      </c>
      <c r="N101" s="74">
        <f t="shared" si="95"/>
        <v>624207.74420606205</v>
      </c>
      <c r="O101" s="74">
        <f t="shared" si="95"/>
        <v>711848.02631345764</v>
      </c>
    </row>
    <row r="103" spans="2:15" ht="15" customHeight="1" x14ac:dyDescent="0.2">
      <c r="B103" s="16" t="s">
        <v>121</v>
      </c>
      <c r="C103" s="75">
        <v>3374</v>
      </c>
      <c r="D103" s="75">
        <v>2009</v>
      </c>
      <c r="E103">
        <f>E193</f>
        <v>2000</v>
      </c>
      <c r="F103">
        <f>F193</f>
        <v>0</v>
      </c>
      <c r="G103">
        <f t="shared" ref="G103:O103" si="96">G193</f>
        <v>0</v>
      </c>
      <c r="H103">
        <f t="shared" si="96"/>
        <v>0</v>
      </c>
      <c r="I103">
        <f t="shared" si="96"/>
        <v>0</v>
      </c>
      <c r="J103">
        <f t="shared" si="96"/>
        <v>0</v>
      </c>
      <c r="K103">
        <f t="shared" si="96"/>
        <v>0</v>
      </c>
      <c r="L103">
        <f t="shared" si="96"/>
        <v>0</v>
      </c>
      <c r="M103">
        <f t="shared" si="96"/>
        <v>0</v>
      </c>
      <c r="N103">
        <f t="shared" si="96"/>
        <v>0</v>
      </c>
      <c r="O103">
        <f t="shared" si="96"/>
        <v>0</v>
      </c>
    </row>
    <row r="104" spans="2:15" ht="15" customHeight="1" x14ac:dyDescent="0.2">
      <c r="B104" s="16" t="s">
        <v>109</v>
      </c>
      <c r="C104" s="75">
        <v>11534</v>
      </c>
      <c r="D104" s="75">
        <f>16779-D103</f>
        <v>14770</v>
      </c>
      <c r="E104" s="75">
        <f>19310-3225</f>
        <v>16085</v>
      </c>
      <c r="F104">
        <f>F63*F25</f>
        <v>18137.964375</v>
      </c>
      <c r="G104">
        <f t="shared" ref="G104:O104" si="97">G63*G25</f>
        <v>20858.659031249997</v>
      </c>
      <c r="H104">
        <f t="shared" si="97"/>
        <v>23841.447272718746</v>
      </c>
      <c r="I104">
        <f t="shared" si="97"/>
        <v>26797.786734535875</v>
      </c>
      <c r="J104">
        <f t="shared" si="97"/>
        <v>29772.341062069354</v>
      </c>
      <c r="K104">
        <f t="shared" si="97"/>
        <v>33077.070919959049</v>
      </c>
      <c r="L104">
        <f t="shared" si="97"/>
        <v>36748.625792074505</v>
      </c>
      <c r="M104">
        <f t="shared" si="97"/>
        <v>40827.72325499478</v>
      </c>
      <c r="N104">
        <f t="shared" si="97"/>
        <v>45359.6005362992</v>
      </c>
      <c r="O104">
        <f t="shared" si="97"/>
        <v>50394.516195828415</v>
      </c>
    </row>
    <row r="105" spans="2:15" ht="15" customHeight="1" x14ac:dyDescent="0.2">
      <c r="B105" s="16" t="s">
        <v>122</v>
      </c>
      <c r="C105" s="74">
        <f>SUM(C103:C104)</f>
        <v>14908</v>
      </c>
      <c r="D105" s="74">
        <f>SUM(D103:D104)</f>
        <v>16779</v>
      </c>
      <c r="E105" s="74">
        <f>SUM(E103:E104)</f>
        <v>18085</v>
      </c>
      <c r="F105" s="74">
        <f>SUM(F103:F104)</f>
        <v>18137.964375</v>
      </c>
      <c r="G105" s="74">
        <f t="shared" ref="G105:O105" si="98">SUM(G103:G104)</f>
        <v>20858.659031249997</v>
      </c>
      <c r="H105" s="74">
        <f t="shared" si="98"/>
        <v>23841.447272718746</v>
      </c>
      <c r="I105" s="74">
        <f t="shared" si="98"/>
        <v>26797.786734535875</v>
      </c>
      <c r="J105" s="74">
        <f t="shared" si="98"/>
        <v>29772.341062069354</v>
      </c>
      <c r="K105" s="74">
        <f t="shared" si="98"/>
        <v>33077.070919959049</v>
      </c>
      <c r="L105" s="74">
        <f t="shared" si="98"/>
        <v>36748.625792074505</v>
      </c>
      <c r="M105" s="74">
        <f t="shared" si="98"/>
        <v>40827.72325499478</v>
      </c>
      <c r="N105" s="74">
        <f t="shared" si="98"/>
        <v>45359.6005362992</v>
      </c>
      <c r="O105" s="74">
        <f t="shared" si="98"/>
        <v>50394.516195828415</v>
      </c>
    </row>
    <row r="107" spans="2:15" ht="15" customHeight="1" x14ac:dyDescent="0.2">
      <c r="B107" s="16" t="s">
        <v>47</v>
      </c>
      <c r="C107" s="75">
        <f>2990+246</f>
        <v>3236</v>
      </c>
      <c r="D107" s="75">
        <v>3228</v>
      </c>
      <c r="E107">
        <f>E194</f>
        <v>3225</v>
      </c>
      <c r="F107">
        <f>F194</f>
        <v>0</v>
      </c>
      <c r="G107">
        <f t="shared" ref="G107:O107" si="99">G194</f>
        <v>0</v>
      </c>
      <c r="H107">
        <f t="shared" si="99"/>
        <v>0</v>
      </c>
      <c r="I107">
        <f t="shared" si="99"/>
        <v>0</v>
      </c>
      <c r="J107">
        <f t="shared" si="99"/>
        <v>0</v>
      </c>
      <c r="K107">
        <f t="shared" si="99"/>
        <v>0</v>
      </c>
      <c r="L107">
        <f t="shared" si="99"/>
        <v>0</v>
      </c>
      <c r="M107">
        <f t="shared" si="99"/>
        <v>0</v>
      </c>
      <c r="N107">
        <f t="shared" si="99"/>
        <v>0</v>
      </c>
      <c r="O107">
        <f t="shared" si="99"/>
        <v>0</v>
      </c>
    </row>
    <row r="108" spans="2:15" ht="15" customHeight="1" x14ac:dyDescent="0.2">
      <c r="B108" s="16" t="s">
        <v>123</v>
      </c>
      <c r="C108" s="75">
        <v>5467</v>
      </c>
      <c r="D108" s="75">
        <f>104+3340+758+1118</f>
        <v>5320</v>
      </c>
      <c r="E108" s="75">
        <f>151+3663+189+1822-5</f>
        <v>5820</v>
      </c>
      <c r="F108">
        <f>F64*F25</f>
        <v>7170.8231250000008</v>
      </c>
      <c r="G108">
        <f t="shared" ref="G108:O108" si="100">G64*G25</f>
        <v>8246.446593749999</v>
      </c>
      <c r="H108">
        <f t="shared" si="100"/>
        <v>9425.6884566562494</v>
      </c>
      <c r="I108">
        <f t="shared" si="100"/>
        <v>10594.473825281626</v>
      </c>
      <c r="J108">
        <f t="shared" si="100"/>
        <v>11770.460419887886</v>
      </c>
      <c r="K108">
        <f t="shared" si="100"/>
        <v>13076.981526495441</v>
      </c>
      <c r="L108">
        <f t="shared" si="100"/>
        <v>14528.526475936435</v>
      </c>
      <c r="M108">
        <f t="shared" si="100"/>
        <v>16141.192914765379</v>
      </c>
      <c r="N108">
        <f t="shared" si="100"/>
        <v>17932.865328304335</v>
      </c>
      <c r="O108">
        <f t="shared" si="100"/>
        <v>19923.413379746118</v>
      </c>
    </row>
    <row r="109" spans="2:15" ht="15" customHeight="1" x14ac:dyDescent="0.2">
      <c r="B109" s="16" t="s">
        <v>32</v>
      </c>
      <c r="C109" s="74">
        <f>SUM(C105,C107:C108)</f>
        <v>23611</v>
      </c>
      <c r="D109" s="74">
        <f>SUM(D105,D107:D108)</f>
        <v>25327</v>
      </c>
      <c r="E109" s="74">
        <f>SUM(E105,E107:E108)</f>
        <v>27130</v>
      </c>
      <c r="F109" s="74">
        <f>SUM(F105,F107:F108)</f>
        <v>25308.787499999999</v>
      </c>
      <c r="G109" s="74">
        <f t="shared" ref="G109:O109" si="101">SUM(G105,G107:G108)</f>
        <v>29105.105624999997</v>
      </c>
      <c r="H109" s="74">
        <f t="shared" si="101"/>
        <v>33267.135729374997</v>
      </c>
      <c r="I109" s="74">
        <f t="shared" si="101"/>
        <v>37392.2605598175</v>
      </c>
      <c r="J109" s="74">
        <f t="shared" si="101"/>
        <v>41542.801481957242</v>
      </c>
      <c r="K109" s="74">
        <f t="shared" si="101"/>
        <v>46154.052446454487</v>
      </c>
      <c r="L109" s="74">
        <f t="shared" si="101"/>
        <v>51277.152268010941</v>
      </c>
      <c r="M109" s="74">
        <f t="shared" si="101"/>
        <v>56968.916169760159</v>
      </c>
      <c r="N109" s="74">
        <f t="shared" si="101"/>
        <v>63292.465864603539</v>
      </c>
      <c r="O109" s="74">
        <f t="shared" si="101"/>
        <v>70317.929575574526</v>
      </c>
    </row>
    <row r="111" spans="2:15" ht="15" customHeight="1" x14ac:dyDescent="0.2">
      <c r="B111" s="16" t="s">
        <v>116</v>
      </c>
      <c r="C111" s="75">
        <v>87309</v>
      </c>
      <c r="D111" s="75">
        <v>103860</v>
      </c>
      <c r="E111" s="75">
        <v>120331</v>
      </c>
      <c r="F111">
        <f>F84</f>
        <v>149345.83761625001</v>
      </c>
      <c r="G111">
        <f t="shared" ref="G111:O111" si="102">G84</f>
        <v>182712.90087493751</v>
      </c>
      <c r="H111">
        <f t="shared" si="102"/>
        <v>220851.45417961731</v>
      </c>
      <c r="I111">
        <f t="shared" si="102"/>
        <v>263719.1880940774</v>
      </c>
      <c r="J111">
        <f t="shared" si="102"/>
        <v>311345.24047304259</v>
      </c>
      <c r="K111">
        <f t="shared" si="102"/>
        <v>364257.78466607293</v>
      </c>
      <c r="L111">
        <f t="shared" si="102"/>
        <v>423043.62126452959</v>
      </c>
      <c r="M111">
        <f t="shared" si="102"/>
        <v>488354.68572541495</v>
      </c>
      <c r="N111">
        <f t="shared" si="102"/>
        <v>560915.27834145864</v>
      </c>
      <c r="O111">
        <f t="shared" si="102"/>
        <v>641530.09673788317</v>
      </c>
    </row>
    <row r="112" spans="2:15" ht="15" customHeight="1" x14ac:dyDescent="0.2">
      <c r="B112" s="16" t="s">
        <v>33</v>
      </c>
      <c r="C112" s="74">
        <f>C109+C111</f>
        <v>110920</v>
      </c>
      <c r="D112" s="74">
        <f t="shared" ref="D112:F112" si="103">D109+D111</f>
        <v>129187</v>
      </c>
      <c r="E112" s="74">
        <f t="shared" si="103"/>
        <v>147461</v>
      </c>
      <c r="F112" s="74">
        <f t="shared" si="103"/>
        <v>174654.62511625001</v>
      </c>
      <c r="G112" s="74">
        <f t="shared" ref="G112:O112" si="104">G109+G111</f>
        <v>211818.0064999375</v>
      </c>
      <c r="H112" s="74">
        <f t="shared" si="104"/>
        <v>254118.58990899232</v>
      </c>
      <c r="I112" s="74">
        <f t="shared" si="104"/>
        <v>301111.44865389488</v>
      </c>
      <c r="J112" s="74">
        <f t="shared" si="104"/>
        <v>352888.04195499985</v>
      </c>
      <c r="K112" s="74">
        <f t="shared" si="104"/>
        <v>410411.8371125274</v>
      </c>
      <c r="L112" s="74">
        <f t="shared" si="104"/>
        <v>474320.77353254054</v>
      </c>
      <c r="M112" s="74">
        <f t="shared" si="104"/>
        <v>545323.60189517506</v>
      </c>
      <c r="N112" s="74">
        <f t="shared" si="104"/>
        <v>624207.74420606217</v>
      </c>
      <c r="O112" s="74">
        <f t="shared" si="104"/>
        <v>711848.02631345764</v>
      </c>
    </row>
    <row r="114" spans="1:15" ht="15" customHeight="1" x14ac:dyDescent="0.2">
      <c r="B114" s="16" t="s">
        <v>117</v>
      </c>
      <c r="C114">
        <f>C112-C101</f>
        <v>0</v>
      </c>
      <c r="D114">
        <f t="shared" ref="D114:F114" si="105">D112-D101</f>
        <v>0</v>
      </c>
      <c r="E114">
        <f t="shared" si="105"/>
        <v>0</v>
      </c>
      <c r="F114">
        <f t="shared" si="105"/>
        <v>0</v>
      </c>
      <c r="G114">
        <f t="shared" ref="G114:O114" si="106">G112-G101</f>
        <v>0</v>
      </c>
      <c r="H114">
        <f t="shared" si="106"/>
        <v>0</v>
      </c>
      <c r="I114">
        <f t="shared" si="106"/>
        <v>0</v>
      </c>
      <c r="J114">
        <f t="shared" si="106"/>
        <v>0</v>
      </c>
      <c r="K114">
        <f t="shared" si="106"/>
        <v>0</v>
      </c>
      <c r="L114">
        <f t="shared" si="106"/>
        <v>0</v>
      </c>
      <c r="M114">
        <f t="shared" si="106"/>
        <v>0</v>
      </c>
      <c r="N114">
        <f t="shared" si="106"/>
        <v>0</v>
      </c>
      <c r="O114">
        <f t="shared" si="106"/>
        <v>0</v>
      </c>
    </row>
    <row r="116" spans="1:15" ht="15" customHeight="1" x14ac:dyDescent="0.2">
      <c r="A116" s="15" t="s">
        <v>48</v>
      </c>
    </row>
    <row r="117" spans="1:15" ht="15" customHeight="1" x14ac:dyDescent="0.2">
      <c r="B117" s="16" t="s">
        <v>124</v>
      </c>
      <c r="D117" s="71"/>
      <c r="F117" s="72">
        <v>-1000</v>
      </c>
      <c r="G117" s="72">
        <v>0</v>
      </c>
      <c r="H117" s="72">
        <v>0</v>
      </c>
      <c r="I117" s="72">
        <v>0</v>
      </c>
      <c r="J117" s="72">
        <v>0</v>
      </c>
      <c r="K117" s="72">
        <v>0</v>
      </c>
      <c r="L117" s="72">
        <v>0</v>
      </c>
      <c r="M117" s="72">
        <v>0</v>
      </c>
      <c r="N117" s="72">
        <v>0</v>
      </c>
      <c r="O117" s="72">
        <v>0</v>
      </c>
    </row>
    <row r="118" spans="1:15" ht="15" customHeight="1" x14ac:dyDescent="0.2">
      <c r="B118" s="16" t="s">
        <v>125</v>
      </c>
      <c r="D118" s="71"/>
      <c r="E118" s="71"/>
      <c r="F118" s="72">
        <v>0</v>
      </c>
      <c r="G118" s="72">
        <v>0</v>
      </c>
      <c r="H118" s="72">
        <v>0</v>
      </c>
      <c r="I118" s="72">
        <v>0</v>
      </c>
      <c r="J118" s="72">
        <v>0</v>
      </c>
      <c r="K118" s="72">
        <v>0</v>
      </c>
      <c r="L118" s="72">
        <v>-1000</v>
      </c>
      <c r="M118" s="72">
        <v>0</v>
      </c>
      <c r="N118" s="72">
        <v>0</v>
      </c>
      <c r="O118" s="72">
        <v>0</v>
      </c>
    </row>
    <row r="119" spans="1:15" ht="15" customHeight="1" x14ac:dyDescent="0.2">
      <c r="B119" s="16" t="s">
        <v>126</v>
      </c>
      <c r="D119" s="71"/>
      <c r="E119" s="71"/>
      <c r="F119" s="72">
        <v>0</v>
      </c>
      <c r="G119" s="72">
        <v>0</v>
      </c>
      <c r="H119" s="72">
        <v>0</v>
      </c>
      <c r="I119" s="72">
        <v>0</v>
      </c>
      <c r="J119" s="72">
        <v>0</v>
      </c>
      <c r="K119" s="72">
        <v>0</v>
      </c>
      <c r="L119" s="72">
        <v>0</v>
      </c>
      <c r="M119" s="72">
        <v>0</v>
      </c>
      <c r="N119" s="72">
        <v>0</v>
      </c>
      <c r="O119" s="72">
        <v>-1000</v>
      </c>
    </row>
    <row r="120" spans="1:15" ht="15" customHeight="1" x14ac:dyDescent="0.2">
      <c r="B120" s="16" t="s">
        <v>127</v>
      </c>
      <c r="D120" s="71"/>
      <c r="E120" s="71"/>
      <c r="F120" s="76">
        <f>F121-SUM(F117:F119)</f>
        <v>-225</v>
      </c>
      <c r="G120" s="76">
        <f t="shared" ref="G120:J120" si="107">G121-SUM(G117:G119)</f>
        <v>0</v>
      </c>
      <c r="H120" s="76">
        <f t="shared" si="107"/>
        <v>0</v>
      </c>
      <c r="I120" s="76">
        <f t="shared" si="107"/>
        <v>0</v>
      </c>
      <c r="J120" s="76">
        <f t="shared" si="107"/>
        <v>0</v>
      </c>
      <c r="K120" s="76">
        <f t="shared" ref="K120:O120" si="108">K121-SUM(K117:K119)</f>
        <v>0</v>
      </c>
      <c r="L120" s="76">
        <f t="shared" si="108"/>
        <v>0</v>
      </c>
      <c r="M120" s="76">
        <f t="shared" si="108"/>
        <v>0</v>
      </c>
      <c r="N120" s="76">
        <f t="shared" si="108"/>
        <v>0</v>
      </c>
      <c r="O120" s="76">
        <f t="shared" si="108"/>
        <v>0</v>
      </c>
    </row>
    <row r="121" spans="1:15" ht="15" customHeight="1" x14ac:dyDescent="0.2">
      <c r="B121" s="16" t="s">
        <v>128</v>
      </c>
      <c r="F121" s="72">
        <v>-1225</v>
      </c>
      <c r="G121" s="72">
        <v>0</v>
      </c>
      <c r="H121" s="72">
        <v>0</v>
      </c>
      <c r="I121" s="72">
        <v>0</v>
      </c>
      <c r="J121" s="72">
        <v>0</v>
      </c>
      <c r="K121" s="72">
        <v>0</v>
      </c>
      <c r="L121" s="72">
        <v>-1000</v>
      </c>
      <c r="M121" s="72">
        <v>0</v>
      </c>
      <c r="N121" s="72">
        <v>0</v>
      </c>
      <c r="O121" s="72">
        <v>-1000</v>
      </c>
    </row>
    <row r="122" spans="1:15" ht="15" customHeight="1" x14ac:dyDescent="0.2"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</row>
    <row r="123" spans="1:15" ht="15" customHeight="1" x14ac:dyDescent="0.2">
      <c r="B123" s="16" t="s">
        <v>129</v>
      </c>
      <c r="D123" s="66"/>
      <c r="E123" s="66"/>
      <c r="F123" s="67">
        <v>1.4999999999999999E-2</v>
      </c>
      <c r="G123" s="67">
        <v>1.4999999999999999E-2</v>
      </c>
      <c r="H123" s="67">
        <v>1.4999999999999999E-2</v>
      </c>
      <c r="I123" s="67">
        <v>1.4999999999999999E-2</v>
      </c>
      <c r="J123" s="67">
        <v>1.4999999999999999E-2</v>
      </c>
      <c r="K123" s="67">
        <v>1.4999999999999999E-2</v>
      </c>
      <c r="L123" s="67">
        <v>1.4999999999999999E-2</v>
      </c>
      <c r="M123" s="67">
        <v>1.4999999999999999E-2</v>
      </c>
      <c r="N123" s="67">
        <v>1.4999999999999999E-2</v>
      </c>
      <c r="O123" s="67">
        <v>1.4999999999999999E-2</v>
      </c>
    </row>
    <row r="124" spans="1:15" ht="15" customHeight="1" x14ac:dyDescent="0.2">
      <c r="B124" s="16" t="s">
        <v>130</v>
      </c>
      <c r="D124" s="66"/>
      <c r="E124" s="66"/>
      <c r="F124" s="67">
        <v>2.1250000000000002E-2</v>
      </c>
      <c r="G124" s="67">
        <v>2.1250000000000002E-2</v>
      </c>
      <c r="H124" s="67">
        <v>2.1250000000000002E-2</v>
      </c>
      <c r="I124" s="67">
        <v>2.1250000000000002E-2</v>
      </c>
      <c r="J124" s="67">
        <v>2.1250000000000002E-2</v>
      </c>
      <c r="K124" s="67">
        <v>2.1250000000000002E-2</v>
      </c>
      <c r="L124" s="67">
        <v>2.1250000000000002E-2</v>
      </c>
      <c r="M124" s="67">
        <v>2.1250000000000002E-2</v>
      </c>
      <c r="N124" s="67">
        <v>2.1250000000000002E-2</v>
      </c>
      <c r="O124" s="67">
        <v>2.1250000000000002E-2</v>
      </c>
    </row>
    <row r="125" spans="1:15" ht="15" customHeight="1" x14ac:dyDescent="0.2">
      <c r="B125" s="16" t="s">
        <v>131</v>
      </c>
      <c r="F125" s="67">
        <v>3.6249999999999998E-2</v>
      </c>
      <c r="G125" s="67">
        <v>3.6249999999999998E-2</v>
      </c>
      <c r="H125" s="67">
        <v>3.6249999999999998E-2</v>
      </c>
      <c r="I125" s="67">
        <v>3.6249999999999998E-2</v>
      </c>
      <c r="J125" s="67">
        <v>3.6249999999999998E-2</v>
      </c>
      <c r="K125" s="67">
        <v>3.6249999999999998E-2</v>
      </c>
      <c r="L125" s="67">
        <v>3.6249999999999998E-2</v>
      </c>
      <c r="M125" s="67">
        <v>3.6249999999999998E-2</v>
      </c>
      <c r="N125" s="67">
        <v>3.6249999999999998E-2</v>
      </c>
      <c r="O125" s="67">
        <v>3.6249999999999998E-2</v>
      </c>
    </row>
    <row r="126" spans="1:15" ht="15" customHeight="1" x14ac:dyDescent="0.2">
      <c r="B126" s="16" t="s">
        <v>132</v>
      </c>
      <c r="F126" s="67">
        <v>3.3750000000000002E-2</v>
      </c>
      <c r="G126" s="67">
        <v>3.3750000000000002E-2</v>
      </c>
      <c r="H126" s="67">
        <v>3.3750000000000002E-2</v>
      </c>
      <c r="I126" s="67">
        <v>3.3750000000000002E-2</v>
      </c>
      <c r="J126" s="67">
        <v>3.3750000000000002E-2</v>
      </c>
      <c r="K126" s="67">
        <v>3.3750000000000002E-2</v>
      </c>
      <c r="L126" s="67">
        <v>3.3750000000000002E-2</v>
      </c>
      <c r="M126" s="67">
        <v>3.3750000000000002E-2</v>
      </c>
      <c r="N126" s="67">
        <v>3.3750000000000002E-2</v>
      </c>
      <c r="O126" s="67">
        <v>3.3750000000000002E-2</v>
      </c>
    </row>
    <row r="127" spans="1:15" ht="15" customHeight="1" x14ac:dyDescent="0.2">
      <c r="B127" s="16" t="s">
        <v>133</v>
      </c>
      <c r="F127" s="67">
        <v>3.3750000000000002E-2</v>
      </c>
      <c r="G127" s="67">
        <v>3.3750000000000002E-2</v>
      </c>
      <c r="H127" s="67">
        <v>3.3750000000000002E-2</v>
      </c>
      <c r="I127" s="67">
        <v>3.3750000000000002E-2</v>
      </c>
      <c r="J127" s="67">
        <v>3.3750000000000002E-2</v>
      </c>
      <c r="K127" s="67">
        <v>3.3750000000000002E-2</v>
      </c>
      <c r="L127" s="67">
        <v>3.3750000000000002E-2</v>
      </c>
      <c r="M127" s="67">
        <v>3.3750000000000002E-2</v>
      </c>
      <c r="N127" s="67">
        <v>3.3750000000000002E-2</v>
      </c>
      <c r="O127" s="67">
        <v>3.3750000000000002E-2</v>
      </c>
    </row>
    <row r="128" spans="1:15" ht="15" customHeight="1" x14ac:dyDescent="0.2">
      <c r="B128" s="16" t="s">
        <v>61</v>
      </c>
      <c r="F128" s="67">
        <v>1E-3</v>
      </c>
      <c r="G128" s="67">
        <v>1E-3</v>
      </c>
      <c r="H128" s="67">
        <v>1E-3</v>
      </c>
      <c r="I128" s="67">
        <v>1E-3</v>
      </c>
      <c r="J128" s="67">
        <v>1E-3</v>
      </c>
      <c r="K128" s="67">
        <v>1E-3</v>
      </c>
      <c r="L128" s="67">
        <v>1E-3</v>
      </c>
      <c r="M128" s="67">
        <v>1E-3</v>
      </c>
      <c r="N128" s="67">
        <v>1E-3</v>
      </c>
      <c r="O128" s="67">
        <v>1E-3</v>
      </c>
    </row>
    <row r="130" spans="1:15" ht="15" customHeight="1" x14ac:dyDescent="0.2">
      <c r="A130" s="15" t="s">
        <v>52</v>
      </c>
    </row>
    <row r="131" spans="1:15" ht="15" customHeight="1" x14ac:dyDescent="0.2">
      <c r="B131" s="16" t="s">
        <v>29</v>
      </c>
      <c r="F131">
        <f>F82</f>
        <v>29014.837616249995</v>
      </c>
      <c r="G131">
        <f t="shared" ref="G131:O131" si="109">G82</f>
        <v>33367.0632586875</v>
      </c>
      <c r="H131">
        <f t="shared" si="109"/>
        <v>38138.553304679808</v>
      </c>
      <c r="I131">
        <f t="shared" si="109"/>
        <v>42867.733914460099</v>
      </c>
      <c r="J131">
        <f t="shared" si="109"/>
        <v>47626.052378965178</v>
      </c>
      <c r="K131">
        <f t="shared" si="109"/>
        <v>52912.544193030313</v>
      </c>
      <c r="L131">
        <f t="shared" si="109"/>
        <v>58785.836598456677</v>
      </c>
      <c r="M131">
        <f t="shared" si="109"/>
        <v>65311.064460885362</v>
      </c>
      <c r="N131">
        <f t="shared" si="109"/>
        <v>72560.592616043636</v>
      </c>
      <c r="O131">
        <f t="shared" si="109"/>
        <v>80614.818396424496</v>
      </c>
    </row>
    <row r="132" spans="1:15" ht="15" customHeight="1" x14ac:dyDescent="0.2">
      <c r="B132" s="16" t="s">
        <v>86</v>
      </c>
      <c r="F132">
        <f>F74*-1</f>
        <v>5019.768</v>
      </c>
      <c r="G132">
        <f t="shared" ref="G132:O132" si="110">G74*-1</f>
        <v>6340.5582547500007</v>
      </c>
      <c r="H132">
        <f t="shared" si="110"/>
        <v>7761.2333132407502</v>
      </c>
      <c r="I132">
        <f t="shared" si="110"/>
        <v>9296.147190641037</v>
      </c>
      <c r="J132">
        <f t="shared" si="110"/>
        <v>10922.344265084352</v>
      </c>
      <c r="K132">
        <f t="shared" si="110"/>
        <v>12626.231035414061</v>
      </c>
      <c r="L132">
        <f t="shared" si="110"/>
        <v>14434.218602905741</v>
      </c>
      <c r="M132">
        <f t="shared" si="110"/>
        <v>16372.572455785998</v>
      </c>
      <c r="N132">
        <f t="shared" si="110"/>
        <v>18467.928669619276</v>
      </c>
      <c r="O132">
        <f t="shared" si="110"/>
        <v>20747.775307063344</v>
      </c>
    </row>
    <row r="133" spans="1:15" ht="15" customHeight="1" x14ac:dyDescent="0.2">
      <c r="B133" s="16" t="s">
        <v>87</v>
      </c>
      <c r="F133">
        <f>F78*-1</f>
        <v>806</v>
      </c>
      <c r="G133">
        <f t="shared" ref="G133:O133" si="111">G78*-1</f>
        <v>724</v>
      </c>
      <c r="H133">
        <f t="shared" si="111"/>
        <v>637</v>
      </c>
      <c r="I133">
        <f t="shared" si="111"/>
        <v>528</v>
      </c>
      <c r="J133">
        <f t="shared" si="111"/>
        <v>434</v>
      </c>
      <c r="K133">
        <f t="shared" si="111"/>
        <v>143.6</v>
      </c>
      <c r="L133">
        <f t="shared" si="111"/>
        <v>143.6</v>
      </c>
      <c r="M133">
        <f t="shared" si="111"/>
        <v>143.6</v>
      </c>
      <c r="N133">
        <f t="shared" si="111"/>
        <v>143.6</v>
      </c>
      <c r="O133">
        <f t="shared" si="111"/>
        <v>143.6</v>
      </c>
    </row>
    <row r="134" spans="1:15" ht="15" customHeight="1" x14ac:dyDescent="0.2">
      <c r="B134" s="16" t="s">
        <v>64</v>
      </c>
      <c r="F134">
        <f>E88-F88</f>
        <v>-1146.0656249999993</v>
      </c>
      <c r="G134">
        <f t="shared" ref="G134:O134" si="112">F88-G88</f>
        <v>-316.35984375000044</v>
      </c>
      <c r="H134">
        <f t="shared" si="112"/>
        <v>-346.83584203125065</v>
      </c>
      <c r="I134">
        <f t="shared" si="112"/>
        <v>-343.76040253687097</v>
      </c>
      <c r="J134">
        <f t="shared" si="112"/>
        <v>-345.8784101783167</v>
      </c>
      <c r="K134">
        <f t="shared" si="112"/>
        <v>-384.27091370810376</v>
      </c>
      <c r="L134">
        <f t="shared" si="112"/>
        <v>-426.92498512970633</v>
      </c>
      <c r="M134">
        <f t="shared" si="112"/>
        <v>-474.3136584790991</v>
      </c>
      <c r="N134">
        <f t="shared" si="112"/>
        <v>-526.96247457028221</v>
      </c>
      <c r="O134">
        <f t="shared" si="112"/>
        <v>-585.45530924757622</v>
      </c>
    </row>
    <row r="135" spans="1:15" ht="15" customHeight="1" x14ac:dyDescent="0.2">
      <c r="B135" s="16" t="s">
        <v>134</v>
      </c>
      <c r="F135">
        <f>E100-F100</f>
        <v>0</v>
      </c>
      <c r="G135">
        <f t="shared" ref="G135:O135" si="113">F100-G100</f>
        <v>0</v>
      </c>
      <c r="H135">
        <f t="shared" si="113"/>
        <v>0</v>
      </c>
      <c r="I135">
        <f t="shared" si="113"/>
        <v>0</v>
      </c>
      <c r="J135">
        <f t="shared" si="113"/>
        <v>0</v>
      </c>
      <c r="K135">
        <f t="shared" si="113"/>
        <v>0</v>
      </c>
      <c r="L135">
        <f t="shared" si="113"/>
        <v>0</v>
      </c>
      <c r="M135">
        <f t="shared" si="113"/>
        <v>0</v>
      </c>
      <c r="N135">
        <f t="shared" si="113"/>
        <v>0</v>
      </c>
      <c r="O135">
        <f t="shared" si="113"/>
        <v>0</v>
      </c>
    </row>
    <row r="136" spans="1:15" ht="15" customHeight="1" x14ac:dyDescent="0.2">
      <c r="B136" s="16" t="s">
        <v>135</v>
      </c>
      <c r="F136">
        <f>F108-E108</f>
        <v>1350.8231250000008</v>
      </c>
      <c r="G136">
        <f t="shared" ref="G136:O136" si="114">G108-F108</f>
        <v>1075.6234687499982</v>
      </c>
      <c r="H136">
        <f t="shared" si="114"/>
        <v>1179.2418629062504</v>
      </c>
      <c r="I136">
        <f t="shared" si="114"/>
        <v>1168.7853686253766</v>
      </c>
      <c r="J136">
        <f t="shared" si="114"/>
        <v>1175.98659460626</v>
      </c>
      <c r="K136">
        <f t="shared" si="114"/>
        <v>1306.5211066075553</v>
      </c>
      <c r="L136">
        <f t="shared" si="114"/>
        <v>1451.5449494409932</v>
      </c>
      <c r="M136">
        <f t="shared" si="114"/>
        <v>1612.6664388289446</v>
      </c>
      <c r="N136">
        <f t="shared" si="114"/>
        <v>1791.6724135389559</v>
      </c>
      <c r="O136">
        <f t="shared" si="114"/>
        <v>1990.5480514417832</v>
      </c>
    </row>
    <row r="137" spans="1:15" ht="15" customHeight="1" x14ac:dyDescent="0.2">
      <c r="B137" s="16" t="s">
        <v>55</v>
      </c>
      <c r="F137">
        <f>F73*-1</f>
        <v>-12654.393749999999</v>
      </c>
      <c r="G137">
        <f t="shared" ref="G137:O137" si="115">G73*-1</f>
        <v>-14552.552812499998</v>
      </c>
      <c r="H137">
        <f t="shared" si="115"/>
        <v>-16633.567864687499</v>
      </c>
      <c r="I137">
        <f t="shared" si="115"/>
        <v>-18696.13027990875</v>
      </c>
      <c r="J137">
        <f t="shared" si="115"/>
        <v>-20771.400740978617</v>
      </c>
      <c r="K137">
        <f t="shared" si="115"/>
        <v>-23077.026223227247</v>
      </c>
      <c r="L137">
        <f t="shared" si="115"/>
        <v>-25638.576134005471</v>
      </c>
      <c r="M137">
        <f t="shared" si="115"/>
        <v>-28484.45808488008</v>
      </c>
      <c r="N137">
        <f t="shared" si="115"/>
        <v>-31646.232932301766</v>
      </c>
      <c r="O137">
        <f t="shared" si="115"/>
        <v>-35158.964787787263</v>
      </c>
    </row>
    <row r="138" spans="1:15" ht="15" customHeight="1" x14ac:dyDescent="0.2">
      <c r="B138" s="16" t="s">
        <v>136</v>
      </c>
      <c r="F138">
        <f>E92-F92</f>
        <v>0</v>
      </c>
      <c r="G138">
        <f t="shared" ref="G138:O138" si="116">F92-G92</f>
        <v>0</v>
      </c>
      <c r="H138">
        <f t="shared" si="116"/>
        <v>0</v>
      </c>
      <c r="I138">
        <f t="shared" si="116"/>
        <v>0</v>
      </c>
      <c r="J138">
        <f t="shared" si="116"/>
        <v>0</v>
      </c>
      <c r="K138">
        <f t="shared" si="116"/>
        <v>0</v>
      </c>
      <c r="L138">
        <f t="shared" si="116"/>
        <v>0</v>
      </c>
      <c r="M138">
        <f t="shared" si="116"/>
        <v>0</v>
      </c>
      <c r="N138">
        <f t="shared" si="116"/>
        <v>0</v>
      </c>
      <c r="O138">
        <f t="shared" si="116"/>
        <v>0</v>
      </c>
    </row>
    <row r="139" spans="1:15" ht="15" customHeight="1" x14ac:dyDescent="0.2">
      <c r="B139" s="16" t="s">
        <v>137</v>
      </c>
      <c r="F139">
        <f>E97-F97</f>
        <v>0</v>
      </c>
      <c r="G139">
        <f t="shared" ref="G139:O139" si="117">F97-G97</f>
        <v>0</v>
      </c>
      <c r="H139">
        <f t="shared" si="117"/>
        <v>0</v>
      </c>
      <c r="I139">
        <f t="shared" si="117"/>
        <v>0</v>
      </c>
      <c r="J139">
        <f t="shared" si="117"/>
        <v>0</v>
      </c>
      <c r="K139">
        <f t="shared" si="117"/>
        <v>0</v>
      </c>
      <c r="L139">
        <f t="shared" si="117"/>
        <v>0</v>
      </c>
      <c r="M139">
        <f t="shared" si="117"/>
        <v>0</v>
      </c>
      <c r="N139">
        <f t="shared" si="117"/>
        <v>0</v>
      </c>
      <c r="O139">
        <f t="shared" si="117"/>
        <v>0</v>
      </c>
    </row>
    <row r="140" spans="1:15" ht="15" customHeight="1" x14ac:dyDescent="0.2">
      <c r="B140" s="16" t="s">
        <v>57</v>
      </c>
      <c r="F140">
        <f>F83</f>
        <v>0</v>
      </c>
      <c r="G140">
        <f t="shared" ref="G140:O140" si="118">G83</f>
        <v>0</v>
      </c>
      <c r="H140">
        <f t="shared" si="118"/>
        <v>0</v>
      </c>
      <c r="I140">
        <f t="shared" si="118"/>
        <v>0</v>
      </c>
      <c r="J140">
        <f t="shared" si="118"/>
        <v>0</v>
      </c>
      <c r="K140">
        <f t="shared" si="118"/>
        <v>0</v>
      </c>
      <c r="L140">
        <f t="shared" si="118"/>
        <v>0</v>
      </c>
      <c r="M140">
        <f t="shared" si="118"/>
        <v>0</v>
      </c>
      <c r="N140">
        <f t="shared" si="118"/>
        <v>0</v>
      </c>
      <c r="O140">
        <f t="shared" si="118"/>
        <v>0</v>
      </c>
    </row>
    <row r="141" spans="1:15" ht="15" customHeight="1" x14ac:dyDescent="0.2">
      <c r="B141" s="16" t="s">
        <v>63</v>
      </c>
      <c r="F141">
        <f>SUM(F131:F140)</f>
        <v>22390.969366250003</v>
      </c>
      <c r="G141">
        <f t="shared" ref="G141:O141" si="119">SUM(G131:G140)</f>
        <v>26638.332325937503</v>
      </c>
      <c r="H141">
        <f t="shared" si="119"/>
        <v>30735.624774108062</v>
      </c>
      <c r="I141">
        <f t="shared" si="119"/>
        <v>34820.775791280896</v>
      </c>
      <c r="J141">
        <f t="shared" si="119"/>
        <v>39041.104087498854</v>
      </c>
      <c r="K141">
        <f t="shared" si="119"/>
        <v>43527.599198116572</v>
      </c>
      <c r="L141">
        <f t="shared" si="119"/>
        <v>48749.699031668235</v>
      </c>
      <c r="M141">
        <f t="shared" si="119"/>
        <v>54481.131612141122</v>
      </c>
      <c r="N141">
        <f t="shared" si="119"/>
        <v>60790.598292329829</v>
      </c>
      <c r="O141">
        <f t="shared" si="119"/>
        <v>67752.32165789479</v>
      </c>
    </row>
    <row r="142" spans="1:15" ht="15" customHeight="1" x14ac:dyDescent="0.2">
      <c r="B142" s="16" t="s">
        <v>35</v>
      </c>
      <c r="F142">
        <f>E91</f>
        <v>16549</v>
      </c>
      <c r="G142">
        <f t="shared" ref="G142:O142" si="120">F91</f>
        <v>33714.969366250007</v>
      </c>
      <c r="H142">
        <f t="shared" si="120"/>
        <v>60353.30169218751</v>
      </c>
      <c r="I142">
        <f t="shared" si="120"/>
        <v>91088.926466295568</v>
      </c>
      <c r="J142">
        <f t="shared" si="120"/>
        <v>125909.70225757646</v>
      </c>
      <c r="K142">
        <f t="shared" si="120"/>
        <v>164950.80634507531</v>
      </c>
      <c r="L142">
        <f t="shared" si="120"/>
        <v>208478.40554319188</v>
      </c>
      <c r="M142">
        <f t="shared" si="120"/>
        <v>257228.10457486013</v>
      </c>
      <c r="N142">
        <f t="shared" si="120"/>
        <v>311709.23618700122</v>
      </c>
      <c r="O142">
        <f t="shared" si="120"/>
        <v>372499.83447933104</v>
      </c>
    </row>
    <row r="143" spans="1:15" ht="15" customHeight="1" x14ac:dyDescent="0.2">
      <c r="B143" s="16" t="s">
        <v>62</v>
      </c>
      <c r="F143">
        <f>SUM(F141:F142)</f>
        <v>38939.969366250007</v>
      </c>
      <c r="G143">
        <f t="shared" ref="G143:O143" si="121">SUM(G141:G142)</f>
        <v>60353.30169218751</v>
      </c>
      <c r="H143">
        <f t="shared" si="121"/>
        <v>91088.926466295568</v>
      </c>
      <c r="I143">
        <f t="shared" si="121"/>
        <v>125909.70225757646</v>
      </c>
      <c r="J143">
        <f t="shared" si="121"/>
        <v>164950.80634507531</v>
      </c>
      <c r="K143">
        <f t="shared" si="121"/>
        <v>208478.40554319188</v>
      </c>
      <c r="L143">
        <f t="shared" si="121"/>
        <v>257228.10457486013</v>
      </c>
      <c r="M143">
        <f t="shared" si="121"/>
        <v>311709.23618700122</v>
      </c>
      <c r="N143">
        <f t="shared" si="121"/>
        <v>372499.83447933104</v>
      </c>
      <c r="O143">
        <f t="shared" si="121"/>
        <v>440252.1561372258</v>
      </c>
    </row>
    <row r="145" spans="2:15" ht="15" customHeight="1" x14ac:dyDescent="0.2">
      <c r="B145" s="16" t="s">
        <v>138</v>
      </c>
      <c r="F145">
        <f>F121</f>
        <v>-1225</v>
      </c>
      <c r="G145">
        <f t="shared" ref="G145:O145" si="122">G121</f>
        <v>0</v>
      </c>
      <c r="H145">
        <f t="shared" si="122"/>
        <v>0</v>
      </c>
      <c r="I145">
        <f t="shared" si="122"/>
        <v>0</v>
      </c>
      <c r="J145">
        <f t="shared" si="122"/>
        <v>0</v>
      </c>
      <c r="K145">
        <f t="shared" si="122"/>
        <v>0</v>
      </c>
      <c r="L145">
        <f t="shared" si="122"/>
        <v>-1000</v>
      </c>
      <c r="M145">
        <f t="shared" si="122"/>
        <v>0</v>
      </c>
      <c r="N145">
        <f t="shared" si="122"/>
        <v>0</v>
      </c>
      <c r="O145">
        <f t="shared" si="122"/>
        <v>-1000</v>
      </c>
    </row>
    <row r="146" spans="2:15" ht="15" customHeight="1" x14ac:dyDescent="0.2">
      <c r="B146" s="16" t="s">
        <v>65</v>
      </c>
      <c r="F146">
        <f>SUM(F143,F145)</f>
        <v>37714.969366250007</v>
      </c>
      <c r="G146">
        <f t="shared" ref="G146:O146" si="123">SUM(G143,G145)</f>
        <v>60353.30169218751</v>
      </c>
      <c r="H146">
        <f t="shared" si="123"/>
        <v>91088.926466295568</v>
      </c>
      <c r="I146">
        <f t="shared" si="123"/>
        <v>125909.70225757646</v>
      </c>
      <c r="J146">
        <f t="shared" si="123"/>
        <v>164950.80634507531</v>
      </c>
      <c r="K146">
        <f t="shared" si="123"/>
        <v>208478.40554319188</v>
      </c>
      <c r="L146">
        <f t="shared" si="123"/>
        <v>256228.10457486013</v>
      </c>
      <c r="M146">
        <f t="shared" si="123"/>
        <v>311709.23618700122</v>
      </c>
      <c r="N146">
        <f t="shared" si="123"/>
        <v>372499.83447933104</v>
      </c>
      <c r="O146">
        <f t="shared" si="123"/>
        <v>439252.1561372258</v>
      </c>
    </row>
    <row r="148" spans="2:15" ht="15" customHeight="1" x14ac:dyDescent="0.2">
      <c r="B148" s="16" t="s">
        <v>149</v>
      </c>
      <c r="F148">
        <f>E150</f>
        <v>2000</v>
      </c>
      <c r="G148">
        <f t="shared" ref="G148:O148" si="124">F150</f>
        <v>0</v>
      </c>
      <c r="H148">
        <f t="shared" si="124"/>
        <v>0</v>
      </c>
      <c r="I148">
        <f t="shared" si="124"/>
        <v>0</v>
      </c>
      <c r="J148">
        <f t="shared" si="124"/>
        <v>0</v>
      </c>
      <c r="K148">
        <f t="shared" si="124"/>
        <v>0</v>
      </c>
      <c r="L148">
        <f t="shared" si="124"/>
        <v>0</v>
      </c>
      <c r="M148">
        <f t="shared" si="124"/>
        <v>0</v>
      </c>
      <c r="N148">
        <f t="shared" si="124"/>
        <v>0</v>
      </c>
      <c r="O148">
        <f t="shared" si="124"/>
        <v>0</v>
      </c>
    </row>
    <row r="149" spans="2:15" ht="15" customHeight="1" x14ac:dyDescent="0.2">
      <c r="B149" s="16" t="s">
        <v>150</v>
      </c>
      <c r="F149">
        <f>MIN(F146,F148)*-1</f>
        <v>-2000</v>
      </c>
      <c r="G149">
        <f t="shared" ref="G149:O149" si="125">MIN(G146,G148)*-1</f>
        <v>0</v>
      </c>
      <c r="H149">
        <f t="shared" si="125"/>
        <v>0</v>
      </c>
      <c r="I149">
        <f t="shared" si="125"/>
        <v>0</v>
      </c>
      <c r="J149">
        <f t="shared" si="125"/>
        <v>0</v>
      </c>
      <c r="K149">
        <f t="shared" si="125"/>
        <v>0</v>
      </c>
      <c r="L149">
        <f t="shared" si="125"/>
        <v>0</v>
      </c>
      <c r="M149">
        <f t="shared" si="125"/>
        <v>0</v>
      </c>
      <c r="N149">
        <f t="shared" si="125"/>
        <v>0</v>
      </c>
      <c r="O149">
        <f t="shared" si="125"/>
        <v>0</v>
      </c>
    </row>
    <row r="150" spans="2:15" ht="15" customHeight="1" x14ac:dyDescent="0.2">
      <c r="B150" s="16" t="s">
        <v>168</v>
      </c>
      <c r="E150" s="75">
        <f>3225-1225</f>
        <v>2000</v>
      </c>
      <c r="F150">
        <f>SUM(F148:F149)</f>
        <v>0</v>
      </c>
      <c r="G150">
        <f t="shared" ref="G150:O150" si="126">SUM(G148:G149)</f>
        <v>0</v>
      </c>
      <c r="H150">
        <f t="shared" si="126"/>
        <v>0</v>
      </c>
      <c r="I150">
        <f t="shared" si="126"/>
        <v>0</v>
      </c>
      <c r="J150">
        <f t="shared" si="126"/>
        <v>0</v>
      </c>
      <c r="K150">
        <f t="shared" si="126"/>
        <v>0</v>
      </c>
      <c r="L150">
        <f t="shared" si="126"/>
        <v>0</v>
      </c>
      <c r="M150">
        <f t="shared" si="126"/>
        <v>0</v>
      </c>
      <c r="N150">
        <f t="shared" si="126"/>
        <v>0</v>
      </c>
      <c r="O150">
        <f t="shared" si="126"/>
        <v>0</v>
      </c>
    </row>
    <row r="151" spans="2:15" ht="15" customHeight="1" x14ac:dyDescent="0.2">
      <c r="B151" s="16" t="s">
        <v>147</v>
      </c>
      <c r="F151" s="66">
        <f>F123</f>
        <v>1.4999999999999999E-2</v>
      </c>
      <c r="G151" s="66">
        <f t="shared" ref="G151:O151" si="127">G123</f>
        <v>1.4999999999999999E-2</v>
      </c>
      <c r="H151" s="66">
        <f t="shared" si="127"/>
        <v>1.4999999999999999E-2</v>
      </c>
      <c r="I151" s="66">
        <f t="shared" si="127"/>
        <v>1.4999999999999999E-2</v>
      </c>
      <c r="J151" s="66">
        <f t="shared" si="127"/>
        <v>1.4999999999999999E-2</v>
      </c>
      <c r="K151" s="66">
        <f t="shared" si="127"/>
        <v>1.4999999999999999E-2</v>
      </c>
      <c r="L151" s="66">
        <f t="shared" si="127"/>
        <v>1.4999999999999999E-2</v>
      </c>
      <c r="M151" s="66">
        <f t="shared" si="127"/>
        <v>1.4999999999999999E-2</v>
      </c>
      <c r="N151" s="66">
        <f t="shared" si="127"/>
        <v>1.4999999999999999E-2</v>
      </c>
      <c r="O151" s="66">
        <f t="shared" si="127"/>
        <v>1.4999999999999999E-2</v>
      </c>
    </row>
    <row r="152" spans="2:15" ht="15" customHeight="1" x14ac:dyDescent="0.2">
      <c r="B152" s="16" t="s">
        <v>45</v>
      </c>
      <c r="F152">
        <f>AVERAGE(E150:F150)*F151</f>
        <v>15</v>
      </c>
      <c r="G152">
        <f t="shared" ref="G152:O152" si="128">AVERAGE(F150:G150)*G151</f>
        <v>0</v>
      </c>
      <c r="H152">
        <f t="shared" si="128"/>
        <v>0</v>
      </c>
      <c r="I152">
        <f t="shared" si="128"/>
        <v>0</v>
      </c>
      <c r="J152">
        <f t="shared" si="128"/>
        <v>0</v>
      </c>
      <c r="K152">
        <f t="shared" si="128"/>
        <v>0</v>
      </c>
      <c r="L152">
        <f t="shared" si="128"/>
        <v>0</v>
      </c>
      <c r="M152">
        <f t="shared" si="128"/>
        <v>0</v>
      </c>
      <c r="N152">
        <f t="shared" si="128"/>
        <v>0</v>
      </c>
      <c r="O152">
        <f t="shared" si="128"/>
        <v>0</v>
      </c>
    </row>
    <row r="154" spans="2:15" ht="15" customHeight="1" x14ac:dyDescent="0.2">
      <c r="B154" s="16" t="s">
        <v>167</v>
      </c>
      <c r="F154">
        <f>F146+F149</f>
        <v>35714.969366250007</v>
      </c>
      <c r="G154">
        <f t="shared" ref="G154:O154" si="129">G146+G149</f>
        <v>60353.30169218751</v>
      </c>
      <c r="H154">
        <f t="shared" si="129"/>
        <v>91088.926466295568</v>
      </c>
      <c r="I154">
        <f t="shared" si="129"/>
        <v>125909.70225757646</v>
      </c>
      <c r="J154">
        <f t="shared" si="129"/>
        <v>164950.80634507531</v>
      </c>
      <c r="K154">
        <f t="shared" si="129"/>
        <v>208478.40554319188</v>
      </c>
      <c r="L154">
        <f t="shared" si="129"/>
        <v>256228.10457486013</v>
      </c>
      <c r="M154">
        <f t="shared" si="129"/>
        <v>311709.23618700122</v>
      </c>
      <c r="N154">
        <f t="shared" si="129"/>
        <v>372499.83447933104</v>
      </c>
      <c r="O154">
        <f t="shared" si="129"/>
        <v>439252.1561372258</v>
      </c>
    </row>
    <row r="156" spans="2:15" ht="15" customHeight="1" x14ac:dyDescent="0.2">
      <c r="B156" s="16" t="s">
        <v>140</v>
      </c>
      <c r="C156" s="16" t="s">
        <v>165</v>
      </c>
      <c r="E156" s="79">
        <v>1</v>
      </c>
      <c r="F156">
        <f>E159</f>
        <v>1000</v>
      </c>
      <c r="G156">
        <f t="shared" ref="G156:O156" si="130">F159</f>
        <v>0</v>
      </c>
      <c r="H156">
        <f t="shared" si="130"/>
        <v>0</v>
      </c>
      <c r="I156">
        <f t="shared" si="130"/>
        <v>0</v>
      </c>
      <c r="J156">
        <f t="shared" si="130"/>
        <v>0</v>
      </c>
      <c r="K156">
        <f t="shared" si="130"/>
        <v>0</v>
      </c>
      <c r="L156">
        <f t="shared" si="130"/>
        <v>0</v>
      </c>
      <c r="M156">
        <f t="shared" si="130"/>
        <v>0</v>
      </c>
      <c r="N156">
        <f t="shared" si="130"/>
        <v>0</v>
      </c>
      <c r="O156">
        <f t="shared" si="130"/>
        <v>0</v>
      </c>
    </row>
    <row r="157" spans="2:15" ht="15" customHeight="1" x14ac:dyDescent="0.2">
      <c r="B157" s="16" t="s">
        <v>139</v>
      </c>
      <c r="F157">
        <f>MIN(F156,-F117)*-1</f>
        <v>-1000</v>
      </c>
      <c r="G157">
        <f t="shared" ref="G157:O157" si="131">MIN(G156,-G117)*-1</f>
        <v>0</v>
      </c>
      <c r="H157">
        <f t="shared" si="131"/>
        <v>0</v>
      </c>
      <c r="I157">
        <f t="shared" si="131"/>
        <v>0</v>
      </c>
      <c r="J157">
        <f t="shared" si="131"/>
        <v>0</v>
      </c>
      <c r="K157">
        <f t="shared" si="131"/>
        <v>0</v>
      </c>
      <c r="L157">
        <f t="shared" si="131"/>
        <v>0</v>
      </c>
      <c r="M157">
        <f t="shared" si="131"/>
        <v>0</v>
      </c>
      <c r="N157">
        <f t="shared" si="131"/>
        <v>0</v>
      </c>
      <c r="O157">
        <f t="shared" si="131"/>
        <v>0</v>
      </c>
    </row>
    <row r="158" spans="2:15" ht="15" customHeight="1" x14ac:dyDescent="0.2">
      <c r="B158" s="16" t="s">
        <v>166</v>
      </c>
      <c r="F158">
        <f>MIN(F156+F157,F154)*$E$156*-1</f>
        <v>0</v>
      </c>
      <c r="G158">
        <f t="shared" ref="G158:O158" si="132">MIN(G156+G157,G154)*$E$156*-1</f>
        <v>0</v>
      </c>
      <c r="H158">
        <f t="shared" si="132"/>
        <v>0</v>
      </c>
      <c r="I158">
        <f t="shared" si="132"/>
        <v>0</v>
      </c>
      <c r="J158">
        <f t="shared" si="132"/>
        <v>0</v>
      </c>
      <c r="K158">
        <f t="shared" si="132"/>
        <v>0</v>
      </c>
      <c r="L158">
        <f t="shared" si="132"/>
        <v>0</v>
      </c>
      <c r="M158">
        <f t="shared" si="132"/>
        <v>0</v>
      </c>
      <c r="N158">
        <f t="shared" si="132"/>
        <v>0</v>
      </c>
      <c r="O158">
        <f t="shared" si="132"/>
        <v>0</v>
      </c>
    </row>
    <row r="159" spans="2:15" ht="15" customHeight="1" x14ac:dyDescent="0.2">
      <c r="B159" s="16" t="s">
        <v>141</v>
      </c>
      <c r="E159" s="71">
        <v>1000</v>
      </c>
      <c r="F159">
        <f>SUM(F156:F158)</f>
        <v>0</v>
      </c>
      <c r="G159">
        <f t="shared" ref="G159:O159" si="133">SUM(G156:G158)</f>
        <v>0</v>
      </c>
      <c r="H159">
        <f t="shared" si="133"/>
        <v>0</v>
      </c>
      <c r="I159">
        <f t="shared" si="133"/>
        <v>0</v>
      </c>
      <c r="J159">
        <f t="shared" si="133"/>
        <v>0</v>
      </c>
      <c r="K159">
        <f t="shared" si="133"/>
        <v>0</v>
      </c>
      <c r="L159">
        <f t="shared" si="133"/>
        <v>0</v>
      </c>
      <c r="M159">
        <f t="shared" si="133"/>
        <v>0</v>
      </c>
      <c r="N159">
        <f t="shared" si="133"/>
        <v>0</v>
      </c>
      <c r="O159">
        <f t="shared" si="133"/>
        <v>0</v>
      </c>
    </row>
    <row r="160" spans="2:15" ht="15" customHeight="1" x14ac:dyDescent="0.2">
      <c r="B160" s="16" t="s">
        <v>147</v>
      </c>
      <c r="F160" s="66">
        <f>F124</f>
        <v>2.1250000000000002E-2</v>
      </c>
      <c r="G160" s="66">
        <f t="shared" ref="G160:O160" si="134">G124</f>
        <v>2.1250000000000002E-2</v>
      </c>
      <c r="H160" s="66">
        <f t="shared" si="134"/>
        <v>2.1250000000000002E-2</v>
      </c>
      <c r="I160" s="66">
        <f t="shared" si="134"/>
        <v>2.1250000000000002E-2</v>
      </c>
      <c r="J160" s="66">
        <f t="shared" si="134"/>
        <v>2.1250000000000002E-2</v>
      </c>
      <c r="K160" s="66">
        <f t="shared" si="134"/>
        <v>2.1250000000000002E-2</v>
      </c>
      <c r="L160" s="66">
        <f t="shared" si="134"/>
        <v>2.1250000000000002E-2</v>
      </c>
      <c r="M160" s="66">
        <f t="shared" si="134"/>
        <v>2.1250000000000002E-2</v>
      </c>
      <c r="N160" s="66">
        <f t="shared" si="134"/>
        <v>2.1250000000000002E-2</v>
      </c>
      <c r="O160" s="66">
        <f t="shared" si="134"/>
        <v>2.1250000000000002E-2</v>
      </c>
    </row>
    <row r="161" spans="2:15" ht="15" customHeight="1" x14ac:dyDescent="0.2">
      <c r="B161" s="16" t="s">
        <v>45</v>
      </c>
      <c r="F161">
        <f>AVERAGE(E159:F159)*F160</f>
        <v>10.625</v>
      </c>
      <c r="G161">
        <f t="shared" ref="G161:O161" si="135">AVERAGE(F159:G159)*G160</f>
        <v>0</v>
      </c>
      <c r="H161">
        <f t="shared" si="135"/>
        <v>0</v>
      </c>
      <c r="I161">
        <f t="shared" si="135"/>
        <v>0</v>
      </c>
      <c r="J161">
        <f t="shared" si="135"/>
        <v>0</v>
      </c>
      <c r="K161">
        <f t="shared" si="135"/>
        <v>0</v>
      </c>
      <c r="L161">
        <f t="shared" si="135"/>
        <v>0</v>
      </c>
      <c r="M161">
        <f t="shared" si="135"/>
        <v>0</v>
      </c>
      <c r="N161">
        <f t="shared" si="135"/>
        <v>0</v>
      </c>
      <c r="O161">
        <f t="shared" si="135"/>
        <v>0</v>
      </c>
    </row>
    <row r="163" spans="2:15" ht="15" customHeight="1" x14ac:dyDescent="0.2">
      <c r="B163" s="16" t="s">
        <v>142</v>
      </c>
      <c r="C163" s="16" t="s">
        <v>165</v>
      </c>
      <c r="E163" s="79">
        <v>1</v>
      </c>
      <c r="F163">
        <f>E166</f>
        <v>1000</v>
      </c>
      <c r="G163">
        <f t="shared" ref="G163:O163" si="136">F166</f>
        <v>0</v>
      </c>
      <c r="H163">
        <f t="shared" si="136"/>
        <v>0</v>
      </c>
      <c r="I163">
        <f t="shared" si="136"/>
        <v>0</v>
      </c>
      <c r="J163">
        <f t="shared" si="136"/>
        <v>0</v>
      </c>
      <c r="K163">
        <f t="shared" si="136"/>
        <v>0</v>
      </c>
      <c r="L163">
        <f t="shared" si="136"/>
        <v>0</v>
      </c>
      <c r="M163">
        <f t="shared" si="136"/>
        <v>0</v>
      </c>
      <c r="N163">
        <f t="shared" si="136"/>
        <v>0</v>
      </c>
      <c r="O163">
        <f t="shared" si="136"/>
        <v>0</v>
      </c>
    </row>
    <row r="164" spans="2:15" ht="15" customHeight="1" x14ac:dyDescent="0.2">
      <c r="B164" s="16" t="s">
        <v>139</v>
      </c>
      <c r="F164">
        <f>MIN(F163,-F118)*-1</f>
        <v>0</v>
      </c>
      <c r="G164">
        <f t="shared" ref="G164:O164" si="137">MIN(G163,-G118)*-1</f>
        <v>0</v>
      </c>
      <c r="H164">
        <f t="shared" si="137"/>
        <v>0</v>
      </c>
      <c r="I164">
        <f t="shared" si="137"/>
        <v>0</v>
      </c>
      <c r="J164">
        <f t="shared" si="137"/>
        <v>0</v>
      </c>
      <c r="K164">
        <f t="shared" si="137"/>
        <v>0</v>
      </c>
      <c r="L164">
        <f t="shared" si="137"/>
        <v>0</v>
      </c>
      <c r="M164">
        <f t="shared" si="137"/>
        <v>0</v>
      </c>
      <c r="N164">
        <f t="shared" si="137"/>
        <v>0</v>
      </c>
      <c r="O164">
        <f t="shared" si="137"/>
        <v>0</v>
      </c>
    </row>
    <row r="165" spans="2:15" ht="15" customHeight="1" x14ac:dyDescent="0.2">
      <c r="B165" s="16" t="s">
        <v>166</v>
      </c>
      <c r="F165">
        <f>MIN(F163+F164,F154+F158)*$E$163*-1</f>
        <v>-1000</v>
      </c>
      <c r="G165">
        <f t="shared" ref="G165:O165" si="138">MIN(G163+G164,G154+G158)*$E$163*-1</f>
        <v>0</v>
      </c>
      <c r="H165">
        <f t="shared" si="138"/>
        <v>0</v>
      </c>
      <c r="I165">
        <f t="shared" si="138"/>
        <v>0</v>
      </c>
      <c r="J165">
        <f t="shared" si="138"/>
        <v>0</v>
      </c>
      <c r="K165">
        <f t="shared" si="138"/>
        <v>0</v>
      </c>
      <c r="L165">
        <f t="shared" si="138"/>
        <v>0</v>
      </c>
      <c r="M165">
        <f t="shared" si="138"/>
        <v>0</v>
      </c>
      <c r="N165">
        <f t="shared" si="138"/>
        <v>0</v>
      </c>
      <c r="O165">
        <f t="shared" si="138"/>
        <v>0</v>
      </c>
    </row>
    <row r="166" spans="2:15" ht="15" customHeight="1" x14ac:dyDescent="0.2">
      <c r="B166" s="16" t="s">
        <v>143</v>
      </c>
      <c r="E166" s="71">
        <v>1000</v>
      </c>
      <c r="F166">
        <f>SUM(F163:F165)</f>
        <v>0</v>
      </c>
      <c r="G166">
        <f t="shared" ref="G166" si="139">SUM(G163:G165)</f>
        <v>0</v>
      </c>
      <c r="H166">
        <f t="shared" ref="H166" si="140">SUM(H163:H165)</f>
        <v>0</v>
      </c>
      <c r="I166">
        <f t="shared" ref="I166" si="141">SUM(I163:I165)</f>
        <v>0</v>
      </c>
      <c r="J166">
        <f t="shared" ref="J166" si="142">SUM(J163:J165)</f>
        <v>0</v>
      </c>
      <c r="K166">
        <f t="shared" ref="K166" si="143">SUM(K163:K165)</f>
        <v>0</v>
      </c>
      <c r="L166">
        <f t="shared" ref="L166" si="144">SUM(L163:L165)</f>
        <v>0</v>
      </c>
      <c r="M166">
        <f t="shared" ref="M166" si="145">SUM(M163:M165)</f>
        <v>0</v>
      </c>
      <c r="N166">
        <f t="shared" ref="N166" si="146">SUM(N163:N165)</f>
        <v>0</v>
      </c>
      <c r="O166">
        <f t="shared" ref="O166" si="147">SUM(O163:O165)</f>
        <v>0</v>
      </c>
    </row>
    <row r="167" spans="2:15" ht="15" customHeight="1" x14ac:dyDescent="0.2">
      <c r="B167" s="16" t="s">
        <v>147</v>
      </c>
      <c r="F167" s="66">
        <f>F125</f>
        <v>3.6249999999999998E-2</v>
      </c>
      <c r="G167" s="66">
        <f t="shared" ref="G167:O167" si="148">G125</f>
        <v>3.6249999999999998E-2</v>
      </c>
      <c r="H167" s="66">
        <f t="shared" si="148"/>
        <v>3.6249999999999998E-2</v>
      </c>
      <c r="I167" s="66">
        <f t="shared" si="148"/>
        <v>3.6249999999999998E-2</v>
      </c>
      <c r="J167" s="66">
        <f t="shared" si="148"/>
        <v>3.6249999999999998E-2</v>
      </c>
      <c r="K167" s="66">
        <f t="shared" si="148"/>
        <v>3.6249999999999998E-2</v>
      </c>
      <c r="L167" s="66">
        <f t="shared" si="148"/>
        <v>3.6249999999999998E-2</v>
      </c>
      <c r="M167" s="66">
        <f t="shared" si="148"/>
        <v>3.6249999999999998E-2</v>
      </c>
      <c r="N167" s="66">
        <f t="shared" si="148"/>
        <v>3.6249999999999998E-2</v>
      </c>
      <c r="O167" s="66">
        <f t="shared" si="148"/>
        <v>3.6249999999999998E-2</v>
      </c>
    </row>
    <row r="168" spans="2:15" ht="15" customHeight="1" x14ac:dyDescent="0.2">
      <c r="B168" s="16" t="s">
        <v>45</v>
      </c>
      <c r="F168">
        <f>AVERAGE(E166:F166)*F167</f>
        <v>18.125</v>
      </c>
      <c r="G168">
        <f t="shared" ref="G168:O168" si="149">AVERAGE(F166:G166)*G167</f>
        <v>0</v>
      </c>
      <c r="H168">
        <f t="shared" si="149"/>
        <v>0</v>
      </c>
      <c r="I168">
        <f t="shared" si="149"/>
        <v>0</v>
      </c>
      <c r="J168">
        <f t="shared" si="149"/>
        <v>0</v>
      </c>
      <c r="K168">
        <f t="shared" si="149"/>
        <v>0</v>
      </c>
      <c r="L168">
        <f t="shared" si="149"/>
        <v>0</v>
      </c>
      <c r="M168">
        <f t="shared" si="149"/>
        <v>0</v>
      </c>
      <c r="N168">
        <f t="shared" si="149"/>
        <v>0</v>
      </c>
      <c r="O168">
        <f t="shared" si="149"/>
        <v>0</v>
      </c>
    </row>
    <row r="170" spans="2:15" ht="15" customHeight="1" x14ac:dyDescent="0.2">
      <c r="B170" s="16" t="s">
        <v>144</v>
      </c>
      <c r="C170" s="16" t="s">
        <v>165</v>
      </c>
      <c r="E170" s="79">
        <v>1</v>
      </c>
      <c r="F170">
        <f>E173</f>
        <v>1000</v>
      </c>
      <c r="G170">
        <f t="shared" ref="G170:O170" si="150">F173</f>
        <v>0</v>
      </c>
      <c r="H170">
        <f t="shared" si="150"/>
        <v>0</v>
      </c>
      <c r="I170">
        <f t="shared" si="150"/>
        <v>0</v>
      </c>
      <c r="J170">
        <f t="shared" si="150"/>
        <v>0</v>
      </c>
      <c r="K170">
        <f t="shared" si="150"/>
        <v>0</v>
      </c>
      <c r="L170">
        <f t="shared" si="150"/>
        <v>0</v>
      </c>
      <c r="M170">
        <f t="shared" si="150"/>
        <v>0</v>
      </c>
      <c r="N170">
        <f t="shared" si="150"/>
        <v>0</v>
      </c>
      <c r="O170">
        <f t="shared" si="150"/>
        <v>0</v>
      </c>
    </row>
    <row r="171" spans="2:15" ht="15" customHeight="1" x14ac:dyDescent="0.2">
      <c r="B171" s="16" t="s">
        <v>139</v>
      </c>
      <c r="F171">
        <f>MIN(F170,-F119)*-1</f>
        <v>0</v>
      </c>
      <c r="G171">
        <f t="shared" ref="G171:O171" si="151">MIN(G170,-G119)*-1</f>
        <v>0</v>
      </c>
      <c r="H171">
        <f t="shared" si="151"/>
        <v>0</v>
      </c>
      <c r="I171">
        <f t="shared" si="151"/>
        <v>0</v>
      </c>
      <c r="J171">
        <f t="shared" si="151"/>
        <v>0</v>
      </c>
      <c r="K171">
        <f t="shared" si="151"/>
        <v>0</v>
      </c>
      <c r="L171">
        <f t="shared" si="151"/>
        <v>0</v>
      </c>
      <c r="M171">
        <f t="shared" si="151"/>
        <v>0</v>
      </c>
      <c r="N171">
        <f t="shared" si="151"/>
        <v>0</v>
      </c>
      <c r="O171">
        <f t="shared" si="151"/>
        <v>0</v>
      </c>
    </row>
    <row r="172" spans="2:15" ht="15" customHeight="1" x14ac:dyDescent="0.2">
      <c r="B172" s="16" t="s">
        <v>166</v>
      </c>
      <c r="F172">
        <f>MIN(F170+F171,F154+F158+F165)*$E$170*-1</f>
        <v>-1000</v>
      </c>
      <c r="G172">
        <f t="shared" ref="G172:O172" si="152">MIN(G170+G171,G154+G158+G165)*$E$170*-1</f>
        <v>0</v>
      </c>
      <c r="H172">
        <f t="shared" si="152"/>
        <v>0</v>
      </c>
      <c r="I172">
        <f t="shared" si="152"/>
        <v>0</v>
      </c>
      <c r="J172">
        <f t="shared" si="152"/>
        <v>0</v>
      </c>
      <c r="K172">
        <f t="shared" si="152"/>
        <v>0</v>
      </c>
      <c r="L172">
        <f t="shared" si="152"/>
        <v>0</v>
      </c>
      <c r="M172">
        <f t="shared" si="152"/>
        <v>0</v>
      </c>
      <c r="N172">
        <f t="shared" si="152"/>
        <v>0</v>
      </c>
      <c r="O172">
        <f t="shared" si="152"/>
        <v>0</v>
      </c>
    </row>
    <row r="173" spans="2:15" ht="15" customHeight="1" x14ac:dyDescent="0.2">
      <c r="B173" s="16" t="s">
        <v>145</v>
      </c>
      <c r="E173" s="71">
        <v>1000</v>
      </c>
      <c r="F173">
        <f>SUM(F170:F172)</f>
        <v>0</v>
      </c>
      <c r="G173">
        <f t="shared" ref="G173" si="153">SUM(G170:G172)</f>
        <v>0</v>
      </c>
      <c r="H173">
        <f t="shared" ref="H173" si="154">SUM(H170:H172)</f>
        <v>0</v>
      </c>
      <c r="I173">
        <f t="shared" ref="I173" si="155">SUM(I170:I172)</f>
        <v>0</v>
      </c>
      <c r="J173">
        <f t="shared" ref="J173" si="156">SUM(J170:J172)</f>
        <v>0</v>
      </c>
      <c r="K173">
        <f t="shared" ref="K173" si="157">SUM(K170:K172)</f>
        <v>0</v>
      </c>
      <c r="L173">
        <f t="shared" ref="L173" si="158">SUM(L170:L172)</f>
        <v>0</v>
      </c>
      <c r="M173">
        <f t="shared" ref="M173" si="159">SUM(M170:M172)</f>
        <v>0</v>
      </c>
      <c r="N173">
        <f t="shared" ref="N173" si="160">SUM(N170:N172)</f>
        <v>0</v>
      </c>
      <c r="O173">
        <f t="shared" ref="O173" si="161">SUM(O170:O172)</f>
        <v>0</v>
      </c>
    </row>
    <row r="174" spans="2:15" ht="15" customHeight="1" x14ac:dyDescent="0.2">
      <c r="B174" s="16" t="s">
        <v>147</v>
      </c>
      <c r="F174" s="66">
        <f>F126</f>
        <v>3.3750000000000002E-2</v>
      </c>
      <c r="G174" s="66">
        <f t="shared" ref="G174:O174" si="162">G126</f>
        <v>3.3750000000000002E-2</v>
      </c>
      <c r="H174" s="66">
        <f t="shared" si="162"/>
        <v>3.3750000000000002E-2</v>
      </c>
      <c r="I174" s="66">
        <f t="shared" si="162"/>
        <v>3.3750000000000002E-2</v>
      </c>
      <c r="J174" s="66">
        <f t="shared" si="162"/>
        <v>3.3750000000000002E-2</v>
      </c>
      <c r="K174" s="66">
        <f t="shared" si="162"/>
        <v>3.3750000000000002E-2</v>
      </c>
      <c r="L174" s="66">
        <f t="shared" si="162"/>
        <v>3.3750000000000002E-2</v>
      </c>
      <c r="M174" s="66">
        <f t="shared" si="162"/>
        <v>3.3750000000000002E-2</v>
      </c>
      <c r="N174" s="66">
        <f t="shared" si="162"/>
        <v>3.3750000000000002E-2</v>
      </c>
      <c r="O174" s="66">
        <f t="shared" si="162"/>
        <v>3.3750000000000002E-2</v>
      </c>
    </row>
    <row r="175" spans="2:15" ht="15" customHeight="1" x14ac:dyDescent="0.2">
      <c r="B175" s="16" t="s">
        <v>45</v>
      </c>
      <c r="F175">
        <f>AVERAGE(E173:F173)*F174</f>
        <v>16.875</v>
      </c>
      <c r="G175">
        <f t="shared" ref="G175:O175" si="163">AVERAGE(F173:G173)*G174</f>
        <v>0</v>
      </c>
      <c r="H175">
        <f t="shared" si="163"/>
        <v>0</v>
      </c>
      <c r="I175">
        <f t="shared" si="163"/>
        <v>0</v>
      </c>
      <c r="J175">
        <f t="shared" si="163"/>
        <v>0</v>
      </c>
      <c r="K175">
        <f t="shared" si="163"/>
        <v>0</v>
      </c>
      <c r="L175">
        <f t="shared" si="163"/>
        <v>0</v>
      </c>
      <c r="M175">
        <f t="shared" si="163"/>
        <v>0</v>
      </c>
      <c r="N175">
        <f t="shared" si="163"/>
        <v>0</v>
      </c>
      <c r="O175">
        <f t="shared" si="163"/>
        <v>0</v>
      </c>
    </row>
    <row r="177" spans="1:15" ht="15" customHeight="1" x14ac:dyDescent="0.2">
      <c r="B177" s="16" t="s">
        <v>146</v>
      </c>
      <c r="C177" s="16" t="s">
        <v>165</v>
      </c>
      <c r="E177" s="79">
        <v>1</v>
      </c>
      <c r="F177">
        <f>E180</f>
        <v>225</v>
      </c>
      <c r="G177">
        <f t="shared" ref="G177:O177" si="164">F180</f>
        <v>0</v>
      </c>
      <c r="H177">
        <f t="shared" si="164"/>
        <v>0</v>
      </c>
      <c r="I177">
        <f t="shared" si="164"/>
        <v>0</v>
      </c>
      <c r="J177">
        <f t="shared" si="164"/>
        <v>0</v>
      </c>
      <c r="K177">
        <f t="shared" si="164"/>
        <v>0</v>
      </c>
      <c r="L177">
        <f t="shared" si="164"/>
        <v>0</v>
      </c>
      <c r="M177">
        <f t="shared" si="164"/>
        <v>0</v>
      </c>
      <c r="N177">
        <f t="shared" si="164"/>
        <v>0</v>
      </c>
      <c r="O177">
        <f t="shared" si="164"/>
        <v>0</v>
      </c>
    </row>
    <row r="178" spans="1:15" ht="15" customHeight="1" x14ac:dyDescent="0.2">
      <c r="B178" s="16" t="s">
        <v>139</v>
      </c>
      <c r="F178">
        <f>MIN(F177,-F120)*-1</f>
        <v>-225</v>
      </c>
      <c r="G178">
        <f t="shared" ref="G178:O178" si="165">MIN(G177,-G120)*-1</f>
        <v>0</v>
      </c>
      <c r="H178">
        <f t="shared" si="165"/>
        <v>0</v>
      </c>
      <c r="I178">
        <f t="shared" si="165"/>
        <v>0</v>
      </c>
      <c r="J178">
        <f t="shared" si="165"/>
        <v>0</v>
      </c>
      <c r="K178">
        <f t="shared" si="165"/>
        <v>0</v>
      </c>
      <c r="L178">
        <f t="shared" si="165"/>
        <v>0</v>
      </c>
      <c r="M178">
        <f t="shared" si="165"/>
        <v>0</v>
      </c>
      <c r="N178">
        <f t="shared" si="165"/>
        <v>0</v>
      </c>
      <c r="O178">
        <f t="shared" si="165"/>
        <v>0</v>
      </c>
    </row>
    <row r="179" spans="1:15" ht="15" customHeight="1" x14ac:dyDescent="0.2">
      <c r="B179" s="16" t="s">
        <v>166</v>
      </c>
      <c r="F179">
        <f>MIN(F177+F178,F154+F158+F165+F172)*$E$170*-1</f>
        <v>0</v>
      </c>
      <c r="G179">
        <f t="shared" ref="G179:O179" si="166">MIN(G177+G178,G154+G158+G165+G172)*$E$170*-1</f>
        <v>0</v>
      </c>
      <c r="H179">
        <f t="shared" si="166"/>
        <v>0</v>
      </c>
      <c r="I179">
        <f t="shared" si="166"/>
        <v>0</v>
      </c>
      <c r="J179">
        <f t="shared" si="166"/>
        <v>0</v>
      </c>
      <c r="K179">
        <f t="shared" si="166"/>
        <v>0</v>
      </c>
      <c r="L179">
        <f t="shared" si="166"/>
        <v>0</v>
      </c>
      <c r="M179">
        <f t="shared" si="166"/>
        <v>0</v>
      </c>
      <c r="N179">
        <f t="shared" si="166"/>
        <v>0</v>
      </c>
      <c r="O179">
        <f t="shared" si="166"/>
        <v>0</v>
      </c>
    </row>
    <row r="180" spans="1:15" ht="15" customHeight="1" x14ac:dyDescent="0.2">
      <c r="B180" s="16" t="s">
        <v>162</v>
      </c>
      <c r="E180" s="65">
        <v>225</v>
      </c>
      <c r="F180">
        <f>SUM(F177:F179)</f>
        <v>0</v>
      </c>
      <c r="G180">
        <f t="shared" ref="G180" si="167">SUM(G177:G179)</f>
        <v>0</v>
      </c>
      <c r="H180">
        <f t="shared" ref="H180" si="168">SUM(H177:H179)</f>
        <v>0</v>
      </c>
      <c r="I180">
        <f t="shared" ref="I180" si="169">SUM(I177:I179)</f>
        <v>0</v>
      </c>
      <c r="J180">
        <f t="shared" ref="J180" si="170">SUM(J177:J179)</f>
        <v>0</v>
      </c>
      <c r="K180">
        <f t="shared" ref="K180" si="171">SUM(K177:K179)</f>
        <v>0</v>
      </c>
      <c r="L180">
        <f t="shared" ref="L180" si="172">SUM(L177:L179)</f>
        <v>0</v>
      </c>
      <c r="M180">
        <f t="shared" ref="M180" si="173">SUM(M177:M179)</f>
        <v>0</v>
      </c>
      <c r="N180">
        <f t="shared" ref="N180" si="174">SUM(N177:N179)</f>
        <v>0</v>
      </c>
      <c r="O180">
        <f t="shared" ref="O180" si="175">SUM(O177:O179)</f>
        <v>0</v>
      </c>
    </row>
    <row r="181" spans="1:15" ht="15" customHeight="1" x14ac:dyDescent="0.2">
      <c r="B181" s="16" t="s">
        <v>147</v>
      </c>
      <c r="F181" s="66">
        <f>F127</f>
        <v>3.3750000000000002E-2</v>
      </c>
      <c r="G181" s="66">
        <f t="shared" ref="G181:O181" si="176">G127</f>
        <v>3.3750000000000002E-2</v>
      </c>
      <c r="H181" s="66">
        <f t="shared" si="176"/>
        <v>3.3750000000000002E-2</v>
      </c>
      <c r="I181" s="66">
        <f t="shared" si="176"/>
        <v>3.3750000000000002E-2</v>
      </c>
      <c r="J181" s="66">
        <f t="shared" si="176"/>
        <v>3.3750000000000002E-2</v>
      </c>
      <c r="K181" s="66">
        <f t="shared" si="176"/>
        <v>3.3750000000000002E-2</v>
      </c>
      <c r="L181" s="66">
        <f t="shared" si="176"/>
        <v>3.3750000000000002E-2</v>
      </c>
      <c r="M181" s="66">
        <f t="shared" si="176"/>
        <v>3.3750000000000002E-2</v>
      </c>
      <c r="N181" s="66">
        <f t="shared" si="176"/>
        <v>3.3750000000000002E-2</v>
      </c>
      <c r="O181" s="66">
        <f t="shared" si="176"/>
        <v>3.3750000000000002E-2</v>
      </c>
    </row>
    <row r="182" spans="1:15" ht="15" customHeight="1" x14ac:dyDescent="0.2">
      <c r="B182" s="16" t="s">
        <v>45</v>
      </c>
      <c r="F182">
        <f>AVERAGE(E180:F180)*F181</f>
        <v>3.7968750000000004</v>
      </c>
      <c r="G182">
        <f t="shared" ref="G182:O182" si="177">AVERAGE(F180:G180)*G181</f>
        <v>0</v>
      </c>
      <c r="H182">
        <f t="shared" si="177"/>
        <v>0</v>
      </c>
      <c r="I182">
        <f t="shared" si="177"/>
        <v>0</v>
      </c>
      <c r="J182">
        <f t="shared" si="177"/>
        <v>0</v>
      </c>
      <c r="K182">
        <f t="shared" si="177"/>
        <v>0</v>
      </c>
      <c r="L182">
        <f t="shared" si="177"/>
        <v>0</v>
      </c>
      <c r="M182">
        <f t="shared" si="177"/>
        <v>0</v>
      </c>
      <c r="N182">
        <f t="shared" si="177"/>
        <v>0</v>
      </c>
      <c r="O182">
        <f t="shared" si="177"/>
        <v>0</v>
      </c>
    </row>
    <row r="184" spans="1:15" ht="15" customHeight="1" x14ac:dyDescent="0.2">
      <c r="B184" s="16" t="s">
        <v>35</v>
      </c>
      <c r="F184">
        <f>E186</f>
        <v>16549</v>
      </c>
      <c r="G184">
        <f t="shared" ref="G184:O184" si="178">F186</f>
        <v>33714.969366250007</v>
      </c>
      <c r="H184">
        <f t="shared" si="178"/>
        <v>60353.30169218751</v>
      </c>
      <c r="I184">
        <f t="shared" si="178"/>
        <v>91088.926466295568</v>
      </c>
      <c r="J184">
        <f t="shared" si="178"/>
        <v>125909.70225757646</v>
      </c>
      <c r="K184">
        <f t="shared" si="178"/>
        <v>164950.80634507531</v>
      </c>
      <c r="L184">
        <f t="shared" si="178"/>
        <v>208478.40554319188</v>
      </c>
      <c r="M184">
        <f t="shared" si="178"/>
        <v>257228.10457486013</v>
      </c>
      <c r="N184">
        <f t="shared" si="178"/>
        <v>311709.23618700122</v>
      </c>
      <c r="O184">
        <f t="shared" si="178"/>
        <v>372499.83447933104</v>
      </c>
    </row>
    <row r="185" spans="1:15" ht="15" customHeight="1" x14ac:dyDescent="0.2">
      <c r="B185" s="16" t="s">
        <v>34</v>
      </c>
      <c r="F185">
        <f>F141+F149+F157+F158+F164+F165+F171+F172+F178+F179</f>
        <v>17165.969366250003</v>
      </c>
      <c r="G185">
        <f t="shared" ref="G185:O185" si="179">G141+G149+G157+G158+G164+G165+G171+G172+G178+G179</f>
        <v>26638.332325937503</v>
      </c>
      <c r="H185">
        <f t="shared" si="179"/>
        <v>30735.624774108062</v>
      </c>
      <c r="I185">
        <f t="shared" si="179"/>
        <v>34820.775791280896</v>
      </c>
      <c r="J185">
        <f t="shared" si="179"/>
        <v>39041.104087498854</v>
      </c>
      <c r="K185">
        <f t="shared" si="179"/>
        <v>43527.599198116572</v>
      </c>
      <c r="L185">
        <f t="shared" si="179"/>
        <v>48749.699031668235</v>
      </c>
      <c r="M185">
        <f t="shared" si="179"/>
        <v>54481.131612141122</v>
      </c>
      <c r="N185">
        <f t="shared" si="179"/>
        <v>60790.598292329829</v>
      </c>
      <c r="O185">
        <f t="shared" si="179"/>
        <v>67752.32165789479</v>
      </c>
    </row>
    <row r="186" spans="1:15" ht="15" customHeight="1" x14ac:dyDescent="0.2">
      <c r="B186" s="16" t="s">
        <v>36</v>
      </c>
      <c r="E186">
        <f>E91</f>
        <v>16549</v>
      </c>
      <c r="F186">
        <f>SUM(F184:F185)</f>
        <v>33714.969366250007</v>
      </c>
      <c r="G186">
        <f t="shared" ref="G186:O186" si="180">SUM(G184:G185)</f>
        <v>60353.30169218751</v>
      </c>
      <c r="H186">
        <f t="shared" si="180"/>
        <v>91088.926466295568</v>
      </c>
      <c r="I186">
        <f t="shared" si="180"/>
        <v>125909.70225757646</v>
      </c>
      <c r="J186">
        <f t="shared" si="180"/>
        <v>164950.80634507531</v>
      </c>
      <c r="K186">
        <f t="shared" si="180"/>
        <v>208478.40554319188</v>
      </c>
      <c r="L186">
        <f t="shared" si="180"/>
        <v>257228.10457486013</v>
      </c>
      <c r="M186">
        <f t="shared" si="180"/>
        <v>311709.23618700122</v>
      </c>
      <c r="N186">
        <f t="shared" si="180"/>
        <v>372499.83447933104</v>
      </c>
      <c r="O186">
        <f t="shared" si="180"/>
        <v>440252.1561372258</v>
      </c>
    </row>
    <row r="187" spans="1:15" ht="15" customHeight="1" x14ac:dyDescent="0.2">
      <c r="B187" s="16" t="str">
        <f>B92</f>
        <v>Short-term investments</v>
      </c>
      <c r="E187">
        <f>E92</f>
        <v>56517</v>
      </c>
      <c r="F187">
        <f t="shared" ref="F187:O187" si="181">F92</f>
        <v>56517</v>
      </c>
      <c r="G187">
        <f t="shared" si="181"/>
        <v>56517</v>
      </c>
      <c r="H187">
        <f t="shared" si="181"/>
        <v>56517</v>
      </c>
      <c r="I187">
        <f t="shared" si="181"/>
        <v>56517</v>
      </c>
      <c r="J187">
        <f t="shared" si="181"/>
        <v>56517</v>
      </c>
      <c r="K187">
        <f t="shared" si="181"/>
        <v>56517</v>
      </c>
      <c r="L187">
        <f t="shared" si="181"/>
        <v>56517</v>
      </c>
      <c r="M187">
        <f t="shared" si="181"/>
        <v>56517</v>
      </c>
      <c r="N187">
        <f t="shared" si="181"/>
        <v>56517</v>
      </c>
      <c r="O187">
        <f t="shared" si="181"/>
        <v>56517</v>
      </c>
    </row>
    <row r="188" spans="1:15" ht="15" customHeight="1" x14ac:dyDescent="0.2">
      <c r="B188" s="16" t="s">
        <v>164</v>
      </c>
      <c r="E188">
        <f>SUM(E186:E187)</f>
        <v>73066</v>
      </c>
      <c r="F188">
        <f t="shared" ref="F188:O188" si="182">SUM(F186:F187)</f>
        <v>90231.969366250007</v>
      </c>
      <c r="G188">
        <f t="shared" si="182"/>
        <v>116870.30169218751</v>
      </c>
      <c r="H188">
        <f t="shared" si="182"/>
        <v>147605.92646629555</v>
      </c>
      <c r="I188">
        <f t="shared" si="182"/>
        <v>182426.70225757646</v>
      </c>
      <c r="J188">
        <f t="shared" si="182"/>
        <v>221467.80634507531</v>
      </c>
      <c r="K188">
        <f t="shared" si="182"/>
        <v>264995.40554319188</v>
      </c>
      <c r="L188">
        <f t="shared" si="182"/>
        <v>313745.10457486013</v>
      </c>
      <c r="M188">
        <f t="shared" si="182"/>
        <v>368226.23618700122</v>
      </c>
      <c r="N188">
        <f t="shared" si="182"/>
        <v>429016.83447933104</v>
      </c>
      <c r="O188">
        <f t="shared" si="182"/>
        <v>496769.1561372258</v>
      </c>
    </row>
    <row r="189" spans="1:15" ht="15" customHeight="1" x14ac:dyDescent="0.2">
      <c r="B189" s="16" t="s">
        <v>147</v>
      </c>
      <c r="F189" s="66">
        <f>F128</f>
        <v>1E-3</v>
      </c>
      <c r="G189" s="66">
        <f t="shared" ref="G189:O189" si="183">G128</f>
        <v>1E-3</v>
      </c>
      <c r="H189" s="66">
        <f t="shared" si="183"/>
        <v>1E-3</v>
      </c>
      <c r="I189" s="66">
        <f t="shared" si="183"/>
        <v>1E-3</v>
      </c>
      <c r="J189" s="66">
        <f t="shared" si="183"/>
        <v>1E-3</v>
      </c>
      <c r="K189" s="66">
        <f t="shared" si="183"/>
        <v>1E-3</v>
      </c>
      <c r="L189" s="66">
        <f t="shared" si="183"/>
        <v>1E-3</v>
      </c>
      <c r="M189" s="66">
        <f t="shared" si="183"/>
        <v>1E-3</v>
      </c>
      <c r="N189" s="66">
        <f t="shared" si="183"/>
        <v>1E-3</v>
      </c>
      <c r="O189" s="66">
        <f t="shared" si="183"/>
        <v>1E-3</v>
      </c>
    </row>
    <row r="190" spans="1:15" ht="15" customHeight="1" x14ac:dyDescent="0.2">
      <c r="B190" s="16" t="s">
        <v>44</v>
      </c>
      <c r="F190">
        <f>AVERAGE(E188:F188)*F189</f>
        <v>81.648984683125008</v>
      </c>
      <c r="G190">
        <f t="shared" ref="G190:O190" si="184">AVERAGE(F188:G188)*G189</f>
        <v>103.55113552921877</v>
      </c>
      <c r="H190">
        <f t="shared" si="184"/>
        <v>132.23811407924154</v>
      </c>
      <c r="I190">
        <f t="shared" si="184"/>
        <v>165.016314361936</v>
      </c>
      <c r="J190">
        <f t="shared" si="184"/>
        <v>201.9472543013259</v>
      </c>
      <c r="K190">
        <f t="shared" si="184"/>
        <v>243.23160594413361</v>
      </c>
      <c r="L190">
        <f t="shared" si="184"/>
        <v>289.37025505902602</v>
      </c>
      <c r="M190">
        <f t="shared" si="184"/>
        <v>340.98567038093063</v>
      </c>
      <c r="N190">
        <f t="shared" si="184"/>
        <v>398.62153533316615</v>
      </c>
      <c r="O190">
        <f t="shared" si="184"/>
        <v>462.89299530827844</v>
      </c>
    </row>
    <row r="192" spans="1:15" ht="15" customHeight="1" x14ac:dyDescent="0.2">
      <c r="A192" s="15" t="s">
        <v>66</v>
      </c>
    </row>
    <row r="193" spans="1:15" ht="15" customHeight="1" x14ac:dyDescent="0.2">
      <c r="B193" s="16" t="s">
        <v>121</v>
      </c>
      <c r="E193">
        <f>E150</f>
        <v>2000</v>
      </c>
      <c r="F193">
        <f>F150</f>
        <v>0</v>
      </c>
      <c r="G193">
        <f t="shared" ref="G193:O193" si="185">G150</f>
        <v>0</v>
      </c>
      <c r="H193">
        <f t="shared" si="185"/>
        <v>0</v>
      </c>
      <c r="I193">
        <f t="shared" si="185"/>
        <v>0</v>
      </c>
      <c r="J193">
        <f t="shared" si="185"/>
        <v>0</v>
      </c>
      <c r="K193">
        <f t="shared" si="185"/>
        <v>0</v>
      </c>
      <c r="L193">
        <f t="shared" si="185"/>
        <v>0</v>
      </c>
      <c r="M193">
        <f t="shared" si="185"/>
        <v>0</v>
      </c>
      <c r="N193">
        <f t="shared" si="185"/>
        <v>0</v>
      </c>
      <c r="O193">
        <f t="shared" si="185"/>
        <v>0</v>
      </c>
    </row>
    <row r="194" spans="1:15" ht="15" customHeight="1" x14ac:dyDescent="0.2">
      <c r="B194" s="16" t="s">
        <v>47</v>
      </c>
      <c r="E194">
        <f>E159+E166+E173+E180</f>
        <v>3225</v>
      </c>
      <c r="F194">
        <f>F159+F166+F173+F180</f>
        <v>0</v>
      </c>
      <c r="G194">
        <f t="shared" ref="G194:O194" si="186">G159+G166+G173+G180</f>
        <v>0</v>
      </c>
      <c r="H194">
        <f t="shared" si="186"/>
        <v>0</v>
      </c>
      <c r="I194">
        <f t="shared" si="186"/>
        <v>0</v>
      </c>
      <c r="J194">
        <f t="shared" si="186"/>
        <v>0</v>
      </c>
      <c r="K194">
        <f t="shared" si="186"/>
        <v>0</v>
      </c>
      <c r="L194">
        <f t="shared" si="186"/>
        <v>0</v>
      </c>
      <c r="M194">
        <f t="shared" si="186"/>
        <v>0</v>
      </c>
      <c r="N194">
        <f t="shared" si="186"/>
        <v>0</v>
      </c>
      <c r="O194">
        <f t="shared" si="186"/>
        <v>0</v>
      </c>
    </row>
    <row r="195" spans="1:15" ht="15" customHeight="1" x14ac:dyDescent="0.2">
      <c r="B195" s="16" t="s">
        <v>151</v>
      </c>
      <c r="E195">
        <f>SUM(E193:E194)</f>
        <v>5225</v>
      </c>
      <c r="F195">
        <f>SUM(F193:F194)</f>
        <v>0</v>
      </c>
      <c r="G195">
        <f t="shared" ref="G195:O195" si="187">SUM(G193:G194)</f>
        <v>0</v>
      </c>
      <c r="H195">
        <f t="shared" si="187"/>
        <v>0</v>
      </c>
      <c r="I195">
        <f t="shared" si="187"/>
        <v>0</v>
      </c>
      <c r="J195">
        <f t="shared" si="187"/>
        <v>0</v>
      </c>
      <c r="K195">
        <f t="shared" si="187"/>
        <v>0</v>
      </c>
      <c r="L195">
        <f t="shared" si="187"/>
        <v>0</v>
      </c>
      <c r="M195">
        <f t="shared" si="187"/>
        <v>0</v>
      </c>
      <c r="N195">
        <f t="shared" si="187"/>
        <v>0</v>
      </c>
      <c r="O195">
        <f t="shared" si="187"/>
        <v>0</v>
      </c>
    </row>
    <row r="196" spans="1:15" ht="15" customHeight="1" x14ac:dyDescent="0.2">
      <c r="B196" s="16" t="s">
        <v>67</v>
      </c>
      <c r="E196">
        <f>E195-E186</f>
        <v>-11324</v>
      </c>
      <c r="F196">
        <f>F195-F186</f>
        <v>-33714.969366250007</v>
      </c>
      <c r="G196">
        <f t="shared" ref="G196:O196" si="188">G195-G186</f>
        <v>-60353.30169218751</v>
      </c>
      <c r="H196">
        <f t="shared" si="188"/>
        <v>-91088.926466295568</v>
      </c>
      <c r="I196">
        <f t="shared" si="188"/>
        <v>-125909.70225757646</v>
      </c>
      <c r="J196">
        <f t="shared" si="188"/>
        <v>-164950.80634507531</v>
      </c>
      <c r="K196">
        <f t="shared" si="188"/>
        <v>-208478.40554319188</v>
      </c>
      <c r="L196">
        <f t="shared" si="188"/>
        <v>-257228.10457486013</v>
      </c>
      <c r="M196">
        <f t="shared" si="188"/>
        <v>-311709.23618700122</v>
      </c>
      <c r="N196">
        <f t="shared" si="188"/>
        <v>-372499.83447933104</v>
      </c>
      <c r="O196">
        <f t="shared" si="188"/>
        <v>-440252.1561372258</v>
      </c>
    </row>
    <row r="197" spans="1:15" ht="15" customHeight="1" x14ac:dyDescent="0.2">
      <c r="B197" s="16" t="s">
        <v>163</v>
      </c>
      <c r="E197" s="68">
        <f>E195/E35</f>
        <v>0.21393768169348565</v>
      </c>
      <c r="F197" s="68">
        <f>F195/F35</f>
        <v>0</v>
      </c>
      <c r="G197" s="68">
        <f t="shared" ref="G197:O197" si="189">G195/G35</f>
        <v>0</v>
      </c>
      <c r="H197" s="68">
        <f t="shared" si="189"/>
        <v>0</v>
      </c>
      <c r="I197" s="68">
        <f t="shared" si="189"/>
        <v>0</v>
      </c>
      <c r="J197" s="68">
        <f t="shared" si="189"/>
        <v>0</v>
      </c>
      <c r="K197" s="68">
        <f t="shared" si="189"/>
        <v>0</v>
      </c>
      <c r="L197" s="68">
        <f t="shared" si="189"/>
        <v>0</v>
      </c>
      <c r="M197" s="68">
        <f t="shared" si="189"/>
        <v>0</v>
      </c>
      <c r="N197" s="68">
        <f t="shared" si="189"/>
        <v>0</v>
      </c>
      <c r="O197" s="68">
        <f t="shared" si="189"/>
        <v>0</v>
      </c>
    </row>
    <row r="198" spans="1:15" ht="15" customHeight="1" x14ac:dyDescent="0.2">
      <c r="B198" s="16" t="s">
        <v>68</v>
      </c>
      <c r="E198" s="68">
        <f>E196/E35</f>
        <v>-0.46366130287024526</v>
      </c>
      <c r="F198" s="68">
        <f>F196/F35</f>
        <v>-0.81384448774921281</v>
      </c>
      <c r="G198" s="68">
        <f t="shared" ref="G198:O198" si="190">G196/G35</f>
        <v>-1.2572101061647862</v>
      </c>
      <c r="H198" s="68">
        <f t="shared" si="190"/>
        <v>-1.6503409694916751</v>
      </c>
      <c r="I198" s="68">
        <f t="shared" si="190"/>
        <v>-2.0170533579491301</v>
      </c>
      <c r="J198" s="68">
        <f t="shared" si="190"/>
        <v>-2.3634216940473616</v>
      </c>
      <c r="K198" s="68">
        <f t="shared" si="190"/>
        <v>-2.6833546632785938</v>
      </c>
      <c r="L198" s="68">
        <f t="shared" si="190"/>
        <v>-2.9666127173175951</v>
      </c>
      <c r="M198" s="68">
        <f t="shared" si="190"/>
        <v>-3.2250526816763232</v>
      </c>
      <c r="N198" s="68">
        <f t="shared" si="190"/>
        <v>-3.4605136837260329</v>
      </c>
      <c r="O198" s="68">
        <f t="shared" si="190"/>
        <v>-3.674731355231124</v>
      </c>
    </row>
    <row r="199" spans="1:15" ht="15" customHeight="1" x14ac:dyDescent="0.2">
      <c r="B199" s="16" t="s">
        <v>148</v>
      </c>
      <c r="F199">
        <f>F152+F161+F168+F175+F182</f>
        <v>64.421875</v>
      </c>
      <c r="G199">
        <f t="shared" ref="G199:O199" si="191">G152+G161+G168+G175+G182</f>
        <v>0</v>
      </c>
      <c r="H199">
        <f t="shared" si="191"/>
        <v>0</v>
      </c>
      <c r="I199">
        <f t="shared" si="191"/>
        <v>0</v>
      </c>
      <c r="J199">
        <f t="shared" si="191"/>
        <v>0</v>
      </c>
      <c r="K199">
        <f t="shared" si="191"/>
        <v>0</v>
      </c>
      <c r="L199">
        <f t="shared" si="191"/>
        <v>0</v>
      </c>
      <c r="M199">
        <f t="shared" si="191"/>
        <v>0</v>
      </c>
      <c r="N199">
        <f t="shared" si="191"/>
        <v>0</v>
      </c>
      <c r="O199">
        <f t="shared" si="191"/>
        <v>0</v>
      </c>
    </row>
    <row r="200" spans="1:15" ht="15" customHeight="1" x14ac:dyDescent="0.2">
      <c r="B200" s="16" t="s">
        <v>69</v>
      </c>
      <c r="F200" s="68">
        <f>IFERROR(F35/F199,"na")</f>
        <v>643.0547969924811</v>
      </c>
      <c r="G200" s="80" t="str">
        <f t="shared" ref="G200:O200" si="192">IFERROR(G35/G199,"na")</f>
        <v>na</v>
      </c>
      <c r="H200" s="80" t="str">
        <f t="shared" si="192"/>
        <v>na</v>
      </c>
      <c r="I200" s="80" t="str">
        <f t="shared" si="192"/>
        <v>na</v>
      </c>
      <c r="J200" s="80" t="str">
        <f t="shared" si="192"/>
        <v>na</v>
      </c>
      <c r="K200" s="80" t="str">
        <f t="shared" si="192"/>
        <v>na</v>
      </c>
      <c r="L200" s="80" t="str">
        <f t="shared" si="192"/>
        <v>na</v>
      </c>
      <c r="M200" s="80" t="str">
        <f t="shared" si="192"/>
        <v>na</v>
      </c>
      <c r="N200" s="80" t="str">
        <f t="shared" si="192"/>
        <v>na</v>
      </c>
      <c r="O200" s="80" t="str">
        <f t="shared" si="192"/>
        <v>na</v>
      </c>
    </row>
    <row r="201" spans="1:15" ht="15" customHeight="1" x14ac:dyDescent="0.2">
      <c r="B201" s="16" t="s">
        <v>70</v>
      </c>
      <c r="E201" s="66">
        <f>E196/(E196+E111)</f>
        <v>-0.10388323685634868</v>
      </c>
      <c r="F201" s="66">
        <f>F196/(F196+F111)</f>
        <v>-0.2915741261525121</v>
      </c>
      <c r="G201" s="66">
        <f t="shared" ref="G201:O201" si="193">G196/(G196+G111)</f>
        <v>-0.49324533665762443</v>
      </c>
      <c r="H201" s="66">
        <f t="shared" si="193"/>
        <v>-0.70196633859918367</v>
      </c>
      <c r="I201" s="66">
        <f t="shared" si="193"/>
        <v>-0.91365047546115552</v>
      </c>
      <c r="J201" s="66">
        <f t="shared" si="193"/>
        <v>-1.1267559953876896</v>
      </c>
      <c r="K201" s="66">
        <f t="shared" si="193"/>
        <v>-1.338292697769331</v>
      </c>
      <c r="L201" s="66">
        <f t="shared" si="193"/>
        <v>-1.5512909148078891</v>
      </c>
      <c r="M201" s="66">
        <f t="shared" si="193"/>
        <v>-1.7646038264870005</v>
      </c>
      <c r="N201" s="66">
        <f t="shared" si="193"/>
        <v>-1.9770132789746608</v>
      </c>
      <c r="O201" s="66">
        <f t="shared" si="193"/>
        <v>-2.1872846811896878</v>
      </c>
    </row>
    <row r="203" spans="1:15" ht="15" customHeight="1" x14ac:dyDescent="0.2">
      <c r="A203" s="15" t="s">
        <v>51</v>
      </c>
    </row>
    <row r="204" spans="1:15" ht="15" customHeight="1" x14ac:dyDescent="0.2">
      <c r="B204" s="16" t="str">
        <f t="shared" ref="B204:B209" si="194">B131</f>
        <v>Net income</v>
      </c>
      <c r="F204">
        <f t="shared" ref="F204:F209" si="195">F131</f>
        <v>29014.837616249995</v>
      </c>
      <c r="G204">
        <f t="shared" ref="G204:O204" si="196">G131</f>
        <v>33367.0632586875</v>
      </c>
      <c r="H204">
        <f t="shared" si="196"/>
        <v>38138.553304679808</v>
      </c>
      <c r="I204">
        <f t="shared" si="196"/>
        <v>42867.733914460099</v>
      </c>
      <c r="J204">
        <f t="shared" si="196"/>
        <v>47626.052378965178</v>
      </c>
      <c r="K204">
        <f t="shared" si="196"/>
        <v>52912.544193030313</v>
      </c>
      <c r="L204">
        <f t="shared" si="196"/>
        <v>58785.836598456677</v>
      </c>
      <c r="M204">
        <f t="shared" si="196"/>
        <v>65311.064460885362</v>
      </c>
      <c r="N204">
        <f t="shared" si="196"/>
        <v>72560.592616043636</v>
      </c>
      <c r="O204">
        <f t="shared" si="196"/>
        <v>80614.818396424496</v>
      </c>
    </row>
    <row r="205" spans="1:15" ht="15" customHeight="1" x14ac:dyDescent="0.2">
      <c r="B205" s="16" t="str">
        <f t="shared" si="194"/>
        <v>Depreciation</v>
      </c>
      <c r="F205">
        <f t="shared" si="195"/>
        <v>5019.768</v>
      </c>
      <c r="G205">
        <f t="shared" ref="G205:O205" si="197">G132</f>
        <v>6340.5582547500007</v>
      </c>
      <c r="H205">
        <f t="shared" si="197"/>
        <v>7761.2333132407502</v>
      </c>
      <c r="I205">
        <f t="shared" si="197"/>
        <v>9296.147190641037</v>
      </c>
      <c r="J205">
        <f t="shared" si="197"/>
        <v>10922.344265084352</v>
      </c>
      <c r="K205">
        <f t="shared" si="197"/>
        <v>12626.231035414061</v>
      </c>
      <c r="L205">
        <f t="shared" si="197"/>
        <v>14434.218602905741</v>
      </c>
      <c r="M205">
        <f t="shared" si="197"/>
        <v>16372.572455785998</v>
      </c>
      <c r="N205">
        <f t="shared" si="197"/>
        <v>18467.928669619276</v>
      </c>
      <c r="O205">
        <f t="shared" si="197"/>
        <v>20747.775307063344</v>
      </c>
    </row>
    <row r="206" spans="1:15" ht="15" customHeight="1" x14ac:dyDescent="0.2">
      <c r="B206" s="16" t="str">
        <f t="shared" si="194"/>
        <v>Amortization</v>
      </c>
      <c r="F206">
        <f t="shared" si="195"/>
        <v>806</v>
      </c>
      <c r="G206">
        <f t="shared" ref="G206:O206" si="198">G133</f>
        <v>724</v>
      </c>
      <c r="H206">
        <f t="shared" si="198"/>
        <v>637</v>
      </c>
      <c r="I206">
        <f t="shared" si="198"/>
        <v>528</v>
      </c>
      <c r="J206">
        <f t="shared" si="198"/>
        <v>434</v>
      </c>
      <c r="K206">
        <f t="shared" si="198"/>
        <v>143.6</v>
      </c>
      <c r="L206">
        <f t="shared" si="198"/>
        <v>143.6</v>
      </c>
      <c r="M206">
        <f t="shared" si="198"/>
        <v>143.6</v>
      </c>
      <c r="N206">
        <f t="shared" si="198"/>
        <v>143.6</v>
      </c>
      <c r="O206">
        <f t="shared" si="198"/>
        <v>143.6</v>
      </c>
    </row>
    <row r="207" spans="1:15" ht="15" customHeight="1" x14ac:dyDescent="0.2">
      <c r="B207" s="16" t="str">
        <f t="shared" si="194"/>
        <v>Change in OWC</v>
      </c>
      <c r="F207">
        <f t="shared" si="195"/>
        <v>-1146.0656249999993</v>
      </c>
      <c r="G207">
        <f t="shared" ref="G207:O207" si="199">G134</f>
        <v>-316.35984375000044</v>
      </c>
      <c r="H207">
        <f t="shared" si="199"/>
        <v>-346.83584203125065</v>
      </c>
      <c r="I207">
        <f t="shared" si="199"/>
        <v>-343.76040253687097</v>
      </c>
      <c r="J207">
        <f t="shared" si="199"/>
        <v>-345.8784101783167</v>
      </c>
      <c r="K207">
        <f t="shared" si="199"/>
        <v>-384.27091370810376</v>
      </c>
      <c r="L207">
        <f t="shared" si="199"/>
        <v>-426.92498512970633</v>
      </c>
      <c r="M207">
        <f t="shared" si="199"/>
        <v>-474.3136584790991</v>
      </c>
      <c r="N207">
        <f t="shared" si="199"/>
        <v>-526.96247457028221</v>
      </c>
      <c r="O207">
        <f t="shared" si="199"/>
        <v>-585.45530924757622</v>
      </c>
    </row>
    <row r="208" spans="1:15" ht="15" customHeight="1" x14ac:dyDescent="0.2">
      <c r="B208" s="16" t="str">
        <f t="shared" si="194"/>
        <v>Change in other long term assets</v>
      </c>
      <c r="F208">
        <f t="shared" si="195"/>
        <v>0</v>
      </c>
      <c r="G208">
        <f t="shared" ref="G208:O208" si="200">G135</f>
        <v>0</v>
      </c>
      <c r="H208">
        <f t="shared" si="200"/>
        <v>0</v>
      </c>
      <c r="I208">
        <f t="shared" si="200"/>
        <v>0</v>
      </c>
      <c r="J208">
        <f t="shared" si="200"/>
        <v>0</v>
      </c>
      <c r="K208">
        <f t="shared" si="200"/>
        <v>0</v>
      </c>
      <c r="L208">
        <f t="shared" si="200"/>
        <v>0</v>
      </c>
      <c r="M208">
        <f t="shared" si="200"/>
        <v>0</v>
      </c>
      <c r="N208">
        <f t="shared" si="200"/>
        <v>0</v>
      </c>
      <c r="O208">
        <f t="shared" si="200"/>
        <v>0</v>
      </c>
    </row>
    <row r="209" spans="2:15" ht="15" customHeight="1" x14ac:dyDescent="0.2">
      <c r="B209" s="16" t="str">
        <f t="shared" si="194"/>
        <v>Change in other non current liabilities</v>
      </c>
      <c r="F209">
        <f t="shared" si="195"/>
        <v>1350.8231250000008</v>
      </c>
      <c r="G209">
        <f t="shared" ref="G209:O209" si="201">G136</f>
        <v>1075.6234687499982</v>
      </c>
      <c r="H209">
        <f t="shared" si="201"/>
        <v>1179.2418629062504</v>
      </c>
      <c r="I209">
        <f t="shared" si="201"/>
        <v>1168.7853686253766</v>
      </c>
      <c r="J209">
        <f t="shared" si="201"/>
        <v>1175.98659460626</v>
      </c>
      <c r="K209">
        <f t="shared" si="201"/>
        <v>1306.5211066075553</v>
      </c>
      <c r="L209">
        <f t="shared" si="201"/>
        <v>1451.5449494409932</v>
      </c>
      <c r="M209">
        <f t="shared" si="201"/>
        <v>1612.6664388289446</v>
      </c>
      <c r="N209">
        <f t="shared" si="201"/>
        <v>1791.6724135389559</v>
      </c>
      <c r="O209">
        <f t="shared" si="201"/>
        <v>1990.5480514417832</v>
      </c>
    </row>
    <row r="210" spans="2:15" ht="15" customHeight="1" x14ac:dyDescent="0.2">
      <c r="B210" s="16" t="s">
        <v>156</v>
      </c>
      <c r="F210">
        <f>SUM(F204:F209)</f>
        <v>35045.363116250002</v>
      </c>
      <c r="G210">
        <f t="shared" ref="G210:O210" si="202">SUM(G204:G209)</f>
        <v>41190.885138437501</v>
      </c>
      <c r="H210">
        <f t="shared" si="202"/>
        <v>47369.192638795561</v>
      </c>
      <c r="I210">
        <f t="shared" si="202"/>
        <v>53516.906071189645</v>
      </c>
      <c r="J210">
        <f t="shared" si="202"/>
        <v>59812.504828477468</v>
      </c>
      <c r="K210">
        <f t="shared" si="202"/>
        <v>66604.625421343822</v>
      </c>
      <c r="L210">
        <f t="shared" si="202"/>
        <v>74388.275165673709</v>
      </c>
      <c r="M210">
        <f t="shared" si="202"/>
        <v>82965.589697021205</v>
      </c>
      <c r="N210">
        <f t="shared" si="202"/>
        <v>92436.831224631591</v>
      </c>
      <c r="O210">
        <f t="shared" si="202"/>
        <v>102911.28644568205</v>
      </c>
    </row>
    <row r="212" spans="2:15" ht="15" customHeight="1" x14ac:dyDescent="0.2">
      <c r="B212" s="16" t="str">
        <f>B137</f>
        <v>Capex</v>
      </c>
      <c r="F212">
        <f>F137</f>
        <v>-12654.393749999999</v>
      </c>
      <c r="G212">
        <f t="shared" ref="G212:O212" si="203">G137</f>
        <v>-14552.552812499998</v>
      </c>
      <c r="H212">
        <f t="shared" si="203"/>
        <v>-16633.567864687499</v>
      </c>
      <c r="I212">
        <f t="shared" si="203"/>
        <v>-18696.13027990875</v>
      </c>
      <c r="J212">
        <f t="shared" si="203"/>
        <v>-20771.400740978617</v>
      </c>
      <c r="K212">
        <f t="shared" si="203"/>
        <v>-23077.026223227247</v>
      </c>
      <c r="L212">
        <f t="shared" si="203"/>
        <v>-25638.576134005471</v>
      </c>
      <c r="M212">
        <f t="shared" si="203"/>
        <v>-28484.45808488008</v>
      </c>
      <c r="N212">
        <f t="shared" si="203"/>
        <v>-31646.232932301766</v>
      </c>
      <c r="O212">
        <f t="shared" si="203"/>
        <v>-35158.964787787263</v>
      </c>
    </row>
    <row r="213" spans="2:15" ht="15" customHeight="1" x14ac:dyDescent="0.2">
      <c r="B213" s="16" t="str">
        <f>B138</f>
        <v>Change in short term investments</v>
      </c>
      <c r="F213">
        <f>F138</f>
        <v>0</v>
      </c>
      <c r="G213">
        <f t="shared" ref="G213:O213" si="204">G138</f>
        <v>0</v>
      </c>
      <c r="H213">
        <f t="shared" si="204"/>
        <v>0</v>
      </c>
      <c r="I213">
        <f t="shared" si="204"/>
        <v>0</v>
      </c>
      <c r="J213">
        <f t="shared" si="204"/>
        <v>0</v>
      </c>
      <c r="K213">
        <f t="shared" si="204"/>
        <v>0</v>
      </c>
      <c r="L213">
        <f t="shared" si="204"/>
        <v>0</v>
      </c>
      <c r="M213">
        <f t="shared" si="204"/>
        <v>0</v>
      </c>
      <c r="N213">
        <f t="shared" si="204"/>
        <v>0</v>
      </c>
      <c r="O213">
        <f t="shared" si="204"/>
        <v>0</v>
      </c>
    </row>
    <row r="214" spans="2:15" ht="15" customHeight="1" x14ac:dyDescent="0.2">
      <c r="B214" s="16" t="str">
        <f>B139</f>
        <v>Change in long term investments</v>
      </c>
      <c r="F214">
        <f>F139</f>
        <v>0</v>
      </c>
      <c r="G214">
        <f t="shared" ref="G214:O214" si="205">G139</f>
        <v>0</v>
      </c>
      <c r="H214">
        <f t="shared" si="205"/>
        <v>0</v>
      </c>
      <c r="I214">
        <f t="shared" si="205"/>
        <v>0</v>
      </c>
      <c r="J214">
        <f t="shared" si="205"/>
        <v>0</v>
      </c>
      <c r="K214">
        <f t="shared" si="205"/>
        <v>0</v>
      </c>
      <c r="L214">
        <f t="shared" si="205"/>
        <v>0</v>
      </c>
      <c r="M214">
        <f t="shared" si="205"/>
        <v>0</v>
      </c>
      <c r="N214">
        <f t="shared" si="205"/>
        <v>0</v>
      </c>
      <c r="O214">
        <f t="shared" si="205"/>
        <v>0</v>
      </c>
    </row>
    <row r="215" spans="2:15" ht="15" customHeight="1" x14ac:dyDescent="0.2">
      <c r="B215" s="16" t="s">
        <v>157</v>
      </c>
      <c r="F215">
        <f>SUM(F212:F214)</f>
        <v>-12654.393749999999</v>
      </c>
      <c r="G215">
        <f t="shared" ref="G215:O215" si="206">SUM(G212:G214)</f>
        <v>-14552.552812499998</v>
      </c>
      <c r="H215">
        <f t="shared" si="206"/>
        <v>-16633.567864687499</v>
      </c>
      <c r="I215">
        <f t="shared" si="206"/>
        <v>-18696.13027990875</v>
      </c>
      <c r="J215">
        <f t="shared" si="206"/>
        <v>-20771.400740978617</v>
      </c>
      <c r="K215">
        <f t="shared" si="206"/>
        <v>-23077.026223227247</v>
      </c>
      <c r="L215">
        <f t="shared" si="206"/>
        <v>-25638.576134005471</v>
      </c>
      <c r="M215">
        <f t="shared" si="206"/>
        <v>-28484.45808488008</v>
      </c>
      <c r="N215">
        <f t="shared" si="206"/>
        <v>-31646.232932301766</v>
      </c>
      <c r="O215">
        <f t="shared" si="206"/>
        <v>-35158.964787787263</v>
      </c>
    </row>
    <row r="217" spans="2:15" ht="15" customHeight="1" x14ac:dyDescent="0.2">
      <c r="B217" s="16" t="s">
        <v>158</v>
      </c>
      <c r="F217">
        <f>F103-E103</f>
        <v>-2000</v>
      </c>
      <c r="G217">
        <f t="shared" ref="G217:O217" si="207">G103-F103</f>
        <v>0</v>
      </c>
      <c r="H217">
        <f t="shared" si="207"/>
        <v>0</v>
      </c>
      <c r="I217">
        <f t="shared" si="207"/>
        <v>0</v>
      </c>
      <c r="J217">
        <f t="shared" si="207"/>
        <v>0</v>
      </c>
      <c r="K217">
        <f t="shared" si="207"/>
        <v>0</v>
      </c>
      <c r="L217">
        <f t="shared" si="207"/>
        <v>0</v>
      </c>
      <c r="M217">
        <f t="shared" si="207"/>
        <v>0</v>
      </c>
      <c r="N217">
        <f t="shared" si="207"/>
        <v>0</v>
      </c>
      <c r="O217">
        <f t="shared" si="207"/>
        <v>0</v>
      </c>
    </row>
    <row r="218" spans="2:15" ht="15" customHeight="1" x14ac:dyDescent="0.2">
      <c r="B218" s="16" t="s">
        <v>159</v>
      </c>
      <c r="F218">
        <f>F107-E107</f>
        <v>-3225</v>
      </c>
      <c r="G218">
        <f t="shared" ref="G218:O218" si="208">G107-F107</f>
        <v>0</v>
      </c>
      <c r="H218">
        <f t="shared" si="208"/>
        <v>0</v>
      </c>
      <c r="I218">
        <f t="shared" si="208"/>
        <v>0</v>
      </c>
      <c r="J218">
        <f t="shared" si="208"/>
        <v>0</v>
      </c>
      <c r="K218">
        <f t="shared" si="208"/>
        <v>0</v>
      </c>
      <c r="L218">
        <f t="shared" si="208"/>
        <v>0</v>
      </c>
      <c r="M218">
        <f t="shared" si="208"/>
        <v>0</v>
      </c>
      <c r="N218">
        <f t="shared" si="208"/>
        <v>0</v>
      </c>
      <c r="O218">
        <f t="shared" si="208"/>
        <v>0</v>
      </c>
    </row>
    <row r="219" spans="2:15" ht="15" customHeight="1" x14ac:dyDescent="0.2">
      <c r="B219" s="16" t="s">
        <v>152</v>
      </c>
      <c r="F219">
        <f>F140</f>
        <v>0</v>
      </c>
      <c r="G219">
        <f t="shared" ref="G219:O219" si="209">G140</f>
        <v>0</v>
      </c>
      <c r="H219">
        <f t="shared" si="209"/>
        <v>0</v>
      </c>
      <c r="I219">
        <f t="shared" si="209"/>
        <v>0</v>
      </c>
      <c r="J219">
        <f t="shared" si="209"/>
        <v>0</v>
      </c>
      <c r="K219">
        <f t="shared" si="209"/>
        <v>0</v>
      </c>
      <c r="L219">
        <f t="shared" si="209"/>
        <v>0</v>
      </c>
      <c r="M219">
        <f t="shared" si="209"/>
        <v>0</v>
      </c>
      <c r="N219">
        <f t="shared" si="209"/>
        <v>0</v>
      </c>
      <c r="O219">
        <f t="shared" si="209"/>
        <v>0</v>
      </c>
    </row>
    <row r="220" spans="2:15" ht="15" customHeight="1" x14ac:dyDescent="0.2">
      <c r="B220" s="16" t="s">
        <v>153</v>
      </c>
      <c r="F220">
        <f>SUM(F217:F219)</f>
        <v>-5225</v>
      </c>
      <c r="G220">
        <f t="shared" ref="G220:O220" si="210">SUM(G217:G219)</f>
        <v>0</v>
      </c>
      <c r="H220">
        <f t="shared" si="210"/>
        <v>0</v>
      </c>
      <c r="I220">
        <f t="shared" si="210"/>
        <v>0</v>
      </c>
      <c r="J220">
        <f t="shared" si="210"/>
        <v>0</v>
      </c>
      <c r="K220">
        <f t="shared" si="210"/>
        <v>0</v>
      </c>
      <c r="L220">
        <f t="shared" si="210"/>
        <v>0</v>
      </c>
      <c r="M220">
        <f t="shared" si="210"/>
        <v>0</v>
      </c>
      <c r="N220">
        <f t="shared" si="210"/>
        <v>0</v>
      </c>
      <c r="O220">
        <f t="shared" si="210"/>
        <v>0</v>
      </c>
    </row>
    <row r="222" spans="2:15" ht="15" customHeight="1" x14ac:dyDescent="0.2">
      <c r="B222" s="16" t="s">
        <v>154</v>
      </c>
      <c r="F222">
        <f>F210+F215+F220</f>
        <v>17165.969366250003</v>
      </c>
      <c r="G222">
        <f t="shared" ref="G222:O222" si="211">G210+G215+G220</f>
        <v>26638.332325937503</v>
      </c>
      <c r="H222">
        <f t="shared" si="211"/>
        <v>30735.624774108062</v>
      </c>
      <c r="I222">
        <f t="shared" si="211"/>
        <v>34820.775791280896</v>
      </c>
      <c r="J222">
        <f t="shared" si="211"/>
        <v>39041.104087498854</v>
      </c>
      <c r="K222">
        <f t="shared" si="211"/>
        <v>43527.599198116572</v>
      </c>
      <c r="L222">
        <f t="shared" si="211"/>
        <v>48749.699031668235</v>
      </c>
      <c r="M222">
        <f t="shared" si="211"/>
        <v>54481.131612141122</v>
      </c>
      <c r="N222">
        <f t="shared" si="211"/>
        <v>60790.598292329829</v>
      </c>
      <c r="O222">
        <f t="shared" si="211"/>
        <v>67752.32165789479</v>
      </c>
    </row>
    <row r="223" spans="2:15" ht="15" customHeight="1" x14ac:dyDescent="0.2">
      <c r="B223" s="16" t="s">
        <v>155</v>
      </c>
      <c r="E223">
        <f>E186</f>
        <v>16549</v>
      </c>
      <c r="F223">
        <f>E223+F222</f>
        <v>33714.969366250007</v>
      </c>
      <c r="G223">
        <f t="shared" ref="G223:O223" si="212">F223+G222</f>
        <v>60353.30169218751</v>
      </c>
      <c r="H223">
        <f t="shared" si="212"/>
        <v>91088.926466295568</v>
      </c>
      <c r="I223">
        <f t="shared" si="212"/>
        <v>125909.70225757646</v>
      </c>
      <c r="J223">
        <f t="shared" si="212"/>
        <v>164950.80634507531</v>
      </c>
      <c r="K223">
        <f t="shared" si="212"/>
        <v>208478.40554319188</v>
      </c>
      <c r="L223">
        <f t="shared" si="212"/>
        <v>257228.10457486013</v>
      </c>
      <c r="M223">
        <f t="shared" si="212"/>
        <v>311709.23618700122</v>
      </c>
      <c r="N223">
        <f t="shared" si="212"/>
        <v>372499.83447933104</v>
      </c>
      <c r="O223">
        <f t="shared" si="212"/>
        <v>440252.1561372258</v>
      </c>
    </row>
    <row r="225" spans="2:15" ht="15" customHeight="1" x14ac:dyDescent="0.2">
      <c r="B225" s="16" t="s">
        <v>117</v>
      </c>
      <c r="F225">
        <f>F186-F223</f>
        <v>0</v>
      </c>
      <c r="G225">
        <f t="shared" ref="G225:O225" si="213">G186-G223</f>
        <v>0</v>
      </c>
      <c r="H225">
        <f t="shared" si="213"/>
        <v>0</v>
      </c>
      <c r="I225">
        <f t="shared" si="213"/>
        <v>0</v>
      </c>
      <c r="J225">
        <f t="shared" si="213"/>
        <v>0</v>
      </c>
      <c r="K225">
        <f t="shared" si="213"/>
        <v>0</v>
      </c>
      <c r="L225">
        <f t="shared" si="213"/>
        <v>0</v>
      </c>
      <c r="M225">
        <f t="shared" si="213"/>
        <v>0</v>
      </c>
      <c r="N225">
        <f t="shared" si="213"/>
        <v>0</v>
      </c>
      <c r="O225">
        <f t="shared" si="213"/>
        <v>0</v>
      </c>
    </row>
  </sheetData>
  <pageMargins left="0.7" right="0.7" top="0.75" bottom="0.75" header="0.3" footer="0.3"/>
  <pageSetup paperSize="9" orientation="landscape" r:id="rId1"/>
  <headerFooter>
    <oddHeader xml:space="preserve">&amp;R&amp;10&amp;F 
&amp;A
</oddHeader>
    <oddFooter>&amp;L&amp;10© 2016&amp;C&amp;10Page &amp;P of &amp;N&amp;R&amp;G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Model 1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Microsoft Office User</cp:lastModifiedBy>
  <cp:lastPrinted>2016-02-04T14:08:33Z</cp:lastPrinted>
  <dcterms:created xsi:type="dcterms:W3CDTF">2016-02-03T14:06:14Z</dcterms:created>
  <dcterms:modified xsi:type="dcterms:W3CDTF">2022-01-07T13:18:21Z</dcterms:modified>
</cp:coreProperties>
</file>