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Modeling/Model with Cash Sweep/Error Checking/"/>
    </mc:Choice>
  </mc:AlternateContent>
  <xr:revisionPtr revIDLastSave="0" documentId="13_ncr:1_{008079E2-73E3-D44E-BA60-4BEA69DADAA0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Welcome" sheetId="1" r:id="rId1"/>
    <sheet name="Info" sheetId="6" r:id="rId2"/>
    <sheet name="Model 1" sheetId="2" r:id="rId3"/>
  </sheets>
  <definedNames>
    <definedName name="switch">Info!$N$10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2" l="1"/>
  <c r="F51" i="2"/>
  <c r="H51" i="2"/>
  <c r="A7" i="1"/>
  <c r="E41" i="2" l="1"/>
  <c r="F38" i="2" l="1"/>
  <c r="J65" i="2" l="1"/>
  <c r="E29" i="2"/>
  <c r="D28" i="2" l="1"/>
  <c r="E28" i="2"/>
  <c r="O65" i="2" l="1"/>
  <c r="L65" i="2"/>
  <c r="K65" i="2"/>
  <c r="F65" i="2"/>
  <c r="D56" i="2"/>
  <c r="D55" i="2"/>
  <c r="D50" i="2"/>
  <c r="E55" i="2"/>
  <c r="E56" i="2"/>
  <c r="E50" i="2"/>
  <c r="C20" i="2"/>
  <c r="C17" i="2"/>
  <c r="D20" i="2"/>
  <c r="D17" i="2"/>
  <c r="E19" i="2"/>
  <c r="E17" i="2"/>
  <c r="F80" i="2" l="1"/>
  <c r="F90" i="2" s="1"/>
  <c r="F77" i="2"/>
  <c r="F16" i="2"/>
  <c r="F39" i="2" l="1"/>
  <c r="F74" i="2" s="1"/>
  <c r="F18" i="2"/>
  <c r="F50" i="2"/>
  <c r="F55" i="2"/>
  <c r="F17" i="2"/>
  <c r="G80" i="2" l="1"/>
  <c r="G90" i="2" s="1"/>
  <c r="H80" i="2"/>
  <c r="H90" i="2" s="1"/>
  <c r="I80" i="2"/>
  <c r="I90" i="2" s="1"/>
  <c r="J80" i="2"/>
  <c r="J90" i="2" s="1"/>
  <c r="K80" i="2"/>
  <c r="K90" i="2" s="1"/>
  <c r="L80" i="2"/>
  <c r="L90" i="2" s="1"/>
  <c r="M80" i="2"/>
  <c r="M90" i="2" s="1"/>
  <c r="N80" i="2"/>
  <c r="N90" i="2" s="1"/>
  <c r="O80" i="2"/>
  <c r="O90" i="2" s="1"/>
  <c r="B115" i="2"/>
  <c r="B111" i="2"/>
  <c r="B108" i="2"/>
  <c r="B107" i="2"/>
  <c r="B106" i="2"/>
  <c r="E87" i="2"/>
  <c r="E91" i="2"/>
  <c r="E85" i="2"/>
  <c r="F83" i="2" s="1"/>
  <c r="B80" i="2"/>
  <c r="B90" i="2" s="1"/>
  <c r="B116" i="2" s="1"/>
  <c r="F89" i="2" l="1"/>
  <c r="F91" i="2" s="1"/>
  <c r="F56" i="2" s="1"/>
  <c r="F116" i="2" s="1"/>
  <c r="E98" i="2"/>
  <c r="E99" i="2" s="1"/>
  <c r="E46" i="2"/>
  <c r="F43" i="2" s="1"/>
  <c r="E57" i="2"/>
  <c r="F94" i="2" l="1"/>
  <c r="G89" i="2"/>
  <c r="G91" i="2" s="1"/>
  <c r="G56" i="2" s="1"/>
  <c r="G116" i="2" s="1"/>
  <c r="D57" i="2"/>
  <c r="D35" i="2"/>
  <c r="E26" i="2"/>
  <c r="E33" i="2"/>
  <c r="D26" i="2"/>
  <c r="D33" i="2"/>
  <c r="D34" i="2" s="1"/>
  <c r="F40" i="2"/>
  <c r="E35" i="2"/>
  <c r="F72" i="2" l="1"/>
  <c r="F107" i="2" s="1"/>
  <c r="G94" i="2"/>
  <c r="H89" i="2"/>
  <c r="H91" i="2" s="1"/>
  <c r="I89" i="2" s="1"/>
  <c r="I91" i="2" s="1"/>
  <c r="I94" i="2" s="1"/>
  <c r="E34" i="2"/>
  <c r="F41" i="2" l="1"/>
  <c r="H56" i="2"/>
  <c r="H116" i="2" s="1"/>
  <c r="H94" i="2"/>
  <c r="J89" i="2"/>
  <c r="J91" i="2" s="1"/>
  <c r="I56" i="2"/>
  <c r="I116" i="2" l="1"/>
  <c r="J56" i="2"/>
  <c r="J116" i="2" s="1"/>
  <c r="K89" i="2"/>
  <c r="K91" i="2" s="1"/>
  <c r="K94" i="2" s="1"/>
  <c r="J94" i="2"/>
  <c r="L89" i="2" l="1"/>
  <c r="L91" i="2" s="1"/>
  <c r="L94" i="2" s="1"/>
  <c r="K56" i="2"/>
  <c r="K116" i="2" s="1"/>
  <c r="L56" i="2" l="1"/>
  <c r="L116" i="2" s="1"/>
  <c r="M89" i="2"/>
  <c r="M91" i="2" s="1"/>
  <c r="N89" i="2" l="1"/>
  <c r="N91" i="2" s="1"/>
  <c r="N94" i="2" s="1"/>
  <c r="M56" i="2"/>
  <c r="M116" i="2" s="1"/>
  <c r="M94" i="2"/>
  <c r="N56" i="2" l="1"/>
  <c r="N116" i="2" s="1"/>
  <c r="O89" i="2"/>
  <c r="O91" i="2" s="1"/>
  <c r="O56" i="2" s="1"/>
  <c r="O116" i="2" s="1"/>
  <c r="O94" i="2" l="1"/>
  <c r="E122" i="2" l="1"/>
  <c r="F121" i="2" s="1"/>
  <c r="D6" i="2"/>
  <c r="E6" i="2"/>
  <c r="C6" i="2"/>
  <c r="E5" i="2"/>
  <c r="D5" i="2"/>
  <c r="D27" i="2"/>
  <c r="E60" i="2"/>
  <c r="C18" i="2"/>
  <c r="D18" i="2"/>
  <c r="E18" i="2"/>
  <c r="D21" i="2" l="1"/>
  <c r="D10" i="2"/>
  <c r="E21" i="2"/>
  <c r="E10" i="2"/>
  <c r="C21" i="2"/>
  <c r="C10" i="2"/>
  <c r="F11" i="2"/>
  <c r="G16" i="2"/>
  <c r="E27" i="2"/>
  <c r="D60" i="2"/>
  <c r="D52" i="2"/>
  <c r="E52" i="2"/>
  <c r="E62" i="2" s="1"/>
  <c r="G39" i="2" l="1"/>
  <c r="G74" i="2" s="1"/>
  <c r="G111" i="2" s="1"/>
  <c r="G112" i="2" s="1"/>
  <c r="F12" i="2"/>
  <c r="F111" i="2"/>
  <c r="F112" i="2" s="1"/>
  <c r="F10" i="2"/>
  <c r="C23" i="2"/>
  <c r="C13" i="2" s="1"/>
  <c r="C7" i="2"/>
  <c r="F33" i="2"/>
  <c r="E23" i="2"/>
  <c r="E7" i="2"/>
  <c r="D7" i="2"/>
  <c r="D23" i="2"/>
  <c r="D62" i="2"/>
  <c r="G17" i="2"/>
  <c r="G18" i="2" s="1"/>
  <c r="G50" i="2"/>
  <c r="G55" i="2"/>
  <c r="H16" i="2"/>
  <c r="F73" i="2" l="1"/>
  <c r="H39" i="2"/>
  <c r="H74" i="2" s="1"/>
  <c r="H111" i="2" s="1"/>
  <c r="H112" i="2" s="1"/>
  <c r="G38" i="2"/>
  <c r="F34" i="2"/>
  <c r="F108" i="2"/>
  <c r="G33" i="2"/>
  <c r="E30" i="2"/>
  <c r="E13" i="2"/>
  <c r="G10" i="2"/>
  <c r="D13" i="2"/>
  <c r="D30" i="2"/>
  <c r="F35" i="2"/>
  <c r="I16" i="2"/>
  <c r="H17" i="2"/>
  <c r="H18" i="2" s="1"/>
  <c r="H50" i="2"/>
  <c r="H55" i="2"/>
  <c r="I39" i="2" l="1"/>
  <c r="I74" i="2" s="1"/>
  <c r="I111" i="2" s="1"/>
  <c r="I112" i="2" s="1"/>
  <c r="G40" i="2"/>
  <c r="G73" i="2"/>
  <c r="G108" i="2" s="1"/>
  <c r="G11" i="2"/>
  <c r="G12" i="2" s="1"/>
  <c r="G72" i="2"/>
  <c r="G107" i="2" s="1"/>
  <c r="G41" i="2"/>
  <c r="G34" i="2"/>
  <c r="H10" i="2"/>
  <c r="H33" i="2"/>
  <c r="H73" i="2" s="1"/>
  <c r="I55" i="2"/>
  <c r="I50" i="2"/>
  <c r="I17" i="2"/>
  <c r="I18" i="2" s="1"/>
  <c r="J16" i="2"/>
  <c r="I73" i="2" l="1"/>
  <c r="H38" i="2"/>
  <c r="H108" i="2"/>
  <c r="H34" i="2"/>
  <c r="K16" i="2"/>
  <c r="J39" i="2"/>
  <c r="J74" i="2" s="1"/>
  <c r="J111" i="2" s="1"/>
  <c r="J112" i="2" s="1"/>
  <c r="I10" i="2"/>
  <c r="I33" i="2"/>
  <c r="G35" i="2"/>
  <c r="J55" i="2"/>
  <c r="J50" i="2"/>
  <c r="J17" i="2"/>
  <c r="J18" i="2" s="1"/>
  <c r="H40" i="2" l="1"/>
  <c r="K39" i="2"/>
  <c r="K74" i="2" s="1"/>
  <c r="K111" i="2" s="1"/>
  <c r="K112" i="2" s="1"/>
  <c r="I108" i="2"/>
  <c r="H11" i="2"/>
  <c r="H12" i="2" s="1"/>
  <c r="H72" i="2"/>
  <c r="H107" i="2" s="1"/>
  <c r="H41" i="2"/>
  <c r="I38" i="2" s="1"/>
  <c r="I34" i="2"/>
  <c r="L16" i="2"/>
  <c r="K50" i="2"/>
  <c r="K55" i="2"/>
  <c r="J10" i="2"/>
  <c r="J33" i="2"/>
  <c r="J73" i="2" s="1"/>
  <c r="K17" i="2"/>
  <c r="K18" i="2" s="1"/>
  <c r="L39" i="2" l="1"/>
  <c r="L74" i="2" s="1"/>
  <c r="L111" i="2" s="1"/>
  <c r="L112" i="2" s="1"/>
  <c r="I40" i="2"/>
  <c r="I41" i="2" s="1"/>
  <c r="I51" i="2"/>
  <c r="H35" i="2"/>
  <c r="I11" i="2"/>
  <c r="I12" i="2" s="1"/>
  <c r="I72" i="2"/>
  <c r="I107" i="2" s="1"/>
  <c r="J108" i="2"/>
  <c r="L55" i="2"/>
  <c r="L17" i="2"/>
  <c r="J34" i="2"/>
  <c r="M16" i="2"/>
  <c r="L50" i="2"/>
  <c r="K33" i="2"/>
  <c r="K10" i="2"/>
  <c r="L73" i="2" l="1"/>
  <c r="L18" i="2"/>
  <c r="L10" i="2" s="1"/>
  <c r="M39" i="2"/>
  <c r="M74" i="2" s="1"/>
  <c r="M111" i="2" s="1"/>
  <c r="M112" i="2" s="1"/>
  <c r="K73" i="2"/>
  <c r="L33" i="2"/>
  <c r="K108" i="2"/>
  <c r="M17" i="2"/>
  <c r="J38" i="2"/>
  <c r="M50" i="2"/>
  <c r="M55" i="2"/>
  <c r="N16" i="2"/>
  <c r="K34" i="2"/>
  <c r="I35" i="2"/>
  <c r="N39" i="2" l="1"/>
  <c r="N74" i="2" s="1"/>
  <c r="N111" i="2" s="1"/>
  <c r="N112" i="2" s="1"/>
  <c r="N18" i="2"/>
  <c r="L34" i="2"/>
  <c r="M18" i="2"/>
  <c r="M10" i="2" s="1"/>
  <c r="J40" i="2"/>
  <c r="J41" i="2" s="1"/>
  <c r="K38" i="2" s="1"/>
  <c r="J51" i="2"/>
  <c r="L108" i="2"/>
  <c r="N17" i="2"/>
  <c r="J11" i="2"/>
  <c r="J12" i="2" s="1"/>
  <c r="J72" i="2"/>
  <c r="N50" i="2"/>
  <c r="M33" i="2"/>
  <c r="O16" i="2"/>
  <c r="N55" i="2"/>
  <c r="E2" i="2"/>
  <c r="A1" i="6"/>
  <c r="K40" i="2" l="1"/>
  <c r="K51" i="2"/>
  <c r="O39" i="2"/>
  <c r="O74" i="2" s="1"/>
  <c r="O111" i="2" s="1"/>
  <c r="O112" i="2" s="1"/>
  <c r="M34" i="2"/>
  <c r="M73" i="2"/>
  <c r="O50" i="2"/>
  <c r="N10" i="2"/>
  <c r="N33" i="2"/>
  <c r="J107" i="2"/>
  <c r="M108" i="2"/>
  <c r="O55" i="2"/>
  <c r="O17" i="2"/>
  <c r="O18" i="2" s="1"/>
  <c r="J35" i="2"/>
  <c r="D2" i="2"/>
  <c r="C2" i="2" s="1"/>
  <c r="N108" i="2" l="1"/>
  <c r="O73" i="2"/>
  <c r="N73" i="2"/>
  <c r="O33" i="2"/>
  <c r="O34" i="2" s="1"/>
  <c r="N34" i="2"/>
  <c r="K11" i="2"/>
  <c r="K12" i="2" s="1"/>
  <c r="K72" i="2"/>
  <c r="O10" i="2"/>
  <c r="K41" i="2"/>
  <c r="F2" i="2"/>
  <c r="G2" i="2" s="1"/>
  <c r="H2" i="2" s="1"/>
  <c r="I2" i="2" s="1"/>
  <c r="J2" i="2" s="1"/>
  <c r="K2" i="2" s="1"/>
  <c r="L2" i="2" s="1"/>
  <c r="M2" i="2" s="1"/>
  <c r="N2" i="2" s="1"/>
  <c r="O2" i="2" s="1"/>
  <c r="O108" i="2" l="1"/>
  <c r="L38" i="2"/>
  <c r="K107" i="2"/>
  <c r="K35" i="2"/>
  <c r="L40" i="2" l="1"/>
  <c r="L11" i="2" s="1"/>
  <c r="L12" i="2" s="1"/>
  <c r="L51" i="2"/>
  <c r="L41" i="2" l="1"/>
  <c r="M38" i="2" s="1"/>
  <c r="L72" i="2"/>
  <c r="L107" i="2" s="1"/>
  <c r="L35" i="2"/>
  <c r="M40" i="2" l="1"/>
  <c r="M51" i="2"/>
  <c r="M35" i="2"/>
  <c r="M11" i="2" l="1"/>
  <c r="M12" i="2" s="1"/>
  <c r="M72" i="2"/>
  <c r="M107" i="2" s="1"/>
  <c r="M41" i="2"/>
  <c r="N38" i="2" s="1"/>
  <c r="N40" i="2" l="1"/>
  <c r="N41" i="2" s="1"/>
  <c r="O38" i="2" s="1"/>
  <c r="O51" i="2" s="1"/>
  <c r="N51" i="2"/>
  <c r="N35" i="2"/>
  <c r="N72" i="2" l="1"/>
  <c r="N107" i="2" s="1"/>
  <c r="N11" i="2"/>
  <c r="N12" i="2" s="1"/>
  <c r="O40" i="2"/>
  <c r="O72" i="2" s="1"/>
  <c r="O107" i="2" s="1"/>
  <c r="O11" i="2" l="1"/>
  <c r="O12" i="2" s="1"/>
  <c r="O41" i="2"/>
  <c r="O35" i="2" s="1"/>
  <c r="F19" i="2"/>
  <c r="G19" i="2"/>
  <c r="H19" i="2"/>
  <c r="I19" i="2"/>
  <c r="J19" i="2"/>
  <c r="K19" i="2"/>
  <c r="L19" i="2"/>
  <c r="M19" i="2"/>
  <c r="N19" i="2"/>
  <c r="O19" i="2"/>
  <c r="F20" i="2"/>
  <c r="G20" i="2"/>
  <c r="H20" i="2"/>
  <c r="I20" i="2"/>
  <c r="J20" i="2"/>
  <c r="K20" i="2"/>
  <c r="L20" i="2"/>
  <c r="M20" i="2"/>
  <c r="M21" i="2" s="1"/>
  <c r="M22" i="2" s="1"/>
  <c r="M23" i="2" s="1"/>
  <c r="N20" i="2"/>
  <c r="O20" i="2"/>
  <c r="N21" i="2" l="1"/>
  <c r="J21" i="2"/>
  <c r="I21" i="2"/>
  <c r="I22" i="2" s="1"/>
  <c r="I23" i="2" s="1"/>
  <c r="I45" i="2" s="1"/>
  <c r="I75" i="2" s="1"/>
  <c r="I114" i="2" s="1"/>
  <c r="F21" i="2"/>
  <c r="F22" i="2" s="1"/>
  <c r="F23" i="2" s="1"/>
  <c r="O21" i="2"/>
  <c r="O22" i="2" s="1"/>
  <c r="O23" i="2" s="1"/>
  <c r="O13" i="2" s="1"/>
  <c r="K21" i="2"/>
  <c r="K22" i="2" s="1"/>
  <c r="K23" i="2" s="1"/>
  <c r="K44" i="2" s="1"/>
  <c r="K71" i="2" s="1"/>
  <c r="K106" i="2" s="1"/>
  <c r="K109" i="2" s="1"/>
  <c r="G21" i="2"/>
  <c r="G22" i="2" s="1"/>
  <c r="G23" i="2" s="1"/>
  <c r="L21" i="2"/>
  <c r="L22" i="2" s="1"/>
  <c r="L23" i="2" s="1"/>
  <c r="L13" i="2" s="1"/>
  <c r="H21" i="2"/>
  <c r="H22" i="2" s="1"/>
  <c r="H23" i="2" s="1"/>
  <c r="H45" i="2" s="1"/>
  <c r="H75" i="2" s="1"/>
  <c r="H114" i="2" s="1"/>
  <c r="M13" i="2"/>
  <c r="M44" i="2"/>
  <c r="M71" i="2" s="1"/>
  <c r="M106" i="2" s="1"/>
  <c r="M109" i="2" s="1"/>
  <c r="M45" i="2"/>
  <c r="M75" i="2" s="1"/>
  <c r="M114" i="2" s="1"/>
  <c r="J22" i="2"/>
  <c r="J23" i="2" s="1"/>
  <c r="H44" i="2"/>
  <c r="H71" i="2" s="1"/>
  <c r="N22" i="2"/>
  <c r="N23" i="2" s="1"/>
  <c r="I13" i="2" l="1"/>
  <c r="O44" i="2"/>
  <c r="O71" i="2" s="1"/>
  <c r="I44" i="2"/>
  <c r="I71" i="2" s="1"/>
  <c r="I106" i="2" s="1"/>
  <c r="I109" i="2" s="1"/>
  <c r="H13" i="2"/>
  <c r="K45" i="2"/>
  <c r="K75" i="2" s="1"/>
  <c r="K114" i="2" s="1"/>
  <c r="K13" i="2"/>
  <c r="O45" i="2"/>
  <c r="O75" i="2" s="1"/>
  <c r="O114" i="2" s="1"/>
  <c r="L45" i="2"/>
  <c r="L75" i="2" s="1"/>
  <c r="L114" i="2" s="1"/>
  <c r="L44" i="2"/>
  <c r="L71" i="2" s="1"/>
  <c r="L106" i="2" s="1"/>
  <c r="L109" i="2" s="1"/>
  <c r="G13" i="2"/>
  <c r="G45" i="2"/>
  <c r="G75" i="2" s="1"/>
  <c r="G114" i="2" s="1"/>
  <c r="G44" i="2"/>
  <c r="G71" i="2" s="1"/>
  <c r="G106" i="2" s="1"/>
  <c r="G109" i="2" s="1"/>
  <c r="M76" i="2"/>
  <c r="K76" i="2"/>
  <c r="F13" i="2"/>
  <c r="F44" i="2"/>
  <c r="F45" i="2"/>
  <c r="F75" i="2" s="1"/>
  <c r="F114" i="2" s="1"/>
  <c r="O106" i="2"/>
  <c r="O109" i="2" s="1"/>
  <c r="J13" i="2"/>
  <c r="J45" i="2"/>
  <c r="J75" i="2" s="1"/>
  <c r="J114" i="2" s="1"/>
  <c r="J44" i="2"/>
  <c r="J71" i="2" s="1"/>
  <c r="H106" i="2"/>
  <c r="H109" i="2" s="1"/>
  <c r="H76" i="2"/>
  <c r="N13" i="2"/>
  <c r="N45" i="2"/>
  <c r="N75" i="2" s="1"/>
  <c r="N114" i="2" s="1"/>
  <c r="N44" i="2"/>
  <c r="N71" i="2" s="1"/>
  <c r="L76" i="2" l="1"/>
  <c r="I76" i="2"/>
  <c r="O76" i="2"/>
  <c r="G76" i="2"/>
  <c r="F46" i="2"/>
  <c r="F71" i="2"/>
  <c r="J76" i="2"/>
  <c r="J106" i="2"/>
  <c r="J109" i="2" s="1"/>
  <c r="N76" i="2"/>
  <c r="N106" i="2"/>
  <c r="N109" i="2" s="1"/>
  <c r="F76" i="2" l="1"/>
  <c r="F78" i="2" s="1"/>
  <c r="F81" i="2" s="1"/>
  <c r="F106" i="2"/>
  <c r="F109" i="2" s="1"/>
  <c r="G43" i="2"/>
  <c r="G46" i="2" s="1"/>
  <c r="F59" i="2"/>
  <c r="G59" i="2" l="1"/>
  <c r="H43" i="2"/>
  <c r="H46" i="2" s="1"/>
  <c r="F84" i="2"/>
  <c r="F85" i="2" s="1"/>
  <c r="F54" i="2" l="1"/>
  <c r="F93" i="2"/>
  <c r="F102" i="2" s="1"/>
  <c r="G83" i="2"/>
  <c r="F98" i="2"/>
  <c r="F87" i="2"/>
  <c r="F95" i="2" s="1"/>
  <c r="H59" i="2"/>
  <c r="I43" i="2"/>
  <c r="I46" i="2" s="1"/>
  <c r="I59" i="2" l="1"/>
  <c r="J43" i="2"/>
  <c r="J46" i="2" s="1"/>
  <c r="F100" i="2"/>
  <c r="F99" i="2"/>
  <c r="F115" i="2"/>
  <c r="F117" i="2" s="1"/>
  <c r="F119" i="2" s="1"/>
  <c r="F122" i="2" s="1"/>
  <c r="F57" i="2"/>
  <c r="F60" i="2" s="1"/>
  <c r="F101" i="2" l="1"/>
  <c r="F103" i="2"/>
  <c r="K43" i="2"/>
  <c r="K46" i="2" s="1"/>
  <c r="J59" i="2"/>
  <c r="F49" i="2"/>
  <c r="G121" i="2"/>
  <c r="L43" i="2" l="1"/>
  <c r="L46" i="2" s="1"/>
  <c r="K59" i="2"/>
  <c r="F52" i="2"/>
  <c r="F62" i="2" s="1"/>
  <c r="G77" i="2"/>
  <c r="G78" i="2" s="1"/>
  <c r="G81" i="2" s="1"/>
  <c r="G84" i="2" l="1"/>
  <c r="G85" i="2" s="1"/>
  <c r="M43" i="2"/>
  <c r="M46" i="2" s="1"/>
  <c r="L59" i="2"/>
  <c r="G87" i="2" l="1"/>
  <c r="G95" i="2" s="1"/>
  <c r="N43" i="2"/>
  <c r="N46" i="2" s="1"/>
  <c r="M59" i="2"/>
  <c r="G54" i="2"/>
  <c r="H83" i="2"/>
  <c r="G98" i="2"/>
  <c r="G93" i="2"/>
  <c r="G102" i="2" s="1"/>
  <c r="G57" i="2" l="1"/>
  <c r="G60" i="2" s="1"/>
  <c r="G115" i="2"/>
  <c r="G117" i="2" s="1"/>
  <c r="G119" i="2" s="1"/>
  <c r="G122" i="2" s="1"/>
  <c r="G100" i="2"/>
  <c r="G99" i="2"/>
  <c r="N59" i="2"/>
  <c r="O43" i="2"/>
  <c r="O46" i="2" s="1"/>
  <c r="O59" i="2" s="1"/>
  <c r="G49" i="2" l="1"/>
  <c r="H121" i="2"/>
  <c r="G101" i="2"/>
  <c r="G103" i="2"/>
  <c r="G52" i="2" l="1"/>
  <c r="G62" i="2" s="1"/>
  <c r="H77" i="2"/>
  <c r="H78" i="2" s="1"/>
  <c r="H81" i="2" s="1"/>
  <c r="H84" i="2" l="1"/>
  <c r="H85" i="2" s="1"/>
  <c r="H87" i="2" l="1"/>
  <c r="H95" i="2" s="1"/>
  <c r="H93" i="2"/>
  <c r="H102" i="2" s="1"/>
  <c r="H54" i="2"/>
  <c r="H98" i="2"/>
  <c r="I83" i="2"/>
  <c r="H100" i="2" l="1"/>
  <c r="H99" i="2"/>
  <c r="H57" i="2"/>
  <c r="H60" i="2" s="1"/>
  <c r="H115" i="2"/>
  <c r="H117" i="2" s="1"/>
  <c r="H119" i="2" s="1"/>
  <c r="H122" i="2" s="1"/>
  <c r="H49" i="2" l="1"/>
  <c r="I121" i="2"/>
  <c r="H101" i="2"/>
  <c r="H103" i="2"/>
  <c r="H52" i="2" l="1"/>
  <c r="H62" i="2" s="1"/>
  <c r="I77" i="2"/>
  <c r="I78" i="2" s="1"/>
  <c r="I81" i="2" s="1"/>
  <c r="I84" i="2" l="1"/>
  <c r="I85" i="2" s="1"/>
  <c r="I87" i="2" l="1"/>
  <c r="I95" i="2" s="1"/>
  <c r="I54" i="2"/>
  <c r="J83" i="2"/>
  <c r="I98" i="2"/>
  <c r="I93" i="2"/>
  <c r="I102" i="2" s="1"/>
  <c r="I99" i="2" l="1"/>
  <c r="I100" i="2"/>
  <c r="I57" i="2"/>
  <c r="I60" i="2" s="1"/>
  <c r="I115" i="2"/>
  <c r="I117" i="2" s="1"/>
  <c r="I119" i="2" s="1"/>
  <c r="I122" i="2" s="1"/>
  <c r="J121" i="2" l="1"/>
  <c r="I49" i="2"/>
  <c r="I101" i="2"/>
  <c r="I103" i="2"/>
  <c r="I52" i="2" l="1"/>
  <c r="I62" i="2" s="1"/>
  <c r="J77" i="2"/>
  <c r="J78" i="2" s="1"/>
  <c r="J81" i="2" s="1"/>
  <c r="J84" i="2" l="1"/>
  <c r="J85" i="2" s="1"/>
  <c r="J87" i="2" l="1"/>
  <c r="J95" i="2" s="1"/>
  <c r="J98" i="2"/>
  <c r="J54" i="2"/>
  <c r="K83" i="2"/>
  <c r="J93" i="2"/>
  <c r="J102" i="2" s="1"/>
  <c r="J57" i="2" l="1"/>
  <c r="J60" i="2" s="1"/>
  <c r="J115" i="2"/>
  <c r="J117" i="2" s="1"/>
  <c r="J119" i="2" s="1"/>
  <c r="J122" i="2" s="1"/>
  <c r="J100" i="2"/>
  <c r="J99" i="2"/>
  <c r="J103" i="2" l="1"/>
  <c r="J101" i="2"/>
  <c r="J49" i="2"/>
  <c r="K121" i="2"/>
  <c r="J52" i="2" l="1"/>
  <c r="J62" i="2" s="1"/>
  <c r="K77" i="2"/>
  <c r="K78" i="2" s="1"/>
  <c r="K81" i="2" s="1"/>
  <c r="K84" i="2" l="1"/>
  <c r="K85" i="2" s="1"/>
  <c r="K87" i="2" l="1"/>
  <c r="K95" i="2" s="1"/>
  <c r="K98" i="2"/>
  <c r="K93" i="2"/>
  <c r="K102" i="2" s="1"/>
  <c r="L83" i="2"/>
  <c r="K54" i="2"/>
  <c r="K57" i="2" l="1"/>
  <c r="K60" i="2" s="1"/>
  <c r="K115" i="2"/>
  <c r="K117" i="2" s="1"/>
  <c r="K119" i="2" s="1"/>
  <c r="K122" i="2" s="1"/>
  <c r="K100" i="2"/>
  <c r="K99" i="2"/>
  <c r="K101" i="2" l="1"/>
  <c r="K103" i="2"/>
  <c r="K49" i="2"/>
  <c r="L121" i="2"/>
  <c r="K52" i="2" l="1"/>
  <c r="K62" i="2" s="1"/>
  <c r="L77" i="2"/>
  <c r="L78" i="2" s="1"/>
  <c r="L81" i="2" s="1"/>
  <c r="L84" i="2" l="1"/>
  <c r="L85" i="2" s="1"/>
  <c r="L87" i="2" l="1"/>
  <c r="L95" i="2" s="1"/>
  <c r="L98" i="2"/>
  <c r="L54" i="2"/>
  <c r="M83" i="2"/>
  <c r="L93" i="2"/>
  <c r="L102" i="2" s="1"/>
  <c r="L57" i="2" l="1"/>
  <c r="L60" i="2" s="1"/>
  <c r="L115" i="2"/>
  <c r="L117" i="2" s="1"/>
  <c r="L119" i="2" s="1"/>
  <c r="L122" i="2" s="1"/>
  <c r="L99" i="2"/>
  <c r="L100" i="2"/>
  <c r="L101" i="2" l="1"/>
  <c r="L103" i="2"/>
  <c r="L49" i="2"/>
  <c r="M121" i="2"/>
  <c r="L52" i="2" l="1"/>
  <c r="L62" i="2" s="1"/>
  <c r="M77" i="2"/>
  <c r="M78" i="2" s="1"/>
  <c r="M81" i="2" s="1"/>
  <c r="M84" i="2" l="1"/>
  <c r="M85" i="2" s="1"/>
  <c r="M87" i="2" l="1"/>
  <c r="M95" i="2" s="1"/>
  <c r="M54" i="2"/>
  <c r="M98" i="2"/>
  <c r="M93" i="2"/>
  <c r="M102" i="2" s="1"/>
  <c r="N83" i="2"/>
  <c r="M100" i="2" l="1"/>
  <c r="M99" i="2"/>
  <c r="M57" i="2"/>
  <c r="M60" i="2" s="1"/>
  <c r="M115" i="2"/>
  <c r="M117" i="2" s="1"/>
  <c r="M119" i="2" s="1"/>
  <c r="M122" i="2" s="1"/>
  <c r="M101" i="2" l="1"/>
  <c r="M103" i="2"/>
  <c r="M49" i="2"/>
  <c r="N121" i="2"/>
  <c r="M52" i="2" l="1"/>
  <c r="M62" i="2" s="1"/>
  <c r="N77" i="2"/>
  <c r="N78" i="2" s="1"/>
  <c r="N81" i="2" s="1"/>
  <c r="N84" i="2" l="1"/>
  <c r="N85" i="2" s="1"/>
  <c r="N87" i="2" l="1"/>
  <c r="N95" i="2" s="1"/>
  <c r="N98" i="2"/>
  <c r="O83" i="2"/>
  <c r="N93" i="2"/>
  <c r="N102" i="2" s="1"/>
  <c r="N54" i="2"/>
  <c r="N57" i="2" l="1"/>
  <c r="N60" i="2" s="1"/>
  <c r="N115" i="2"/>
  <c r="N117" i="2" s="1"/>
  <c r="N119" i="2" s="1"/>
  <c r="N122" i="2" s="1"/>
  <c r="N99" i="2"/>
  <c r="N100" i="2"/>
  <c r="N49" i="2" l="1"/>
  <c r="O121" i="2"/>
  <c r="N101" i="2"/>
  <c r="N103" i="2"/>
  <c r="N52" i="2" l="1"/>
  <c r="N62" i="2" s="1"/>
  <c r="O77" i="2"/>
  <c r="O78" i="2" s="1"/>
  <c r="O81" i="2" s="1"/>
  <c r="O84" i="2" l="1"/>
  <c r="O85" i="2" s="1"/>
  <c r="O87" i="2" l="1"/>
  <c r="O95" i="2" s="1"/>
  <c r="O98" i="2"/>
  <c r="O93" i="2"/>
  <c r="O102" i="2" s="1"/>
  <c r="O54" i="2"/>
  <c r="O57" i="2" l="1"/>
  <c r="O60" i="2" s="1"/>
  <c r="O115" i="2"/>
  <c r="O117" i="2" s="1"/>
  <c r="O119" i="2" s="1"/>
  <c r="O122" i="2" s="1"/>
  <c r="O49" i="2" s="1"/>
  <c r="O52" i="2" s="1"/>
  <c r="O100" i="2"/>
  <c r="O99" i="2"/>
  <c r="O101" i="2" l="1"/>
  <c r="O103" i="2"/>
  <c r="O6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</author>
  </authors>
  <commentList>
    <comment ref="F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Reported by Luxottica pdf pg 480
Due to acquisition
</t>
        </r>
      </text>
    </comment>
    <comment ref="G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From company pdf pg 480</t>
        </r>
      </text>
    </comment>
    <comment ref="C2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Agreed to reported NI</t>
        </r>
      </text>
    </comment>
    <comment ref="D2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Agreed to reported NI</t>
        </r>
      </text>
    </comment>
    <comment ref="E2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Agreed to reported NI</t>
        </r>
      </text>
    </comment>
    <comment ref="F65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G65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H65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I65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J65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K65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L65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M65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N65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O6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</commentList>
</comments>
</file>

<file path=xl/sharedStrings.xml><?xml version="1.0" encoding="utf-8"?>
<sst xmlns="http://schemas.openxmlformats.org/spreadsheetml/2006/main" count="140" uniqueCount="114">
  <si>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</si>
  <si>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</si>
  <si>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</si>
  <si>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</si>
  <si>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</si>
  <si>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</si>
  <si>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</si>
  <si>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</si>
  <si>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</si>
  <si>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</si>
  <si>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</si>
  <si>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</si>
  <si>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</si>
  <si>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</si>
  <si>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</si>
  <si>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</si>
  <si>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</si>
  <si>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</si>
  <si>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</si>
  <si>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</si>
  <si>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</si>
  <si>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Modeling an income statement</t>
  </si>
  <si>
    <t>Modeling a balance sheet</t>
  </si>
  <si>
    <t>Modeling a cash flow statement</t>
  </si>
  <si>
    <t>Assumptions, income statement, balance sheet, cash flow statement</t>
  </si>
  <si>
    <t>Revenue growth</t>
  </si>
  <si>
    <t>Operating costs % revenues</t>
  </si>
  <si>
    <t>Operating assets % revenues</t>
  </si>
  <si>
    <t>Operating liabilities % revenues</t>
  </si>
  <si>
    <t>Income Statement</t>
  </si>
  <si>
    <t>Revenues</t>
  </si>
  <si>
    <t>Operating costs</t>
  </si>
  <si>
    <t>Tax expense</t>
  </si>
  <si>
    <t>Net income</t>
  </si>
  <si>
    <t>Balance Sheet</t>
  </si>
  <si>
    <t>Cash and cash equivalents</t>
  </si>
  <si>
    <t>Operating assets</t>
  </si>
  <si>
    <t>Long term assets</t>
  </si>
  <si>
    <t>Total assets</t>
  </si>
  <si>
    <t>Operating liabilities</t>
  </si>
  <si>
    <t>Total liabilities</t>
  </si>
  <si>
    <t>Equity</t>
  </si>
  <si>
    <t>Total liabilities and equity</t>
  </si>
  <si>
    <t>Balance ?</t>
  </si>
  <si>
    <t>Operating cash flow</t>
  </si>
  <si>
    <t>Investing cash flow</t>
  </si>
  <si>
    <t>Net cash flow</t>
  </si>
  <si>
    <t>Beginning cash and cash equivalents</t>
  </si>
  <si>
    <t>Ending cash and cash equivalents</t>
  </si>
  <si>
    <t>Model 2</t>
  </si>
  <si>
    <t>Model 1</t>
  </si>
  <si>
    <t>Modeling interest</t>
  </si>
  <si>
    <t>Dealing with circular references</t>
  </si>
  <si>
    <t>Income Statement Assumptions</t>
  </si>
  <si>
    <t>Balance Sheet Assumptions</t>
  </si>
  <si>
    <t>EBITDA</t>
  </si>
  <si>
    <t>EBIT</t>
  </si>
  <si>
    <t>Interest income</t>
  </si>
  <si>
    <t>Interest expense</t>
  </si>
  <si>
    <t>Earnings before tax</t>
  </si>
  <si>
    <t>Revolver</t>
  </si>
  <si>
    <t>Long term debt</t>
  </si>
  <si>
    <t>Net Debt and Interest Assumptions</t>
  </si>
  <si>
    <t>Operating Statistics</t>
  </si>
  <si>
    <t>Balance Sheet Calculations</t>
  </si>
  <si>
    <t>Cash Flow Statement</t>
  </si>
  <si>
    <t>Net Debt and Interest Calculations</t>
  </si>
  <si>
    <t>Taxes % of earnings before tax</t>
  </si>
  <si>
    <t>EBIT margin</t>
  </si>
  <si>
    <t>NI margin</t>
  </si>
  <si>
    <t>Capex % revenues</t>
  </si>
  <si>
    <t>Long term debt issuance / (repayment)</t>
  </si>
  <si>
    <t xml:space="preserve">Dividend payout </t>
  </si>
  <si>
    <t>Beginning long term assets</t>
  </si>
  <si>
    <t>Capex</t>
  </si>
  <si>
    <t>D&amp;A % prior year long term assets</t>
  </si>
  <si>
    <t>D&amp;A</t>
  </si>
  <si>
    <t>Ending long term assets</t>
  </si>
  <si>
    <t>Beginning equity</t>
  </si>
  <si>
    <t>Dividends</t>
  </si>
  <si>
    <t>Ending equity</t>
  </si>
  <si>
    <t>OWC</t>
  </si>
  <si>
    <t>OWC % revenues</t>
  </si>
  <si>
    <t>Long term assets % revenue</t>
  </si>
  <si>
    <t>Debt</t>
  </si>
  <si>
    <t>Cash and cash equivalents interest rate</t>
  </si>
  <si>
    <t>Revolver interest rate</t>
  </si>
  <si>
    <t>Long term debt interest rate</t>
  </si>
  <si>
    <t>Cash available to service debt</t>
  </si>
  <si>
    <t>Cash flow generated to service debt</t>
  </si>
  <si>
    <t>Change in OWC</t>
  </si>
  <si>
    <t>Surplus cash / (revolver requirement)</t>
  </si>
  <si>
    <t>Beginning revolver</t>
  </si>
  <si>
    <t>Revolver issuance (repayment)</t>
  </si>
  <si>
    <t xml:space="preserve"> Ending revolver</t>
  </si>
  <si>
    <t>Beginning long term debt</t>
  </si>
  <si>
    <t>Ending long term debt</t>
  </si>
  <si>
    <t>Interest on revolver</t>
  </si>
  <si>
    <t>Interest on long term debt</t>
  </si>
  <si>
    <t>Interest on cash and cash equivalents</t>
  </si>
  <si>
    <t>Net Debt and Interest Statistics</t>
  </si>
  <si>
    <t>Net debt</t>
  </si>
  <si>
    <t>Debt / EBITDA</t>
  </si>
  <si>
    <t>Net debt / EBITDA</t>
  </si>
  <si>
    <t>EBITDA / interest expense</t>
  </si>
  <si>
    <t>Net debt / net debt + equity</t>
  </si>
  <si>
    <t>EBITDA margin</t>
  </si>
  <si>
    <t>Dividends paid</t>
  </si>
  <si>
    <t>Financing cash flow</t>
  </si>
  <si>
    <t>Workout</t>
  </si>
  <si>
    <t>EUR</t>
  </si>
  <si>
    <t>Finding errors in models</t>
  </si>
  <si>
    <t>XXXX</t>
  </si>
  <si>
    <t>col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</si>
</sst>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3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4" fillId="0" borderId="0" xfId="50" applyNumberFormat="1" applyFill="1">
      <alignment horizontal="left" vertical="center"/>
    </xf>
    <xf numFmtId="174" fontId="30" fillId="0" borderId="0" xfId="58" applyNumberFormat="1" applyFill="1"/>
    <xf numFmtId="172" fontId="0" fillId="0" borderId="0" xfId="57" applyFont="1" applyFill="1"/>
    <xf numFmtId="172" fontId="30" fillId="37" borderId="11" xfId="57" applyFont="1" applyFill="1" applyBorder="1" applyProtection="1">
      <protection locked="0"/>
    </xf>
    <xf numFmtId="172" fontId="30" fillId="37" borderId="11" xfId="61" applyNumberFormat="1">
      <protection locked="0"/>
    </xf>
    <xf numFmtId="174" fontId="30" fillId="37" borderId="11" xfId="61" applyNumberFormat="1">
      <protection locked="0"/>
    </xf>
    <xf numFmtId="171" fontId="0" fillId="0" borderId="0" xfId="56" applyFon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332031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22" customFormat="1" ht="75" customHeight="1" x14ac:dyDescent="0.2">
      <c r="A2" s="74" t="s">
        <v>20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73"/>
      <c r="D4" s="73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75" t="s">
        <v>11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1:14" s="23" customFormat="1" ht="15" customHeight="1" x14ac:dyDescent="0.2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pans="1:14" s="23" customFormat="1" ht="15" customHeight="1" x14ac:dyDescent="0.2">
      <c r="A7" s="75" t="str">
        <f ca="1">"© "&amp;YEAR(TODAY())&amp;" Financial Edge Training "</f>
        <v xml:space="preserve">© 2022 Financial Edge Training 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6"/>
      <c r="H9" s="76"/>
      <c r="I9" s="76"/>
      <c r="J9" s="76"/>
      <c r="K9" s="28"/>
    </row>
    <row r="10" spans="1:14" s="23" customFormat="1" ht="15" customHeight="1" x14ac:dyDescent="0.2">
      <c r="B10" s="24"/>
      <c r="C10" s="24"/>
      <c r="F10" s="28"/>
      <c r="G10" s="76"/>
      <c r="H10" s="76"/>
      <c r="I10" s="76"/>
      <c r="J10" s="76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72"/>
      <c r="H12" s="72"/>
      <c r="I12" s="72"/>
      <c r="J12" s="72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72"/>
      <c r="H13" s="72"/>
      <c r="I13" s="72"/>
      <c r="J13" s="72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72"/>
      <c r="H14" s="72"/>
      <c r="I14" s="72"/>
      <c r="J14" s="72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72"/>
      <c r="H16" s="72"/>
      <c r="I16" s="72"/>
      <c r="J16" s="72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baseColWidth="10" defaultColWidth="9.1640625" defaultRowHeight="15" x14ac:dyDescent="0.2"/>
  <cols>
    <col min="1" max="1" width="1.5" customWidth="1"/>
    <col min="2" max="2" width="2.83203125" customWidth="1"/>
    <col min="3" max="3" width="13.33203125" customWidth="1"/>
    <col min="4" max="4" width="2.83203125" customWidth="1"/>
    <col min="5" max="7" width="1.5" customWidth="1"/>
    <col min="8" max="8" width="2.83203125" customWidth="1"/>
    <col min="9" max="9" width="42.6640625" customWidth="1"/>
    <col min="10" max="11" width="1.5" customWidth="1"/>
    <col min="12" max="12" width="15.5" bestFit="1" customWidth="1"/>
    <col min="13" max="14" width="1.5" customWidth="1"/>
    <col min="15" max="15" width="2.83203125" customWidth="1"/>
    <col min="16" max="16" width="32.5" customWidth="1"/>
    <col min="17" max="17" width="2.83203125" customWidth="1"/>
    <col min="18" max="18" width="1.5" customWidth="1"/>
    <col min="23" max="23" width="17.6640625" bestFit="1" customWidth="1"/>
  </cols>
  <sheetData>
    <row r="1" spans="1:18" s="36" customFormat="1" ht="45" customHeight="1" x14ac:dyDescent="0.3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78" t="s">
        <v>0</v>
      </c>
      <c r="C4" s="78"/>
      <c r="D4" s="78"/>
      <c r="E4" s="78"/>
      <c r="F4" s="78"/>
      <c r="G4" s="78"/>
      <c r="H4" s="78"/>
      <c r="I4" s="78"/>
      <c r="K4" s="1"/>
      <c r="L4" s="78" t="s">
        <v>2</v>
      </c>
      <c r="M4" s="78"/>
      <c r="N4" s="78"/>
      <c r="O4" s="78"/>
      <c r="P4" s="78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21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0" t="s">
        <v>112</v>
      </c>
      <c r="O5" s="80"/>
      <c r="P5" s="80"/>
      <c r="Q5" s="80"/>
      <c r="R5" s="45"/>
    </row>
    <row r="6" spans="1:18" s="2" customFormat="1" ht="15" customHeight="1" x14ac:dyDescent="0.2">
      <c r="A6" s="3"/>
      <c r="B6" s="8" t="s">
        <v>1</v>
      </c>
      <c r="C6" s="18" t="s">
        <v>22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1">
        <v>42369</v>
      </c>
      <c r="O6" s="81"/>
      <c r="P6" s="81"/>
      <c r="Q6" s="81"/>
      <c r="R6" s="45"/>
    </row>
    <row r="7" spans="1:18" s="2" customFormat="1" ht="15" customHeight="1" x14ac:dyDescent="0.2">
      <c r="A7" s="18"/>
      <c r="B7" s="8" t="s">
        <v>1</v>
      </c>
      <c r="C7" s="18" t="s">
        <v>23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0" t="s">
        <v>110</v>
      </c>
      <c r="O7" s="80"/>
      <c r="P7" s="80"/>
      <c r="Q7" s="80"/>
      <c r="R7" s="45"/>
    </row>
    <row r="8" spans="1:18" s="2" customFormat="1" ht="15" customHeight="1" x14ac:dyDescent="0.2">
      <c r="A8" s="18"/>
      <c r="B8" s="8" t="s">
        <v>1</v>
      </c>
      <c r="C8" s="18" t="s">
        <v>51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0" t="s">
        <v>9</v>
      </c>
      <c r="O8" s="80"/>
      <c r="P8" s="80"/>
      <c r="Q8" s="80"/>
      <c r="R8" s="45"/>
    </row>
    <row r="9" spans="1:18" s="2" customFormat="1" ht="15" customHeight="1" x14ac:dyDescent="0.2">
      <c r="A9" s="43"/>
      <c r="B9" s="8" t="s">
        <v>1</v>
      </c>
      <c r="C9" s="18" t="s">
        <v>52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0" t="s">
        <v>10</v>
      </c>
      <c r="O9" s="80"/>
      <c r="P9" s="80"/>
      <c r="Q9" s="80"/>
      <c r="R9" s="45"/>
    </row>
    <row r="10" spans="1:18" s="2" customFormat="1" ht="15" customHeight="1" x14ac:dyDescent="0.2">
      <c r="A10" s="44"/>
      <c r="B10" s="8" t="s">
        <v>1</v>
      </c>
      <c r="C10" s="18" t="s">
        <v>111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2">
        <v>0</v>
      </c>
      <c r="O10" s="82"/>
      <c r="P10" s="82"/>
      <c r="Q10" s="82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79" t="s">
        <v>19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N13" s="1"/>
      <c r="O13" s="78" t="s">
        <v>14</v>
      </c>
      <c r="P13" s="78"/>
      <c r="Q13" s="78"/>
      <c r="R13" s="62"/>
    </row>
    <row r="14" spans="1:18" s="2" customFormat="1" ht="15" customHeight="1" x14ac:dyDescent="0.2">
      <c r="A14" s="60"/>
      <c r="B14" s="77" t="s">
        <v>50</v>
      </c>
      <c r="C14" s="77"/>
      <c r="D14" s="77" t="s">
        <v>24</v>
      </c>
      <c r="E14" s="77"/>
      <c r="F14" s="77"/>
      <c r="G14" s="77"/>
      <c r="H14" s="77"/>
      <c r="I14" s="77"/>
      <c r="J14" s="77"/>
      <c r="K14" s="77"/>
      <c r="L14" s="77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77" t="s">
        <v>49</v>
      </c>
      <c r="C15" s="77"/>
      <c r="D15" s="77" t="s">
        <v>24</v>
      </c>
      <c r="E15" s="77"/>
      <c r="F15" s="77"/>
      <c r="G15" s="77"/>
      <c r="H15" s="77"/>
      <c r="I15" s="77"/>
      <c r="J15" s="77"/>
      <c r="K15" s="77"/>
      <c r="L15" s="77"/>
      <c r="N15" s="3"/>
      <c r="O15" s="27"/>
      <c r="P15" s="56" t="s">
        <v>15</v>
      </c>
      <c r="Q15" s="22"/>
      <c r="R15" s="60"/>
    </row>
    <row r="16" spans="1:18" s="2" customFormat="1" ht="15" customHeight="1" x14ac:dyDescent="0.2">
      <c r="A16" s="60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N16" s="18"/>
      <c r="O16" s="27"/>
      <c r="P16" s="38" t="s">
        <v>16</v>
      </c>
      <c r="Q16" s="22"/>
      <c r="R16" s="60"/>
    </row>
    <row r="17" spans="1:18" s="2" customFormat="1" ht="15" customHeight="1" x14ac:dyDescent="0.2">
      <c r="A17" s="60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N17" s="18"/>
      <c r="O17" s="27"/>
      <c r="P17" t="s">
        <v>17</v>
      </c>
      <c r="Q17" s="22"/>
      <c r="R17" s="60"/>
    </row>
    <row r="18" spans="1:18" s="2" customFormat="1" ht="15" customHeight="1" x14ac:dyDescent="0.2">
      <c r="A18" s="44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x14ac:dyDescent="0.2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D15:L15"/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2"/>
  <sheetViews>
    <sheetView tabSelected="1" zoomScaleNormal="100" workbookViewId="0">
      <pane xSplit="2" ySplit="2" topLeftCell="C48" activePane="bottomRight" state="frozen"/>
      <selection pane="topRight" activeCell="C1" sqref="C1"/>
      <selection pane="bottomLeft" activeCell="A3" sqref="A3"/>
      <selection pane="bottomRight" activeCell="Q63" sqref="Q63"/>
    </sheetView>
  </sheetViews>
  <sheetFormatPr baseColWidth="10" defaultColWidth="9.1640625" defaultRowHeight="15" customHeight="1" x14ac:dyDescent="0.2"/>
  <cols>
    <col min="1" max="1" width="1.5" style="15" customWidth="1"/>
    <col min="2" max="2" width="41.6640625" style="16" customWidth="1"/>
    <col min="3" max="10" width="11" customWidth="1"/>
    <col min="11" max="12" width="9.33203125" customWidth="1"/>
  </cols>
  <sheetData>
    <row r="1" spans="1:15" s="50" customFormat="1" ht="45" customHeight="1" x14ac:dyDescent="0.35">
      <c r="A1" s="5" t="s">
        <v>20</v>
      </c>
      <c r="B1" s="10"/>
      <c r="C1" s="12" t="s">
        <v>12</v>
      </c>
      <c r="D1" s="12" t="s">
        <v>12</v>
      </c>
      <c r="E1" s="12" t="s">
        <v>12</v>
      </c>
      <c r="F1" s="12" t="s">
        <v>13</v>
      </c>
      <c r="G1" s="12" t="s">
        <v>13</v>
      </c>
      <c r="H1" s="12" t="s">
        <v>13</v>
      </c>
      <c r="I1" s="12" t="s">
        <v>13</v>
      </c>
      <c r="J1" s="12" t="s">
        <v>13</v>
      </c>
      <c r="K1" s="12" t="s">
        <v>13</v>
      </c>
      <c r="L1" s="12" t="s">
        <v>13</v>
      </c>
      <c r="M1" s="12" t="s">
        <v>13</v>
      </c>
      <c r="N1" s="12" t="s">
        <v>13</v>
      </c>
      <c r="O1" s="12" t="s">
        <v>13</v>
      </c>
    </row>
    <row r="2" spans="1:15" s="37" customFormat="1" ht="30" customHeight="1" x14ac:dyDescent="0.25">
      <c r="A2" s="14" t="s">
        <v>109</v>
      </c>
      <c r="B2" s="7"/>
      <c r="C2" s="11">
        <f>DATE(YEAR(D2)-1,MONTH(D2),DAY(D2))</f>
        <v>41639</v>
      </c>
      <c r="D2" s="11">
        <f>DATE(YEAR(E2)-1,MONTH(E2),DAY(E2))</f>
        <v>42004</v>
      </c>
      <c r="E2" s="11">
        <f>Info!N6</f>
        <v>42369</v>
      </c>
      <c r="F2" s="11">
        <f>DATE(YEAR(E2)+1,MONTH(E2),DAY(E2))</f>
        <v>42735</v>
      </c>
      <c r="G2" s="11">
        <f>DATE(YEAR(F2)+1,MONTH(F2),DAY(F2))</f>
        <v>43100</v>
      </c>
      <c r="H2" s="11">
        <f>DATE(YEAR(G2)+1,MONTH(G2),DAY(G2))</f>
        <v>43465</v>
      </c>
      <c r="I2" s="11">
        <f>DATE(YEAR(H2)+1,MONTH(H2),DAY(H2))</f>
        <v>43830</v>
      </c>
      <c r="J2" s="11">
        <f>DATE(YEAR(I2)+1,MONTH(I2),DAY(I2))</f>
        <v>44196</v>
      </c>
      <c r="K2" s="11">
        <f t="shared" ref="K2:O2" si="0">DATE(YEAR(J2)+1,MONTH(J2),DAY(J2))</f>
        <v>44561</v>
      </c>
      <c r="L2" s="11">
        <f t="shared" si="0"/>
        <v>44926</v>
      </c>
      <c r="M2" s="11">
        <f t="shared" si="0"/>
        <v>45291</v>
      </c>
      <c r="N2" s="11">
        <f t="shared" si="0"/>
        <v>45657</v>
      </c>
      <c r="O2" s="11">
        <f t="shared" si="0"/>
        <v>46022</v>
      </c>
    </row>
    <row r="4" spans="1:15" ht="15" customHeight="1" x14ac:dyDescent="0.2">
      <c r="A4" s="15" t="s">
        <v>53</v>
      </c>
    </row>
    <row r="5" spans="1:15" ht="15" customHeight="1" x14ac:dyDescent="0.2">
      <c r="B5" s="16" t="s">
        <v>25</v>
      </c>
      <c r="D5" s="66">
        <f>D16/C16-1</f>
        <v>3.1959421642975938E-2</v>
      </c>
      <c r="E5" s="66">
        <f>E16/D16-1</f>
        <v>4.645481620723424E-2</v>
      </c>
      <c r="F5" s="67">
        <v>0.15</v>
      </c>
      <c r="G5" s="67">
        <v>0.06</v>
      </c>
      <c r="H5" s="67">
        <v>0.06</v>
      </c>
      <c r="I5" s="67">
        <v>0.06</v>
      </c>
      <c r="J5" s="67">
        <v>0.06</v>
      </c>
      <c r="K5" s="67">
        <v>0.05</v>
      </c>
      <c r="L5" s="67">
        <v>0.05</v>
      </c>
      <c r="M5" s="67">
        <v>4.4999999999999998E-2</v>
      </c>
      <c r="N5" s="67">
        <v>0.04</v>
      </c>
      <c r="O5" s="67">
        <v>0.04</v>
      </c>
    </row>
    <row r="6" spans="1:15" ht="15" customHeight="1" x14ac:dyDescent="0.2">
      <c r="B6" s="16" t="s">
        <v>26</v>
      </c>
      <c r="C6" s="66">
        <f>C17/C16</f>
        <v>0.86309334472834454</v>
      </c>
      <c r="D6" s="66">
        <f t="shared" ref="D6:E6" si="1">D17/D16</f>
        <v>0.85563651614997704</v>
      </c>
      <c r="E6" s="66">
        <f t="shared" si="1"/>
        <v>0.84872385710105835</v>
      </c>
      <c r="F6" s="67">
        <v>0.85</v>
      </c>
      <c r="G6" s="67">
        <v>0.85</v>
      </c>
      <c r="H6" s="67">
        <v>0.85</v>
      </c>
      <c r="I6" s="67">
        <v>0.85</v>
      </c>
      <c r="J6" s="67">
        <v>0.85</v>
      </c>
      <c r="K6" s="67">
        <v>0.85</v>
      </c>
      <c r="L6" s="67">
        <v>0.85</v>
      </c>
      <c r="M6" s="67">
        <v>0.85</v>
      </c>
      <c r="N6" s="67">
        <v>0.85</v>
      </c>
      <c r="O6" s="67">
        <v>0.85</v>
      </c>
    </row>
    <row r="7" spans="1:15" ht="15" customHeight="1" x14ac:dyDescent="0.2">
      <c r="B7" s="16" t="s">
        <v>67</v>
      </c>
      <c r="C7" s="66">
        <f>C22/C21</f>
        <v>0.36223824585794046</v>
      </c>
      <c r="D7" s="66">
        <f t="shared" ref="D7:E7" si="2">D22/D21</f>
        <v>0.4260968854006883</v>
      </c>
      <c r="E7" s="66">
        <f t="shared" si="2"/>
        <v>0.39059845426906048</v>
      </c>
      <c r="F7" s="67">
        <v>0.36</v>
      </c>
      <c r="G7" s="67">
        <v>0.36</v>
      </c>
      <c r="H7" s="67">
        <v>0.36</v>
      </c>
      <c r="I7" s="67">
        <v>0.36</v>
      </c>
      <c r="J7" s="67">
        <v>0.36</v>
      </c>
      <c r="K7" s="67">
        <v>0.36</v>
      </c>
      <c r="L7" s="67">
        <v>0.36</v>
      </c>
      <c r="M7" s="67">
        <v>0.36</v>
      </c>
      <c r="N7" s="67">
        <v>0.36</v>
      </c>
      <c r="O7" s="67">
        <v>0.36</v>
      </c>
    </row>
    <row r="8" spans="1:15" ht="15" customHeight="1" x14ac:dyDescent="0.2">
      <c r="A8" s="64"/>
    </row>
    <row r="9" spans="1:15" ht="15" customHeight="1" x14ac:dyDescent="0.2">
      <c r="A9" s="15" t="s">
        <v>63</v>
      </c>
    </row>
    <row r="10" spans="1:15" ht="15" customHeight="1" x14ac:dyDescent="0.2">
      <c r="B10" s="16" t="s">
        <v>68</v>
      </c>
      <c r="C10" s="66">
        <f>C18/C16</f>
        <v>0.13690665527165549</v>
      </c>
      <c r="D10" s="66">
        <f t="shared" ref="D10:O10" si="3">D18/D16</f>
        <v>0.14436348385002293</v>
      </c>
      <c r="E10" s="66">
        <f t="shared" si="3"/>
        <v>0.15127614289894162</v>
      </c>
      <c r="F10" s="66">
        <f t="shared" si="3"/>
        <v>0.15000000000000005</v>
      </c>
      <c r="G10" s="66">
        <f t="shared" si="3"/>
        <v>0.15</v>
      </c>
      <c r="H10" s="66">
        <f t="shared" si="3"/>
        <v>0.15000000000000002</v>
      </c>
      <c r="I10" s="66">
        <f t="shared" si="3"/>
        <v>0.14999999999999994</v>
      </c>
      <c r="J10" s="66">
        <f t="shared" si="3"/>
        <v>0.15000000000000005</v>
      </c>
      <c r="K10" s="66">
        <f t="shared" si="3"/>
        <v>0.14999999999999997</v>
      </c>
      <c r="L10" s="66">
        <f t="shared" si="3"/>
        <v>0.14999999999999994</v>
      </c>
      <c r="M10" s="66">
        <f t="shared" si="3"/>
        <v>0.14999999999999997</v>
      </c>
      <c r="N10" s="66">
        <f t="shared" si="3"/>
        <v>0.15000000000000002</v>
      </c>
      <c r="O10" s="66">
        <f t="shared" si="3"/>
        <v>0.15</v>
      </c>
    </row>
    <row r="11" spans="1:15" ht="15" customHeight="1" x14ac:dyDescent="0.2">
      <c r="B11" s="16" t="s">
        <v>55</v>
      </c>
      <c r="C11" s="66"/>
      <c r="D11" s="66"/>
      <c r="E11" s="66"/>
      <c r="F11">
        <f>F18+F40</f>
        <v>1744.1804805000004</v>
      </c>
      <c r="G11">
        <f t="shared" ref="G11:O11" si="4">G18+G40</f>
        <v>1816.8776806131</v>
      </c>
      <c r="H11">
        <f t="shared" si="4"/>
        <v>1896.0456522283018</v>
      </c>
      <c r="I11">
        <f t="shared" si="4"/>
        <v>1981.9334516290394</v>
      </c>
      <c r="J11">
        <f t="shared" si="4"/>
        <v>2074.8142650161981</v>
      </c>
      <c r="K11">
        <f t="shared" si="4"/>
        <v>2158.3212425086076</v>
      </c>
      <c r="L11">
        <f t="shared" si="4"/>
        <v>2247.3389954356921</v>
      </c>
      <c r="M11">
        <f t="shared" si="4"/>
        <v>2332.8683390412871</v>
      </c>
      <c r="N11">
        <f t="shared" si="4"/>
        <v>2413.6761815308023</v>
      </c>
      <c r="O11">
        <f t="shared" si="4"/>
        <v>2498.5417925306579</v>
      </c>
    </row>
    <row r="12" spans="1:15" ht="15" customHeight="1" x14ac:dyDescent="0.2">
      <c r="B12" s="16" t="s">
        <v>106</v>
      </c>
      <c r="C12" s="66"/>
      <c r="D12" s="66"/>
      <c r="E12" s="66"/>
      <c r="F12" s="66">
        <f>F11/F16</f>
        <v>0.19819862124055401</v>
      </c>
      <c r="G12" s="66">
        <f t="shared" ref="G12:O12" si="5">G11/G16</f>
        <v>0.19477312475346922</v>
      </c>
      <c r="H12" s="66">
        <f t="shared" si="5"/>
        <v>0.19175480992428329</v>
      </c>
      <c r="I12" s="66">
        <f t="shared" si="5"/>
        <v>0.18909527591441561</v>
      </c>
      <c r="J12" s="66">
        <f t="shared" si="5"/>
        <v>0.18675187519251343</v>
      </c>
      <c r="K12" s="66">
        <f t="shared" si="5"/>
        <v>0.18501738231410236</v>
      </c>
      <c r="L12" s="66">
        <f t="shared" si="5"/>
        <v>0.18347450960130626</v>
      </c>
      <c r="M12" s="66">
        <f t="shared" si="5"/>
        <v>0.18225568609341633</v>
      </c>
      <c r="N12" s="66">
        <f t="shared" si="5"/>
        <v>0.18131616424158742</v>
      </c>
      <c r="O12" s="66">
        <f t="shared" si="5"/>
        <v>0.18047240134773329</v>
      </c>
    </row>
    <row r="13" spans="1:15" ht="15" customHeight="1" x14ac:dyDescent="0.2">
      <c r="B13" s="16" t="s">
        <v>69</v>
      </c>
      <c r="C13" s="66">
        <f>C23/C16</f>
        <v>7.6001299437691114E-2</v>
      </c>
      <c r="D13" s="66">
        <f t="shared" ref="D13:O13" si="6">D23/D16</f>
        <v>7.5056911956618483E-2</v>
      </c>
      <c r="E13" s="66">
        <f t="shared" si="6"/>
        <v>8.442083619902313E-2</v>
      </c>
      <c r="F13" s="66">
        <f t="shared" si="6"/>
        <v>9.600000000000003E-2</v>
      </c>
      <c r="G13" s="66">
        <f t="shared" si="6"/>
        <v>9.6000000000000002E-2</v>
      </c>
      <c r="H13" s="66">
        <f t="shared" si="6"/>
        <v>9.6000000000000016E-2</v>
      </c>
      <c r="I13" s="66">
        <f t="shared" si="6"/>
        <v>9.599999999999996E-2</v>
      </c>
      <c r="J13" s="66">
        <f t="shared" si="6"/>
        <v>9.600000000000003E-2</v>
      </c>
      <c r="K13" s="66">
        <f t="shared" si="6"/>
        <v>9.5999999999999974E-2</v>
      </c>
      <c r="L13" s="66">
        <f t="shared" si="6"/>
        <v>9.599999999999996E-2</v>
      </c>
      <c r="M13" s="66">
        <f t="shared" si="6"/>
        <v>9.5999999999999988E-2</v>
      </c>
      <c r="N13" s="66">
        <f t="shared" si="6"/>
        <v>9.6000000000000016E-2</v>
      </c>
      <c r="O13" s="66">
        <f t="shared" si="6"/>
        <v>9.6000000000000002E-2</v>
      </c>
    </row>
    <row r="15" spans="1:15" ht="15" customHeight="1" x14ac:dyDescent="0.2">
      <c r="A15" s="15" t="s">
        <v>29</v>
      </c>
    </row>
    <row r="16" spans="1:15" ht="15" customHeight="1" x14ac:dyDescent="0.2">
      <c r="B16" s="16" t="s">
        <v>30</v>
      </c>
      <c r="C16" s="65">
        <v>7086.1419999999998</v>
      </c>
      <c r="D16" s="65">
        <v>7312.6109999999999</v>
      </c>
      <c r="E16" s="65">
        <v>7652.317</v>
      </c>
      <c r="F16">
        <f>E16*(1+F5)</f>
        <v>8800.1645499999995</v>
      </c>
      <c r="G16">
        <f t="shared" ref="G16:O16" si="7">F16*(1+G5)</f>
        <v>9328.1744230000004</v>
      </c>
      <c r="H16">
        <f t="shared" si="7"/>
        <v>9887.8648883800015</v>
      </c>
      <c r="I16">
        <f t="shared" si="7"/>
        <v>10481.136781682802</v>
      </c>
      <c r="J16">
        <f t="shared" si="7"/>
        <v>11110.004988583771</v>
      </c>
      <c r="K16">
        <f t="shared" si="7"/>
        <v>11665.50523801296</v>
      </c>
      <c r="L16">
        <f t="shared" si="7"/>
        <v>12248.780499913608</v>
      </c>
      <c r="M16">
        <f t="shared" si="7"/>
        <v>12799.97562240972</v>
      </c>
      <c r="N16">
        <f t="shared" si="7"/>
        <v>13311.97464730611</v>
      </c>
      <c r="O16">
        <f t="shared" si="7"/>
        <v>13844.453633198355</v>
      </c>
    </row>
    <row r="17" spans="1:15" ht="15" customHeight="1" x14ac:dyDescent="0.2">
      <c r="B17" s="16" t="s">
        <v>31</v>
      </c>
      <c r="C17" s="65">
        <f>2435.993+3680.009</f>
        <v>6116.0020000000004</v>
      </c>
      <c r="D17" s="65">
        <f>2524.006+3732.931</f>
        <v>6256.9369999999999</v>
      </c>
      <c r="E17" s="65">
        <f>2574.685+3920.019</f>
        <v>6494.7039999999997</v>
      </c>
      <c r="F17">
        <f>F6*F16</f>
        <v>7480.1398674999991</v>
      </c>
      <c r="G17">
        <f t="shared" ref="G17:O17" si="8">G6*G16</f>
        <v>7928.9482595500003</v>
      </c>
      <c r="H17">
        <f t="shared" si="8"/>
        <v>8404.6851551230011</v>
      </c>
      <c r="I17">
        <f t="shared" si="8"/>
        <v>8908.9662644303826</v>
      </c>
      <c r="J17">
        <f t="shared" si="8"/>
        <v>9443.5042402962044</v>
      </c>
      <c r="K17">
        <f t="shared" si="8"/>
        <v>9915.6794523110166</v>
      </c>
      <c r="L17">
        <f t="shared" si="8"/>
        <v>10411.463424926567</v>
      </c>
      <c r="M17">
        <f t="shared" si="8"/>
        <v>10879.979279048262</v>
      </c>
      <c r="N17">
        <f t="shared" si="8"/>
        <v>11315.178450210193</v>
      </c>
      <c r="O17">
        <f t="shared" si="8"/>
        <v>11767.785588218601</v>
      </c>
    </row>
    <row r="18" spans="1:15" ht="15" customHeight="1" x14ac:dyDescent="0.2">
      <c r="B18" s="16" t="s">
        <v>56</v>
      </c>
      <c r="C18">
        <f>C16-C17</f>
        <v>970.13999999999942</v>
      </c>
      <c r="D18">
        <f t="shared" ref="D18:E18" si="9">D16-D17</f>
        <v>1055.674</v>
      </c>
      <c r="E18">
        <f t="shared" si="9"/>
        <v>1157.6130000000003</v>
      </c>
      <c r="F18">
        <f>F16-F17</f>
        <v>1320.0246825000004</v>
      </c>
      <c r="G18">
        <f t="shared" ref="G18" si="10">G16-G17</f>
        <v>1399.2261634500001</v>
      </c>
      <c r="H18">
        <f t="shared" ref="H18" si="11">H16-H17</f>
        <v>1483.1797332570004</v>
      </c>
      <c r="I18">
        <f t="shared" ref="I18" si="12">I16-I17</f>
        <v>1572.1705172524198</v>
      </c>
      <c r="J18">
        <f t="shared" ref="J18:O18" si="13">J16-J17</f>
        <v>1666.5007482875662</v>
      </c>
      <c r="K18">
        <f t="shared" si="13"/>
        <v>1749.8257857019435</v>
      </c>
      <c r="L18">
        <f t="shared" si="13"/>
        <v>1837.3170749870405</v>
      </c>
      <c r="M18">
        <f t="shared" si="13"/>
        <v>1919.9963433614575</v>
      </c>
      <c r="N18">
        <f t="shared" si="13"/>
        <v>1996.7961970959168</v>
      </c>
      <c r="O18">
        <f t="shared" si="13"/>
        <v>2076.6680449797532</v>
      </c>
    </row>
    <row r="19" spans="1:15" ht="15" customHeight="1" x14ac:dyDescent="0.2">
      <c r="B19" s="16" t="s">
        <v>57</v>
      </c>
      <c r="C19" s="65">
        <v>18.91</v>
      </c>
      <c r="D19" s="65">
        <v>10.071999999999999</v>
      </c>
      <c r="E19" s="65">
        <f>11.672+0.455</f>
        <v>12.127000000000001</v>
      </c>
      <c r="F19">
        <f>IF(switch=1,F95,0)</f>
        <v>0</v>
      </c>
      <c r="G19">
        <f t="shared" ref="G19:O19" si="14">IF(switch=1,G95,0)</f>
        <v>0</v>
      </c>
      <c r="H19">
        <f t="shared" si="14"/>
        <v>0</v>
      </c>
      <c r="I19">
        <f t="shared" si="14"/>
        <v>0</v>
      </c>
      <c r="J19">
        <f t="shared" si="14"/>
        <v>0</v>
      </c>
      <c r="K19">
        <f t="shared" si="14"/>
        <v>0</v>
      </c>
      <c r="L19">
        <f t="shared" si="14"/>
        <v>0</v>
      </c>
      <c r="M19">
        <f t="shared" si="14"/>
        <v>0</v>
      </c>
      <c r="N19">
        <f t="shared" si="14"/>
        <v>0</v>
      </c>
      <c r="O19">
        <f t="shared" si="14"/>
        <v>0</v>
      </c>
    </row>
    <row r="20" spans="1:15" ht="15" customHeight="1" x14ac:dyDescent="0.2">
      <c r="B20" s="16" t="s">
        <v>58</v>
      </c>
      <c r="C20" s="65">
        <f>138.14+6.463</f>
        <v>144.60299999999998</v>
      </c>
      <c r="D20" s="65">
        <f>102.132+7.247</f>
        <v>109.379</v>
      </c>
      <c r="E20" s="65">
        <v>109.65900000000001</v>
      </c>
      <c r="F20">
        <f t="shared" ref="F20:O20" si="15">IF(switch=1,F93+F94,0)</f>
        <v>0</v>
      </c>
      <c r="G20">
        <f t="shared" si="15"/>
        <v>0</v>
      </c>
      <c r="H20">
        <f t="shared" si="15"/>
        <v>0</v>
      </c>
      <c r="I20">
        <f t="shared" si="15"/>
        <v>0</v>
      </c>
      <c r="J20">
        <f t="shared" si="15"/>
        <v>0</v>
      </c>
      <c r="K20">
        <f t="shared" si="15"/>
        <v>0</v>
      </c>
      <c r="L20">
        <f t="shared" si="15"/>
        <v>0</v>
      </c>
      <c r="M20">
        <f t="shared" si="15"/>
        <v>0</v>
      </c>
      <c r="N20">
        <f t="shared" si="15"/>
        <v>0</v>
      </c>
      <c r="O20">
        <f t="shared" si="15"/>
        <v>0</v>
      </c>
    </row>
    <row r="21" spans="1:15" ht="15" customHeight="1" x14ac:dyDescent="0.2">
      <c r="B21" s="16" t="s">
        <v>59</v>
      </c>
      <c r="C21">
        <f>C18+C19-C20</f>
        <v>844.44699999999943</v>
      </c>
      <c r="D21">
        <f t="shared" ref="D21:E21" si="16">D18+D19-D20</f>
        <v>956.36699999999985</v>
      </c>
      <c r="E21">
        <f t="shared" si="16"/>
        <v>1060.0810000000001</v>
      </c>
      <c r="F21">
        <f>F18+F19-F20</f>
        <v>1320.0246825000004</v>
      </c>
      <c r="G21">
        <f t="shared" ref="G21" si="17">G18+G19-G20</f>
        <v>1399.2261634500001</v>
      </c>
      <c r="H21">
        <f t="shared" ref="H21" si="18">H18+H19-H20</f>
        <v>1483.1797332570004</v>
      </c>
      <c r="I21">
        <f t="shared" ref="I21" si="19">I18+I19-I20</f>
        <v>1572.1705172524198</v>
      </c>
      <c r="J21">
        <f t="shared" ref="J21" si="20">J18+J19-J20</f>
        <v>1666.5007482875662</v>
      </c>
      <c r="K21">
        <f t="shared" ref="K21" si="21">K18+K19-K20</f>
        <v>1749.8257857019435</v>
      </c>
      <c r="L21">
        <f t="shared" ref="L21" si="22">L18+L19-L20</f>
        <v>1837.3170749870405</v>
      </c>
      <c r="M21">
        <f t="shared" ref="M21" si="23">M18+M19-M20</f>
        <v>1919.9963433614575</v>
      </c>
      <c r="N21">
        <f t="shared" ref="N21" si="24">N18+N19-N20</f>
        <v>1996.7961970959168</v>
      </c>
      <c r="O21">
        <f t="shared" ref="O21" si="25">O18+O19-O20</f>
        <v>2076.6680449797532</v>
      </c>
    </row>
    <row r="22" spans="1:15" ht="15" customHeight="1" x14ac:dyDescent="0.2">
      <c r="B22" s="16" t="s">
        <v>32</v>
      </c>
      <c r="C22" s="65">
        <v>305.89100000000002</v>
      </c>
      <c r="D22" s="65">
        <v>407.505</v>
      </c>
      <c r="E22" s="65">
        <v>414.06599999999997</v>
      </c>
      <c r="F22">
        <f>F7*F21</f>
        <v>475.20888570000011</v>
      </c>
      <c r="G22">
        <f t="shared" ref="G22:O22" si="26">G7*G21</f>
        <v>503.72141884199999</v>
      </c>
      <c r="H22">
        <f t="shared" si="26"/>
        <v>533.94470397252007</v>
      </c>
      <c r="I22">
        <f t="shared" si="26"/>
        <v>565.98138621087116</v>
      </c>
      <c r="J22">
        <f t="shared" si="26"/>
        <v>599.94026938352386</v>
      </c>
      <c r="K22">
        <f t="shared" si="26"/>
        <v>629.93728285269958</v>
      </c>
      <c r="L22">
        <f t="shared" si="26"/>
        <v>661.43414699533457</v>
      </c>
      <c r="M22">
        <f t="shared" si="26"/>
        <v>691.1986836101247</v>
      </c>
      <c r="N22">
        <f t="shared" si="26"/>
        <v>718.84663095453004</v>
      </c>
      <c r="O22">
        <f t="shared" si="26"/>
        <v>747.60049619271115</v>
      </c>
    </row>
    <row r="23" spans="1:15" ht="15" customHeight="1" x14ac:dyDescent="0.2">
      <c r="B23" s="16" t="s">
        <v>33</v>
      </c>
      <c r="C23">
        <f>C21-C22</f>
        <v>538.55599999999936</v>
      </c>
      <c r="D23">
        <f t="shared" ref="D23:E23" si="27">D21-D22</f>
        <v>548.86199999999985</v>
      </c>
      <c r="E23">
        <f t="shared" si="27"/>
        <v>646.0150000000001</v>
      </c>
      <c r="F23">
        <f>F21-F22</f>
        <v>844.81579680000027</v>
      </c>
      <c r="G23">
        <f t="shared" ref="G23" si="28">G21-G22</f>
        <v>895.50474460800001</v>
      </c>
      <c r="H23">
        <f t="shared" ref="H23" si="29">H21-H22</f>
        <v>949.23502928448033</v>
      </c>
      <c r="I23">
        <f t="shared" ref="I23" si="30">I21-I22</f>
        <v>1006.1891310415486</v>
      </c>
      <c r="J23">
        <f t="shared" ref="J23" si="31">J21-J22</f>
        <v>1066.5604789040424</v>
      </c>
      <c r="K23">
        <f t="shared" ref="K23" si="32">K21-K22</f>
        <v>1119.8885028492439</v>
      </c>
      <c r="L23">
        <f t="shared" ref="L23" si="33">L21-L22</f>
        <v>1175.8829279917059</v>
      </c>
      <c r="M23">
        <f t="shared" ref="M23" si="34">M21-M22</f>
        <v>1228.797659751333</v>
      </c>
      <c r="N23">
        <f t="shared" ref="N23" si="35">N21-N22</f>
        <v>1277.9495661413866</v>
      </c>
      <c r="O23">
        <f t="shared" ref="O23" si="36">O21-O22</f>
        <v>1329.0675487870421</v>
      </c>
    </row>
    <row r="25" spans="1:15" ht="15" customHeight="1" x14ac:dyDescent="0.2">
      <c r="A25" s="15" t="s">
        <v>54</v>
      </c>
    </row>
    <row r="26" spans="1:15" ht="15" customHeight="1" x14ac:dyDescent="0.2">
      <c r="B26" s="16" t="s">
        <v>27</v>
      </c>
      <c r="D26" s="66">
        <f>D50/D16</f>
        <v>0.22126255587778429</v>
      </c>
      <c r="E26" s="66">
        <f>E50/E16</f>
        <v>0.22399843080206949</v>
      </c>
      <c r="F26" s="67">
        <v>0.223</v>
      </c>
      <c r="G26" s="67">
        <v>0.223</v>
      </c>
      <c r="H26" s="67">
        <v>0.223</v>
      </c>
      <c r="I26" s="67">
        <v>0.223</v>
      </c>
      <c r="J26" s="67">
        <v>0.223</v>
      </c>
      <c r="K26" s="67">
        <v>0.223</v>
      </c>
      <c r="L26" s="67">
        <v>0.223</v>
      </c>
      <c r="M26" s="67">
        <v>0.223</v>
      </c>
      <c r="N26" s="67">
        <v>0.223</v>
      </c>
      <c r="O26" s="67">
        <v>0.223</v>
      </c>
    </row>
    <row r="27" spans="1:15" ht="15" customHeight="1" x14ac:dyDescent="0.2">
      <c r="B27" s="16" t="s">
        <v>28</v>
      </c>
      <c r="D27" s="66">
        <f>D55/D16</f>
        <v>0.2534714344848919</v>
      </c>
      <c r="E27" s="66">
        <f>E55/E16</f>
        <v>0.28736564363447042</v>
      </c>
      <c r="F27" s="67">
        <v>0.27</v>
      </c>
      <c r="G27" s="67">
        <v>0.27</v>
      </c>
      <c r="H27" s="67">
        <v>0.27</v>
      </c>
      <c r="I27" s="67">
        <v>0.27</v>
      </c>
      <c r="J27" s="67">
        <v>0.27</v>
      </c>
      <c r="K27" s="67">
        <v>0.27</v>
      </c>
      <c r="L27" s="67">
        <v>0.27</v>
      </c>
      <c r="M27" s="67">
        <v>0.27</v>
      </c>
      <c r="N27" s="67">
        <v>0.27</v>
      </c>
      <c r="O27" s="67">
        <v>0.27</v>
      </c>
    </row>
    <row r="28" spans="1:15" ht="15" customHeight="1" x14ac:dyDescent="0.2">
      <c r="B28" s="16" t="s">
        <v>70</v>
      </c>
      <c r="D28" s="66">
        <f>274.114/D16</f>
        <v>3.748510620898609E-2</v>
      </c>
      <c r="E28" s="66">
        <f>280.779/E16</f>
        <v>3.6692024128117014E-2</v>
      </c>
      <c r="F28" s="67">
        <v>3.6999999999999998E-2</v>
      </c>
      <c r="G28" s="67">
        <v>3.6999999999999998E-2</v>
      </c>
      <c r="H28" s="67">
        <v>3.6999999999999998E-2</v>
      </c>
      <c r="I28" s="67">
        <v>3.6999999999999998E-2</v>
      </c>
      <c r="J28" s="67">
        <v>3.6999999999999998E-2</v>
      </c>
      <c r="K28" s="67">
        <v>3.6999999999999998E-2</v>
      </c>
      <c r="L28" s="67">
        <v>3.6999999999999998E-2</v>
      </c>
      <c r="M28" s="67">
        <v>3.6999999999999998E-2</v>
      </c>
      <c r="N28" s="67">
        <v>3.6999999999999998E-2</v>
      </c>
      <c r="O28" s="67">
        <v>3.6999999999999998E-2</v>
      </c>
    </row>
    <row r="29" spans="1:15" ht="15" customHeight="1" x14ac:dyDescent="0.2">
      <c r="B29" s="16" t="s">
        <v>75</v>
      </c>
      <c r="D29" s="66"/>
      <c r="E29" s="66">
        <f>383.996/D51</f>
        <v>6.5675110396050687E-2</v>
      </c>
      <c r="F29" s="68">
        <v>6.6000000000000003E-2</v>
      </c>
      <c r="G29" s="68">
        <v>6.6000000000000003E-2</v>
      </c>
      <c r="H29" s="68">
        <v>6.6000000000000003E-2</v>
      </c>
      <c r="I29" s="68">
        <v>6.6000000000000003E-2</v>
      </c>
      <c r="J29" s="68">
        <v>6.6000000000000003E-2</v>
      </c>
      <c r="K29" s="68">
        <v>6.6000000000000003E-2</v>
      </c>
      <c r="L29" s="68">
        <v>6.6000000000000003E-2</v>
      </c>
      <c r="M29" s="68">
        <v>6.6000000000000003E-2</v>
      </c>
      <c r="N29" s="68">
        <v>6.6000000000000003E-2</v>
      </c>
      <c r="O29" s="68">
        <v>6.6000000000000003E-2</v>
      </c>
    </row>
    <row r="30" spans="1:15" ht="15" customHeight="1" x14ac:dyDescent="0.2">
      <c r="B30" s="16" t="s">
        <v>72</v>
      </c>
      <c r="D30" s="66">
        <f>216.855/D23</f>
        <v>0.39509931458180753</v>
      </c>
      <c r="E30" s="66">
        <f>156.129/E23</f>
        <v>0.24168014674581853</v>
      </c>
      <c r="F30" s="68">
        <v>0.32</v>
      </c>
      <c r="G30" s="68">
        <v>0.32</v>
      </c>
      <c r="H30" s="68">
        <v>0.32</v>
      </c>
      <c r="I30" s="68">
        <v>0.32</v>
      </c>
      <c r="J30" s="68">
        <v>0.32</v>
      </c>
      <c r="K30" s="68">
        <v>0.32</v>
      </c>
      <c r="L30" s="68">
        <v>0.32</v>
      </c>
      <c r="M30" s="68">
        <v>0.32</v>
      </c>
      <c r="N30" s="68">
        <v>0.32</v>
      </c>
      <c r="O30" s="68">
        <v>0.32</v>
      </c>
    </row>
    <row r="31" spans="1:15" ht="15" customHeight="1" x14ac:dyDescent="0.2"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</row>
    <row r="32" spans="1:15" ht="15" customHeight="1" x14ac:dyDescent="0.2">
      <c r="A32" s="15" t="s">
        <v>63</v>
      </c>
    </row>
    <row r="33" spans="1:15" ht="15" customHeight="1" x14ac:dyDescent="0.2">
      <c r="B33" s="16" t="s">
        <v>81</v>
      </c>
      <c r="D33">
        <f t="shared" ref="D33:E33" si="37">D50-D55</f>
        <v>-235.53099999999995</v>
      </c>
      <c r="E33">
        <f t="shared" si="37"/>
        <v>-484.90599999999995</v>
      </c>
      <c r="F33">
        <f>F50-F55</f>
        <v>-413.60773384999993</v>
      </c>
      <c r="G33">
        <f t="shared" ref="G33:O33" si="38">G50-G55</f>
        <v>-438.42419788100051</v>
      </c>
      <c r="H33">
        <f t="shared" si="38"/>
        <v>-464.72964975386003</v>
      </c>
      <c r="I33">
        <f t="shared" si="38"/>
        <v>-492.61342873909189</v>
      </c>
      <c r="J33">
        <f t="shared" si="38"/>
        <v>-522.17023446343728</v>
      </c>
      <c r="K33">
        <f t="shared" si="38"/>
        <v>-548.27874618660917</v>
      </c>
      <c r="L33">
        <f t="shared" si="38"/>
        <v>-575.69268349593995</v>
      </c>
      <c r="M33">
        <f t="shared" si="38"/>
        <v>-601.59885425325729</v>
      </c>
      <c r="N33">
        <f t="shared" si="38"/>
        <v>-625.66280842338756</v>
      </c>
      <c r="O33">
        <f t="shared" si="38"/>
        <v>-650.68932076032297</v>
      </c>
    </row>
    <row r="34" spans="1:15" ht="15" customHeight="1" x14ac:dyDescent="0.2">
      <c r="B34" s="16" t="s">
        <v>82</v>
      </c>
      <c r="D34" s="66">
        <f t="shared" ref="D34:E34" si="39">D33/D16</f>
        <v>-3.2208878607107631E-2</v>
      </c>
      <c r="E34" s="66">
        <f t="shared" si="39"/>
        <v>-6.3367212832400946E-2</v>
      </c>
      <c r="F34" s="66">
        <f t="shared" ref="F34:O34" si="40">F33/F16</f>
        <v>-4.6999999999999993E-2</v>
      </c>
      <c r="G34" s="66">
        <f t="shared" si="40"/>
        <v>-4.7000000000000056E-2</v>
      </c>
      <c r="H34" s="66">
        <f t="shared" si="40"/>
        <v>-4.6999999999999993E-2</v>
      </c>
      <c r="I34" s="66">
        <f t="shared" si="40"/>
        <v>-4.7000000000000014E-2</v>
      </c>
      <c r="J34" s="66">
        <f t="shared" si="40"/>
        <v>-4.7000000000000007E-2</v>
      </c>
      <c r="K34" s="66">
        <f t="shared" si="40"/>
        <v>-4.7000000000000007E-2</v>
      </c>
      <c r="L34" s="66">
        <f t="shared" si="40"/>
        <v>-4.7000000000000028E-2</v>
      </c>
      <c r="M34" s="66">
        <f t="shared" si="40"/>
        <v>-4.7000000000000035E-2</v>
      </c>
      <c r="N34" s="66">
        <f t="shared" si="40"/>
        <v>-4.7000000000000028E-2</v>
      </c>
      <c r="O34" s="66">
        <f t="shared" si="40"/>
        <v>-4.7000000000000021E-2</v>
      </c>
    </row>
    <row r="35" spans="1:15" ht="15" customHeight="1" x14ac:dyDescent="0.2">
      <c r="B35" s="16" t="s">
        <v>83</v>
      </c>
      <c r="D35" s="66">
        <f t="shared" ref="D35:E35" si="41">D51/D16</f>
        <v>0.79956434165580537</v>
      </c>
      <c r="E35" s="66">
        <f t="shared" si="41"/>
        <v>0.83982446100965236</v>
      </c>
      <c r="F35" s="66">
        <f t="shared" ref="F35:O35" si="42">F51/F16</f>
        <v>0.71908351876783949</v>
      </c>
      <c r="G35" s="66">
        <f t="shared" si="42"/>
        <v>0.67838067808286739</v>
      </c>
      <c r="H35" s="66">
        <f t="shared" si="42"/>
        <v>0.63264863521641335</v>
      </c>
      <c r="I35" s="66">
        <f t="shared" si="42"/>
        <v>0.59235266536993392</v>
      </c>
      <c r="J35" s="66">
        <f t="shared" si="42"/>
        <v>0.55684659382596069</v>
      </c>
      <c r="K35" s="66">
        <f t="shared" si="42"/>
        <v>0.53056639869852118</v>
      </c>
      <c r="L35" s="66">
        <f t="shared" si="42"/>
        <v>0.50718953941373213</v>
      </c>
      <c r="M35" s="66">
        <f t="shared" si="42"/>
        <v>0.48872251656691468</v>
      </c>
      <c r="N35" s="66">
        <f t="shared" si="42"/>
        <v>0.47448733699374834</v>
      </c>
      <c r="O35" s="66">
        <f t="shared" si="42"/>
        <v>0.46170305072323164</v>
      </c>
    </row>
    <row r="37" spans="1:15" ht="15" customHeight="1" x14ac:dyDescent="0.2">
      <c r="A37" s="15" t="s">
        <v>64</v>
      </c>
    </row>
    <row r="38" spans="1:15" ht="15" customHeight="1" x14ac:dyDescent="0.2">
      <c r="B38" s="16" t="s">
        <v>73</v>
      </c>
      <c r="F38">
        <f>E41</f>
        <v>6426.6030000000001</v>
      </c>
      <c r="G38">
        <f t="shared" ref="G38:O38" si="43">F41</f>
        <v>6328.0532903500007</v>
      </c>
      <c r="H38">
        <f t="shared" si="43"/>
        <v>6255.5442268379011</v>
      </c>
      <c r="I38">
        <f t="shared" si="43"/>
        <v>6208.529308736659</v>
      </c>
      <c r="J38">
        <f t="shared" si="43"/>
        <v>6186.5684352823037</v>
      </c>
      <c r="K38">
        <f t="shared" si="43"/>
        <v>6189.3251031312711</v>
      </c>
      <c r="L38">
        <f t="shared" si="43"/>
        <v>6212.4533401310864</v>
      </c>
      <c r="M38">
        <f t="shared" si="43"/>
        <v>6255.6362981792381</v>
      </c>
      <c r="N38">
        <f t="shared" si="43"/>
        <v>6316.3634005285685</v>
      </c>
      <c r="O38">
        <f t="shared" si="43"/>
        <v>6392.0264780440084</v>
      </c>
    </row>
    <row r="39" spans="1:15" ht="15" customHeight="1" x14ac:dyDescent="0.2">
      <c r="B39" s="16" t="s">
        <v>74</v>
      </c>
      <c r="F39">
        <f>F28*F16</f>
        <v>325.60608834999999</v>
      </c>
      <c r="G39">
        <f t="shared" ref="G39:O39" si="44">G28*G16</f>
        <v>345.14245365099998</v>
      </c>
      <c r="H39">
        <f t="shared" si="44"/>
        <v>365.85100087006003</v>
      </c>
      <c r="I39">
        <f t="shared" si="44"/>
        <v>387.80206092226365</v>
      </c>
      <c r="J39">
        <f t="shared" si="44"/>
        <v>411.07018457759949</v>
      </c>
      <c r="K39">
        <f t="shared" si="44"/>
        <v>431.62369380647948</v>
      </c>
      <c r="L39">
        <f t="shared" si="44"/>
        <v>453.20487849680347</v>
      </c>
      <c r="M39">
        <f t="shared" si="44"/>
        <v>473.59909802915962</v>
      </c>
      <c r="N39">
        <f t="shared" si="44"/>
        <v>492.54306195032603</v>
      </c>
      <c r="O39">
        <f t="shared" si="44"/>
        <v>512.24478442833913</v>
      </c>
    </row>
    <row r="40" spans="1:15" ht="15" customHeight="1" x14ac:dyDescent="0.2">
      <c r="B40" s="16" t="s">
        <v>76</v>
      </c>
      <c r="F40">
        <f>F29*F38</f>
        <v>424.155798</v>
      </c>
      <c r="G40">
        <f t="shared" ref="G40:O40" si="45">G29*G38</f>
        <v>417.65151716310004</v>
      </c>
      <c r="H40">
        <f t="shared" si="45"/>
        <v>412.86591897130148</v>
      </c>
      <c r="I40">
        <f t="shared" si="45"/>
        <v>409.76293437661951</v>
      </c>
      <c r="J40">
        <f t="shared" si="45"/>
        <v>408.31351672863207</v>
      </c>
      <c r="K40">
        <f t="shared" si="45"/>
        <v>408.49545680666392</v>
      </c>
      <c r="L40">
        <f t="shared" si="45"/>
        <v>410.02192044865171</v>
      </c>
      <c r="M40">
        <f t="shared" si="45"/>
        <v>412.87199567982975</v>
      </c>
      <c r="N40">
        <f t="shared" si="45"/>
        <v>416.87998443488556</v>
      </c>
      <c r="O40">
        <f t="shared" si="45"/>
        <v>421.87374755090457</v>
      </c>
    </row>
    <row r="41" spans="1:15" ht="15" customHeight="1" x14ac:dyDescent="0.2">
      <c r="B41" s="16" t="s">
        <v>77</v>
      </c>
      <c r="E41">
        <f>E51</f>
        <v>6426.6030000000001</v>
      </c>
      <c r="F41">
        <f>F38+F39-F40</f>
        <v>6328.0532903500007</v>
      </c>
      <c r="G41">
        <f t="shared" ref="G41:O41" si="46">G38+G39-G40</f>
        <v>6255.5442268379011</v>
      </c>
      <c r="H41">
        <f t="shared" si="46"/>
        <v>6208.529308736659</v>
      </c>
      <c r="I41">
        <f t="shared" si="46"/>
        <v>6186.5684352823037</v>
      </c>
      <c r="J41">
        <f t="shared" si="46"/>
        <v>6189.3251031312711</v>
      </c>
      <c r="K41">
        <f t="shared" si="46"/>
        <v>6212.4533401310864</v>
      </c>
      <c r="L41">
        <f t="shared" si="46"/>
        <v>6255.6362981792381</v>
      </c>
      <c r="M41">
        <f t="shared" si="46"/>
        <v>6316.3634005285685</v>
      </c>
      <c r="N41">
        <f t="shared" si="46"/>
        <v>6392.0264780440084</v>
      </c>
      <c r="O41">
        <f t="shared" si="46"/>
        <v>6482.397514921443</v>
      </c>
    </row>
    <row r="43" spans="1:15" ht="15" customHeight="1" x14ac:dyDescent="0.2">
      <c r="B43" s="16" t="s">
        <v>78</v>
      </c>
      <c r="F43">
        <f>E46</f>
        <v>4928.7790000000005</v>
      </c>
      <c r="G43">
        <f t="shared" ref="G43:O43" si="47">F46</f>
        <v>5503.2537418240008</v>
      </c>
      <c r="H43">
        <f t="shared" si="47"/>
        <v>6112.196968157441</v>
      </c>
      <c r="I43">
        <f t="shared" si="47"/>
        <v>6757.6767880708876</v>
      </c>
      <c r="J43">
        <f t="shared" si="47"/>
        <v>7441.8853971791405</v>
      </c>
      <c r="K43">
        <f t="shared" si="47"/>
        <v>8167.1465228338884</v>
      </c>
      <c r="L43">
        <f t="shared" si="47"/>
        <v>8928.6707047713735</v>
      </c>
      <c r="M43">
        <f t="shared" si="47"/>
        <v>9728.2710958057341</v>
      </c>
      <c r="N43">
        <f t="shared" si="47"/>
        <v>10563.853504436642</v>
      </c>
      <c r="O43">
        <f t="shared" si="47"/>
        <v>11432.859209412785</v>
      </c>
    </row>
    <row r="44" spans="1:15" ht="15" customHeight="1" x14ac:dyDescent="0.2">
      <c r="B44" s="16" t="s">
        <v>33</v>
      </c>
      <c r="F44">
        <f>F23</f>
        <v>844.81579680000027</v>
      </c>
      <c r="G44">
        <f t="shared" ref="G44:O44" si="48">G23</f>
        <v>895.50474460800001</v>
      </c>
      <c r="H44">
        <f t="shared" si="48"/>
        <v>949.23502928448033</v>
      </c>
      <c r="I44">
        <f t="shared" si="48"/>
        <v>1006.1891310415486</v>
      </c>
      <c r="J44">
        <f t="shared" si="48"/>
        <v>1066.5604789040424</v>
      </c>
      <c r="K44">
        <f t="shared" si="48"/>
        <v>1119.8885028492439</v>
      </c>
      <c r="L44">
        <f t="shared" si="48"/>
        <v>1175.8829279917059</v>
      </c>
      <c r="M44">
        <f t="shared" si="48"/>
        <v>1228.797659751333</v>
      </c>
      <c r="N44">
        <f t="shared" si="48"/>
        <v>1277.9495661413866</v>
      </c>
      <c r="O44">
        <f t="shared" si="48"/>
        <v>1329.0675487870421</v>
      </c>
    </row>
    <row r="45" spans="1:15" ht="15" customHeight="1" x14ac:dyDescent="0.2">
      <c r="B45" s="16" t="s">
        <v>79</v>
      </c>
      <c r="F45">
        <f>F30*F23</f>
        <v>270.34105497600007</v>
      </c>
      <c r="G45">
        <f t="shared" ref="G45:O45" si="49">G30*G23</f>
        <v>286.56151827456</v>
      </c>
      <c r="H45">
        <f t="shared" si="49"/>
        <v>303.75520937103369</v>
      </c>
      <c r="I45">
        <f t="shared" si="49"/>
        <v>321.98052193329556</v>
      </c>
      <c r="J45">
        <f t="shared" si="49"/>
        <v>341.29935324929357</v>
      </c>
      <c r="K45">
        <f t="shared" si="49"/>
        <v>358.36432091175806</v>
      </c>
      <c r="L45">
        <f t="shared" si="49"/>
        <v>376.28253695734588</v>
      </c>
      <c r="M45">
        <f t="shared" si="49"/>
        <v>393.21525112042656</v>
      </c>
      <c r="N45">
        <f t="shared" si="49"/>
        <v>408.94386116524373</v>
      </c>
      <c r="O45">
        <f t="shared" si="49"/>
        <v>425.30161561185349</v>
      </c>
    </row>
    <row r="46" spans="1:15" ht="15" customHeight="1" x14ac:dyDescent="0.2">
      <c r="B46" s="16" t="s">
        <v>80</v>
      </c>
      <c r="E46">
        <f>E59</f>
        <v>4928.7790000000005</v>
      </c>
      <c r="F46">
        <f>F43+F44-F45</f>
        <v>5503.2537418240008</v>
      </c>
      <c r="G46">
        <f t="shared" ref="G46:O46" si="50">G43+G44-G45</f>
        <v>6112.196968157441</v>
      </c>
      <c r="H46">
        <f t="shared" si="50"/>
        <v>6757.6767880708876</v>
      </c>
      <c r="I46">
        <f t="shared" si="50"/>
        <v>7441.8853971791405</v>
      </c>
      <c r="J46">
        <f t="shared" si="50"/>
        <v>8167.1465228338884</v>
      </c>
      <c r="K46">
        <f t="shared" si="50"/>
        <v>8928.6707047713735</v>
      </c>
      <c r="L46">
        <f t="shared" si="50"/>
        <v>9728.2710958057341</v>
      </c>
      <c r="M46">
        <f t="shared" si="50"/>
        <v>10563.853504436642</v>
      </c>
      <c r="N46">
        <f t="shared" si="50"/>
        <v>11432.859209412785</v>
      </c>
      <c r="O46">
        <f t="shared" si="50"/>
        <v>12336.625142587975</v>
      </c>
    </row>
    <row r="48" spans="1:15" ht="15" customHeight="1" x14ac:dyDescent="0.2">
      <c r="A48" s="15" t="s">
        <v>34</v>
      </c>
    </row>
    <row r="49" spans="1:17" ht="15" customHeight="1" x14ac:dyDescent="0.2">
      <c r="B49" s="16" t="s">
        <v>35</v>
      </c>
      <c r="D49" s="65">
        <v>617.995</v>
      </c>
      <c r="E49" s="65">
        <v>1453.587</v>
      </c>
      <c r="F49">
        <f>F122</f>
        <v>1248.5021853240003</v>
      </c>
      <c r="G49">
        <f t="shared" ref="G49:O49" si="51">G122</f>
        <v>1932.928939200541</v>
      </c>
      <c r="H49">
        <f t="shared" si="51"/>
        <v>2560.5401290880882</v>
      </c>
      <c r="I49">
        <f t="shared" si="51"/>
        <v>3189.1653906359288</v>
      </c>
      <c r="J49">
        <f t="shared" si="51"/>
        <v>3397.8098017070388</v>
      </c>
      <c r="K49">
        <f t="shared" si="51"/>
        <v>4067.8069796793561</v>
      </c>
      <c r="L49">
        <f t="shared" si="51"/>
        <v>4520.8628745650585</v>
      </c>
      <c r="M49">
        <f t="shared" si="51"/>
        <v>5321.6243516039522</v>
      </c>
      <c r="N49">
        <f t="shared" si="51"/>
        <v>6139.0309332347842</v>
      </c>
      <c r="O49">
        <f t="shared" si="51"/>
        <v>6504.9159484268512</v>
      </c>
    </row>
    <row r="50" spans="1:17" ht="15" customHeight="1" x14ac:dyDescent="0.2">
      <c r="B50" s="16" t="s">
        <v>36</v>
      </c>
      <c r="D50" s="65">
        <f>680.296+698.95+238.761</f>
        <v>1618.0070000000001</v>
      </c>
      <c r="E50" s="65">
        <f>754.306+728.404+231.397</f>
        <v>1714.107</v>
      </c>
      <c r="F50">
        <f>F26*F16</f>
        <v>1962.4366946499999</v>
      </c>
      <c r="G50">
        <f t="shared" ref="G50:O50" si="52">G26*G16</f>
        <v>2080.182896329</v>
      </c>
      <c r="H50">
        <f t="shared" si="52"/>
        <v>2204.9938701087403</v>
      </c>
      <c r="I50">
        <f t="shared" si="52"/>
        <v>2337.293502315265</v>
      </c>
      <c r="J50">
        <f t="shared" si="52"/>
        <v>2477.5311124541809</v>
      </c>
      <c r="K50">
        <f t="shared" si="52"/>
        <v>2601.4076680768903</v>
      </c>
      <c r="L50">
        <f t="shared" si="52"/>
        <v>2731.4780514807344</v>
      </c>
      <c r="M50">
        <f t="shared" si="52"/>
        <v>2854.3945637973675</v>
      </c>
      <c r="N50">
        <f t="shared" si="52"/>
        <v>2968.5703463492623</v>
      </c>
      <c r="O50">
        <f t="shared" si="52"/>
        <v>3087.3131602032331</v>
      </c>
    </row>
    <row r="51" spans="1:17" ht="15" customHeight="1" x14ac:dyDescent="0.2">
      <c r="B51" s="16" t="s">
        <v>37</v>
      </c>
      <c r="D51" s="65">
        <v>5846.9030000000002</v>
      </c>
      <c r="E51" s="65">
        <v>6426.6030000000001</v>
      </c>
      <c r="F51">
        <f>F41</f>
        <v>6328.0532903500007</v>
      </c>
      <c r="G51">
        <f>G38</f>
        <v>6328.0532903500007</v>
      </c>
      <c r="H51">
        <f t="shared" ref="H51:O51" si="53">H38</f>
        <v>6255.5442268379011</v>
      </c>
      <c r="I51">
        <f t="shared" si="53"/>
        <v>6208.529308736659</v>
      </c>
      <c r="J51">
        <f t="shared" si="53"/>
        <v>6186.5684352823037</v>
      </c>
      <c r="K51">
        <f t="shared" si="53"/>
        <v>6189.3251031312711</v>
      </c>
      <c r="L51">
        <f t="shared" si="53"/>
        <v>6212.4533401310864</v>
      </c>
      <c r="M51">
        <f t="shared" si="53"/>
        <v>6255.6362981792381</v>
      </c>
      <c r="N51">
        <f t="shared" si="53"/>
        <v>6316.3634005285685</v>
      </c>
      <c r="O51">
        <f t="shared" si="53"/>
        <v>6392.0264780440084</v>
      </c>
    </row>
    <row r="52" spans="1:17" ht="15" customHeight="1" x14ac:dyDescent="0.2">
      <c r="B52" s="16" t="s">
        <v>38</v>
      </c>
      <c r="D52">
        <f>SUM(D49:D51)</f>
        <v>8082.9050000000007</v>
      </c>
      <c r="E52">
        <f>SUM(E49:E51)</f>
        <v>9594.2970000000005</v>
      </c>
      <c r="F52">
        <f t="shared" ref="F52:O52" si="54">SUM(F49:F51)</f>
        <v>9538.9921703239997</v>
      </c>
      <c r="G52">
        <f t="shared" si="54"/>
        <v>10341.165125879543</v>
      </c>
      <c r="H52">
        <f t="shared" si="54"/>
        <v>11021.07822603473</v>
      </c>
      <c r="I52">
        <f t="shared" si="54"/>
        <v>11734.988201687853</v>
      </c>
      <c r="J52">
        <f t="shared" si="54"/>
        <v>12061.909349443522</v>
      </c>
      <c r="K52">
        <f t="shared" si="54"/>
        <v>12858.539750887518</v>
      </c>
      <c r="L52">
        <f t="shared" si="54"/>
        <v>13464.794266176879</v>
      </c>
      <c r="M52">
        <f t="shared" si="54"/>
        <v>14431.655213580558</v>
      </c>
      <c r="N52">
        <f t="shared" si="54"/>
        <v>15423.964680112615</v>
      </c>
      <c r="O52">
        <f t="shared" si="54"/>
        <v>15984.255586674093</v>
      </c>
    </row>
    <row r="54" spans="1:17" ht="15" customHeight="1" x14ac:dyDescent="0.2">
      <c r="B54" s="16" t="s">
        <v>60</v>
      </c>
      <c r="D54" s="65">
        <v>44.920999999999999</v>
      </c>
      <c r="E54" s="65">
        <v>151.303</v>
      </c>
      <c r="F54">
        <f>F85</f>
        <v>0</v>
      </c>
      <c r="G54">
        <f t="shared" ref="G54:O54" si="55">G85</f>
        <v>0</v>
      </c>
      <c r="H54">
        <f t="shared" si="55"/>
        <v>0</v>
      </c>
      <c r="I54">
        <f t="shared" si="55"/>
        <v>0</v>
      </c>
      <c r="J54">
        <f t="shared" si="55"/>
        <v>0</v>
      </c>
      <c r="K54">
        <f t="shared" si="55"/>
        <v>0</v>
      </c>
      <c r="L54">
        <f t="shared" si="55"/>
        <v>0</v>
      </c>
      <c r="M54">
        <f t="shared" si="55"/>
        <v>0</v>
      </c>
      <c r="N54">
        <f t="shared" si="55"/>
        <v>0</v>
      </c>
      <c r="O54">
        <f t="shared" si="55"/>
        <v>0</v>
      </c>
    </row>
    <row r="55" spans="1:17" ht="15" customHeight="1" x14ac:dyDescent="0.2">
      <c r="B55" s="16" t="s">
        <v>39</v>
      </c>
      <c r="D55" s="65">
        <f>681.151+9.477+123.688+523.05+76.399+268.078+97.544+74.151</f>
        <v>1853.538</v>
      </c>
      <c r="E55" s="65">
        <f>744.272+42.603+187.719+636.055+138.475+266.896+99.223+83.77</f>
        <v>2199.0129999999999</v>
      </c>
      <c r="F55">
        <f>F27*F16</f>
        <v>2376.0444284999999</v>
      </c>
      <c r="G55">
        <f t="shared" ref="G55:O55" si="56">G27*G16</f>
        <v>2518.6070942100005</v>
      </c>
      <c r="H55">
        <f t="shared" si="56"/>
        <v>2669.7235198626004</v>
      </c>
      <c r="I55">
        <f t="shared" si="56"/>
        <v>2829.9069310543568</v>
      </c>
      <c r="J55">
        <f t="shared" si="56"/>
        <v>2999.7013469176181</v>
      </c>
      <c r="K55">
        <f t="shared" si="56"/>
        <v>3149.6864142634995</v>
      </c>
      <c r="L55">
        <f t="shared" si="56"/>
        <v>3307.1707349766743</v>
      </c>
      <c r="M55">
        <f t="shared" si="56"/>
        <v>3455.9934180506248</v>
      </c>
      <c r="N55">
        <f t="shared" si="56"/>
        <v>3594.2331547726499</v>
      </c>
      <c r="O55">
        <f t="shared" si="56"/>
        <v>3738.0024809635561</v>
      </c>
    </row>
    <row r="56" spans="1:17" ht="15" customHeight="1" x14ac:dyDescent="0.2">
      <c r="B56" s="16" t="s">
        <v>61</v>
      </c>
      <c r="D56" s="65">
        <f>318.1+1716.41</f>
        <v>2034.5100000000002</v>
      </c>
      <c r="E56" s="65">
        <f>626.788+1688.415</f>
        <v>2315.203</v>
      </c>
      <c r="F56">
        <f>F91</f>
        <v>1659.6949999999999</v>
      </c>
      <c r="G56">
        <f t="shared" ref="G56:O56" si="57">G91</f>
        <v>1637.8529999999998</v>
      </c>
      <c r="H56">
        <f t="shared" si="57"/>
        <v>1546.6639999999998</v>
      </c>
      <c r="I56">
        <f t="shared" si="57"/>
        <v>1441.2359999999999</v>
      </c>
      <c r="J56">
        <f t="shared" si="57"/>
        <v>897.81914754098341</v>
      </c>
      <c r="K56">
        <f t="shared" si="57"/>
        <v>803.31186885245882</v>
      </c>
      <c r="L56">
        <f t="shared" si="57"/>
        <v>472.53639344262274</v>
      </c>
      <c r="M56">
        <f t="shared" si="57"/>
        <v>472.53639344262274</v>
      </c>
      <c r="N56">
        <f t="shared" si="57"/>
        <v>472.53639344262274</v>
      </c>
      <c r="O56">
        <f t="shared" si="57"/>
        <v>0</v>
      </c>
    </row>
    <row r="57" spans="1:17" ht="15" customHeight="1" x14ac:dyDescent="0.2">
      <c r="B57" s="16" t="s">
        <v>40</v>
      </c>
      <c r="D57">
        <f>SUM(D54:D56)</f>
        <v>3932.9690000000001</v>
      </c>
      <c r="E57">
        <f>SUM(E54:E56)</f>
        <v>4665.5190000000002</v>
      </c>
      <c r="F57">
        <f>SUM(F54:F56)</f>
        <v>4035.7394285</v>
      </c>
      <c r="G57">
        <f t="shared" ref="G57:O57" si="58">SUM(G54:G56)</f>
        <v>4156.4600942100005</v>
      </c>
      <c r="H57">
        <f t="shared" si="58"/>
        <v>4216.3875198626001</v>
      </c>
      <c r="I57">
        <f t="shared" si="58"/>
        <v>4271.1429310543572</v>
      </c>
      <c r="J57">
        <f t="shared" si="58"/>
        <v>3897.5204944586017</v>
      </c>
      <c r="K57">
        <f t="shared" si="58"/>
        <v>3952.9982831159582</v>
      </c>
      <c r="L57">
        <f t="shared" si="58"/>
        <v>3779.7071284192971</v>
      </c>
      <c r="M57">
        <f t="shared" si="58"/>
        <v>3928.5298114932475</v>
      </c>
      <c r="N57">
        <f t="shared" si="58"/>
        <v>4066.7695482152726</v>
      </c>
      <c r="O57">
        <f t="shared" si="58"/>
        <v>3738.0024809635561</v>
      </c>
    </row>
    <row r="59" spans="1:17" ht="15" customHeight="1" x14ac:dyDescent="0.2">
      <c r="B59" s="16" t="s">
        <v>41</v>
      </c>
      <c r="D59" s="65">
        <v>4149.9359999999997</v>
      </c>
      <c r="E59" s="65">
        <v>4928.7790000000005</v>
      </c>
      <c r="F59">
        <f>F46</f>
        <v>5503.2537418240008</v>
      </c>
      <c r="G59">
        <f t="shared" ref="G59:O59" si="59">G46</f>
        <v>6112.196968157441</v>
      </c>
      <c r="H59">
        <f t="shared" si="59"/>
        <v>6757.6767880708876</v>
      </c>
      <c r="I59">
        <f t="shared" si="59"/>
        <v>7441.8853971791405</v>
      </c>
      <c r="J59">
        <f t="shared" si="59"/>
        <v>8167.1465228338884</v>
      </c>
      <c r="K59">
        <f t="shared" si="59"/>
        <v>8928.6707047713735</v>
      </c>
      <c r="L59">
        <f t="shared" si="59"/>
        <v>9728.2710958057341</v>
      </c>
      <c r="M59">
        <f t="shared" si="59"/>
        <v>10563.853504436642</v>
      </c>
      <c r="N59">
        <f t="shared" si="59"/>
        <v>11432.859209412785</v>
      </c>
      <c r="O59">
        <f t="shared" si="59"/>
        <v>12336.625142587975</v>
      </c>
    </row>
    <row r="60" spans="1:17" ht="15" customHeight="1" x14ac:dyDescent="0.2">
      <c r="B60" s="16" t="s">
        <v>42</v>
      </c>
      <c r="D60">
        <f>D57+D59</f>
        <v>8082.9049999999997</v>
      </c>
      <c r="E60">
        <f>E57+E59</f>
        <v>9594.2980000000007</v>
      </c>
      <c r="F60">
        <f>F57+F59</f>
        <v>9538.9931703239999</v>
      </c>
      <c r="G60">
        <f t="shared" ref="G60:J60" si="60">G57+G59</f>
        <v>10268.657062367442</v>
      </c>
      <c r="H60">
        <f t="shared" si="60"/>
        <v>10974.064307933488</v>
      </c>
      <c r="I60">
        <f t="shared" si="60"/>
        <v>11713.028328233497</v>
      </c>
      <c r="J60">
        <f t="shared" si="60"/>
        <v>12064.66701729249</v>
      </c>
      <c r="K60">
        <f t="shared" ref="K60:O60" si="61">K57+K59</f>
        <v>12881.668987887331</v>
      </c>
      <c r="L60">
        <f t="shared" si="61"/>
        <v>13507.978224225031</v>
      </c>
      <c r="M60">
        <f t="shared" si="61"/>
        <v>14492.383315929888</v>
      </c>
      <c r="N60">
        <f t="shared" si="61"/>
        <v>15499.628757628057</v>
      </c>
      <c r="O60">
        <f t="shared" si="61"/>
        <v>16074.627623551531</v>
      </c>
    </row>
    <row r="62" spans="1:17" ht="15" customHeight="1" x14ac:dyDescent="0.2">
      <c r="B62" s="16" t="s">
        <v>43</v>
      </c>
      <c r="D62">
        <f>D60-D52</f>
        <v>0</v>
      </c>
      <c r="E62">
        <f t="shared" ref="E62:F62" si="62">E60-E52</f>
        <v>1.0000000002037268E-3</v>
      </c>
      <c r="F62">
        <f t="shared" si="62"/>
        <v>1.0000000002037268E-3</v>
      </c>
      <c r="G62">
        <f t="shared" ref="G62:J62" si="63">G60-G52</f>
        <v>-72.508063512101216</v>
      </c>
      <c r="H62">
        <f t="shared" si="63"/>
        <v>-47.01391810124187</v>
      </c>
      <c r="I62">
        <f t="shared" si="63"/>
        <v>-21.959873454356057</v>
      </c>
      <c r="J62">
        <f t="shared" si="63"/>
        <v>2.7576678489676851</v>
      </c>
      <c r="K62">
        <f t="shared" ref="K62:O62" si="64">K60-K52</f>
        <v>23.129236999813656</v>
      </c>
      <c r="L62">
        <f t="shared" si="64"/>
        <v>43.183958048151908</v>
      </c>
      <c r="M62">
        <f t="shared" si="64"/>
        <v>60.728102349330584</v>
      </c>
      <c r="N62">
        <f t="shared" si="64"/>
        <v>75.664077515442841</v>
      </c>
      <c r="O62">
        <f t="shared" si="64"/>
        <v>90.372036877437495</v>
      </c>
      <c r="Q62" t="s">
        <v>113</v>
      </c>
    </row>
    <row r="64" spans="1:17" ht="15" customHeight="1" x14ac:dyDescent="0.2">
      <c r="A64" s="15" t="s">
        <v>62</v>
      </c>
    </row>
    <row r="65" spans="1:15" ht="15" customHeight="1" x14ac:dyDescent="0.2">
      <c r="B65" s="16" t="s">
        <v>71</v>
      </c>
      <c r="D65" s="66"/>
      <c r="E65" s="66"/>
      <c r="F65" s="69">
        <f>-(626.788+28.72)</f>
        <v>-655.50800000000004</v>
      </c>
      <c r="G65" s="69">
        <v>-21.841999999999999</v>
      </c>
      <c r="H65" s="69">
        <v>-91.188999999999993</v>
      </c>
      <c r="I65" s="69">
        <v>-105.428</v>
      </c>
      <c r="J65" s="69">
        <f>-1441.236*(75+500)/1525</f>
        <v>-543.41685245901647</v>
      </c>
      <c r="K65" s="69">
        <f>-1441.236*(50+50)/1525</f>
        <v>-94.507278688524593</v>
      </c>
      <c r="L65" s="69">
        <f>-1441.236*350/1525</f>
        <v>-330.77547540983608</v>
      </c>
      <c r="M65" s="69">
        <v>0</v>
      </c>
      <c r="N65" s="69">
        <v>0</v>
      </c>
      <c r="O65" s="69">
        <f>-1441.236*500/1525</f>
        <v>-472.53639344262297</v>
      </c>
    </row>
    <row r="66" spans="1:15" ht="15" customHeight="1" x14ac:dyDescent="0.2">
      <c r="B66" s="16" t="s">
        <v>86</v>
      </c>
      <c r="F66" s="68">
        <v>0.02</v>
      </c>
      <c r="G66" s="68">
        <v>0.02</v>
      </c>
      <c r="H66" s="68">
        <v>0.02</v>
      </c>
      <c r="I66" s="68">
        <v>0.02</v>
      </c>
      <c r="J66" s="68">
        <v>0.02</v>
      </c>
      <c r="K66" s="68">
        <v>0.02</v>
      </c>
      <c r="L66" s="68">
        <v>0.02</v>
      </c>
      <c r="M66" s="68">
        <v>0.02</v>
      </c>
      <c r="N66" s="68">
        <v>0.02</v>
      </c>
      <c r="O66" s="68">
        <v>0.02</v>
      </c>
    </row>
    <row r="67" spans="1:15" ht="15" customHeight="1" x14ac:dyDescent="0.2">
      <c r="B67" s="16" t="s">
        <v>87</v>
      </c>
      <c r="F67" s="68">
        <v>0.04</v>
      </c>
      <c r="G67" s="68">
        <v>0.04</v>
      </c>
      <c r="H67" s="68">
        <v>0.04</v>
      </c>
      <c r="I67" s="68">
        <v>0.04</v>
      </c>
      <c r="J67" s="68">
        <v>0.04</v>
      </c>
      <c r="K67" s="68">
        <v>0.04</v>
      </c>
      <c r="L67" s="68">
        <v>0.04</v>
      </c>
      <c r="M67" s="68">
        <v>0.04</v>
      </c>
      <c r="N67" s="68">
        <v>0.04</v>
      </c>
      <c r="O67" s="68">
        <v>0.04</v>
      </c>
    </row>
    <row r="68" spans="1:15" ht="15" customHeight="1" x14ac:dyDescent="0.2">
      <c r="B68" s="16" t="s">
        <v>85</v>
      </c>
      <c r="F68" s="68">
        <v>5.0000000000000001E-3</v>
      </c>
      <c r="G68" s="68">
        <v>5.0000000000000001E-3</v>
      </c>
      <c r="H68" s="68">
        <v>5.0000000000000001E-3</v>
      </c>
      <c r="I68" s="68">
        <v>5.0000000000000001E-3</v>
      </c>
      <c r="J68" s="68">
        <v>5.0000000000000001E-3</v>
      </c>
      <c r="K68" s="68">
        <v>5.0000000000000001E-3</v>
      </c>
      <c r="L68" s="68">
        <v>5.0000000000000001E-3</v>
      </c>
      <c r="M68" s="68">
        <v>5.0000000000000001E-3</v>
      </c>
      <c r="N68" s="68">
        <v>5.0000000000000001E-3</v>
      </c>
      <c r="O68" s="68">
        <v>5.0000000000000001E-3</v>
      </c>
    </row>
    <row r="70" spans="1:15" ht="15" customHeight="1" x14ac:dyDescent="0.2">
      <c r="A70" s="15" t="s">
        <v>66</v>
      </c>
    </row>
    <row r="71" spans="1:15" ht="15" customHeight="1" x14ac:dyDescent="0.2">
      <c r="B71" s="16" t="s">
        <v>33</v>
      </c>
      <c r="F71">
        <f>F44</f>
        <v>844.81579680000027</v>
      </c>
      <c r="G71">
        <f t="shared" ref="G71:O71" si="65">G44</f>
        <v>895.50474460800001</v>
      </c>
      <c r="H71">
        <f t="shared" si="65"/>
        <v>949.23502928448033</v>
      </c>
      <c r="I71">
        <f t="shared" si="65"/>
        <v>1006.1891310415486</v>
      </c>
      <c r="J71">
        <f t="shared" si="65"/>
        <v>1066.5604789040424</v>
      </c>
      <c r="K71">
        <f t="shared" si="65"/>
        <v>1119.8885028492439</v>
      </c>
      <c r="L71">
        <f t="shared" si="65"/>
        <v>1175.8829279917059</v>
      </c>
      <c r="M71">
        <f t="shared" si="65"/>
        <v>1228.797659751333</v>
      </c>
      <c r="N71">
        <f t="shared" si="65"/>
        <v>1277.9495661413866</v>
      </c>
      <c r="O71">
        <f t="shared" si="65"/>
        <v>1329.0675487870421</v>
      </c>
    </row>
    <row r="72" spans="1:15" ht="15" customHeight="1" x14ac:dyDescent="0.2">
      <c r="B72" s="16" t="s">
        <v>76</v>
      </c>
      <c r="F72">
        <f>F40</f>
        <v>424.155798</v>
      </c>
      <c r="G72">
        <f t="shared" ref="G72:O72" si="66">G40</f>
        <v>417.65151716310004</v>
      </c>
      <c r="H72">
        <f t="shared" si="66"/>
        <v>412.86591897130148</v>
      </c>
      <c r="I72">
        <f t="shared" si="66"/>
        <v>409.76293437661951</v>
      </c>
      <c r="J72">
        <f t="shared" si="66"/>
        <v>408.31351672863207</v>
      </c>
      <c r="K72">
        <f t="shared" si="66"/>
        <v>408.49545680666392</v>
      </c>
      <c r="L72">
        <f t="shared" si="66"/>
        <v>410.02192044865171</v>
      </c>
      <c r="M72">
        <f t="shared" si="66"/>
        <v>412.87199567982975</v>
      </c>
      <c r="N72">
        <f t="shared" si="66"/>
        <v>416.87998443488556</v>
      </c>
      <c r="O72">
        <f t="shared" si="66"/>
        <v>421.87374755090457</v>
      </c>
    </row>
    <row r="73" spans="1:15" ht="15" customHeight="1" x14ac:dyDescent="0.2">
      <c r="B73" s="16" t="s">
        <v>90</v>
      </c>
      <c r="F73">
        <f>E33-F33</f>
        <v>-71.298266150000018</v>
      </c>
      <c r="G73">
        <f t="shared" ref="G73:O73" si="67">F33-G33</f>
        <v>24.816464031000578</v>
      </c>
      <c r="H73">
        <f t="shared" si="67"/>
        <v>26.305451872859521</v>
      </c>
      <c r="I73">
        <f t="shared" si="67"/>
        <v>27.883778985231856</v>
      </c>
      <c r="J73">
        <f t="shared" si="67"/>
        <v>29.556805724345395</v>
      </c>
      <c r="K73">
        <f t="shared" si="67"/>
        <v>26.108511723171887</v>
      </c>
      <c r="L73">
        <f t="shared" si="67"/>
        <v>27.413937309330777</v>
      </c>
      <c r="M73">
        <f t="shared" si="67"/>
        <v>25.906170757317341</v>
      </c>
      <c r="N73">
        <f t="shared" si="67"/>
        <v>24.063954170130273</v>
      </c>
      <c r="O73">
        <f t="shared" si="67"/>
        <v>25.026512336935411</v>
      </c>
    </row>
    <row r="74" spans="1:15" ht="15" customHeight="1" x14ac:dyDescent="0.2">
      <c r="B74" s="16" t="s">
        <v>74</v>
      </c>
      <c r="F74">
        <f>F39*-1</f>
        <v>-325.60608834999999</v>
      </c>
      <c r="G74">
        <f t="shared" ref="G74:O74" si="68">G39*-1</f>
        <v>-345.14245365099998</v>
      </c>
      <c r="H74">
        <f t="shared" si="68"/>
        <v>-365.85100087006003</v>
      </c>
      <c r="I74">
        <f t="shared" si="68"/>
        <v>-387.80206092226365</v>
      </c>
      <c r="J74">
        <f t="shared" si="68"/>
        <v>-411.07018457759949</v>
      </c>
      <c r="K74">
        <f t="shared" si="68"/>
        <v>-431.62369380647948</v>
      </c>
      <c r="L74">
        <f t="shared" si="68"/>
        <v>-453.20487849680347</v>
      </c>
      <c r="M74">
        <f t="shared" si="68"/>
        <v>-473.59909802915962</v>
      </c>
      <c r="N74">
        <f t="shared" si="68"/>
        <v>-492.54306195032603</v>
      </c>
      <c r="O74">
        <f t="shared" si="68"/>
        <v>-512.24478442833913</v>
      </c>
    </row>
    <row r="75" spans="1:15" ht="15" customHeight="1" x14ac:dyDescent="0.2">
      <c r="B75" s="16" t="s">
        <v>79</v>
      </c>
      <c r="F75">
        <f>F45*-1</f>
        <v>-270.34105497600007</v>
      </c>
      <c r="G75">
        <f t="shared" ref="G75:O75" si="69">G45*-1</f>
        <v>-286.56151827456</v>
      </c>
      <c r="H75">
        <f t="shared" si="69"/>
        <v>-303.75520937103369</v>
      </c>
      <c r="I75">
        <f t="shared" si="69"/>
        <v>-321.98052193329556</v>
      </c>
      <c r="J75">
        <f t="shared" si="69"/>
        <v>-341.29935324929357</v>
      </c>
      <c r="K75">
        <f t="shared" si="69"/>
        <v>-358.36432091175806</v>
      </c>
      <c r="L75">
        <f t="shared" si="69"/>
        <v>-376.28253695734588</v>
      </c>
      <c r="M75">
        <f t="shared" si="69"/>
        <v>-393.21525112042656</v>
      </c>
      <c r="N75">
        <f t="shared" si="69"/>
        <v>-408.94386116524373</v>
      </c>
      <c r="O75">
        <f t="shared" si="69"/>
        <v>-425.30161561185349</v>
      </c>
    </row>
    <row r="76" spans="1:15" ht="15" customHeight="1" x14ac:dyDescent="0.2">
      <c r="B76" s="16" t="s">
        <v>89</v>
      </c>
      <c r="F76">
        <f>SUM(F71:F75)</f>
        <v>601.7261853240002</v>
      </c>
      <c r="G76">
        <f t="shared" ref="G76:O76" si="70">SUM(G71:G75)</f>
        <v>706.26875387654081</v>
      </c>
      <c r="H76">
        <f t="shared" si="70"/>
        <v>718.8001898875475</v>
      </c>
      <c r="I76">
        <f t="shared" si="70"/>
        <v>734.05326154784063</v>
      </c>
      <c r="J76">
        <f t="shared" si="70"/>
        <v>752.06126353012678</v>
      </c>
      <c r="K76">
        <f t="shared" si="70"/>
        <v>764.50445666084215</v>
      </c>
      <c r="L76">
        <f t="shared" si="70"/>
        <v>783.83137029553882</v>
      </c>
      <c r="M76">
        <f t="shared" si="70"/>
        <v>800.76147703889387</v>
      </c>
      <c r="N76">
        <f t="shared" si="70"/>
        <v>817.40658163083253</v>
      </c>
      <c r="O76">
        <f t="shared" si="70"/>
        <v>838.42140863468944</v>
      </c>
    </row>
    <row r="77" spans="1:15" ht="15" customHeight="1" x14ac:dyDescent="0.2">
      <c r="B77" s="16" t="s">
        <v>47</v>
      </c>
      <c r="F77">
        <f>E49</f>
        <v>1453.587</v>
      </c>
      <c r="G77">
        <f t="shared" ref="G77:O77" si="71">F49</f>
        <v>1248.5021853240003</v>
      </c>
      <c r="H77">
        <f t="shared" si="71"/>
        <v>1932.928939200541</v>
      </c>
      <c r="I77">
        <f t="shared" si="71"/>
        <v>2560.5401290880882</v>
      </c>
      <c r="J77">
        <f t="shared" si="71"/>
        <v>3189.1653906359288</v>
      </c>
      <c r="K77">
        <f t="shared" si="71"/>
        <v>3397.8098017070388</v>
      </c>
      <c r="L77">
        <f t="shared" si="71"/>
        <v>4067.8069796793561</v>
      </c>
      <c r="M77">
        <f t="shared" si="71"/>
        <v>4520.8628745650585</v>
      </c>
      <c r="N77">
        <f t="shared" si="71"/>
        <v>5321.6243516039522</v>
      </c>
      <c r="O77">
        <f t="shared" si="71"/>
        <v>6139.0309332347842</v>
      </c>
    </row>
    <row r="78" spans="1:15" ht="15" customHeight="1" x14ac:dyDescent="0.2">
      <c r="B78" s="16" t="s">
        <v>88</v>
      </c>
      <c r="F78">
        <f>SUM(F76:F77)</f>
        <v>2055.3131853240002</v>
      </c>
      <c r="G78">
        <f t="shared" ref="G78:O78" si="72">SUM(G76:G77)</f>
        <v>1954.7709392005411</v>
      </c>
      <c r="H78">
        <f t="shared" si="72"/>
        <v>2651.7291290880885</v>
      </c>
      <c r="I78">
        <f t="shared" si="72"/>
        <v>3294.5933906359287</v>
      </c>
      <c r="J78">
        <f t="shared" si="72"/>
        <v>3941.2266541660556</v>
      </c>
      <c r="K78">
        <f t="shared" si="72"/>
        <v>4162.3142583678809</v>
      </c>
      <c r="L78">
        <f t="shared" si="72"/>
        <v>4851.6383499748954</v>
      </c>
      <c r="M78">
        <f t="shared" si="72"/>
        <v>5321.6243516039522</v>
      </c>
      <c r="N78">
        <f t="shared" si="72"/>
        <v>6139.0309332347842</v>
      </c>
      <c r="O78">
        <f t="shared" si="72"/>
        <v>6977.4523418694735</v>
      </c>
    </row>
    <row r="80" spans="1:15" ht="15" customHeight="1" x14ac:dyDescent="0.2">
      <c r="B80" s="16" t="str">
        <f>B65</f>
        <v>Long term debt issuance / (repayment)</v>
      </c>
      <c r="F80">
        <f>F65</f>
        <v>-655.50800000000004</v>
      </c>
      <c r="G80">
        <f t="shared" ref="G80:O80" si="73">G65</f>
        <v>-21.841999999999999</v>
      </c>
      <c r="H80">
        <f t="shared" si="73"/>
        <v>-91.188999999999993</v>
      </c>
      <c r="I80">
        <f t="shared" si="73"/>
        <v>-105.428</v>
      </c>
      <c r="J80">
        <f t="shared" si="73"/>
        <v>-543.41685245901647</v>
      </c>
      <c r="K80">
        <f t="shared" si="73"/>
        <v>-94.507278688524593</v>
      </c>
      <c r="L80">
        <f t="shared" si="73"/>
        <v>-330.77547540983608</v>
      </c>
      <c r="M80">
        <f t="shared" si="73"/>
        <v>0</v>
      </c>
      <c r="N80">
        <f t="shared" si="73"/>
        <v>0</v>
      </c>
      <c r="O80">
        <f t="shared" si="73"/>
        <v>-472.53639344262297</v>
      </c>
    </row>
    <row r="81" spans="2:15" ht="15" customHeight="1" x14ac:dyDescent="0.2">
      <c r="B81" s="16" t="s">
        <v>91</v>
      </c>
      <c r="F81">
        <f>SUM(F78,F80)</f>
        <v>1399.8051853240001</v>
      </c>
      <c r="G81">
        <f t="shared" ref="G81:O81" si="74">SUM(G78,G80)</f>
        <v>1932.928939200541</v>
      </c>
      <c r="H81">
        <f t="shared" si="74"/>
        <v>2560.5401290880886</v>
      </c>
      <c r="I81">
        <f t="shared" si="74"/>
        <v>3189.1653906359288</v>
      </c>
      <c r="J81">
        <f t="shared" si="74"/>
        <v>3397.8098017070392</v>
      </c>
      <c r="K81">
        <f t="shared" si="74"/>
        <v>4067.8069796793561</v>
      </c>
      <c r="L81">
        <f t="shared" si="74"/>
        <v>4520.8628745650594</v>
      </c>
      <c r="M81">
        <f t="shared" si="74"/>
        <v>5321.6243516039522</v>
      </c>
      <c r="N81">
        <f t="shared" si="74"/>
        <v>6139.0309332347842</v>
      </c>
      <c r="O81">
        <f t="shared" si="74"/>
        <v>6504.9159484268503</v>
      </c>
    </row>
    <row r="83" spans="2:15" ht="15" customHeight="1" x14ac:dyDescent="0.2">
      <c r="B83" s="16" t="s">
        <v>92</v>
      </c>
      <c r="F83">
        <f>E85</f>
        <v>151.303</v>
      </c>
      <c r="G83">
        <f t="shared" ref="G83:O83" si="75">F85</f>
        <v>0</v>
      </c>
      <c r="H83">
        <f t="shared" si="75"/>
        <v>0</v>
      </c>
      <c r="I83">
        <f t="shared" si="75"/>
        <v>0</v>
      </c>
      <c r="J83">
        <f t="shared" si="75"/>
        <v>0</v>
      </c>
      <c r="K83">
        <f t="shared" si="75"/>
        <v>0</v>
      </c>
      <c r="L83">
        <f t="shared" si="75"/>
        <v>0</v>
      </c>
      <c r="M83">
        <f t="shared" si="75"/>
        <v>0</v>
      </c>
      <c r="N83">
        <f t="shared" si="75"/>
        <v>0</v>
      </c>
      <c r="O83">
        <f t="shared" si="75"/>
        <v>0</v>
      </c>
    </row>
    <row r="84" spans="2:15" ht="15" customHeight="1" x14ac:dyDescent="0.2">
      <c r="B84" s="16" t="s">
        <v>93</v>
      </c>
      <c r="F84">
        <f>MIN(F81,F83)*-1</f>
        <v>-151.303</v>
      </c>
      <c r="G84">
        <f t="shared" ref="G84:O84" si="76">MIN(G81,G83)*-1</f>
        <v>0</v>
      </c>
      <c r="H84">
        <f t="shared" si="76"/>
        <v>0</v>
      </c>
      <c r="I84">
        <f t="shared" si="76"/>
        <v>0</v>
      </c>
      <c r="J84">
        <f t="shared" si="76"/>
        <v>0</v>
      </c>
      <c r="K84">
        <f t="shared" si="76"/>
        <v>0</v>
      </c>
      <c r="L84">
        <f t="shared" si="76"/>
        <v>0</v>
      </c>
      <c r="M84">
        <f t="shared" si="76"/>
        <v>0</v>
      </c>
      <c r="N84">
        <f t="shared" si="76"/>
        <v>0</v>
      </c>
      <c r="O84">
        <f t="shared" si="76"/>
        <v>0</v>
      </c>
    </row>
    <row r="85" spans="2:15" ht="15" customHeight="1" x14ac:dyDescent="0.2">
      <c r="B85" s="16" t="s">
        <v>94</v>
      </c>
      <c r="E85">
        <f>E54</f>
        <v>151.303</v>
      </c>
      <c r="F85">
        <f>SUM(F83:F84)</f>
        <v>0</v>
      </c>
      <c r="G85">
        <f t="shared" ref="G85:O85" si="77">SUM(G83:G84)</f>
        <v>0</v>
      </c>
      <c r="H85">
        <f t="shared" si="77"/>
        <v>0</v>
      </c>
      <c r="I85">
        <f t="shared" si="77"/>
        <v>0</v>
      </c>
      <c r="J85">
        <f t="shared" si="77"/>
        <v>0</v>
      </c>
      <c r="K85">
        <f t="shared" si="77"/>
        <v>0</v>
      </c>
      <c r="L85">
        <f t="shared" si="77"/>
        <v>0</v>
      </c>
      <c r="M85">
        <f t="shared" si="77"/>
        <v>0</v>
      </c>
      <c r="N85">
        <f t="shared" si="77"/>
        <v>0</v>
      </c>
      <c r="O85">
        <f t="shared" si="77"/>
        <v>0</v>
      </c>
    </row>
    <row r="87" spans="2:15" ht="15" customHeight="1" x14ac:dyDescent="0.2">
      <c r="B87" s="16" t="s">
        <v>48</v>
      </c>
      <c r="E87">
        <f>E49</f>
        <v>1453.587</v>
      </c>
      <c r="F87">
        <f>F81+F84</f>
        <v>1248.502185324</v>
      </c>
      <c r="G87">
        <f t="shared" ref="G87:O87" si="78">G81+G84</f>
        <v>1932.928939200541</v>
      </c>
      <c r="H87">
        <f t="shared" si="78"/>
        <v>2560.5401290880886</v>
      </c>
      <c r="I87">
        <f t="shared" si="78"/>
        <v>3189.1653906359288</v>
      </c>
      <c r="J87">
        <f t="shared" si="78"/>
        <v>3397.8098017070392</v>
      </c>
      <c r="K87">
        <f t="shared" si="78"/>
        <v>4067.8069796793561</v>
      </c>
      <c r="L87">
        <f t="shared" si="78"/>
        <v>4520.8628745650594</v>
      </c>
      <c r="M87">
        <f t="shared" si="78"/>
        <v>5321.6243516039522</v>
      </c>
      <c r="N87">
        <f t="shared" si="78"/>
        <v>6139.0309332347842</v>
      </c>
      <c r="O87">
        <f t="shared" si="78"/>
        <v>6504.9159484268503</v>
      </c>
    </row>
    <row r="89" spans="2:15" ht="15" customHeight="1" x14ac:dyDescent="0.2">
      <c r="B89" s="16" t="s">
        <v>95</v>
      </c>
      <c r="F89">
        <f>E91</f>
        <v>2315.203</v>
      </c>
      <c r="G89">
        <f t="shared" ref="G89:O89" si="79">F91</f>
        <v>1659.6949999999999</v>
      </c>
      <c r="H89">
        <f t="shared" si="79"/>
        <v>1637.8529999999998</v>
      </c>
      <c r="I89">
        <f t="shared" si="79"/>
        <v>1546.6639999999998</v>
      </c>
      <c r="J89">
        <f t="shared" si="79"/>
        <v>1441.2359999999999</v>
      </c>
      <c r="K89">
        <f t="shared" si="79"/>
        <v>897.81914754098341</v>
      </c>
      <c r="L89">
        <f t="shared" si="79"/>
        <v>803.31186885245882</v>
      </c>
      <c r="M89">
        <f t="shared" si="79"/>
        <v>472.53639344262274</v>
      </c>
      <c r="N89">
        <f t="shared" si="79"/>
        <v>472.53639344262274</v>
      </c>
      <c r="O89">
        <f t="shared" si="79"/>
        <v>472.53639344262274</v>
      </c>
    </row>
    <row r="90" spans="2:15" ht="15" customHeight="1" x14ac:dyDescent="0.2">
      <c r="B90" s="16" t="str">
        <f>B80</f>
        <v>Long term debt issuance / (repayment)</v>
      </c>
      <c r="F90">
        <f>F80</f>
        <v>-655.50800000000004</v>
      </c>
      <c r="G90">
        <f t="shared" ref="G90:O90" si="80">G80</f>
        <v>-21.841999999999999</v>
      </c>
      <c r="H90">
        <f t="shared" si="80"/>
        <v>-91.188999999999993</v>
      </c>
      <c r="I90">
        <f t="shared" si="80"/>
        <v>-105.428</v>
      </c>
      <c r="J90">
        <f t="shared" si="80"/>
        <v>-543.41685245901647</v>
      </c>
      <c r="K90">
        <f t="shared" si="80"/>
        <v>-94.507278688524593</v>
      </c>
      <c r="L90">
        <f t="shared" si="80"/>
        <v>-330.77547540983608</v>
      </c>
      <c r="M90">
        <f t="shared" si="80"/>
        <v>0</v>
      </c>
      <c r="N90">
        <f t="shared" si="80"/>
        <v>0</v>
      </c>
      <c r="O90">
        <f t="shared" si="80"/>
        <v>-472.53639344262297</v>
      </c>
    </row>
    <row r="91" spans="2:15" ht="15" customHeight="1" x14ac:dyDescent="0.2">
      <c r="B91" s="16" t="s">
        <v>96</v>
      </c>
      <c r="E91">
        <f>E56</f>
        <v>2315.203</v>
      </c>
      <c r="F91">
        <f>SUM(F89:F90)</f>
        <v>1659.6949999999999</v>
      </c>
      <c r="G91">
        <f t="shared" ref="G91:O91" si="81">SUM(G89:G90)</f>
        <v>1637.8529999999998</v>
      </c>
      <c r="H91">
        <f t="shared" si="81"/>
        <v>1546.6639999999998</v>
      </c>
      <c r="I91">
        <f t="shared" si="81"/>
        <v>1441.2359999999999</v>
      </c>
      <c r="J91">
        <f t="shared" si="81"/>
        <v>897.81914754098341</v>
      </c>
      <c r="K91">
        <f t="shared" si="81"/>
        <v>803.31186885245882</v>
      </c>
      <c r="L91">
        <f t="shared" si="81"/>
        <v>472.53639344262274</v>
      </c>
      <c r="M91">
        <f t="shared" si="81"/>
        <v>472.53639344262274</v>
      </c>
      <c r="N91">
        <f t="shared" si="81"/>
        <v>472.53639344262274</v>
      </c>
      <c r="O91">
        <f t="shared" si="81"/>
        <v>0</v>
      </c>
    </row>
    <row r="93" spans="2:15" ht="15" customHeight="1" x14ac:dyDescent="0.2">
      <c r="B93" s="16" t="s">
        <v>97</v>
      </c>
      <c r="F93">
        <f>AVERAGE(E85:F85)*F66</f>
        <v>1.5130300000000001</v>
      </c>
      <c r="G93">
        <f t="shared" ref="G93:O93" si="82">AVERAGE(F85:G85)*G66</f>
        <v>0</v>
      </c>
      <c r="H93">
        <f t="shared" si="82"/>
        <v>0</v>
      </c>
      <c r="I93">
        <f t="shared" si="82"/>
        <v>0</v>
      </c>
      <c r="J93">
        <f t="shared" si="82"/>
        <v>0</v>
      </c>
      <c r="K93">
        <f t="shared" si="82"/>
        <v>0</v>
      </c>
      <c r="L93">
        <f t="shared" si="82"/>
        <v>0</v>
      </c>
      <c r="M93">
        <f t="shared" si="82"/>
        <v>0</v>
      </c>
      <c r="N93">
        <f t="shared" si="82"/>
        <v>0</v>
      </c>
      <c r="O93">
        <f t="shared" si="82"/>
        <v>0</v>
      </c>
    </row>
    <row r="94" spans="2:15" ht="15" customHeight="1" x14ac:dyDescent="0.2">
      <c r="B94" s="16" t="s">
        <v>98</v>
      </c>
      <c r="F94">
        <f>AVERAGE(E91:F91)*F67</f>
        <v>79.497960000000006</v>
      </c>
      <c r="G94">
        <f t="shared" ref="G94:O94" si="83">AVERAGE(F91:G91)*G67</f>
        <v>65.950959999999995</v>
      </c>
      <c r="H94">
        <f t="shared" si="83"/>
        <v>63.690339999999999</v>
      </c>
      <c r="I94">
        <f t="shared" si="83"/>
        <v>59.757999999999996</v>
      </c>
      <c r="J94">
        <f t="shared" si="83"/>
        <v>46.781102950819665</v>
      </c>
      <c r="K94">
        <f t="shared" si="83"/>
        <v>34.022620327868843</v>
      </c>
      <c r="L94">
        <f t="shared" si="83"/>
        <v>25.516965245901631</v>
      </c>
      <c r="M94">
        <f t="shared" si="83"/>
        <v>18.901455737704911</v>
      </c>
      <c r="N94">
        <f t="shared" si="83"/>
        <v>18.901455737704911</v>
      </c>
      <c r="O94">
        <f t="shared" si="83"/>
        <v>9.4507278688524554</v>
      </c>
    </row>
    <row r="95" spans="2:15" ht="15" customHeight="1" x14ac:dyDescent="0.2">
      <c r="B95" s="16" t="s">
        <v>99</v>
      </c>
      <c r="F95">
        <f>AVERAGE(E87:F87)*F68</f>
        <v>6.7552229633100005</v>
      </c>
      <c r="G95">
        <f t="shared" ref="G95:O95" si="84">AVERAGE(F87:G87)*G68</f>
        <v>7.9535778113113524</v>
      </c>
      <c r="H95">
        <f t="shared" si="84"/>
        <v>11.233672670721573</v>
      </c>
      <c r="I95">
        <f t="shared" si="84"/>
        <v>14.374263799310043</v>
      </c>
      <c r="J95">
        <f t="shared" si="84"/>
        <v>16.467437980857422</v>
      </c>
      <c r="K95">
        <f t="shared" si="84"/>
        <v>18.66404195346599</v>
      </c>
      <c r="L95">
        <f t="shared" si="84"/>
        <v>21.471674635611038</v>
      </c>
      <c r="M95">
        <f t="shared" si="84"/>
        <v>24.606218065422528</v>
      </c>
      <c r="N95">
        <f t="shared" si="84"/>
        <v>28.651638212096842</v>
      </c>
      <c r="O95">
        <f t="shared" si="84"/>
        <v>31.609867204154089</v>
      </c>
    </row>
    <row r="97" spans="1:15" ht="15" customHeight="1" x14ac:dyDescent="0.2">
      <c r="A97" s="15" t="s">
        <v>100</v>
      </c>
    </row>
    <row r="98" spans="1:15" ht="15" customHeight="1" x14ac:dyDescent="0.2">
      <c r="B98" s="16" t="s">
        <v>84</v>
      </c>
      <c r="E98">
        <f t="shared" ref="E98:O98" si="85">E85+E91</f>
        <v>2466.5059999999999</v>
      </c>
      <c r="F98">
        <f t="shared" si="85"/>
        <v>1659.6949999999999</v>
      </c>
      <c r="G98">
        <f t="shared" si="85"/>
        <v>1637.8529999999998</v>
      </c>
      <c r="H98">
        <f t="shared" si="85"/>
        <v>1546.6639999999998</v>
      </c>
      <c r="I98">
        <f t="shared" si="85"/>
        <v>1441.2359999999999</v>
      </c>
      <c r="J98">
        <f t="shared" si="85"/>
        <v>897.81914754098341</v>
      </c>
      <c r="K98">
        <f t="shared" si="85"/>
        <v>803.31186885245882</v>
      </c>
      <c r="L98">
        <f t="shared" si="85"/>
        <v>472.53639344262274</v>
      </c>
      <c r="M98">
        <f t="shared" si="85"/>
        <v>472.53639344262274</v>
      </c>
      <c r="N98">
        <f t="shared" si="85"/>
        <v>472.53639344262274</v>
      </c>
      <c r="O98">
        <f t="shared" si="85"/>
        <v>0</v>
      </c>
    </row>
    <row r="99" spans="1:15" ht="15" customHeight="1" x14ac:dyDescent="0.2">
      <c r="B99" s="16" t="s">
        <v>101</v>
      </c>
      <c r="E99">
        <f t="shared" ref="E99:O99" si="86">E98-E87</f>
        <v>1012.9189999999999</v>
      </c>
      <c r="F99">
        <f t="shared" si="86"/>
        <v>411.1928146759999</v>
      </c>
      <c r="G99">
        <f t="shared" si="86"/>
        <v>-295.07593920054114</v>
      </c>
      <c r="H99">
        <f t="shared" si="86"/>
        <v>-1013.8761290880889</v>
      </c>
      <c r="I99">
        <f t="shared" si="86"/>
        <v>-1747.9293906359289</v>
      </c>
      <c r="J99">
        <f t="shared" si="86"/>
        <v>-2499.9906541660557</v>
      </c>
      <c r="K99">
        <f t="shared" si="86"/>
        <v>-3264.4951108268974</v>
      </c>
      <c r="L99">
        <f t="shared" si="86"/>
        <v>-4048.3264811224367</v>
      </c>
      <c r="M99">
        <f t="shared" si="86"/>
        <v>-4849.0879581613299</v>
      </c>
      <c r="N99">
        <f t="shared" si="86"/>
        <v>-5666.494539792162</v>
      </c>
      <c r="O99">
        <f t="shared" si="86"/>
        <v>-6504.9159484268503</v>
      </c>
    </row>
    <row r="100" spans="1:15" ht="15" customHeight="1" x14ac:dyDescent="0.2">
      <c r="B100" s="16" t="s">
        <v>102</v>
      </c>
      <c r="F100" s="70">
        <f t="shared" ref="F100:O100" si="87">F98/F11</f>
        <v>0.95156150327070443</v>
      </c>
      <c r="G100" s="70">
        <f t="shared" si="87"/>
        <v>0.90146574944291857</v>
      </c>
      <c r="H100" s="70">
        <f t="shared" si="87"/>
        <v>0.81573141352493483</v>
      </c>
      <c r="I100" s="70">
        <f t="shared" si="87"/>
        <v>0.72718687845718721</v>
      </c>
      <c r="J100" s="70">
        <f t="shared" si="87"/>
        <v>0.43272265989263098</v>
      </c>
      <c r="K100" s="70">
        <f t="shared" si="87"/>
        <v>0.37219291226489198</v>
      </c>
      <c r="L100" s="70">
        <f t="shared" si="87"/>
        <v>0.21026484851744051</v>
      </c>
      <c r="M100" s="70">
        <f t="shared" si="87"/>
        <v>0.20255596320399966</v>
      </c>
      <c r="N100" s="70">
        <f t="shared" si="87"/>
        <v>0.19577456042298541</v>
      </c>
      <c r="O100" s="70">
        <f t="shared" si="87"/>
        <v>0</v>
      </c>
    </row>
    <row r="101" spans="1:15" ht="15" customHeight="1" x14ac:dyDescent="0.2">
      <c r="B101" s="16" t="s">
        <v>103</v>
      </c>
      <c r="F101" s="70">
        <f t="shared" ref="F101:O101" si="88">F99/F11</f>
        <v>0.23575129940573819</v>
      </c>
      <c r="G101" s="70">
        <f t="shared" si="88"/>
        <v>-0.16240825805123471</v>
      </c>
      <c r="H101" s="70">
        <f t="shared" si="88"/>
        <v>-0.5347319184517233</v>
      </c>
      <c r="I101" s="70">
        <f t="shared" si="88"/>
        <v>-0.88193142368086475</v>
      </c>
      <c r="J101" s="70">
        <f t="shared" si="88"/>
        <v>-1.204922626723187</v>
      </c>
      <c r="K101" s="70">
        <f t="shared" si="88"/>
        <v>-1.5125158602584055</v>
      </c>
      <c r="L101" s="70">
        <f t="shared" si="88"/>
        <v>-1.8013866574399857</v>
      </c>
      <c r="M101" s="70">
        <f t="shared" si="88"/>
        <v>-2.07859478265889</v>
      </c>
      <c r="N101" s="70">
        <f t="shared" si="88"/>
        <v>-2.3476614564752247</v>
      </c>
      <c r="O101" s="70">
        <f t="shared" si="88"/>
        <v>-2.6034849478496498</v>
      </c>
    </row>
    <row r="102" spans="1:15" ht="15" customHeight="1" x14ac:dyDescent="0.2">
      <c r="B102" s="16" t="s">
        <v>104</v>
      </c>
      <c r="F102" s="70">
        <f t="shared" ref="F102:O102" si="89">F11/(F93+F94)</f>
        <v>21.5301711594933</v>
      </c>
      <c r="G102" s="70">
        <f t="shared" si="89"/>
        <v>27.548919388180249</v>
      </c>
      <c r="H102" s="70">
        <f t="shared" si="89"/>
        <v>29.76975240245698</v>
      </c>
      <c r="I102" s="70">
        <f t="shared" si="89"/>
        <v>33.165993701747709</v>
      </c>
      <c r="J102" s="70">
        <f t="shared" si="89"/>
        <v>44.351546546421147</v>
      </c>
      <c r="K102" s="70">
        <f t="shared" si="89"/>
        <v>63.437831116748775</v>
      </c>
      <c r="L102" s="70">
        <f t="shared" si="89"/>
        <v>88.072346134368203</v>
      </c>
      <c r="M102" s="70">
        <f t="shared" si="89"/>
        <v>123.42268084609196</v>
      </c>
      <c r="N102" s="70">
        <f t="shared" si="89"/>
        <v>127.69789877696904</v>
      </c>
      <c r="O102" s="70">
        <f t="shared" si="89"/>
        <v>264.3755938381538</v>
      </c>
    </row>
    <row r="103" spans="1:15" ht="15" customHeight="1" x14ac:dyDescent="0.2">
      <c r="B103" s="16" t="s">
        <v>105</v>
      </c>
      <c r="F103" s="66">
        <f t="shared" ref="F103:O103" si="90">F99/(F99+F59)</f>
        <v>6.9523464410054955E-2</v>
      </c>
      <c r="G103" s="66">
        <f t="shared" si="90"/>
        <v>-5.0725425469349883E-2</v>
      </c>
      <c r="H103" s="66">
        <f t="shared" si="90"/>
        <v>-0.17651659402602629</v>
      </c>
      <c r="I103" s="66">
        <f t="shared" si="90"/>
        <v>-0.30697978499083856</v>
      </c>
      <c r="J103" s="66">
        <f t="shared" si="90"/>
        <v>-0.44113673809252818</v>
      </c>
      <c r="K103" s="66">
        <f t="shared" si="90"/>
        <v>-0.5763407325007619</v>
      </c>
      <c r="L103" s="66">
        <f t="shared" si="90"/>
        <v>-0.71274048529576428</v>
      </c>
      <c r="M103" s="66">
        <f t="shared" si="90"/>
        <v>-0.84851914201831058</v>
      </c>
      <c r="N103" s="66">
        <f t="shared" si="90"/>
        <v>-0.98268057336806758</v>
      </c>
      <c r="O103" s="66">
        <f t="shared" si="90"/>
        <v>-1.1154390131352503</v>
      </c>
    </row>
    <row r="105" spans="1:15" ht="15" customHeight="1" x14ac:dyDescent="0.2">
      <c r="A105" s="15" t="s">
        <v>65</v>
      </c>
    </row>
    <row r="106" spans="1:15" ht="15" customHeight="1" x14ac:dyDescent="0.2">
      <c r="B106" s="16" t="str">
        <f>B71</f>
        <v>Net income</v>
      </c>
      <c r="F106">
        <f>F71</f>
        <v>844.81579680000027</v>
      </c>
      <c r="G106">
        <f t="shared" ref="G106:O106" si="91">G71</f>
        <v>895.50474460800001</v>
      </c>
      <c r="H106">
        <f t="shared" si="91"/>
        <v>949.23502928448033</v>
      </c>
      <c r="I106">
        <f t="shared" si="91"/>
        <v>1006.1891310415486</v>
      </c>
      <c r="J106">
        <f t="shared" si="91"/>
        <v>1066.5604789040424</v>
      </c>
      <c r="K106">
        <f t="shared" si="91"/>
        <v>1119.8885028492439</v>
      </c>
      <c r="L106">
        <f t="shared" si="91"/>
        <v>1175.8829279917059</v>
      </c>
      <c r="M106">
        <f t="shared" si="91"/>
        <v>1228.797659751333</v>
      </c>
      <c r="N106">
        <f t="shared" si="91"/>
        <v>1277.9495661413866</v>
      </c>
      <c r="O106">
        <f t="shared" si="91"/>
        <v>1329.0675487870421</v>
      </c>
    </row>
    <row r="107" spans="1:15" ht="15" customHeight="1" x14ac:dyDescent="0.2">
      <c r="B107" s="16" t="str">
        <f>B72</f>
        <v>D&amp;A</v>
      </c>
      <c r="F107">
        <f>F72</f>
        <v>424.155798</v>
      </c>
      <c r="G107">
        <f t="shared" ref="G107:O107" si="92">G72</f>
        <v>417.65151716310004</v>
      </c>
      <c r="H107">
        <f t="shared" si="92"/>
        <v>412.86591897130148</v>
      </c>
      <c r="I107">
        <f t="shared" si="92"/>
        <v>409.76293437661951</v>
      </c>
      <c r="J107">
        <f t="shared" si="92"/>
        <v>408.31351672863207</v>
      </c>
      <c r="K107">
        <f t="shared" si="92"/>
        <v>408.49545680666392</v>
      </c>
      <c r="L107">
        <f t="shared" si="92"/>
        <v>410.02192044865171</v>
      </c>
      <c r="M107">
        <f t="shared" si="92"/>
        <v>412.87199567982975</v>
      </c>
      <c r="N107">
        <f t="shared" si="92"/>
        <v>416.87998443488556</v>
      </c>
      <c r="O107">
        <f t="shared" si="92"/>
        <v>421.87374755090457</v>
      </c>
    </row>
    <row r="108" spans="1:15" ht="15" customHeight="1" x14ac:dyDescent="0.2">
      <c r="B108" s="16" t="str">
        <f>B73</f>
        <v>Change in OWC</v>
      </c>
      <c r="F108">
        <f t="shared" ref="F108:O108" si="93">F73</f>
        <v>-71.298266150000018</v>
      </c>
      <c r="G108">
        <f t="shared" si="93"/>
        <v>24.816464031000578</v>
      </c>
      <c r="H108">
        <f t="shared" si="93"/>
        <v>26.305451872859521</v>
      </c>
      <c r="I108">
        <f t="shared" si="93"/>
        <v>27.883778985231856</v>
      </c>
      <c r="J108">
        <f t="shared" si="93"/>
        <v>29.556805724345395</v>
      </c>
      <c r="K108">
        <f t="shared" si="93"/>
        <v>26.108511723171887</v>
      </c>
      <c r="L108">
        <f t="shared" si="93"/>
        <v>27.413937309330777</v>
      </c>
      <c r="M108">
        <f t="shared" si="93"/>
        <v>25.906170757317341</v>
      </c>
      <c r="N108">
        <f t="shared" si="93"/>
        <v>24.063954170130273</v>
      </c>
      <c r="O108">
        <f t="shared" si="93"/>
        <v>25.026512336935411</v>
      </c>
    </row>
    <row r="109" spans="1:15" ht="15" customHeight="1" x14ac:dyDescent="0.2">
      <c r="B109" s="16" t="s">
        <v>44</v>
      </c>
      <c r="F109">
        <f t="shared" ref="F109" si="94">SUM(F106:F108)</f>
        <v>1197.6733286500003</v>
      </c>
      <c r="G109">
        <f t="shared" ref="G109" si="95">SUM(G106:G108)</f>
        <v>1337.9727258021007</v>
      </c>
      <c r="H109">
        <f t="shared" ref="H109" si="96">SUM(H106:H108)</f>
        <v>1388.4064001286413</v>
      </c>
      <c r="I109">
        <f t="shared" ref="I109" si="97">SUM(I106:I108)</f>
        <v>1443.8358444034</v>
      </c>
      <c r="J109">
        <f t="shared" ref="J109" si="98">SUM(J106:J108)</f>
        <v>1504.4308013570198</v>
      </c>
      <c r="K109">
        <f t="shared" ref="K109" si="99">SUM(K106:K108)</f>
        <v>1554.4924713790797</v>
      </c>
      <c r="L109">
        <f t="shared" ref="L109" si="100">SUM(L106:L108)</f>
        <v>1613.3187857496882</v>
      </c>
      <c r="M109">
        <f t="shared" ref="M109" si="101">SUM(M106:M108)</f>
        <v>1667.5758261884801</v>
      </c>
      <c r="N109">
        <f t="shared" ref="N109" si="102">SUM(N106:N108)</f>
        <v>1718.8935047464024</v>
      </c>
      <c r="O109">
        <f t="shared" ref="O109" si="103">SUM(O106:O108)</f>
        <v>1775.9678086748822</v>
      </c>
    </row>
    <row r="111" spans="1:15" ht="15" customHeight="1" x14ac:dyDescent="0.2">
      <c r="B111" s="16" t="str">
        <f>B74</f>
        <v>Capex</v>
      </c>
      <c r="F111">
        <f t="shared" ref="F111:O111" si="104">F74</f>
        <v>-325.60608834999999</v>
      </c>
      <c r="G111">
        <f t="shared" si="104"/>
        <v>-345.14245365099998</v>
      </c>
      <c r="H111">
        <f t="shared" si="104"/>
        <v>-365.85100087006003</v>
      </c>
      <c r="I111">
        <f t="shared" si="104"/>
        <v>-387.80206092226365</v>
      </c>
      <c r="J111">
        <f t="shared" si="104"/>
        <v>-411.07018457759949</v>
      </c>
      <c r="K111">
        <f t="shared" si="104"/>
        <v>-431.62369380647948</v>
      </c>
      <c r="L111">
        <f t="shared" si="104"/>
        <v>-453.20487849680347</v>
      </c>
      <c r="M111">
        <f t="shared" si="104"/>
        <v>-473.59909802915962</v>
      </c>
      <c r="N111">
        <f t="shared" si="104"/>
        <v>-492.54306195032603</v>
      </c>
      <c r="O111">
        <f t="shared" si="104"/>
        <v>-512.24478442833913</v>
      </c>
    </row>
    <row r="112" spans="1:15" ht="15" customHeight="1" x14ac:dyDescent="0.2">
      <c r="B112" s="16" t="s">
        <v>45</v>
      </c>
      <c r="F112">
        <f t="shared" ref="F112" si="105">SUM(F111)</f>
        <v>-325.60608834999999</v>
      </c>
      <c r="G112">
        <f t="shared" ref="G112" si="106">SUM(G111)</f>
        <v>-345.14245365099998</v>
      </c>
      <c r="H112">
        <f t="shared" ref="H112" si="107">SUM(H111)</f>
        <v>-365.85100087006003</v>
      </c>
      <c r="I112">
        <f t="shared" ref="I112" si="108">SUM(I111)</f>
        <v>-387.80206092226365</v>
      </c>
      <c r="J112">
        <f t="shared" ref="J112" si="109">SUM(J111)</f>
        <v>-411.07018457759949</v>
      </c>
      <c r="K112">
        <f t="shared" ref="K112" si="110">SUM(K111)</f>
        <v>-431.62369380647948</v>
      </c>
      <c r="L112">
        <f t="shared" ref="L112" si="111">SUM(L111)</f>
        <v>-453.20487849680347</v>
      </c>
      <c r="M112">
        <f t="shared" ref="M112" si="112">SUM(M111)</f>
        <v>-473.59909802915962</v>
      </c>
      <c r="N112">
        <f t="shared" ref="N112" si="113">SUM(N111)</f>
        <v>-492.54306195032603</v>
      </c>
      <c r="O112">
        <f t="shared" ref="O112" si="114">SUM(O111)</f>
        <v>-512.24478442833913</v>
      </c>
    </row>
    <row r="114" spans="2:15" ht="15" customHeight="1" x14ac:dyDescent="0.2">
      <c r="B114" s="16" t="s">
        <v>107</v>
      </c>
      <c r="F114">
        <f t="shared" ref="F114:O114" si="115">F75</f>
        <v>-270.34105497600007</v>
      </c>
      <c r="G114">
        <f t="shared" si="115"/>
        <v>-286.56151827456</v>
      </c>
      <c r="H114">
        <f t="shared" si="115"/>
        <v>-303.75520937103369</v>
      </c>
      <c r="I114">
        <f t="shared" si="115"/>
        <v>-321.98052193329556</v>
      </c>
      <c r="J114">
        <f t="shared" si="115"/>
        <v>-341.29935324929357</v>
      </c>
      <c r="K114">
        <f t="shared" si="115"/>
        <v>-358.36432091175806</v>
      </c>
      <c r="L114">
        <f t="shared" si="115"/>
        <v>-376.28253695734588</v>
      </c>
      <c r="M114">
        <f t="shared" si="115"/>
        <v>-393.21525112042656</v>
      </c>
      <c r="N114">
        <f t="shared" si="115"/>
        <v>-408.94386116524373</v>
      </c>
      <c r="O114">
        <f t="shared" si="115"/>
        <v>-425.30161561185349</v>
      </c>
    </row>
    <row r="115" spans="2:15" ht="15" customHeight="1" x14ac:dyDescent="0.2">
      <c r="B115" s="16" t="str">
        <f>B84</f>
        <v>Revolver issuance (repayment)</v>
      </c>
      <c r="F115">
        <f>F54-E54</f>
        <v>-151.303</v>
      </c>
      <c r="G115">
        <f t="shared" ref="G115:O115" si="116">G54-F54</f>
        <v>0</v>
      </c>
      <c r="H115">
        <f t="shared" si="116"/>
        <v>0</v>
      </c>
      <c r="I115">
        <f t="shared" si="116"/>
        <v>0</v>
      </c>
      <c r="J115">
        <f t="shared" si="116"/>
        <v>0</v>
      </c>
      <c r="K115">
        <f t="shared" si="116"/>
        <v>0</v>
      </c>
      <c r="L115">
        <f t="shared" si="116"/>
        <v>0</v>
      </c>
      <c r="M115">
        <f t="shared" si="116"/>
        <v>0</v>
      </c>
      <c r="N115">
        <f t="shared" si="116"/>
        <v>0</v>
      </c>
      <c r="O115">
        <f t="shared" si="116"/>
        <v>0</v>
      </c>
    </row>
    <row r="116" spans="2:15" ht="15" customHeight="1" x14ac:dyDescent="0.2">
      <c r="B116" s="16" t="str">
        <f>B90</f>
        <v>Long term debt issuance / (repayment)</v>
      </c>
      <c r="F116">
        <f>F56-E56</f>
        <v>-655.50800000000004</v>
      </c>
      <c r="G116">
        <f t="shared" ref="G116:O116" si="117">G56-F56</f>
        <v>-21.842000000000098</v>
      </c>
      <c r="H116">
        <f t="shared" si="117"/>
        <v>-91.189000000000078</v>
      </c>
      <c r="I116">
        <f t="shared" si="117"/>
        <v>-105.42799999999988</v>
      </c>
      <c r="J116">
        <f t="shared" si="117"/>
        <v>-543.41685245901647</v>
      </c>
      <c r="K116">
        <f t="shared" si="117"/>
        <v>-94.507278688524593</v>
      </c>
      <c r="L116">
        <f t="shared" si="117"/>
        <v>-330.77547540983608</v>
      </c>
      <c r="M116">
        <f t="shared" si="117"/>
        <v>0</v>
      </c>
      <c r="N116">
        <f t="shared" si="117"/>
        <v>0</v>
      </c>
      <c r="O116">
        <f t="shared" si="117"/>
        <v>-472.53639344262274</v>
      </c>
    </row>
    <row r="117" spans="2:15" ht="15" customHeight="1" x14ac:dyDescent="0.2">
      <c r="B117" s="16" t="s">
        <v>108</v>
      </c>
      <c r="F117">
        <f t="shared" ref="F117" si="118">SUM(F114:F116)</f>
        <v>-1077.152054976</v>
      </c>
      <c r="G117">
        <f t="shared" ref="G117" si="119">SUM(G114:G116)</f>
        <v>-308.4035182745601</v>
      </c>
      <c r="H117">
        <f t="shared" ref="H117" si="120">SUM(H114:H116)</f>
        <v>-394.94420937103376</v>
      </c>
      <c r="I117">
        <f t="shared" ref="I117" si="121">SUM(I114:I116)</f>
        <v>-427.40852193329545</v>
      </c>
      <c r="J117">
        <f t="shared" ref="J117" si="122">SUM(J114:J116)</f>
        <v>-884.7162057083101</v>
      </c>
      <c r="K117">
        <f t="shared" ref="K117" si="123">SUM(K114:K116)</f>
        <v>-452.87159960028265</v>
      </c>
      <c r="L117">
        <f t="shared" ref="L117" si="124">SUM(L114:L116)</f>
        <v>-707.05801236718196</v>
      </c>
      <c r="M117">
        <f t="shared" ref="M117" si="125">SUM(M114:M116)</f>
        <v>-393.21525112042656</v>
      </c>
      <c r="N117">
        <f t="shared" ref="N117" si="126">SUM(N114:N116)</f>
        <v>-408.94386116524373</v>
      </c>
      <c r="O117">
        <f t="shared" ref="O117" si="127">SUM(O114:O116)</f>
        <v>-897.83800905447629</v>
      </c>
    </row>
    <row r="119" spans="2:15" ht="15" customHeight="1" x14ac:dyDescent="0.2">
      <c r="B119" s="16" t="s">
        <v>46</v>
      </c>
      <c r="F119">
        <f>F109+F112+F117</f>
        <v>-205.08481467599972</v>
      </c>
      <c r="G119">
        <f t="shared" ref="G119:O119" si="128">G109+G112+G117</f>
        <v>684.42675387654072</v>
      </c>
      <c r="H119">
        <f t="shared" si="128"/>
        <v>627.61118988754743</v>
      </c>
      <c r="I119">
        <f t="shared" si="128"/>
        <v>628.62526154784075</v>
      </c>
      <c r="J119">
        <f t="shared" si="128"/>
        <v>208.6444110711102</v>
      </c>
      <c r="K119">
        <f t="shared" si="128"/>
        <v>669.99717797231756</v>
      </c>
      <c r="L119">
        <f t="shared" si="128"/>
        <v>453.05589488570274</v>
      </c>
      <c r="M119">
        <f t="shared" si="128"/>
        <v>800.76147703889387</v>
      </c>
      <c r="N119">
        <f t="shared" si="128"/>
        <v>817.40658163083253</v>
      </c>
      <c r="O119">
        <f t="shared" si="128"/>
        <v>365.8850151920667</v>
      </c>
    </row>
    <row r="121" spans="2:15" ht="15" customHeight="1" x14ac:dyDescent="0.2">
      <c r="B121" s="16" t="s">
        <v>47</v>
      </c>
      <c r="F121">
        <f>E122</f>
        <v>1453.587</v>
      </c>
      <c r="G121">
        <f t="shared" ref="G121:O121" si="129">F122</f>
        <v>1248.5021853240003</v>
      </c>
      <c r="H121">
        <f t="shared" si="129"/>
        <v>1932.928939200541</v>
      </c>
      <c r="I121">
        <f t="shared" si="129"/>
        <v>2560.5401290880882</v>
      </c>
      <c r="J121">
        <f t="shared" si="129"/>
        <v>3189.1653906359288</v>
      </c>
      <c r="K121">
        <f t="shared" si="129"/>
        <v>3397.8098017070388</v>
      </c>
      <c r="L121">
        <f t="shared" si="129"/>
        <v>4067.8069796793561</v>
      </c>
      <c r="M121">
        <f t="shared" si="129"/>
        <v>4520.8628745650585</v>
      </c>
      <c r="N121">
        <f t="shared" si="129"/>
        <v>5321.6243516039522</v>
      </c>
      <c r="O121">
        <f t="shared" si="129"/>
        <v>6139.0309332347842</v>
      </c>
    </row>
    <row r="122" spans="2:15" ht="15" customHeight="1" x14ac:dyDescent="0.2">
      <c r="B122" s="16" t="s">
        <v>48</v>
      </c>
      <c r="E122">
        <f>E49</f>
        <v>1453.587</v>
      </c>
      <c r="F122">
        <f>F121+F119</f>
        <v>1248.5021853240003</v>
      </c>
      <c r="G122">
        <f t="shared" ref="G122:O122" si="130">G121+G119</f>
        <v>1932.928939200541</v>
      </c>
      <c r="H122">
        <f t="shared" si="130"/>
        <v>2560.5401290880882</v>
      </c>
      <c r="I122">
        <f t="shared" si="130"/>
        <v>3189.1653906359288</v>
      </c>
      <c r="J122">
        <f t="shared" si="130"/>
        <v>3397.8098017070388</v>
      </c>
      <c r="K122">
        <f t="shared" si="130"/>
        <v>4067.8069796793561</v>
      </c>
      <c r="L122">
        <f t="shared" si="130"/>
        <v>4520.8628745650585</v>
      </c>
      <c r="M122">
        <f t="shared" si="130"/>
        <v>5321.6243516039522</v>
      </c>
      <c r="N122">
        <f t="shared" si="130"/>
        <v>6139.0309332347842</v>
      </c>
      <c r="O122">
        <f t="shared" si="130"/>
        <v>6504.9159484268512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Model 1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2016-02-04T14:08:33Z</cp:lastPrinted>
  <dcterms:created xsi:type="dcterms:W3CDTF">2016-02-03T14:06:14Z</dcterms:created>
  <dcterms:modified xsi:type="dcterms:W3CDTF">2022-01-07T13:30:44Z</dcterms:modified>
</cp:coreProperties>
</file>