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Google Drive\Materials\Analyst Materials\Modeling and Forecasting\Checking a Model for Integrity and Errors - Final\"/>
    </mc:Choice>
  </mc:AlternateContent>
  <bookViews>
    <workbookView xWindow="0" yWindow="0" windowWidth="20730" windowHeight="11760"/>
  </bookViews>
  <sheets>
    <sheet name="Welcome" sheetId="1" r:id="rId1"/>
    <sheet name="Info" sheetId="6" r:id="rId2"/>
    <sheet name="Model 1" sheetId="2" r:id="rId3"/>
  </sheets>
  <definedNames>
    <definedName name="switch">Info!$N$10</definedName>
  </definedNames>
  <calcPr calcId="152511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1" l="1"/>
  <c r="G40" i="2" l="1"/>
  <c r="H40" i="2" s="1"/>
  <c r="I40" i="2" s="1"/>
  <c r="J40" i="2" s="1"/>
  <c r="K40" i="2" s="1"/>
  <c r="L40" i="2" s="1"/>
  <c r="M40" i="2" s="1"/>
  <c r="N40" i="2" s="1"/>
  <c r="O40" i="2" s="1"/>
  <c r="F40" i="2"/>
  <c r="E13" i="2"/>
  <c r="D13" i="2"/>
  <c r="F93" i="2" l="1"/>
  <c r="G93" i="2" s="1"/>
  <c r="H93" i="2" s="1"/>
  <c r="I93" i="2" s="1"/>
  <c r="J93" i="2" s="1"/>
  <c r="K93" i="2" s="1"/>
  <c r="L93" i="2" s="1"/>
  <c r="M93" i="2" s="1"/>
  <c r="N93" i="2" s="1"/>
  <c r="O93" i="2" s="1"/>
  <c r="O164" i="2" l="1"/>
  <c r="E73" i="2"/>
  <c r="G31" i="2"/>
  <c r="H31" i="2"/>
  <c r="I31" i="2"/>
  <c r="J31" i="2"/>
  <c r="K31" i="2"/>
  <c r="L31" i="2"/>
  <c r="M31" i="2"/>
  <c r="N31" i="2"/>
  <c r="O31" i="2"/>
  <c r="F31" i="2"/>
  <c r="G24" i="2" l="1"/>
  <c r="H24" i="2"/>
  <c r="F24" i="2"/>
  <c r="E24" i="2"/>
  <c r="E25" i="2" s="1"/>
  <c r="D24" i="2"/>
  <c r="D25" i="2" s="1"/>
  <c r="C24" i="2"/>
  <c r="C25" i="2" l="1"/>
  <c r="F5" i="2" l="1"/>
  <c r="G5" i="2"/>
  <c r="H5" i="2"/>
  <c r="G133" i="2" l="1"/>
  <c r="H133" i="2"/>
  <c r="I133" i="2"/>
  <c r="J133" i="2"/>
  <c r="K133" i="2"/>
  <c r="L133" i="2"/>
  <c r="M133" i="2"/>
  <c r="N133" i="2"/>
  <c r="O133" i="2"/>
  <c r="G139" i="2"/>
  <c r="H139" i="2"/>
  <c r="I139" i="2"/>
  <c r="J139" i="2"/>
  <c r="K139" i="2"/>
  <c r="L139" i="2"/>
  <c r="M139" i="2"/>
  <c r="N139" i="2"/>
  <c r="O139" i="2"/>
  <c r="G143" i="2"/>
  <c r="H143" i="2"/>
  <c r="I143" i="2"/>
  <c r="J143" i="2"/>
  <c r="K143" i="2"/>
  <c r="L143" i="2"/>
  <c r="M143" i="2"/>
  <c r="N143" i="2"/>
  <c r="O143" i="2"/>
  <c r="G145" i="2"/>
  <c r="H145" i="2"/>
  <c r="I145" i="2"/>
  <c r="J145" i="2"/>
  <c r="K145" i="2"/>
  <c r="L145" i="2"/>
  <c r="M145" i="2"/>
  <c r="N145" i="2"/>
  <c r="O145" i="2"/>
  <c r="G151" i="2"/>
  <c r="H151" i="2"/>
  <c r="I151" i="2"/>
  <c r="J151" i="2"/>
  <c r="K151" i="2"/>
  <c r="L151" i="2"/>
  <c r="M151" i="2"/>
  <c r="N151" i="2"/>
  <c r="O151" i="2"/>
  <c r="E181" i="2"/>
  <c r="F151" i="2"/>
  <c r="E150" i="2"/>
  <c r="F148" i="2" s="1"/>
  <c r="F145" i="2"/>
  <c r="F143" i="2"/>
  <c r="F139" i="2"/>
  <c r="F133" i="2"/>
  <c r="G28" i="2"/>
  <c r="G27" i="2" s="1"/>
  <c r="H28" i="2"/>
  <c r="H27" i="2" s="1"/>
  <c r="I28" i="2"/>
  <c r="I122" i="2" s="1"/>
  <c r="I165" i="2" s="1"/>
  <c r="J28" i="2"/>
  <c r="J122" i="2" s="1"/>
  <c r="J165" i="2" s="1"/>
  <c r="K28" i="2"/>
  <c r="K68" i="2" s="1"/>
  <c r="L28" i="2"/>
  <c r="L68" i="2" s="1"/>
  <c r="M28" i="2"/>
  <c r="M122" i="2" s="1"/>
  <c r="M165" i="2" s="1"/>
  <c r="N28" i="2"/>
  <c r="N122" i="2" s="1"/>
  <c r="N165" i="2" s="1"/>
  <c r="O28" i="2"/>
  <c r="O68" i="2" s="1"/>
  <c r="G33" i="2"/>
  <c r="H33" i="2"/>
  <c r="I33" i="2"/>
  <c r="J33" i="2"/>
  <c r="K33" i="2"/>
  <c r="L33" i="2"/>
  <c r="M33" i="2"/>
  <c r="N33" i="2"/>
  <c r="O33" i="2"/>
  <c r="F33" i="2"/>
  <c r="F28" i="2"/>
  <c r="F105" i="2"/>
  <c r="E49" i="2"/>
  <c r="F49" i="2" s="1"/>
  <c r="D49" i="2"/>
  <c r="G14" i="2"/>
  <c r="H14" i="2" s="1"/>
  <c r="I14" i="2" s="1"/>
  <c r="J14" i="2" s="1"/>
  <c r="K14" i="2" s="1"/>
  <c r="L14" i="2" s="1"/>
  <c r="M14" i="2" s="1"/>
  <c r="N14" i="2" s="1"/>
  <c r="O14" i="2" s="1"/>
  <c r="E53" i="2"/>
  <c r="D53" i="2"/>
  <c r="E52" i="2"/>
  <c r="D52" i="2"/>
  <c r="E48" i="2"/>
  <c r="D48" i="2"/>
  <c r="E7" i="2"/>
  <c r="E45" i="2"/>
  <c r="D45" i="2"/>
  <c r="E81" i="2"/>
  <c r="D81" i="2"/>
  <c r="E80" i="2"/>
  <c r="D80" i="2"/>
  <c r="E79" i="2"/>
  <c r="D79" i="2"/>
  <c r="B80" i="2"/>
  <c r="B81" i="2"/>
  <c r="B79" i="2"/>
  <c r="E76" i="2"/>
  <c r="E77" i="2"/>
  <c r="D77" i="2"/>
  <c r="D76" i="2"/>
  <c r="B78" i="2"/>
  <c r="B77" i="2"/>
  <c r="B76" i="2"/>
  <c r="E144" i="2"/>
  <c r="F142" i="2" s="1"/>
  <c r="E138" i="2"/>
  <c r="F136" i="2" s="1"/>
  <c r="E105" i="2"/>
  <c r="E54" i="2" s="1"/>
  <c r="D105" i="2"/>
  <c r="D54" i="2" s="1"/>
  <c r="E102" i="2"/>
  <c r="D102" i="2"/>
  <c r="D95" i="2"/>
  <c r="D50" i="2" s="1"/>
  <c r="D88" i="2"/>
  <c r="D89" i="2" s="1"/>
  <c r="E95" i="2"/>
  <c r="E50" i="2" s="1"/>
  <c r="E88" i="2"/>
  <c r="E78" i="2" s="1"/>
  <c r="E32" i="2"/>
  <c r="E9" i="2" s="1"/>
  <c r="F9" i="2" s="1"/>
  <c r="D32" i="2"/>
  <c r="D9" i="2" s="1"/>
  <c r="C32" i="2"/>
  <c r="C9" i="2" s="1"/>
  <c r="L122" i="2" l="1"/>
  <c r="N68" i="2"/>
  <c r="J68" i="2"/>
  <c r="H122" i="2"/>
  <c r="H165" i="2" s="1"/>
  <c r="F122" i="2"/>
  <c r="F165" i="2" s="1"/>
  <c r="F27" i="2"/>
  <c r="M68" i="2"/>
  <c r="I68" i="2"/>
  <c r="O122" i="2"/>
  <c r="O165" i="2" s="1"/>
  <c r="K122" i="2"/>
  <c r="K165" i="2" s="1"/>
  <c r="G122" i="2"/>
  <c r="G165" i="2" s="1"/>
  <c r="H68" i="2"/>
  <c r="G68" i="2"/>
  <c r="L165" i="2"/>
  <c r="E51" i="2"/>
  <c r="D46" i="2"/>
  <c r="F144" i="2"/>
  <c r="F125" i="2"/>
  <c r="F168" i="2" s="1"/>
  <c r="F63" i="2"/>
  <c r="F126" i="2" s="1"/>
  <c r="F171" i="2" s="1"/>
  <c r="F68" i="2"/>
  <c r="G49" i="2"/>
  <c r="F92" i="2"/>
  <c r="G9" i="2"/>
  <c r="F32" i="2"/>
  <c r="E46" i="2"/>
  <c r="F64" i="2"/>
  <c r="F86" i="2"/>
  <c r="F76" i="2" s="1"/>
  <c r="F100" i="2"/>
  <c r="F80" i="2" s="1"/>
  <c r="E82" i="2"/>
  <c r="E47" i="2"/>
  <c r="D47" i="2"/>
  <c r="D51" i="2"/>
  <c r="F88" i="2"/>
  <c r="F78" i="2" s="1"/>
  <c r="F95" i="2"/>
  <c r="D78" i="2"/>
  <c r="D82" i="2" s="1"/>
  <c r="C29" i="2"/>
  <c r="C34" i="2" s="1"/>
  <c r="D29" i="2"/>
  <c r="D34" i="2" s="1"/>
  <c r="D12" i="2" s="1"/>
  <c r="E29" i="2"/>
  <c r="E34" i="2" s="1"/>
  <c r="F104" i="2" l="1"/>
  <c r="F176" i="2" s="1"/>
  <c r="G142" i="2"/>
  <c r="G144" i="2" s="1"/>
  <c r="F127" i="2"/>
  <c r="F172" i="2" s="1"/>
  <c r="F173" i="2" s="1"/>
  <c r="H49" i="2"/>
  <c r="G92" i="2"/>
  <c r="G127" i="2" s="1"/>
  <c r="G172" i="2" s="1"/>
  <c r="F7" i="2"/>
  <c r="F121" i="2"/>
  <c r="G88" i="2"/>
  <c r="G78" i="2" s="1"/>
  <c r="G95" i="2"/>
  <c r="G124" i="2" s="1"/>
  <c r="G167" i="2" s="1"/>
  <c r="G105" i="2"/>
  <c r="G125" i="2" s="1"/>
  <c r="G168" i="2" s="1"/>
  <c r="G100" i="2"/>
  <c r="G80" i="2" s="1"/>
  <c r="G86" i="2"/>
  <c r="G76" i="2" s="1"/>
  <c r="G63" i="2"/>
  <c r="G126" i="2" s="1"/>
  <c r="G171" i="2" s="1"/>
  <c r="F124" i="2"/>
  <c r="F167" i="2" s="1"/>
  <c r="F146" i="2"/>
  <c r="F156" i="2"/>
  <c r="E11" i="2"/>
  <c r="E12" i="2"/>
  <c r="H9" i="2"/>
  <c r="G32" i="2"/>
  <c r="C37" i="2"/>
  <c r="C12" i="2"/>
  <c r="I49" i="2" l="1"/>
  <c r="H92" i="2"/>
  <c r="G146" i="2"/>
  <c r="G156" i="2"/>
  <c r="G104" i="2"/>
  <c r="G176" i="2" s="1"/>
  <c r="H142" i="2"/>
  <c r="H144" i="2" s="1"/>
  <c r="G173" i="2"/>
  <c r="H127" i="2"/>
  <c r="H172" i="2" s="1"/>
  <c r="I23" i="2"/>
  <c r="H88" i="2"/>
  <c r="H78" i="2" s="1"/>
  <c r="H95" i="2"/>
  <c r="H86" i="2"/>
  <c r="H76" i="2" s="1"/>
  <c r="H63" i="2"/>
  <c r="H126" i="2" s="1"/>
  <c r="H171" i="2" s="1"/>
  <c r="H173" i="2" s="1"/>
  <c r="H105" i="2"/>
  <c r="H125" i="2" s="1"/>
  <c r="H168" i="2" s="1"/>
  <c r="H100" i="2"/>
  <c r="H80" i="2" s="1"/>
  <c r="I9" i="2"/>
  <c r="H32" i="2"/>
  <c r="H156" i="2" l="1"/>
  <c r="I142" i="2"/>
  <c r="I144" i="2" s="1"/>
  <c r="I146" i="2" s="1"/>
  <c r="H104" i="2"/>
  <c r="H176" i="2" s="1"/>
  <c r="H146" i="2"/>
  <c r="J49" i="2"/>
  <c r="I92" i="2"/>
  <c r="I127" i="2" s="1"/>
  <c r="I172" i="2" s="1"/>
  <c r="J23" i="2"/>
  <c r="I63" i="2"/>
  <c r="I126" i="2" s="1"/>
  <c r="I171" i="2" s="1"/>
  <c r="I86" i="2"/>
  <c r="I76" i="2" s="1"/>
  <c r="I100" i="2"/>
  <c r="I80" i="2" s="1"/>
  <c r="I95" i="2"/>
  <c r="I124" i="2" s="1"/>
  <c r="I167" i="2" s="1"/>
  <c r="I88" i="2"/>
  <c r="I78" i="2" s="1"/>
  <c r="I105" i="2"/>
  <c r="I125" i="2" s="1"/>
  <c r="I168" i="2" s="1"/>
  <c r="H124" i="2"/>
  <c r="H167" i="2" s="1"/>
  <c r="J9" i="2"/>
  <c r="I32" i="2"/>
  <c r="I173" i="2" l="1"/>
  <c r="J142" i="2"/>
  <c r="J144" i="2" s="1"/>
  <c r="I104" i="2"/>
  <c r="I176" i="2" s="1"/>
  <c r="I156" i="2"/>
  <c r="K49" i="2"/>
  <c r="J92" i="2"/>
  <c r="J63" i="2"/>
  <c r="J126" i="2" s="1"/>
  <c r="J171" i="2" s="1"/>
  <c r="J86" i="2"/>
  <c r="J76" i="2" s="1"/>
  <c r="J95" i="2"/>
  <c r="J124" i="2" s="1"/>
  <c r="J167" i="2" s="1"/>
  <c r="J100" i="2"/>
  <c r="J80" i="2" s="1"/>
  <c r="J105" i="2"/>
  <c r="J125" i="2" s="1"/>
  <c r="J168" i="2" s="1"/>
  <c r="J88" i="2"/>
  <c r="J78" i="2" s="1"/>
  <c r="K23" i="2"/>
  <c r="K9" i="2"/>
  <c r="J32" i="2"/>
  <c r="J104" i="2" l="1"/>
  <c r="J176" i="2" s="1"/>
  <c r="J146" i="2"/>
  <c r="K142" i="2"/>
  <c r="K144" i="2" s="1"/>
  <c r="J156" i="2"/>
  <c r="L49" i="2"/>
  <c r="K92" i="2"/>
  <c r="J127" i="2"/>
  <c r="J172" i="2" s="1"/>
  <c r="J173" i="2" s="1"/>
  <c r="K88" i="2"/>
  <c r="K78" i="2" s="1"/>
  <c r="K95" i="2"/>
  <c r="K124" i="2" s="1"/>
  <c r="K167" i="2" s="1"/>
  <c r="K105" i="2"/>
  <c r="K125" i="2" s="1"/>
  <c r="K168" i="2" s="1"/>
  <c r="K63" i="2"/>
  <c r="K126" i="2" s="1"/>
  <c r="K171" i="2" s="1"/>
  <c r="K86" i="2"/>
  <c r="K76" i="2" s="1"/>
  <c r="K100" i="2"/>
  <c r="K80" i="2" s="1"/>
  <c r="L23" i="2"/>
  <c r="L9" i="2"/>
  <c r="K32" i="2"/>
  <c r="K146" i="2" l="1"/>
  <c r="L142" i="2"/>
  <c r="L144" i="2" s="1"/>
  <c r="K156" i="2"/>
  <c r="K104" i="2"/>
  <c r="K176" i="2" s="1"/>
  <c r="M49" i="2"/>
  <c r="L92" i="2"/>
  <c r="L127" i="2" s="1"/>
  <c r="L172" i="2" s="1"/>
  <c r="K127" i="2"/>
  <c r="K172" i="2" s="1"/>
  <c r="K173" i="2" s="1"/>
  <c r="L88" i="2"/>
  <c r="L78" i="2" s="1"/>
  <c r="L95" i="2"/>
  <c r="L124" i="2" s="1"/>
  <c r="L167" i="2" s="1"/>
  <c r="L63" i="2"/>
  <c r="L126" i="2" s="1"/>
  <c r="L171" i="2" s="1"/>
  <c r="L105" i="2"/>
  <c r="L125" i="2" s="1"/>
  <c r="L168" i="2" s="1"/>
  <c r="L86" i="2"/>
  <c r="L76" i="2" s="1"/>
  <c r="L100" i="2"/>
  <c r="L80" i="2" s="1"/>
  <c r="M23" i="2"/>
  <c r="M9" i="2"/>
  <c r="L32" i="2"/>
  <c r="L104" i="2" l="1"/>
  <c r="L176" i="2" s="1"/>
  <c r="L156" i="2"/>
  <c r="M142" i="2"/>
  <c r="M144" i="2" s="1"/>
  <c r="M146" i="2" s="1"/>
  <c r="L146" i="2"/>
  <c r="N49" i="2"/>
  <c r="M92" i="2"/>
  <c r="M127" i="2" s="1"/>
  <c r="M172" i="2" s="1"/>
  <c r="L173" i="2"/>
  <c r="M63" i="2"/>
  <c r="M126" i="2" s="1"/>
  <c r="M171" i="2" s="1"/>
  <c r="M86" i="2"/>
  <c r="M76" i="2" s="1"/>
  <c r="M100" i="2"/>
  <c r="M80" i="2" s="1"/>
  <c r="M95" i="2"/>
  <c r="M105" i="2"/>
  <c r="M125" i="2" s="1"/>
  <c r="M168" i="2" s="1"/>
  <c r="M88" i="2"/>
  <c r="M78" i="2" s="1"/>
  <c r="N23" i="2"/>
  <c r="N9" i="2"/>
  <c r="M32" i="2"/>
  <c r="M173" i="2" l="1"/>
  <c r="N142" i="2"/>
  <c r="N144" i="2" s="1"/>
  <c r="N146" i="2" s="1"/>
  <c r="M104" i="2"/>
  <c r="M176" i="2" s="1"/>
  <c r="M156" i="2"/>
  <c r="O49" i="2"/>
  <c r="O92" i="2" s="1"/>
  <c r="N92" i="2"/>
  <c r="M124" i="2"/>
  <c r="M167" i="2" s="1"/>
  <c r="N63" i="2"/>
  <c r="N126" i="2" s="1"/>
  <c r="N171" i="2" s="1"/>
  <c r="N86" i="2"/>
  <c r="N76" i="2" s="1"/>
  <c r="N88" i="2"/>
  <c r="N78" i="2" s="1"/>
  <c r="N100" i="2"/>
  <c r="N80" i="2" s="1"/>
  <c r="N105" i="2"/>
  <c r="N125" i="2" s="1"/>
  <c r="N168" i="2" s="1"/>
  <c r="N95" i="2"/>
  <c r="O23" i="2"/>
  <c r="O9" i="2"/>
  <c r="O32" i="2" s="1"/>
  <c r="N32" i="2"/>
  <c r="N104" i="2" l="1"/>
  <c r="N176" i="2" s="1"/>
  <c r="O142" i="2"/>
  <c r="O144" i="2" s="1"/>
  <c r="N156" i="2"/>
  <c r="O127" i="2"/>
  <c r="O172" i="2" s="1"/>
  <c r="N127" i="2"/>
  <c r="N172" i="2" s="1"/>
  <c r="N173" i="2" s="1"/>
  <c r="O88" i="2"/>
  <c r="O78" i="2" s="1"/>
  <c r="O95" i="2"/>
  <c r="O124" i="2" s="1"/>
  <c r="O167" i="2" s="1"/>
  <c r="O105" i="2"/>
  <c r="O125" i="2" s="1"/>
  <c r="O168" i="2" s="1"/>
  <c r="O100" i="2"/>
  <c r="O80" i="2" s="1"/>
  <c r="O63" i="2"/>
  <c r="O126" i="2" s="1"/>
  <c r="O171" i="2" s="1"/>
  <c r="O86" i="2"/>
  <c r="O76" i="2" s="1"/>
  <c r="N124" i="2"/>
  <c r="N167" i="2" s="1"/>
  <c r="O173" i="2" l="1"/>
  <c r="O156" i="2"/>
  <c r="O104" i="2"/>
  <c r="O176" i="2" s="1"/>
  <c r="O146" i="2"/>
  <c r="E89" i="2" l="1"/>
  <c r="G41" i="2" l="1"/>
  <c r="G73" i="2" s="1"/>
  <c r="G128" i="2" s="1"/>
  <c r="G177" i="2" s="1"/>
  <c r="H41" i="2"/>
  <c r="H73" i="2" s="1"/>
  <c r="H128" i="2" s="1"/>
  <c r="H177" i="2" s="1"/>
  <c r="I41" i="2"/>
  <c r="I73" i="2" s="1"/>
  <c r="I128" i="2" s="1"/>
  <c r="I177" i="2" s="1"/>
  <c r="J41" i="2"/>
  <c r="J73" i="2" s="1"/>
  <c r="J128" i="2" s="1"/>
  <c r="J177" i="2" s="1"/>
  <c r="K41" i="2"/>
  <c r="K73" i="2" s="1"/>
  <c r="K128" i="2" s="1"/>
  <c r="K177" i="2" s="1"/>
  <c r="L41" i="2"/>
  <c r="L73" i="2" s="1"/>
  <c r="L128" i="2" s="1"/>
  <c r="L177" i="2" s="1"/>
  <c r="M41" i="2"/>
  <c r="M73" i="2" s="1"/>
  <c r="M128" i="2" s="1"/>
  <c r="M177" i="2" s="1"/>
  <c r="N41" i="2"/>
  <c r="N73" i="2" s="1"/>
  <c r="N128" i="2" s="1"/>
  <c r="N177" i="2" s="1"/>
  <c r="O41" i="2"/>
  <c r="O73" i="2" s="1"/>
  <c r="O128" i="2" s="1"/>
  <c r="O177" i="2" s="1"/>
  <c r="B172" i="2"/>
  <c r="B171" i="2"/>
  <c r="B163" i="2"/>
  <c r="B164" i="2"/>
  <c r="B165" i="2"/>
  <c r="B168" i="2"/>
  <c r="B167" i="2"/>
  <c r="B166" i="2"/>
  <c r="D74" i="2"/>
  <c r="E71" i="2" s="1"/>
  <c r="D69" i="2"/>
  <c r="E69" i="2"/>
  <c r="F67" i="2" s="1"/>
  <c r="F69" i="2" s="1"/>
  <c r="D65" i="2"/>
  <c r="E65" i="2"/>
  <c r="F62" i="2" s="1"/>
  <c r="F65" i="2" s="1"/>
  <c r="D59" i="2"/>
  <c r="E59" i="2"/>
  <c r="C59" i="2"/>
  <c r="D14" i="2"/>
  <c r="E14" i="2"/>
  <c r="D15" i="2"/>
  <c r="E15" i="2"/>
  <c r="C15" i="2"/>
  <c r="C14" i="2"/>
  <c r="D10" i="2"/>
  <c r="E10" i="2"/>
  <c r="C10" i="2"/>
  <c r="D8" i="2"/>
  <c r="E8" i="2"/>
  <c r="C8" i="2"/>
  <c r="D6" i="2"/>
  <c r="E6" i="2"/>
  <c r="C6" i="2"/>
  <c r="E5" i="2"/>
  <c r="D5" i="2"/>
  <c r="E96" i="2"/>
  <c r="D96" i="2"/>
  <c r="D18" i="2"/>
  <c r="C18" i="2"/>
  <c r="F41" i="2"/>
  <c r="F73" i="2" s="1"/>
  <c r="F128" i="2" s="1"/>
  <c r="F177" i="2" l="1"/>
  <c r="F94" i="2"/>
  <c r="G67" i="2"/>
  <c r="G69" i="2" s="1"/>
  <c r="F91" i="2"/>
  <c r="G7" i="2" s="1"/>
  <c r="G62" i="2"/>
  <c r="E18" i="2"/>
  <c r="E106" i="2"/>
  <c r="E109" i="2" s="1"/>
  <c r="E111" i="2" s="1"/>
  <c r="C57" i="2"/>
  <c r="C58" i="2" s="1"/>
  <c r="D57" i="2"/>
  <c r="D58" i="2" s="1"/>
  <c r="D106" i="2"/>
  <c r="D109" i="2" s="1"/>
  <c r="D111" i="2" s="1"/>
  <c r="F15" i="2"/>
  <c r="C19" i="2"/>
  <c r="G94" i="2" l="1"/>
  <c r="H67" i="2"/>
  <c r="H69" i="2" s="1"/>
  <c r="G34" i="2"/>
  <c r="G36" i="2" s="1"/>
  <c r="G121" i="2"/>
  <c r="F164" i="2" s="1"/>
  <c r="G64" i="2"/>
  <c r="G65" i="2" s="1"/>
  <c r="D19" i="2"/>
  <c r="D37" i="2"/>
  <c r="H18" i="2"/>
  <c r="E57" i="2"/>
  <c r="E58" i="2" s="1"/>
  <c r="G18" i="2"/>
  <c r="F18" i="2"/>
  <c r="G15" i="2"/>
  <c r="F42" i="2"/>
  <c r="C11" i="2"/>
  <c r="I67" i="2" l="1"/>
  <c r="I69" i="2" s="1"/>
  <c r="H94" i="2"/>
  <c r="H62" i="2"/>
  <c r="G91" i="2"/>
  <c r="H7" i="2" s="1"/>
  <c r="G37" i="2"/>
  <c r="G101" i="2"/>
  <c r="D11" i="2"/>
  <c r="E19" i="2"/>
  <c r="E37" i="2"/>
  <c r="H15" i="2"/>
  <c r="G42" i="2"/>
  <c r="F19" i="2"/>
  <c r="D20" i="2"/>
  <c r="C20" i="2"/>
  <c r="G39" i="2" l="1"/>
  <c r="E20" i="2"/>
  <c r="E72" i="2"/>
  <c r="E74" i="2" s="1"/>
  <c r="F71" i="2" s="1"/>
  <c r="G81" i="2"/>
  <c r="J67" i="2"/>
  <c r="J69" i="2" s="1"/>
  <c r="I94" i="2"/>
  <c r="G120" i="2"/>
  <c r="G72" i="2"/>
  <c r="H64" i="2"/>
  <c r="H65" i="2" s="1"/>
  <c r="H121" i="2"/>
  <c r="G164" i="2" s="1"/>
  <c r="H34" i="2"/>
  <c r="I15" i="2"/>
  <c r="H42" i="2"/>
  <c r="F59" i="2"/>
  <c r="J94" i="2" l="1"/>
  <c r="K67" i="2"/>
  <c r="K69" i="2" s="1"/>
  <c r="G163" i="2"/>
  <c r="H36" i="2"/>
  <c r="H101" i="2" s="1"/>
  <c r="I62" i="2"/>
  <c r="H91" i="2"/>
  <c r="I27" i="2" s="1"/>
  <c r="J15" i="2"/>
  <c r="I42" i="2"/>
  <c r="G19" i="2"/>
  <c r="H81" i="2" l="1"/>
  <c r="L67" i="2"/>
  <c r="L69" i="2" s="1"/>
  <c r="K94" i="2"/>
  <c r="I64" i="2"/>
  <c r="I65" i="2" s="1"/>
  <c r="I121" i="2"/>
  <c r="H164" i="2" s="1"/>
  <c r="H37" i="2"/>
  <c r="K15" i="2"/>
  <c r="J42" i="2"/>
  <c r="L94" i="2" l="1"/>
  <c r="M67" i="2"/>
  <c r="M69" i="2" s="1"/>
  <c r="H120" i="2"/>
  <c r="H72" i="2"/>
  <c r="H20" i="2"/>
  <c r="H39" i="2"/>
  <c r="I91" i="2"/>
  <c r="J27" i="2" s="1"/>
  <c r="J62" i="2"/>
  <c r="L15" i="2"/>
  <c r="K42" i="2"/>
  <c r="N67" i="2" l="1"/>
  <c r="N69" i="2" s="1"/>
  <c r="M94" i="2"/>
  <c r="J64" i="2"/>
  <c r="J65" i="2" s="1"/>
  <c r="J121" i="2"/>
  <c r="I164" i="2" s="1"/>
  <c r="H163" i="2"/>
  <c r="M15" i="2"/>
  <c r="L42" i="2"/>
  <c r="G59" i="2"/>
  <c r="O67" i="2" l="1"/>
  <c r="O69" i="2" s="1"/>
  <c r="O94" i="2" s="1"/>
  <c r="N94" i="2"/>
  <c r="K62" i="2"/>
  <c r="J91" i="2"/>
  <c r="K27" i="2" s="1"/>
  <c r="N15" i="2"/>
  <c r="M42" i="2"/>
  <c r="H19" i="2"/>
  <c r="K121" i="2" l="1"/>
  <c r="J164" i="2" s="1"/>
  <c r="K64" i="2"/>
  <c r="K65" i="2" s="1"/>
  <c r="O15" i="2"/>
  <c r="O42" i="2" s="1"/>
  <c r="N42" i="2"/>
  <c r="L62" i="2" l="1"/>
  <c r="K91" i="2"/>
  <c r="L27" i="2" s="1"/>
  <c r="H59" i="2"/>
  <c r="L121" i="2" l="1"/>
  <c r="K164" i="2" s="1"/>
  <c r="L64" i="2"/>
  <c r="L65" i="2" s="1"/>
  <c r="L91" i="2" l="1"/>
  <c r="M27" i="2" s="1"/>
  <c r="M62" i="2"/>
  <c r="M121" i="2" l="1"/>
  <c r="L164" i="2" s="1"/>
  <c r="M64" i="2"/>
  <c r="M65" i="2" s="1"/>
  <c r="M91" i="2" l="1"/>
  <c r="N27" i="2" s="1"/>
  <c r="N62" i="2"/>
  <c r="I59" i="2"/>
  <c r="N121" i="2" l="1"/>
  <c r="M164" i="2" s="1"/>
  <c r="N64" i="2"/>
  <c r="N65" i="2" s="1"/>
  <c r="O62" i="2" l="1"/>
  <c r="N91" i="2"/>
  <c r="O27" i="2" s="1"/>
  <c r="O121" i="2" l="1"/>
  <c r="N164" i="2" s="1"/>
  <c r="O64" i="2"/>
  <c r="O65" i="2" s="1"/>
  <c r="O91" i="2" s="1"/>
  <c r="J59" i="2" l="1"/>
  <c r="K59" i="2" l="1"/>
  <c r="L59" i="2" l="1"/>
  <c r="M59" i="2" l="1"/>
  <c r="E2" i="2" l="1"/>
  <c r="A1" i="6"/>
  <c r="D2" i="2" l="1"/>
  <c r="C2" i="2" s="1"/>
  <c r="N59" i="2" l="1"/>
  <c r="F2" i="2"/>
  <c r="G2" i="2" s="1"/>
  <c r="H2" i="2" s="1"/>
  <c r="I2" i="2" s="1"/>
  <c r="J2" i="2" s="1"/>
  <c r="K2" i="2" s="1"/>
  <c r="L2" i="2" s="1"/>
  <c r="M2" i="2" s="1"/>
  <c r="N2" i="2" s="1"/>
  <c r="O2" i="2" s="1"/>
  <c r="O59" i="2" l="1"/>
  <c r="G20" i="2" l="1"/>
  <c r="F6" i="2" l="1"/>
  <c r="F87" i="2"/>
  <c r="F77" i="2" s="1"/>
  <c r="F99" i="2"/>
  <c r="F79" i="2" s="1"/>
  <c r="G6" i="2" l="1"/>
  <c r="H6" i="2"/>
  <c r="G87" i="2"/>
  <c r="G77" i="2" s="1"/>
  <c r="H87" i="2"/>
  <c r="H77" i="2" s="1"/>
  <c r="G99" i="2"/>
  <c r="H99" i="2"/>
  <c r="G79" i="2" l="1"/>
  <c r="G82" i="2" s="1"/>
  <c r="G57" i="2" s="1"/>
  <c r="G58" i="2" s="1"/>
  <c r="G102" i="2"/>
  <c r="H79" i="2"/>
  <c r="H82" i="2" s="1"/>
  <c r="H102" i="2"/>
  <c r="H123" i="2" l="1"/>
  <c r="H166" i="2" s="1"/>
  <c r="H169" i="2" s="1"/>
  <c r="H129" i="2"/>
  <c r="H57" i="2"/>
  <c r="H58" i="2" s="1"/>
  <c r="F34" i="2" l="1"/>
  <c r="F36" i="2" s="1"/>
  <c r="F37" i="2" l="1"/>
  <c r="F101" i="2"/>
  <c r="F81" i="2" l="1"/>
  <c r="F82" i="2" s="1"/>
  <c r="F57" i="2" s="1"/>
  <c r="F58" i="2" s="1"/>
  <c r="F102" i="2"/>
  <c r="F39" i="2"/>
  <c r="F72" i="2"/>
  <c r="F74" i="2" s="1"/>
  <c r="F120" i="2"/>
  <c r="F20" i="2"/>
  <c r="F123" i="2" l="1"/>
  <c r="F166" i="2" s="1"/>
  <c r="G123" i="2"/>
  <c r="G129" i="2" s="1"/>
  <c r="F163" i="2"/>
  <c r="G71" i="2"/>
  <c r="G74" i="2" s="1"/>
  <c r="F108" i="2"/>
  <c r="G166" i="2" l="1"/>
  <c r="G169" i="2" s="1"/>
  <c r="F169" i="2"/>
  <c r="F129" i="2"/>
  <c r="G108" i="2"/>
  <c r="H71" i="2"/>
  <c r="H74" i="2" s="1"/>
  <c r="H108" i="2" l="1"/>
  <c r="I71" i="2"/>
  <c r="F106" i="2" l="1"/>
  <c r="F109" i="2" s="1"/>
  <c r="G106" i="2" l="1"/>
  <c r="G109" i="2" s="1"/>
  <c r="H106" i="2" l="1"/>
  <c r="H109" i="2" s="1"/>
  <c r="I18" i="2"/>
  <c r="J18" i="2"/>
  <c r="K18" i="2"/>
  <c r="L18" i="2"/>
  <c r="M18" i="2"/>
  <c r="N18" i="2"/>
  <c r="O18" i="2"/>
  <c r="I19" i="2"/>
  <c r="J19" i="2"/>
  <c r="K19" i="2"/>
  <c r="L19" i="2"/>
  <c r="M19" i="2"/>
  <c r="N19" i="2"/>
  <c r="O19" i="2"/>
  <c r="I20" i="2"/>
  <c r="J20" i="2"/>
  <c r="K20" i="2"/>
  <c r="L20" i="2"/>
  <c r="M20" i="2"/>
  <c r="N20" i="2"/>
  <c r="O20" i="2"/>
  <c r="I24" i="2"/>
  <c r="J24" i="2"/>
  <c r="K24" i="2"/>
  <c r="L24" i="2"/>
  <c r="M24" i="2"/>
  <c r="N24" i="2"/>
  <c r="O24" i="2"/>
  <c r="I25" i="2"/>
  <c r="J25" i="2"/>
  <c r="K25" i="2"/>
  <c r="L25" i="2"/>
  <c r="M25" i="2"/>
  <c r="N25" i="2"/>
  <c r="O25" i="2"/>
  <c r="I29" i="2"/>
  <c r="J29" i="2"/>
  <c r="K29" i="2"/>
  <c r="L29" i="2"/>
  <c r="M29" i="2"/>
  <c r="N29" i="2"/>
  <c r="O29" i="2"/>
  <c r="I34" i="2"/>
  <c r="J34" i="2"/>
  <c r="K34" i="2"/>
  <c r="L34" i="2"/>
  <c r="M34" i="2"/>
  <c r="N34" i="2"/>
  <c r="O34" i="2"/>
  <c r="I36" i="2"/>
  <c r="J36" i="2"/>
  <c r="K36" i="2"/>
  <c r="L36" i="2"/>
  <c r="M36" i="2"/>
  <c r="N36" i="2"/>
  <c r="O36" i="2"/>
  <c r="I37" i="2"/>
  <c r="J37" i="2"/>
  <c r="K37" i="2"/>
  <c r="L37" i="2"/>
  <c r="M37" i="2"/>
  <c r="N37" i="2"/>
  <c r="O37" i="2"/>
  <c r="I39" i="2"/>
  <c r="J39" i="2"/>
  <c r="K39" i="2"/>
  <c r="L39" i="2"/>
  <c r="M39" i="2"/>
  <c r="N39" i="2"/>
  <c r="O39" i="2"/>
  <c r="I57" i="2"/>
  <c r="J57" i="2"/>
  <c r="K57" i="2"/>
  <c r="L57" i="2"/>
  <c r="M57" i="2"/>
  <c r="N57" i="2"/>
  <c r="O57" i="2"/>
  <c r="I58" i="2"/>
  <c r="J58" i="2"/>
  <c r="K58" i="2"/>
  <c r="L58" i="2"/>
  <c r="M58" i="2"/>
  <c r="N58" i="2"/>
  <c r="O58" i="2"/>
  <c r="J71" i="2"/>
  <c r="K71" i="2"/>
  <c r="L71" i="2"/>
  <c r="M71" i="2"/>
  <c r="N71" i="2"/>
  <c r="O71" i="2"/>
  <c r="I72" i="2"/>
  <c r="J72" i="2"/>
  <c r="K72" i="2"/>
  <c r="L72" i="2"/>
  <c r="M72" i="2"/>
  <c r="N72" i="2"/>
  <c r="O72" i="2"/>
  <c r="I74" i="2"/>
  <c r="J74" i="2"/>
  <c r="K74" i="2"/>
  <c r="L74" i="2"/>
  <c r="M74" i="2"/>
  <c r="N74" i="2"/>
  <c r="O74" i="2"/>
  <c r="I77" i="2"/>
  <c r="J77" i="2"/>
  <c r="K77" i="2"/>
  <c r="L77" i="2"/>
  <c r="M77" i="2"/>
  <c r="N77" i="2"/>
  <c r="O77" i="2"/>
  <c r="I79" i="2"/>
  <c r="J79" i="2"/>
  <c r="K79" i="2"/>
  <c r="L79" i="2"/>
  <c r="M79" i="2"/>
  <c r="N79" i="2"/>
  <c r="O79" i="2"/>
  <c r="I81" i="2"/>
  <c r="J81" i="2"/>
  <c r="K81" i="2"/>
  <c r="L81" i="2"/>
  <c r="M81" i="2"/>
  <c r="N81" i="2"/>
  <c r="O81" i="2"/>
  <c r="I82" i="2"/>
  <c r="J82" i="2"/>
  <c r="K82" i="2"/>
  <c r="L82" i="2"/>
  <c r="M82" i="2"/>
  <c r="N82" i="2"/>
  <c r="O82" i="2"/>
  <c r="F85" i="2"/>
  <c r="G85" i="2"/>
  <c r="H85" i="2"/>
  <c r="I85" i="2"/>
  <c r="J85" i="2"/>
  <c r="K85" i="2"/>
  <c r="L85" i="2"/>
  <c r="M85" i="2"/>
  <c r="N85" i="2"/>
  <c r="O85" i="2"/>
  <c r="I87" i="2"/>
  <c r="J87" i="2"/>
  <c r="K87" i="2"/>
  <c r="L87" i="2"/>
  <c r="M87" i="2"/>
  <c r="N87" i="2"/>
  <c r="O87" i="2"/>
  <c r="F89" i="2"/>
  <c r="G89" i="2"/>
  <c r="H89" i="2"/>
  <c r="I89" i="2"/>
  <c r="J89" i="2"/>
  <c r="K89" i="2"/>
  <c r="L89" i="2"/>
  <c r="M89" i="2"/>
  <c r="N89" i="2"/>
  <c r="O89" i="2"/>
  <c r="F96" i="2"/>
  <c r="G96" i="2"/>
  <c r="H96" i="2"/>
  <c r="I96" i="2"/>
  <c r="J96" i="2"/>
  <c r="K96" i="2"/>
  <c r="L96" i="2"/>
  <c r="M96" i="2"/>
  <c r="N96" i="2"/>
  <c r="O96" i="2"/>
  <c r="F98" i="2"/>
  <c r="G98" i="2"/>
  <c r="H98" i="2"/>
  <c r="I98" i="2"/>
  <c r="J98" i="2"/>
  <c r="K98" i="2"/>
  <c r="L98" i="2"/>
  <c r="M98" i="2"/>
  <c r="N98" i="2"/>
  <c r="O98" i="2"/>
  <c r="I99" i="2"/>
  <c r="J99" i="2"/>
  <c r="K99" i="2"/>
  <c r="L99" i="2"/>
  <c r="M99" i="2"/>
  <c r="N99" i="2"/>
  <c r="O99" i="2"/>
  <c r="I101" i="2"/>
  <c r="J101" i="2"/>
  <c r="K101" i="2"/>
  <c r="L101" i="2"/>
  <c r="M101" i="2"/>
  <c r="N101" i="2"/>
  <c r="O101" i="2"/>
  <c r="I102" i="2"/>
  <c r="J102" i="2"/>
  <c r="K102" i="2"/>
  <c r="L102" i="2"/>
  <c r="M102" i="2"/>
  <c r="N102" i="2"/>
  <c r="O102" i="2"/>
  <c r="I106" i="2"/>
  <c r="J106" i="2"/>
  <c r="K106" i="2"/>
  <c r="L106" i="2"/>
  <c r="M106" i="2"/>
  <c r="N106" i="2"/>
  <c r="O106" i="2"/>
  <c r="I108" i="2"/>
  <c r="J108" i="2"/>
  <c r="K108" i="2"/>
  <c r="L108" i="2"/>
  <c r="M108" i="2"/>
  <c r="N108" i="2"/>
  <c r="O108" i="2"/>
  <c r="I109" i="2"/>
  <c r="J109" i="2"/>
  <c r="K109" i="2"/>
  <c r="L109" i="2"/>
  <c r="M109" i="2"/>
  <c r="N109" i="2"/>
  <c r="O109" i="2"/>
  <c r="F111" i="2"/>
  <c r="G111" i="2"/>
  <c r="H111" i="2"/>
  <c r="I111" i="2"/>
  <c r="J111" i="2"/>
  <c r="K111" i="2"/>
  <c r="L111" i="2"/>
  <c r="M111" i="2"/>
  <c r="N111" i="2"/>
  <c r="O111" i="2"/>
  <c r="I120" i="2"/>
  <c r="J120" i="2"/>
  <c r="K120" i="2"/>
  <c r="L120" i="2"/>
  <c r="M120" i="2"/>
  <c r="N120" i="2"/>
  <c r="O120" i="2"/>
  <c r="I123" i="2"/>
  <c r="J123" i="2"/>
  <c r="K123" i="2"/>
  <c r="L123" i="2"/>
  <c r="M123" i="2"/>
  <c r="N123" i="2"/>
  <c r="O123" i="2"/>
  <c r="I129" i="2"/>
  <c r="J129" i="2"/>
  <c r="K129" i="2"/>
  <c r="L129" i="2"/>
  <c r="M129" i="2"/>
  <c r="N129" i="2"/>
  <c r="O129" i="2"/>
  <c r="F130" i="2"/>
  <c r="G130" i="2"/>
  <c r="H130" i="2"/>
  <c r="I130" i="2"/>
  <c r="J130" i="2"/>
  <c r="K130" i="2"/>
  <c r="L130" i="2"/>
  <c r="M130" i="2"/>
  <c r="N130" i="2"/>
  <c r="O130" i="2"/>
  <c r="F131" i="2"/>
  <c r="G131" i="2"/>
  <c r="H131" i="2"/>
  <c r="I131" i="2"/>
  <c r="J131" i="2"/>
  <c r="K131" i="2"/>
  <c r="L131" i="2"/>
  <c r="M131" i="2"/>
  <c r="N131" i="2"/>
  <c r="O131" i="2"/>
  <c r="F134" i="2"/>
  <c r="G134" i="2"/>
  <c r="H134" i="2"/>
  <c r="I134" i="2"/>
  <c r="J134" i="2"/>
  <c r="K134" i="2"/>
  <c r="L134" i="2"/>
  <c r="M134" i="2"/>
  <c r="N134" i="2"/>
  <c r="O134" i="2"/>
  <c r="G136" i="2"/>
  <c r="H136" i="2"/>
  <c r="I136" i="2"/>
  <c r="J136" i="2"/>
  <c r="K136" i="2"/>
  <c r="L136" i="2"/>
  <c r="M136" i="2"/>
  <c r="N136" i="2"/>
  <c r="O136" i="2"/>
  <c r="F137" i="2"/>
  <c r="G137" i="2"/>
  <c r="H137" i="2"/>
  <c r="I137" i="2"/>
  <c r="J137" i="2"/>
  <c r="K137" i="2"/>
  <c r="L137" i="2"/>
  <c r="M137" i="2"/>
  <c r="N137" i="2"/>
  <c r="O137" i="2"/>
  <c r="F138" i="2"/>
  <c r="G138" i="2"/>
  <c r="H138" i="2"/>
  <c r="I138" i="2"/>
  <c r="J138" i="2"/>
  <c r="K138" i="2"/>
  <c r="L138" i="2"/>
  <c r="M138" i="2"/>
  <c r="N138" i="2"/>
  <c r="O138" i="2"/>
  <c r="F140" i="2"/>
  <c r="G140" i="2"/>
  <c r="H140" i="2"/>
  <c r="I140" i="2"/>
  <c r="J140" i="2"/>
  <c r="K140" i="2"/>
  <c r="L140" i="2"/>
  <c r="M140" i="2"/>
  <c r="N140" i="2"/>
  <c r="O140" i="2"/>
  <c r="G148" i="2"/>
  <c r="H148" i="2"/>
  <c r="I148" i="2"/>
  <c r="J148" i="2"/>
  <c r="K148" i="2"/>
  <c r="L148" i="2"/>
  <c r="M148" i="2"/>
  <c r="N148" i="2"/>
  <c r="O148" i="2"/>
  <c r="F149" i="2"/>
  <c r="G149" i="2"/>
  <c r="H149" i="2"/>
  <c r="I149" i="2"/>
  <c r="J149" i="2"/>
  <c r="K149" i="2"/>
  <c r="L149" i="2"/>
  <c r="M149" i="2"/>
  <c r="N149" i="2"/>
  <c r="O149" i="2"/>
  <c r="F150" i="2"/>
  <c r="G150" i="2"/>
  <c r="H150" i="2"/>
  <c r="I150" i="2"/>
  <c r="J150" i="2"/>
  <c r="K150" i="2"/>
  <c r="L150" i="2"/>
  <c r="M150" i="2"/>
  <c r="N150" i="2"/>
  <c r="O150" i="2"/>
  <c r="F152" i="2"/>
  <c r="G152" i="2"/>
  <c r="H152" i="2"/>
  <c r="I152" i="2"/>
  <c r="J152" i="2"/>
  <c r="K152" i="2"/>
  <c r="L152" i="2"/>
  <c r="M152" i="2"/>
  <c r="N152" i="2"/>
  <c r="O152" i="2"/>
  <c r="F155" i="2"/>
  <c r="G155" i="2"/>
  <c r="H155" i="2"/>
  <c r="I155" i="2"/>
  <c r="J155" i="2"/>
  <c r="K155" i="2"/>
  <c r="L155" i="2"/>
  <c r="M155" i="2"/>
  <c r="N155" i="2"/>
  <c r="O155" i="2"/>
  <c r="F157" i="2"/>
  <c r="G157" i="2"/>
  <c r="H157" i="2"/>
  <c r="I157" i="2"/>
  <c r="J157" i="2"/>
  <c r="K157" i="2"/>
  <c r="L157" i="2"/>
  <c r="M157" i="2"/>
  <c r="N157" i="2"/>
  <c r="O157" i="2"/>
  <c r="F158" i="2"/>
  <c r="G158" i="2"/>
  <c r="H158" i="2"/>
  <c r="I158" i="2"/>
  <c r="J158" i="2"/>
  <c r="K158" i="2"/>
  <c r="L158" i="2"/>
  <c r="M158" i="2"/>
  <c r="N158" i="2"/>
  <c r="O158" i="2"/>
  <c r="F159" i="2"/>
  <c r="G159" i="2"/>
  <c r="H159" i="2"/>
  <c r="I159" i="2"/>
  <c r="J159" i="2"/>
  <c r="K159" i="2"/>
  <c r="L159" i="2"/>
  <c r="M159" i="2"/>
  <c r="N159" i="2"/>
  <c r="O159" i="2"/>
  <c r="F160" i="2"/>
  <c r="G160" i="2"/>
  <c r="H160" i="2"/>
  <c r="I160" i="2"/>
  <c r="J160" i="2"/>
  <c r="K160" i="2"/>
  <c r="L160" i="2"/>
  <c r="M160" i="2"/>
  <c r="N160" i="2"/>
  <c r="O160" i="2"/>
  <c r="I163" i="2"/>
  <c r="J163" i="2"/>
  <c r="K163" i="2"/>
  <c r="L163" i="2"/>
  <c r="M163" i="2"/>
  <c r="N163" i="2"/>
  <c r="O163" i="2"/>
  <c r="I166" i="2"/>
  <c r="J166" i="2"/>
  <c r="K166" i="2"/>
  <c r="L166" i="2"/>
  <c r="M166" i="2"/>
  <c r="N166" i="2"/>
  <c r="O166" i="2"/>
  <c r="I169" i="2"/>
  <c r="J169" i="2"/>
  <c r="K169" i="2"/>
  <c r="L169" i="2"/>
  <c r="M169" i="2"/>
  <c r="N169" i="2"/>
  <c r="O169" i="2"/>
  <c r="F175" i="2"/>
  <c r="G175" i="2"/>
  <c r="H175" i="2"/>
  <c r="I175" i="2"/>
  <c r="J175" i="2"/>
  <c r="K175" i="2"/>
  <c r="L175" i="2"/>
  <c r="M175" i="2"/>
  <c r="N175" i="2"/>
  <c r="O175" i="2"/>
  <c r="F178" i="2"/>
  <c r="G178" i="2"/>
  <c r="H178" i="2"/>
  <c r="I178" i="2"/>
  <c r="J178" i="2"/>
  <c r="K178" i="2"/>
  <c r="L178" i="2"/>
  <c r="M178" i="2"/>
  <c r="N178" i="2"/>
  <c r="O178" i="2"/>
  <c r="F180" i="2"/>
  <c r="G180" i="2"/>
  <c r="H180" i="2"/>
  <c r="I180" i="2"/>
  <c r="J180" i="2"/>
  <c r="K180" i="2"/>
  <c r="L180" i="2"/>
  <c r="M180" i="2"/>
  <c r="N180" i="2"/>
  <c r="O180" i="2"/>
  <c r="F181" i="2"/>
  <c r="G181" i="2"/>
  <c r="H181" i="2"/>
  <c r="I181" i="2"/>
  <c r="J181" i="2"/>
  <c r="K181" i="2"/>
  <c r="L181" i="2"/>
  <c r="M181" i="2"/>
  <c r="N181" i="2"/>
  <c r="O181" i="2"/>
  <c r="F183" i="2"/>
  <c r="G183" i="2"/>
  <c r="H183" i="2"/>
  <c r="I183" i="2"/>
  <c r="J183" i="2"/>
  <c r="K183" i="2"/>
  <c r="L183" i="2"/>
  <c r="M183" i="2"/>
  <c r="N183" i="2"/>
  <c r="O183" i="2"/>
</calcChain>
</file>

<file path=xl/comments1.xml><?xml version="1.0" encoding="utf-8"?>
<comments xmlns="http://schemas.openxmlformats.org/spreadsheetml/2006/main">
  <authors>
    <author>FE</author>
  </authors>
  <commentList>
    <comment ref="F14" authorId="0" shapeId="0">
      <text>
        <r>
          <rPr>
            <b/>
            <sz val="9"/>
            <color indexed="81"/>
            <rFont val="Tahoma"/>
            <family val="2"/>
          </rPr>
          <t>FE:</t>
        </r>
        <r>
          <rPr>
            <sz val="9"/>
            <color indexed="81"/>
            <rFont val="Tahoma"/>
            <family val="2"/>
          </rPr>
          <t xml:space="preserve">
Page 1 of 2015 10K pdf pg 21</t>
        </r>
      </text>
    </comment>
    <comment ref="F23" authorId="0" shapeId="0">
      <text>
        <r>
          <rPr>
            <b/>
            <sz val="9"/>
            <color indexed="81"/>
            <rFont val="Tahoma"/>
            <charset val="1"/>
          </rPr>
          <t>FE:</t>
        </r>
        <r>
          <rPr>
            <sz val="9"/>
            <color indexed="81"/>
            <rFont val="Tahoma"/>
            <charset val="1"/>
          </rPr>
          <t xml:space="preserve">
CapIQ pdf pg 5 and 7</t>
        </r>
      </text>
    </comment>
    <comment ref="G23" authorId="0" shapeId="0">
      <text>
        <r>
          <rPr>
            <b/>
            <sz val="9"/>
            <color indexed="81"/>
            <rFont val="Tahoma"/>
            <charset val="1"/>
          </rPr>
          <t>FE:</t>
        </r>
        <r>
          <rPr>
            <sz val="9"/>
            <color indexed="81"/>
            <rFont val="Tahoma"/>
            <charset val="1"/>
          </rPr>
          <t xml:space="preserve">
CapIQ pdf pg 5 and 7</t>
        </r>
      </text>
    </comment>
    <comment ref="H23" authorId="0" shapeId="0">
      <text>
        <r>
          <rPr>
            <b/>
            <sz val="9"/>
            <color indexed="81"/>
            <rFont val="Tahoma"/>
            <charset val="1"/>
          </rPr>
          <t>FE:</t>
        </r>
        <r>
          <rPr>
            <sz val="9"/>
            <color indexed="81"/>
            <rFont val="Tahoma"/>
            <charset val="1"/>
          </rPr>
          <t xml:space="preserve">
CapIQ pdf pg 5 and 7</t>
        </r>
      </text>
    </comment>
    <comment ref="C24" authorId="0" shapeId="0">
      <text>
        <r>
          <rPr>
            <b/>
            <sz val="9"/>
            <color indexed="81"/>
            <rFont val="Tahoma"/>
            <family val="2"/>
          </rPr>
          <t>FE:</t>
        </r>
        <r>
          <rPr>
            <sz val="9"/>
            <color indexed="81"/>
            <rFont val="Tahoma"/>
            <family val="2"/>
          </rPr>
          <t xml:space="preserve">
Depreciation - footnote 4 pg F18 2015 10K pdf pg 98
Amortization - Footnote 6 pg F19 2015 10K pdf pg 99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FE:</t>
        </r>
        <r>
          <rPr>
            <sz val="9"/>
            <color indexed="81"/>
            <rFont val="Tahoma"/>
            <family val="2"/>
          </rPr>
          <t xml:space="preserve">
Depreciation - footnote 4 pg F18 2015 10K pdf pg 98
Amortization - Footnote 6 pg F19 2015 10K pdf pg 99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FE:</t>
        </r>
        <r>
          <rPr>
            <sz val="9"/>
            <color indexed="81"/>
            <rFont val="Tahoma"/>
            <family val="2"/>
          </rPr>
          <t xml:space="preserve">
Depreciation - footnote 4 pg F18 2015 10K pdf pg 98
Impairment - footnote 4 pg F18 2015 10K pdf pg 98
Amortization is zero</t>
        </r>
      </text>
    </comment>
    <comment ref="F25" authorId="0" shapeId="0">
      <text>
        <r>
          <rPr>
            <b/>
            <sz val="9"/>
            <color indexed="81"/>
            <rFont val="Tahoma"/>
            <charset val="1"/>
          </rPr>
          <t>FE:</t>
        </r>
        <r>
          <rPr>
            <sz val="9"/>
            <color indexed="81"/>
            <rFont val="Tahoma"/>
            <charset val="1"/>
          </rPr>
          <t xml:space="preserve">
CapIQ pdf pg 5 and 7</t>
        </r>
      </text>
    </comment>
    <comment ref="G25" authorId="0" shapeId="0">
      <text>
        <r>
          <rPr>
            <b/>
            <sz val="9"/>
            <color indexed="81"/>
            <rFont val="Tahoma"/>
            <charset val="1"/>
          </rPr>
          <t>FE:</t>
        </r>
        <r>
          <rPr>
            <sz val="9"/>
            <color indexed="81"/>
            <rFont val="Tahoma"/>
            <charset val="1"/>
          </rPr>
          <t xml:space="preserve">
CapIQ pdf pg 5 and 7</t>
        </r>
      </text>
    </comment>
    <comment ref="H25" authorId="0" shapeId="0">
      <text>
        <r>
          <rPr>
            <b/>
            <sz val="9"/>
            <color indexed="81"/>
            <rFont val="Tahoma"/>
            <charset val="1"/>
          </rPr>
          <t>FE:</t>
        </r>
        <r>
          <rPr>
            <sz val="9"/>
            <color indexed="81"/>
            <rFont val="Tahoma"/>
            <charset val="1"/>
          </rPr>
          <t xml:space="preserve">
CapIQ pdf pg 5 and 7</t>
        </r>
      </text>
    </comment>
    <comment ref="B27" authorId="0" shapeId="0">
      <text>
        <r>
          <rPr>
            <b/>
            <sz val="9"/>
            <color indexed="81"/>
            <rFont val="Tahoma"/>
            <family val="2"/>
          </rPr>
          <t>FE:</t>
        </r>
        <r>
          <rPr>
            <sz val="9"/>
            <color indexed="81"/>
            <rFont val="Tahoma"/>
            <family val="2"/>
          </rPr>
          <t xml:space="preserve">
Footnote 6 pg F19 2015 10K pdf pg 99</t>
        </r>
      </text>
    </comment>
    <comment ref="B28" authorId="0" shapeId="0">
      <text>
        <r>
          <rPr>
            <b/>
            <sz val="9"/>
            <color indexed="81"/>
            <rFont val="Tahoma"/>
            <family val="2"/>
          </rPr>
          <t>FE:</t>
        </r>
        <r>
          <rPr>
            <sz val="9"/>
            <color indexed="81"/>
            <rFont val="Tahoma"/>
            <family val="2"/>
          </rPr>
          <t xml:space="preserve">
Footnote 6 pg F19 2015 10K pdf pg 99
</t>
        </r>
      </text>
    </comment>
    <comment ref="F29" authorId="0" shapeId="0">
      <text>
        <r>
          <rPr>
            <b/>
            <sz val="9"/>
            <color indexed="81"/>
            <rFont val="Tahoma"/>
            <charset val="1"/>
          </rPr>
          <t>FE:</t>
        </r>
        <r>
          <rPr>
            <sz val="9"/>
            <color indexed="81"/>
            <rFont val="Tahoma"/>
            <charset val="1"/>
          </rPr>
          <t xml:space="preserve">
CapIQ pdf pg 5 and 7</t>
        </r>
      </text>
    </comment>
    <comment ref="G29" authorId="0" shapeId="0">
      <text>
        <r>
          <rPr>
            <b/>
            <sz val="9"/>
            <color indexed="81"/>
            <rFont val="Tahoma"/>
            <charset val="1"/>
          </rPr>
          <t>FE:</t>
        </r>
        <r>
          <rPr>
            <sz val="9"/>
            <color indexed="81"/>
            <rFont val="Tahoma"/>
            <charset val="1"/>
          </rPr>
          <t xml:space="preserve">
CapIQ pdf pg 5 and 7</t>
        </r>
      </text>
    </comment>
    <comment ref="H29" authorId="0" shapeId="0">
      <text>
        <r>
          <rPr>
            <b/>
            <sz val="9"/>
            <color indexed="81"/>
            <rFont val="Tahoma"/>
            <charset val="1"/>
          </rPr>
          <t>FE:</t>
        </r>
        <r>
          <rPr>
            <sz val="9"/>
            <color indexed="81"/>
            <rFont val="Tahoma"/>
            <charset val="1"/>
          </rPr>
          <t xml:space="preserve">
CapIQ pdf pg 5 and 7</t>
        </r>
      </text>
    </comment>
    <comment ref="C37" authorId="0" shapeId="0">
      <text>
        <r>
          <rPr>
            <b/>
            <sz val="9"/>
            <color indexed="81"/>
            <rFont val="Tahoma"/>
            <charset val="1"/>
          </rPr>
          <t>FE:</t>
        </r>
        <r>
          <rPr>
            <sz val="9"/>
            <color indexed="81"/>
            <rFont val="Tahoma"/>
            <charset val="1"/>
          </rPr>
          <t xml:space="preserve">
Agreed to reported NI</t>
        </r>
      </text>
    </comment>
    <comment ref="D37" authorId="0" shapeId="0">
      <text>
        <r>
          <rPr>
            <b/>
            <sz val="9"/>
            <color indexed="81"/>
            <rFont val="Tahoma"/>
            <charset val="1"/>
          </rPr>
          <t>FE:</t>
        </r>
        <r>
          <rPr>
            <sz val="9"/>
            <color indexed="81"/>
            <rFont val="Tahoma"/>
            <charset val="1"/>
          </rPr>
          <t xml:space="preserve">
Agreed to reported NI</t>
        </r>
      </text>
    </comment>
    <comment ref="E37" authorId="0" shapeId="0">
      <text>
        <r>
          <rPr>
            <b/>
            <sz val="9"/>
            <color indexed="81"/>
            <rFont val="Tahoma"/>
            <charset val="1"/>
          </rPr>
          <t>FE:</t>
        </r>
        <r>
          <rPr>
            <sz val="9"/>
            <color indexed="81"/>
            <rFont val="Tahoma"/>
            <charset val="1"/>
          </rPr>
          <t xml:space="preserve">
Agreed to reported NI</t>
        </r>
      </text>
    </comment>
  </commentList>
</comments>
</file>

<file path=xl/sharedStrings.xml><?xml version="1.0" encoding="utf-8"?>
<sst xmlns="http://schemas.openxmlformats.org/spreadsheetml/2006/main" count="183" uniqueCount="147">
  <si>
    <t>Features</t>
  </si>
  <si>
    <t>◦</t>
  </si>
  <si>
    <t>Model Details</t>
  </si>
  <si>
    <t>Company name</t>
  </si>
  <si>
    <t>Date</t>
  </si>
  <si>
    <t>Currency</t>
  </si>
  <si>
    <t>Units</t>
  </si>
  <si>
    <t>Analyst Name</t>
  </si>
  <si>
    <t>Circular Switch</t>
  </si>
  <si>
    <t>USD</t>
  </si>
  <si>
    <t>Firstname Lastname</t>
  </si>
  <si>
    <t>This document is for training purposes only. Financial Edge accepts no responsibility or liability for any other purpose or usage.</t>
  </si>
  <si>
    <t>Hist.</t>
  </si>
  <si>
    <t>Proj.</t>
  </si>
  <si>
    <t>Formatting</t>
  </si>
  <si>
    <t>Input</t>
  </si>
  <si>
    <t>Hard coded</t>
  </si>
  <si>
    <t>Formulas</t>
  </si>
  <si>
    <t>Workout Information</t>
  </si>
  <si>
    <t>Tab Structure</t>
  </si>
  <si>
    <t>Modeling</t>
  </si>
  <si>
    <t>Modeling an income statement</t>
  </si>
  <si>
    <t>Modeling a balance sheet</t>
  </si>
  <si>
    <t>Modeling a cash flow statement</t>
  </si>
  <si>
    <t>Assumptions, income statement, balance sheet, cash flow statement</t>
  </si>
  <si>
    <t>Revenue growth</t>
  </si>
  <si>
    <t>Operating costs % revenues</t>
  </si>
  <si>
    <t>Income Statement</t>
  </si>
  <si>
    <t>Revenues</t>
  </si>
  <si>
    <t>Operating costs</t>
  </si>
  <si>
    <t>Net income</t>
  </si>
  <si>
    <t>Balance Sheet</t>
  </si>
  <si>
    <t>Total assets</t>
  </si>
  <si>
    <t>Total liabilities</t>
  </si>
  <si>
    <t>Total liabilities and equity</t>
  </si>
  <si>
    <t>Net cash flow</t>
  </si>
  <si>
    <t>Beginning cash and cash equivalents</t>
  </si>
  <si>
    <t>Ending cash and cash equivalents</t>
  </si>
  <si>
    <t>Model 2</t>
  </si>
  <si>
    <t>Model 1</t>
  </si>
  <si>
    <t>Income Statement Assumptions</t>
  </si>
  <si>
    <t>Balance Sheet Assumptions</t>
  </si>
  <si>
    <t>EBITDA</t>
  </si>
  <si>
    <t>EBIT</t>
  </si>
  <si>
    <t>Interest income</t>
  </si>
  <si>
    <t>Interest expense</t>
  </si>
  <si>
    <t>Earnings before tax</t>
  </si>
  <si>
    <t>Long term debt</t>
  </si>
  <si>
    <t>Net Debt and Interest Assumptions</t>
  </si>
  <si>
    <t>Operating Statistics</t>
  </si>
  <si>
    <t>Balance Sheet Calculations</t>
  </si>
  <si>
    <t>Cash Flow Statement</t>
  </si>
  <si>
    <t>Net Debt and Interest Calculations</t>
  </si>
  <si>
    <t>EBIT margin</t>
  </si>
  <si>
    <t>NI margin</t>
  </si>
  <si>
    <t>Capex % revenues</t>
  </si>
  <si>
    <t>Long term debt issuance / (repayment)</t>
  </si>
  <si>
    <t>Capex</t>
  </si>
  <si>
    <t>Beginning equity</t>
  </si>
  <si>
    <t>Dividends</t>
  </si>
  <si>
    <t>Ending equity</t>
  </si>
  <si>
    <t>OWC</t>
  </si>
  <si>
    <t>OWC % revenues</t>
  </si>
  <si>
    <t>Cash and cash equivalents interest rate</t>
  </si>
  <si>
    <t>Long term debt interest rate</t>
  </si>
  <si>
    <t>Cash available to service debt</t>
  </si>
  <si>
    <t>Cash flow generated to service debt</t>
  </si>
  <si>
    <t>Change in OWC</t>
  </si>
  <si>
    <t>Surplus cash / (revolver requirement)</t>
  </si>
  <si>
    <t>Beginning long term debt</t>
  </si>
  <si>
    <t>Ending long term debt</t>
  </si>
  <si>
    <t>Net Debt and Interest Statistics</t>
  </si>
  <si>
    <t>Net debt</t>
  </si>
  <si>
    <t>Net debt / EBITDA</t>
  </si>
  <si>
    <t>EBITDA margin</t>
  </si>
  <si>
    <t>Workout</t>
  </si>
  <si>
    <t>Depreciation % beginning net PP&amp;E</t>
  </si>
  <si>
    <t>Effective tax rate</t>
  </si>
  <si>
    <t>Marginal tax rate</t>
  </si>
  <si>
    <t>Dividends per share</t>
  </si>
  <si>
    <t>Basic WASO</t>
  </si>
  <si>
    <t>Diluted WASO</t>
  </si>
  <si>
    <t>Depreciation</t>
  </si>
  <si>
    <t>Amortization</t>
  </si>
  <si>
    <t>Income tax expense</t>
  </si>
  <si>
    <t>Amortization amount</t>
  </si>
  <si>
    <t>Non recurring items amount</t>
  </si>
  <si>
    <t>Non recurring items</t>
  </si>
  <si>
    <t>Other non current liabilities % revenues</t>
  </si>
  <si>
    <t>Beginning PP&amp;E</t>
  </si>
  <si>
    <t>Beginning intangibles</t>
  </si>
  <si>
    <t>Ending intangibles</t>
  </si>
  <si>
    <t>Operating working capital</t>
  </si>
  <si>
    <t>Ending PP&amp;E</t>
  </si>
  <si>
    <t>Cash and equivalents</t>
  </si>
  <si>
    <t>Net PP&amp;E</t>
  </si>
  <si>
    <t>Goodwill</t>
  </si>
  <si>
    <t>Other intangibles</t>
  </si>
  <si>
    <t>Total equity</t>
  </si>
  <si>
    <t>Check?</t>
  </si>
  <si>
    <t>Total current assets</t>
  </si>
  <si>
    <t>Long term Investments</t>
  </si>
  <si>
    <t>Other long term assets</t>
  </si>
  <si>
    <t>Short term borrowings</t>
  </si>
  <si>
    <t>Total current liabilities</t>
  </si>
  <si>
    <t>Other non current liabilities</t>
  </si>
  <si>
    <t>Short term borrowings interest rate</t>
  </si>
  <si>
    <t>Change in other long term assets</t>
  </si>
  <si>
    <t>Change in other non current liabilities</t>
  </si>
  <si>
    <t>Change in long term investments</t>
  </si>
  <si>
    <t>Interest rate</t>
  </si>
  <si>
    <t>Beginning short term borrowings</t>
  </si>
  <si>
    <t>Short term borrowings issuance (repayment)</t>
  </si>
  <si>
    <t>Total debt</t>
  </si>
  <si>
    <t>(Dividends)</t>
  </si>
  <si>
    <t>Cash from financing</t>
  </si>
  <si>
    <t>Net change in cash</t>
  </si>
  <si>
    <t>Cash balance</t>
  </si>
  <si>
    <t>Cash flow from operations</t>
  </si>
  <si>
    <t>Cash from investing activities</t>
  </si>
  <si>
    <t>Change in short term borrowings</t>
  </si>
  <si>
    <t>Change in long term debt</t>
  </si>
  <si>
    <t>PP&amp;E % revenue</t>
  </si>
  <si>
    <t>Total debt / EBITDA</t>
  </si>
  <si>
    <t>Ending short term borrowings</t>
  </si>
  <si>
    <t>Issuance / (repayment)</t>
  </si>
  <si>
    <t>Net interest expense</t>
  </si>
  <si>
    <t>Other non operating (income) / expense</t>
  </si>
  <si>
    <t>Thousands</t>
  </si>
  <si>
    <t>Diluted EPS</t>
  </si>
  <si>
    <t>Receivables</t>
  </si>
  <si>
    <t>Inventories</t>
  </si>
  <si>
    <t>Prepaids and other current assets</t>
  </si>
  <si>
    <t>Payables</t>
  </si>
  <si>
    <t>Accrued expenses</t>
  </si>
  <si>
    <t>Income taxes payable</t>
  </si>
  <si>
    <t>Receivable days</t>
  </si>
  <si>
    <t>Inventory days</t>
  </si>
  <si>
    <t>Prepaid and other current assets % revenues</t>
  </si>
  <si>
    <t>Payable days</t>
  </si>
  <si>
    <t>Accrued expenses % revenues</t>
  </si>
  <si>
    <t>Income taxes payable % tax expense</t>
  </si>
  <si>
    <t>Long term investments - amount</t>
  </si>
  <si>
    <t>Other long term assets % revenues</t>
  </si>
  <si>
    <t>XXXX</t>
  </si>
  <si>
    <t>Dividends per share growth</t>
  </si>
  <si>
    <t>Finding errors in models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</si>
</sst>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4">
    <numFmt numFmtId="42" formatCode="_-&quot;£&quot;* #,##0_-;\-&quot;£&quot;* #,##0_-;_-&quot;£&quot;* &quot;-&quot;_-;_-@_-"/>
    <numFmt numFmtId="41" formatCode="_-* #,##0_-;\-* #,##0_-;_-* &quot;-&quot;_-;_-@_-"/>
    <numFmt numFmtId="44" formatCode="_-&quot;£&quot;* #,##0.00_-;\-&quot;£&quot;* #,##0.00_-;_-&quot;£&quot;* &quot;-&quot;??_-;_-@_-"/>
    <numFmt numFmtId="43" formatCode="_-* #,##0.00_-;\-* #,##0.00_-;_-* &quot;-&quot;??_-;_-@_-"/>
    <numFmt numFmtId="164" formatCode="[$-409]d\-mmm\-yy;@"/>
    <numFmt numFmtId="165" formatCode="0.0"/>
    <numFmt numFmtId="166" formatCode="#,##0.0_);\(#,##0.0\)\,0.0_);@_)"/>
    <numFmt numFmtId="167" formatCode="#,##0.0\ \x_);\(#,##0.0\ \x\);"/>
    <numFmt numFmtId="168" formatCode="0.0%_);\(0.0%\)"/>
    <numFmt numFmtId="169" formatCode=";;;"/>
    <numFmt numFmtId="170" formatCode="#,##0.0_);\(#,##0.0\);0.0_);@_)"/>
    <numFmt numFmtId="171" formatCode="#,##0.0_);\(#,##0.0\)"/>
    <numFmt numFmtId="172" formatCode="#,##0.00_);\(#,##0.00\)"/>
    <numFmt numFmtId="173" formatCode="#,##0.00_);\(#,##0.00\);0.00_);@_)"/>
  </numFmts>
  <fonts count="37" x14ac:knownFonts="1">
    <font>
      <sz val="11"/>
      <color theme="1" tint="0.2499465926084170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rgb="FF085393"/>
      <name val="Calibri"/>
      <family val="2"/>
      <scheme val="minor"/>
    </font>
    <font>
      <b/>
      <sz val="12"/>
      <color rgb="FF163260"/>
      <name val="Calibri"/>
      <family val="2"/>
      <scheme val="minor"/>
    </font>
    <font>
      <sz val="10"/>
      <color rgb="FF085393"/>
      <name val="Calibri"/>
      <family val="2"/>
      <scheme val="minor"/>
    </font>
    <font>
      <u/>
      <sz val="11"/>
      <color rgb="FF085393"/>
      <name val="Calibri"/>
      <family val="2"/>
      <scheme val="minor"/>
    </font>
    <font>
      <u/>
      <sz val="14"/>
      <color rgb="FF085393"/>
      <name val="Calibri"/>
      <family val="2"/>
      <scheme val="minor"/>
    </font>
    <font>
      <sz val="16"/>
      <color theme="0"/>
      <name val="Calibri Light"/>
      <family val="2"/>
      <scheme val="maj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8"/>
      <color rgb="FF006100"/>
      <name val="Calibri"/>
      <family val="2"/>
      <scheme val="minor"/>
    </font>
    <font>
      <sz val="18"/>
      <color rgb="FF9C0006"/>
      <name val="Calibri"/>
      <family val="2"/>
      <scheme val="minor"/>
    </font>
    <font>
      <sz val="18"/>
      <color rgb="FF9C6500"/>
      <name val="Calibri"/>
      <family val="2"/>
      <scheme val="minor"/>
    </font>
    <font>
      <sz val="18"/>
      <color rgb="FF3F3F76"/>
      <name val="Calibri"/>
      <family val="2"/>
      <scheme val="minor"/>
    </font>
    <font>
      <b/>
      <sz val="18"/>
      <color rgb="FF3F3F3F"/>
      <name val="Calibri"/>
      <family val="2"/>
      <scheme val="minor"/>
    </font>
    <font>
      <b/>
      <sz val="18"/>
      <color rgb="FFFA7D00"/>
      <name val="Calibri"/>
      <family val="2"/>
      <scheme val="minor"/>
    </font>
    <font>
      <sz val="18"/>
      <color rgb="FFFA7D00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8"/>
      <color rgb="FFFF0000"/>
      <name val="Calibri"/>
      <family val="2"/>
      <scheme val="minor"/>
    </font>
    <font>
      <i/>
      <sz val="18"/>
      <color rgb="FF7F7F7F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0000FF"/>
      <name val="Calibri"/>
      <family val="2"/>
      <scheme val="minor"/>
    </font>
    <font>
      <sz val="9"/>
      <color rgb="FF085393"/>
      <name val="Calibri"/>
      <family val="2"/>
      <scheme val="minor"/>
    </font>
    <font>
      <sz val="22"/>
      <color theme="0"/>
      <name val="Calibri Light"/>
      <family val="2"/>
      <scheme val="maj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9">
    <fill>
      <patternFill patternType="none"/>
    </fill>
    <fill>
      <patternFill patternType="gray125"/>
    </fill>
    <fill>
      <patternFill patternType="solid">
        <fgColor rgb="FF163260"/>
        <bgColor indexed="64"/>
      </patternFill>
    </fill>
    <fill>
      <patternFill patternType="solid">
        <fgColor rgb="FF0853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0F8FE"/>
        <bgColor indexed="64"/>
      </patternFill>
    </fill>
    <fill>
      <patternFill patternType="solid">
        <fgColor theme="7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theme="0" tint="-0.1499984740745262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BDEFB"/>
      </left>
      <right style="thin">
        <color rgb="FFBBDEFB"/>
      </right>
      <top style="thin">
        <color rgb="FFBBDEFB"/>
      </top>
      <bottom style="thin">
        <color rgb="FFBBDEFB"/>
      </bottom>
      <diagonal/>
    </border>
    <border>
      <left/>
      <right/>
      <top/>
      <bottom style="medium">
        <color theme="0" tint="-0.14996795556505021"/>
      </bottom>
      <diagonal/>
    </border>
  </borders>
  <cellStyleXfs count="67">
    <xf numFmtId="170" fontId="0" fillId="0" borderId="0"/>
    <xf numFmtId="0" fontId="6" fillId="0" borderId="0" applyNumberFormat="0" applyFill="0" applyBorder="0" applyAlignment="0" applyProtection="0"/>
    <xf numFmtId="43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2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2" applyNumberFormat="0" applyFill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14" fillId="6" borderId="0" applyNumberFormat="0" applyBorder="0" applyAlignment="0" applyProtection="0"/>
    <xf numFmtId="0" fontId="15" fillId="7" borderId="0" applyNumberFormat="0" applyBorder="0" applyAlignment="0" applyProtection="0"/>
    <xf numFmtId="0" fontId="16" fillId="8" borderId="0" applyNumberFormat="0" applyBorder="0" applyAlignment="0" applyProtection="0"/>
    <xf numFmtId="0" fontId="17" fillId="9" borderId="5" applyNumberFormat="0" applyAlignment="0" applyProtection="0"/>
    <xf numFmtId="0" fontId="18" fillId="10" borderId="6" applyNumberFormat="0" applyAlignment="0" applyProtection="0"/>
    <xf numFmtId="0" fontId="19" fillId="10" borderId="5" applyNumberFormat="0" applyAlignment="0" applyProtection="0"/>
    <xf numFmtId="0" fontId="20" fillId="0" borderId="7" applyNumberFormat="0" applyFill="0" applyAlignment="0" applyProtection="0"/>
    <xf numFmtId="0" fontId="21" fillId="11" borderId="8" applyNumberFormat="0" applyAlignment="0" applyProtection="0"/>
    <xf numFmtId="0" fontId="22" fillId="0" borderId="0" applyNumberFormat="0" applyFill="0" applyBorder="0" applyAlignment="0" applyProtection="0"/>
    <xf numFmtId="0" fontId="9" fillId="12" borderId="9" applyNumberFormat="0" applyFont="0" applyAlignment="0" applyProtection="0"/>
    <xf numFmtId="0" fontId="23" fillId="0" borderId="0" applyNumberFormat="0" applyFill="0" applyBorder="0" applyAlignment="0" applyProtection="0"/>
    <xf numFmtId="0" fontId="24" fillId="0" borderId="10" applyNumberFormat="0" applyFill="0" applyAlignment="0" applyProtection="0"/>
    <xf numFmtId="0" fontId="25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5" fillId="16" borderId="0" applyNumberFormat="0" applyBorder="0" applyAlignment="0" applyProtection="0"/>
    <xf numFmtId="0" fontId="25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5" fillId="20" borderId="0" applyNumberFormat="0" applyBorder="0" applyAlignment="0" applyProtection="0"/>
    <xf numFmtId="0" fontId="25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5" fillId="24" borderId="0" applyNumberFormat="0" applyBorder="0" applyAlignment="0" applyProtection="0"/>
    <xf numFmtId="0" fontId="25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5" fillId="28" borderId="0" applyNumberFormat="0" applyBorder="0" applyAlignment="0" applyProtection="0"/>
    <xf numFmtId="0" fontId="25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5" fillId="32" borderId="0" applyNumberFormat="0" applyBorder="0" applyAlignment="0" applyProtection="0"/>
    <xf numFmtId="0" fontId="25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5" fillId="36" borderId="0" applyNumberFormat="0" applyBorder="0" applyAlignment="0" applyProtection="0"/>
    <xf numFmtId="0" fontId="32" fillId="2" borderId="0" applyNumberFormat="0">
      <alignment horizontal="left"/>
    </xf>
    <xf numFmtId="0" fontId="8" fillId="3" borderId="0" applyNumberFormat="0" applyAlignment="0">
      <alignment horizontal="left"/>
    </xf>
    <xf numFmtId="0" fontId="4" fillId="0" borderId="0" applyNumberFormat="0" applyFill="0" applyBorder="0">
      <alignment horizontal="left" vertical="center"/>
    </xf>
    <xf numFmtId="0" fontId="2" fillId="5" borderId="0" applyNumberFormat="0" applyFont="0" applyAlignment="0" applyProtection="0">
      <alignment vertical="top"/>
    </xf>
    <xf numFmtId="164" fontId="28" fillId="3" borderId="0">
      <alignment horizontal="center"/>
    </xf>
    <xf numFmtId="166" fontId="27" fillId="2" borderId="0">
      <alignment horizontal="center"/>
    </xf>
    <xf numFmtId="166" fontId="3" fillId="0" borderId="0">
      <alignment vertical="top"/>
    </xf>
    <xf numFmtId="164" fontId="29" fillId="0" borderId="0" applyFont="0" applyFill="0" applyBorder="0" applyAlignment="0" applyProtection="0"/>
    <xf numFmtId="167" fontId="9" fillId="0" borderId="0" applyFont="0" applyFill="0" applyBorder="0" applyAlignment="0" applyProtection="0"/>
    <xf numFmtId="168" fontId="29" fillId="2" borderId="0" applyFont="0" applyFill="0" applyBorder="0" applyAlignment="0" applyProtection="0"/>
    <xf numFmtId="166" fontId="30" fillId="2" borderId="0" applyNumberFormat="0" applyFill="0" applyBorder="0" applyAlignment="0" applyProtection="0"/>
    <xf numFmtId="166" fontId="31" fillId="0" borderId="0" applyNumberFormat="0" applyFill="0" applyBorder="0" applyAlignment="0">
      <alignment vertical="top"/>
    </xf>
    <xf numFmtId="169" fontId="29" fillId="2" borderId="0" applyFont="0" applyFill="0" applyBorder="0" applyAlignment="0" applyProtection="0"/>
    <xf numFmtId="167" fontId="30" fillId="37" borderId="11" applyNumberFormat="0">
      <protection locked="0"/>
    </xf>
    <xf numFmtId="0" fontId="2" fillId="5" borderId="12" applyFont="0" applyAlignment="0" applyProtection="0">
      <alignment vertical="top"/>
    </xf>
    <xf numFmtId="166" fontId="32" fillId="3" borderId="0" applyNumberFormat="0" applyBorder="0">
      <alignment horizontal="center" vertical="top"/>
    </xf>
    <xf numFmtId="166" fontId="3" fillId="38" borderId="0" applyNumberFormat="0" applyFont="0" applyBorder="0" applyAlignment="0" applyProtection="0">
      <alignment vertical="top"/>
    </xf>
    <xf numFmtId="168" fontId="9" fillId="0" borderId="0" applyFont="0" applyFill="0" applyBorder="0" applyAlignment="0" applyProtection="0"/>
    <xf numFmtId="171" fontId="30" fillId="0" borderId="0" applyNumberFormat="0" applyFill="0" applyBorder="0" applyAlignment="0" applyProtection="0"/>
  </cellStyleXfs>
  <cellXfs count="91">
    <xf numFmtId="170" fontId="0" fillId="0" borderId="0" xfId="0"/>
    <xf numFmtId="170" fontId="2" fillId="5" borderId="0" xfId="0" applyFont="1" applyFill="1" applyBorder="1"/>
    <xf numFmtId="170" fontId="2" fillId="4" borderId="0" xfId="0" applyFont="1" applyFill="1" applyBorder="1"/>
    <xf numFmtId="170" fontId="2" fillId="5" borderId="0" xfId="0" applyFont="1" applyFill="1" applyBorder="1" applyAlignment="1">
      <alignment vertical="top" wrapText="1"/>
    </xf>
    <xf numFmtId="170" fontId="2" fillId="5" borderId="1" xfId="0" applyFont="1" applyFill="1" applyBorder="1" applyAlignment="1">
      <alignment vertical="top"/>
    </xf>
    <xf numFmtId="166" fontId="32" fillId="2" borderId="0" xfId="48" applyNumberFormat="1">
      <alignment horizontal="left"/>
    </xf>
    <xf numFmtId="170" fontId="25" fillId="2" borderId="0" xfId="0" applyFont="1" applyFill="1" applyBorder="1" applyAlignment="1"/>
    <xf numFmtId="170" fontId="26" fillId="3" borderId="0" xfId="0" applyFont="1" applyFill="1" applyBorder="1" applyAlignment="1"/>
    <xf numFmtId="170" fontId="3" fillId="5" borderId="0" xfId="0" applyFont="1" applyFill="1" applyBorder="1" applyAlignment="1">
      <alignment horizontal="center" vertical="top"/>
    </xf>
    <xf numFmtId="170" fontId="3" fillId="5" borderId="0" xfId="0" applyFont="1" applyFill="1" applyBorder="1" applyAlignment="1">
      <alignment vertical="top"/>
    </xf>
    <xf numFmtId="170" fontId="25" fillId="2" borderId="0" xfId="0" applyFont="1" applyFill="1" applyBorder="1" applyAlignment="1">
      <alignment vertical="center"/>
    </xf>
    <xf numFmtId="164" fontId="28" fillId="3" borderId="0" xfId="52">
      <alignment horizontal="center"/>
    </xf>
    <xf numFmtId="166" fontId="27" fillId="2" borderId="0" xfId="53">
      <alignment horizontal="center"/>
    </xf>
    <xf numFmtId="166" fontId="32" fillId="2" borderId="0" xfId="48" applyNumberFormat="1" applyAlignment="1"/>
    <xf numFmtId="166" fontId="8" fillId="3" borderId="0" xfId="49" applyNumberFormat="1" applyAlignment="1"/>
    <xf numFmtId="166" fontId="4" fillId="0" borderId="0" xfId="50" applyNumberFormat="1">
      <alignment horizontal="left" vertical="center"/>
    </xf>
    <xf numFmtId="166" fontId="3" fillId="0" borderId="0" xfId="54">
      <alignment vertical="top"/>
    </xf>
    <xf numFmtId="170" fontId="2" fillId="5" borderId="0" xfId="0" applyFont="1" applyFill="1" applyBorder="1" applyAlignment="1">
      <alignment horizontal="left" vertical="top"/>
    </xf>
    <xf numFmtId="170" fontId="2" fillId="5" borderId="0" xfId="0" applyFont="1" applyFill="1" applyBorder="1" applyAlignment="1">
      <alignment vertical="top"/>
    </xf>
    <xf numFmtId="170" fontId="2" fillId="0" borderId="0" xfId="0" applyFont="1" applyFill="1" applyBorder="1" applyAlignment="1">
      <alignment vertical="top" wrapText="1"/>
    </xf>
    <xf numFmtId="170" fontId="3" fillId="0" borderId="0" xfId="0" applyFont="1" applyFill="1" applyBorder="1" applyAlignment="1">
      <alignment vertical="top"/>
    </xf>
    <xf numFmtId="170" fontId="2" fillId="0" borderId="0" xfId="0" applyFont="1" applyFill="1" applyBorder="1" applyAlignment="1">
      <alignment horizontal="left" wrapText="1"/>
    </xf>
    <xf numFmtId="170" fontId="2" fillId="0" borderId="0" xfId="0" applyFont="1" applyFill="1" applyBorder="1" applyAlignment="1">
      <alignment vertical="top"/>
    </xf>
    <xf numFmtId="170" fontId="2" fillId="0" borderId="0" xfId="0" applyFont="1" applyFill="1" applyBorder="1"/>
    <xf numFmtId="170" fontId="4" fillId="0" borderId="0" xfId="0" applyFont="1" applyFill="1" applyBorder="1" applyAlignment="1">
      <alignment vertical="center"/>
    </xf>
    <xf numFmtId="170" fontId="5" fillId="0" borderId="0" xfId="0" applyFont="1" applyFill="1" applyBorder="1" applyAlignment="1">
      <alignment vertical="center" wrapText="1"/>
    </xf>
    <xf numFmtId="170" fontId="2" fillId="0" borderId="0" xfId="0" applyFont="1" applyFill="1" applyBorder="1" applyAlignment="1">
      <alignment horizontal="left" vertical="top"/>
    </xf>
    <xf numFmtId="170" fontId="3" fillId="0" borderId="0" xfId="0" applyFont="1" applyFill="1" applyBorder="1" applyAlignment="1">
      <alignment horizontal="center" vertical="top"/>
    </xf>
    <xf numFmtId="170" fontId="7" fillId="0" borderId="0" xfId="0" applyFont="1" applyFill="1" applyBorder="1" applyAlignment="1">
      <alignment vertical="center" wrapText="1"/>
    </xf>
    <xf numFmtId="164" fontId="2" fillId="0" borderId="0" xfId="0" applyNumberFormat="1" applyFont="1" applyFill="1" applyBorder="1" applyAlignment="1">
      <alignment horizontal="left"/>
    </xf>
    <xf numFmtId="170" fontId="2" fillId="0" borderId="0" xfId="0" applyFont="1" applyFill="1" applyBorder="1" applyAlignment="1">
      <alignment horizontal="left"/>
    </xf>
    <xf numFmtId="165" fontId="2" fillId="0" borderId="0" xfId="0" applyNumberFormat="1" applyFont="1" applyFill="1" applyBorder="1" applyAlignment="1">
      <alignment horizontal="left"/>
    </xf>
    <xf numFmtId="170" fontId="0" fillId="0" borderId="0" xfId="0" applyFill="1"/>
    <xf numFmtId="170" fontId="3" fillId="0" borderId="0" xfId="0" applyFont="1" applyFill="1" applyBorder="1" applyAlignment="1">
      <alignment horizontal="left" vertical="top"/>
    </xf>
    <xf numFmtId="170" fontId="3" fillId="0" borderId="0" xfId="0" applyFont="1" applyFill="1" applyBorder="1"/>
    <xf numFmtId="170" fontId="0" fillId="0" borderId="0" xfId="0" applyFill="1" applyBorder="1"/>
    <xf numFmtId="170" fontId="25" fillId="0" borderId="0" xfId="0" applyFont="1" applyFill="1" applyBorder="1" applyAlignment="1"/>
    <xf numFmtId="170" fontId="26" fillId="0" borderId="0" xfId="0" applyFont="1" applyFill="1" applyBorder="1" applyAlignment="1"/>
    <xf numFmtId="166" fontId="30" fillId="0" borderId="0" xfId="58" applyFill="1" applyBorder="1" applyAlignment="1">
      <alignment vertical="top"/>
    </xf>
    <xf numFmtId="166" fontId="2" fillId="5" borderId="0" xfId="51" applyNumberFormat="1" applyFont="1" applyBorder="1" applyAlignment="1">
      <alignment horizontal="left" vertical="top"/>
    </xf>
    <xf numFmtId="166" fontId="3" fillId="5" borderId="0" xfId="51" applyNumberFormat="1" applyFont="1" applyBorder="1" applyAlignment="1">
      <alignment horizontal="center" vertical="top"/>
    </xf>
    <xf numFmtId="166" fontId="2" fillId="5" borderId="0" xfId="51" applyNumberFormat="1" applyFont="1" applyBorder="1" applyAlignment="1"/>
    <xf numFmtId="166" fontId="5" fillId="5" borderId="0" xfId="51" applyNumberFormat="1" applyFont="1" applyBorder="1" applyAlignment="1">
      <alignment vertical="center" wrapText="1"/>
    </xf>
    <xf numFmtId="166" fontId="2" fillId="5" borderId="0" xfId="51" applyNumberFormat="1" applyFont="1" applyAlignment="1">
      <alignment vertical="top"/>
    </xf>
    <xf numFmtId="166" fontId="2" fillId="5" borderId="0" xfId="51" applyNumberFormat="1" applyFont="1" applyAlignment="1"/>
    <xf numFmtId="166" fontId="5" fillId="5" borderId="0" xfId="51" applyNumberFormat="1" applyFont="1" applyAlignment="1">
      <alignment vertical="center" wrapText="1"/>
    </xf>
    <xf numFmtId="0" fontId="2" fillId="5" borderId="12" xfId="62" applyFont="1" applyAlignment="1">
      <alignment vertical="top"/>
    </xf>
    <xf numFmtId="0" fontId="3" fillId="5" borderId="12" xfId="62" applyFont="1" applyAlignment="1">
      <alignment horizontal="center" vertical="top"/>
    </xf>
    <xf numFmtId="0" fontId="2" fillId="5" borderId="12" xfId="62" applyFont="1" applyAlignment="1"/>
    <xf numFmtId="0" fontId="5" fillId="5" borderId="12" xfId="62" applyFont="1" applyAlignment="1">
      <alignment vertical="center" wrapText="1"/>
    </xf>
    <xf numFmtId="170" fontId="25" fillId="0" borderId="0" xfId="0" applyFont="1" applyFill="1" applyBorder="1" applyAlignment="1">
      <alignment vertical="center"/>
    </xf>
    <xf numFmtId="166" fontId="7" fillId="5" borderId="0" xfId="51" applyNumberFormat="1" applyFont="1" applyAlignment="1">
      <alignment vertical="center" wrapText="1"/>
    </xf>
    <xf numFmtId="0" fontId="3" fillId="5" borderId="12" xfId="62" applyFont="1" applyAlignment="1"/>
    <xf numFmtId="0" fontId="2" fillId="5" borderId="12" xfId="62" applyFont="1" applyAlignment="1">
      <alignment horizontal="left"/>
    </xf>
    <xf numFmtId="0" fontId="7" fillId="5" borderId="12" xfId="62" applyFont="1" applyAlignment="1">
      <alignment horizontal="center" vertical="center" wrapText="1"/>
    </xf>
    <xf numFmtId="0" fontId="7" fillId="5" borderId="12" xfId="62" applyFont="1" applyAlignment="1">
      <alignment vertical="center" wrapText="1"/>
    </xf>
    <xf numFmtId="166" fontId="30" fillId="37" borderId="11" xfId="61" applyNumberFormat="1">
      <protection locked="0"/>
    </xf>
    <xf numFmtId="166" fontId="2" fillId="0" borderId="0" xfId="51" applyNumberFormat="1" applyFont="1" applyFill="1" applyAlignment="1"/>
    <xf numFmtId="0" fontId="2" fillId="0" borderId="0" xfId="62" applyFont="1" applyFill="1" applyBorder="1" applyAlignment="1"/>
    <xf numFmtId="170" fontId="0" fillId="5" borderId="0" xfId="51" applyNumberFormat="1" applyFont="1" applyAlignment="1"/>
    <xf numFmtId="170" fontId="2" fillId="5" borderId="0" xfId="51" applyNumberFormat="1" applyFont="1" applyAlignment="1">
      <alignment vertical="top"/>
    </xf>
    <xf numFmtId="0" fontId="0" fillId="5" borderId="12" xfId="62" applyFont="1" applyAlignment="1"/>
    <xf numFmtId="170" fontId="4" fillId="5" borderId="0" xfId="51" applyNumberFormat="1" applyFont="1" applyAlignment="1">
      <alignment vertical="center"/>
    </xf>
    <xf numFmtId="0" fontId="3" fillId="5" borderId="12" xfId="62" applyFont="1" applyAlignment="1">
      <alignment horizontal="left" vertical="top"/>
    </xf>
    <xf numFmtId="170" fontId="4" fillId="0" borderId="0" xfId="50" applyNumberFormat="1" applyFill="1">
      <alignment horizontal="left" vertical="center"/>
    </xf>
    <xf numFmtId="170" fontId="30" fillId="0" borderId="0" xfId="58" applyNumberFormat="1" applyFill="1"/>
    <xf numFmtId="168" fontId="0" fillId="0" borderId="0" xfId="57" applyFont="1" applyFill="1"/>
    <xf numFmtId="168" fontId="30" fillId="37" borderId="11" xfId="57" applyFont="1" applyFill="1" applyBorder="1" applyProtection="1">
      <protection locked="0"/>
    </xf>
    <xf numFmtId="168" fontId="30" fillId="37" borderId="11" xfId="61" applyNumberFormat="1">
      <protection locked="0"/>
    </xf>
    <xf numFmtId="170" fontId="30" fillId="37" borderId="11" xfId="61" applyNumberFormat="1">
      <protection locked="0"/>
    </xf>
    <xf numFmtId="167" fontId="0" fillId="0" borderId="0" xfId="56" applyFont="1"/>
    <xf numFmtId="168" fontId="0" fillId="0" borderId="0" xfId="65" applyFont="1"/>
    <xf numFmtId="170" fontId="0" fillId="0" borderId="0" xfId="0" applyFont="1"/>
    <xf numFmtId="171" fontId="30" fillId="37" borderId="11" xfId="61" applyNumberFormat="1">
      <protection locked="0"/>
    </xf>
    <xf numFmtId="172" fontId="30" fillId="0" borderId="0" xfId="66" applyNumberFormat="1"/>
    <xf numFmtId="170" fontId="9" fillId="0" borderId="0" xfId="0" applyFont="1"/>
    <xf numFmtId="171" fontId="30" fillId="0" borderId="0" xfId="58" applyNumberFormat="1" applyFill="1"/>
    <xf numFmtId="173" fontId="0" fillId="0" borderId="0" xfId="0" applyNumberFormat="1"/>
    <xf numFmtId="171" fontId="30" fillId="0" borderId="0" xfId="58" applyNumberFormat="1" applyFont="1" applyFill="1"/>
    <xf numFmtId="166" fontId="32" fillId="2" borderId="0" xfId="48" applyNumberFormat="1" applyFill="1" applyAlignment="1">
      <alignment horizontal="center"/>
    </xf>
    <xf numFmtId="170" fontId="5" fillId="0" borderId="0" xfId="0" applyFont="1" applyFill="1" applyBorder="1" applyAlignment="1">
      <alignment horizontal="center" vertical="center" wrapText="1"/>
    </xf>
    <xf numFmtId="166" fontId="2" fillId="5" borderId="0" xfId="51" applyNumberFormat="1" applyFont="1" applyBorder="1" applyAlignment="1">
      <alignment horizontal="left" vertical="top"/>
    </xf>
    <xf numFmtId="166" fontId="32" fillId="3" borderId="0" xfId="49" applyNumberFormat="1" applyFont="1" applyAlignment="1">
      <alignment horizontal="center" vertical="center"/>
    </xf>
    <xf numFmtId="166" fontId="31" fillId="5" borderId="0" xfId="59" applyNumberFormat="1" applyFill="1" applyBorder="1" applyAlignment="1">
      <alignment horizontal="center" vertical="center" wrapText="1"/>
    </xf>
    <xf numFmtId="170" fontId="7" fillId="0" borderId="0" xfId="0" applyFont="1" applyFill="1" applyBorder="1" applyAlignment="1">
      <alignment horizontal="center" vertical="center" wrapText="1"/>
    </xf>
    <xf numFmtId="170" fontId="4" fillId="5" borderId="0" xfId="0" applyFont="1" applyFill="1" applyBorder="1" applyAlignment="1">
      <alignment horizontal="left" vertical="center"/>
    </xf>
    <xf numFmtId="170" fontId="4" fillId="5" borderId="0" xfId="50" applyNumberFormat="1" applyFill="1" applyAlignment="1">
      <alignment horizontal="left" vertical="center"/>
    </xf>
    <xf numFmtId="170" fontId="0" fillId="5" borderId="0" xfId="51" applyNumberFormat="1" applyFont="1" applyAlignment="1">
      <alignment horizontal="left"/>
    </xf>
    <xf numFmtId="166" fontId="2" fillId="5" borderId="0" xfId="51" applyNumberFormat="1" applyFont="1" applyAlignment="1">
      <alignment horizontal="left"/>
    </xf>
    <xf numFmtId="164" fontId="2" fillId="5" borderId="0" xfId="51" applyNumberFormat="1" applyFont="1" applyAlignment="1">
      <alignment horizontal="left"/>
    </xf>
    <xf numFmtId="0" fontId="2" fillId="5" borderId="0" xfId="51" applyNumberFormat="1" applyFont="1" applyAlignment="1">
      <alignment horizontal="left"/>
    </xf>
  </cellXfs>
  <cellStyles count="67">
    <cellStyle name="20% - Accent1" xfId="25" builtinId="30" hidden="1"/>
    <cellStyle name="20% - Accent2" xfId="29" builtinId="34" hidden="1"/>
    <cellStyle name="20% - Accent3" xfId="33" builtinId="38" hidden="1"/>
    <cellStyle name="20% - Accent4" xfId="37" builtinId="42" hidden="1"/>
    <cellStyle name="20% - Accent5" xfId="41" builtinId="46" hidden="1"/>
    <cellStyle name="20% - Accent6" xfId="45" builtinId="50" hidden="1"/>
    <cellStyle name="40% - Accent1" xfId="26" builtinId="31" hidden="1"/>
    <cellStyle name="40% - Accent2" xfId="30" builtinId="35" hidden="1"/>
    <cellStyle name="40% - Accent3" xfId="34" builtinId="39" hidden="1"/>
    <cellStyle name="40% - Accent4" xfId="38" builtinId="43" hidden="1"/>
    <cellStyle name="40% - Accent5" xfId="42" builtinId="47" hidden="1"/>
    <cellStyle name="40% - Accent6" xfId="46" builtinId="51" hidden="1"/>
    <cellStyle name="60% - Accent1" xfId="27" builtinId="32" hidden="1"/>
    <cellStyle name="60% - Accent2" xfId="31" builtinId="36" hidden="1"/>
    <cellStyle name="60% - Accent3" xfId="35" builtinId="40" hidden="1"/>
    <cellStyle name="60% - Accent4" xfId="39" builtinId="44" hidden="1"/>
    <cellStyle name="60% - Accent5" xfId="43" builtinId="48" hidden="1"/>
    <cellStyle name="60% - Accent6" xfId="47" builtinId="52" hidden="1"/>
    <cellStyle name="Accent1" xfId="24" builtinId="29" hidden="1"/>
    <cellStyle name="Accent2" xfId="28" builtinId="33" hidden="1"/>
    <cellStyle name="Accent3" xfId="32" builtinId="37" hidden="1"/>
    <cellStyle name="Accent4" xfId="36" builtinId="41" hidden="1"/>
    <cellStyle name="Accent5" xfId="40" builtinId="45" hidden="1"/>
    <cellStyle name="Accent6" xfId="44" builtinId="49" hidden="1"/>
    <cellStyle name="b" xfId="66"/>
    <cellStyle name="Background Fill" xfId="51"/>
    <cellStyle name="Bad" xfId="13" builtinId="27" hidden="1"/>
    <cellStyle name="BG Border" xfId="62"/>
    <cellStyle name="Blank" xfId="60"/>
    <cellStyle name="Calculation" xfId="17" builtinId="22" hidden="1"/>
    <cellStyle name="Check Cell" xfId="19" builtinId="23" hidden="1"/>
    <cellStyle name="Comma" xfId="2" builtinId="3" hidden="1"/>
    <cellStyle name="Comma [0]" xfId="3" builtinId="6" hidden="1"/>
    <cellStyle name="Cover Title" xfId="63"/>
    <cellStyle name="Currency" xfId="4" builtinId="4" hidden="1"/>
    <cellStyle name="Currency [0]" xfId="5" builtinId="7" hidden="1"/>
    <cellStyle name="Date" xfId="55"/>
    <cellStyle name="Date Heading" xfId="52"/>
    <cellStyle name="Explanatory Text" xfId="22" builtinId="53" hidden="1"/>
    <cellStyle name="Good" xfId="12" builtinId="26" hidden="1"/>
    <cellStyle name="Hard Coded Number" xfId="58"/>
    <cellStyle name="Heading 1" xfId="8" builtinId="16" hidden="1"/>
    <cellStyle name="Heading 2" xfId="9" builtinId="17" hidden="1"/>
    <cellStyle name="Heading 3" xfId="10" builtinId="18" hidden="1"/>
    <cellStyle name="Heading 4" xfId="11" builtinId="19" hidden="1"/>
    <cellStyle name="Highlight" xfId="64"/>
    <cellStyle name="Hist Proj Title" xfId="53"/>
    <cellStyle name="Hyperlink" xfId="1" builtinId="8" hidden="1" customBuiltin="1"/>
    <cellStyle name="Input" xfId="15" builtinId="20" hidden="1"/>
    <cellStyle name="Input" xfId="61" builtinId="20" customBuiltin="1"/>
    <cellStyle name="Linked Cell" xfId="18" builtinId="24" hidden="1"/>
    <cellStyle name="Multiple" xfId="56"/>
    <cellStyle name="Neutral" xfId="14" builtinId="28" hidden="1"/>
    <cellStyle name="Normal" xfId="0" builtinId="0" customBuiltin="1"/>
    <cellStyle name="Note" xfId="21" builtinId="10" hidden="1"/>
    <cellStyle name="Notes and Comments" xfId="59"/>
    <cellStyle name="Output" xfId="16" builtinId="21" hidden="1"/>
    <cellStyle name="P" xfId="65"/>
    <cellStyle name="Percent" xfId="6" builtinId="5" hidden="1"/>
    <cellStyle name="Percent" xfId="57" builtinId="5" customBuiltin="1"/>
    <cellStyle name="Primary Title" xfId="48"/>
    <cellStyle name="Row Label" xfId="54"/>
    <cellStyle name="Secondary Title" xfId="49"/>
    <cellStyle name="Tertiary Title" xfId="50"/>
    <cellStyle name="Title" xfId="7" builtinId="15" hidden="1"/>
    <cellStyle name="Total" xfId="23" builtinId="25" hidden="1"/>
    <cellStyle name="Warning Text" xfId="20" builtinId="11" hidden="1"/>
  </cellStyles>
  <dxfs count="0"/>
  <tableStyles count="0" defaultTableStyle="TableStyleMedium2" defaultPivotStyle="PivotStyleLight16"/>
  <colors>
    <mruColors>
      <color rgb="FF163260"/>
      <color rgb="FF085393"/>
      <color rgb="FFBBDEFB"/>
      <color rgb="FFF0F8FE"/>
      <color rgb="FF0000FF"/>
      <color rgb="FFEBF1FB"/>
      <color rgb="FFD3E0F5"/>
      <color rgb="FFC9D9F3"/>
      <color rgb="FFE2F1FE"/>
      <color rgb="FFC4E3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19050</xdr:colOff>
      <xdr:row>0</xdr:row>
      <xdr:rowOff>1019175</xdr:rowOff>
    </xdr:from>
    <xdr:to>
      <xdr:col>9</xdr:col>
      <xdr:colOff>457200</xdr:colOff>
      <xdr:row>0</xdr:row>
      <xdr:rowOff>1503980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95550" y="1019175"/>
          <a:ext cx="3533775" cy="48480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1931713</xdr:colOff>
      <xdr:row>0</xdr:row>
      <xdr:rowOff>123826</xdr:rowOff>
    </xdr:from>
    <xdr:to>
      <xdr:col>16</xdr:col>
      <xdr:colOff>161849</xdr:colOff>
      <xdr:row>0</xdr:row>
      <xdr:rowOff>466726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27738" y="123826"/>
          <a:ext cx="401836" cy="342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showGridLines="0" tabSelected="1" zoomScaleNormal="100" workbookViewId="0">
      <selection sqref="A1:N1"/>
    </sheetView>
  </sheetViews>
  <sheetFormatPr defaultColWidth="9.140625" defaultRowHeight="15" x14ac:dyDescent="0.25"/>
  <cols>
    <col min="1" max="1" width="9.85546875" style="32" customWidth="1"/>
    <col min="2" max="13" width="9.28515625" style="32" customWidth="1"/>
    <col min="14" max="14" width="9.85546875" style="32" customWidth="1"/>
    <col min="15" max="26" width="9.140625" style="32" customWidth="1"/>
    <col min="27" max="16384" width="9.140625" style="32"/>
  </cols>
  <sheetData>
    <row r="1" spans="1:14" s="36" customFormat="1" ht="189.75" customHeight="1" x14ac:dyDescent="0.45">
      <c r="A1" s="79"/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</row>
    <row r="2" spans="1:14" s="22" customFormat="1" ht="75" customHeight="1" x14ac:dyDescent="0.25">
      <c r="A2" s="82" t="s">
        <v>20</v>
      </c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</row>
    <row r="3" spans="1:14" s="23" customFormat="1" ht="7.5" customHeight="1" x14ac:dyDescent="0.25">
      <c r="B3" s="24"/>
      <c r="C3" s="24"/>
      <c r="F3" s="25"/>
      <c r="G3" s="25"/>
      <c r="H3" s="25"/>
      <c r="I3" s="25"/>
      <c r="J3" s="25"/>
      <c r="K3" s="25"/>
    </row>
    <row r="4" spans="1:14" s="23" customFormat="1" ht="15" customHeight="1" x14ac:dyDescent="0.25">
      <c r="A4" s="39"/>
      <c r="B4" s="40"/>
      <c r="C4" s="81"/>
      <c r="D4" s="81"/>
      <c r="E4" s="41"/>
      <c r="F4" s="42"/>
      <c r="G4" s="42"/>
      <c r="H4" s="42"/>
      <c r="I4" s="42"/>
      <c r="J4" s="42"/>
      <c r="K4" s="42"/>
      <c r="L4" s="41"/>
      <c r="M4" s="41"/>
      <c r="N4" s="41"/>
    </row>
    <row r="5" spans="1:14" s="23" customFormat="1" ht="15" customHeight="1" x14ac:dyDescent="0.25">
      <c r="A5" s="83" t="s">
        <v>11</v>
      </c>
      <c r="B5" s="83"/>
      <c r="C5" s="83"/>
      <c r="D5" s="83"/>
      <c r="E5" s="83"/>
      <c r="F5" s="83"/>
      <c r="G5" s="83"/>
      <c r="H5" s="83"/>
      <c r="I5" s="83"/>
      <c r="J5" s="83"/>
      <c r="K5" s="83"/>
      <c r="L5" s="83"/>
      <c r="M5" s="83"/>
      <c r="N5" s="83"/>
    </row>
    <row r="6" spans="1:14" s="23" customFormat="1" ht="15" customHeight="1" x14ac:dyDescent="0.25">
      <c r="A6" s="83"/>
      <c r="B6" s="83"/>
      <c r="C6" s="83"/>
      <c r="D6" s="83"/>
      <c r="E6" s="83"/>
      <c r="F6" s="83"/>
      <c r="G6" s="83"/>
      <c r="H6" s="83"/>
      <c r="I6" s="83"/>
      <c r="J6" s="83"/>
      <c r="K6" s="83"/>
      <c r="L6" s="83"/>
      <c r="M6" s="83"/>
      <c r="N6" s="83"/>
    </row>
    <row r="7" spans="1:14" s="23" customFormat="1" ht="15" customHeight="1" x14ac:dyDescent="0.25">
      <c r="A7" s="83" t="str">
        <f ca="1">"© "&amp;YEAR(TODAY())&amp;" Financial Edge Training "</f>
        <v xml:space="preserve">© 2016 Financial Edge Training </v>
      </c>
      <c r="B7" s="83"/>
      <c r="C7" s="83"/>
      <c r="D7" s="83"/>
      <c r="E7" s="83"/>
      <c r="F7" s="83"/>
      <c r="G7" s="83"/>
      <c r="H7" s="83"/>
      <c r="I7" s="83"/>
      <c r="J7" s="83"/>
      <c r="K7" s="83"/>
      <c r="L7" s="83"/>
      <c r="M7" s="83"/>
      <c r="N7" s="83"/>
    </row>
    <row r="8" spans="1:14" s="23" customFormat="1" ht="15" customHeight="1" thickBot="1" x14ac:dyDescent="0.3">
      <c r="A8" s="46"/>
      <c r="B8" s="47"/>
      <c r="C8" s="46"/>
      <c r="D8" s="46"/>
      <c r="E8" s="48"/>
      <c r="F8" s="49"/>
      <c r="G8" s="49"/>
      <c r="H8" s="49"/>
      <c r="I8" s="49"/>
      <c r="J8" s="49"/>
      <c r="K8" s="49"/>
      <c r="L8" s="48"/>
      <c r="M8" s="48"/>
      <c r="N8" s="48"/>
    </row>
    <row r="9" spans="1:14" s="23" customFormat="1" ht="15" customHeight="1" x14ac:dyDescent="0.25">
      <c r="F9" s="28"/>
      <c r="G9" s="84"/>
      <c r="H9" s="84"/>
      <c r="I9" s="84"/>
      <c r="J9" s="84"/>
      <c r="K9" s="28"/>
    </row>
    <row r="10" spans="1:14" s="23" customFormat="1" ht="15" customHeight="1" x14ac:dyDescent="0.25">
      <c r="B10" s="24"/>
      <c r="C10" s="24"/>
      <c r="F10" s="28"/>
      <c r="G10" s="84"/>
      <c r="H10" s="84"/>
      <c r="I10" s="84"/>
      <c r="J10" s="84"/>
      <c r="K10" s="28"/>
    </row>
    <row r="11" spans="1:14" s="23" customFormat="1" ht="15" customHeight="1" x14ac:dyDescent="0.25">
      <c r="B11" s="20"/>
      <c r="C11" s="20"/>
      <c r="D11" s="21"/>
      <c r="F11" s="25"/>
      <c r="G11" s="25"/>
      <c r="H11" s="25"/>
      <c r="I11" s="25"/>
      <c r="J11" s="25"/>
      <c r="K11" s="25"/>
    </row>
    <row r="12" spans="1:14" s="23" customFormat="1" ht="15" customHeight="1" x14ac:dyDescent="0.25">
      <c r="A12" s="26"/>
      <c r="B12" s="20"/>
      <c r="C12" s="20"/>
      <c r="D12" s="29"/>
      <c r="F12" s="25"/>
      <c r="G12" s="80"/>
      <c r="H12" s="80"/>
      <c r="I12" s="80"/>
      <c r="J12" s="80"/>
      <c r="K12" s="25"/>
    </row>
    <row r="13" spans="1:14" s="23" customFormat="1" ht="15" customHeight="1" x14ac:dyDescent="0.25">
      <c r="A13" s="19"/>
      <c r="B13" s="20"/>
      <c r="C13" s="20"/>
      <c r="D13" s="30"/>
      <c r="F13" s="25"/>
      <c r="G13" s="80"/>
      <c r="H13" s="80"/>
      <c r="I13" s="80"/>
      <c r="J13" s="80"/>
      <c r="K13" s="25"/>
    </row>
    <row r="14" spans="1:14" s="23" customFormat="1" ht="15" customHeight="1" x14ac:dyDescent="0.25">
      <c r="A14" s="22"/>
      <c r="B14" s="20"/>
      <c r="C14" s="20"/>
      <c r="D14" s="30"/>
      <c r="F14" s="25"/>
      <c r="G14" s="80"/>
      <c r="H14" s="80"/>
      <c r="I14" s="80"/>
      <c r="J14" s="80"/>
      <c r="K14" s="25"/>
    </row>
    <row r="15" spans="1:14" s="23" customFormat="1" ht="15" customHeight="1" x14ac:dyDescent="0.25">
      <c r="A15" s="22"/>
      <c r="B15" s="20"/>
      <c r="C15" s="20"/>
      <c r="D15" s="30"/>
      <c r="F15" s="25"/>
      <c r="G15" s="25"/>
      <c r="H15" s="25"/>
      <c r="I15" s="25"/>
      <c r="J15" s="25"/>
      <c r="K15" s="25"/>
    </row>
    <row r="16" spans="1:14" s="23" customFormat="1" ht="15" customHeight="1" x14ac:dyDescent="0.25">
      <c r="A16" s="22"/>
      <c r="B16" s="20"/>
      <c r="C16" s="20"/>
      <c r="D16" s="31"/>
      <c r="F16" s="25"/>
      <c r="G16" s="80"/>
      <c r="H16" s="80"/>
      <c r="I16" s="80"/>
      <c r="J16" s="80"/>
      <c r="K16" s="25"/>
    </row>
    <row r="17" spans="1:12" s="23" customFormat="1" ht="15" customHeight="1" x14ac:dyDescent="0.25">
      <c r="A17" s="22"/>
      <c r="B17" s="33"/>
      <c r="C17" s="34"/>
      <c r="D17" s="31"/>
      <c r="F17" s="25"/>
      <c r="G17" s="25"/>
      <c r="H17" s="25"/>
      <c r="I17" s="25"/>
      <c r="J17" s="25"/>
      <c r="K17" s="25"/>
    </row>
    <row r="18" spans="1:12" ht="15" customHeight="1" x14ac:dyDescent="0.25">
      <c r="A18" s="35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5"/>
    </row>
    <row r="19" spans="1:12" x14ac:dyDescent="0.25">
      <c r="A19" s="35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</row>
    <row r="20" spans="1:12" x14ac:dyDescent="0.25">
      <c r="A20" s="35"/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35"/>
    </row>
    <row r="21" spans="1:12" x14ac:dyDescent="0.25">
      <c r="A21" s="35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</row>
  </sheetData>
  <mergeCells count="8">
    <mergeCell ref="A1:N1"/>
    <mergeCell ref="G16:J16"/>
    <mergeCell ref="G12:J14"/>
    <mergeCell ref="C4:D4"/>
    <mergeCell ref="A2:N2"/>
    <mergeCell ref="A5:N6"/>
    <mergeCell ref="A7:N7"/>
    <mergeCell ref="G9:J10"/>
  </mergeCells>
  <pageMargins left="0.7" right="0.7" top="0.75" bottom="0.75" header="0.3" footer="0.3"/>
  <pageSetup paperSize="9" orientation="landscape" verticalDpi="0" r:id="rId1"/>
  <headerFooter>
    <oddHeader xml:space="preserve">&amp;R&amp;10&amp;F 
&amp;A
</oddHeader>
    <oddFooter>&amp;L&amp;10© 2016&amp;C&amp;10Page &amp;P of &amp;N&amp;R&amp;G</oddFoot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showGridLines="0" zoomScaleNormal="100" workbookViewId="0"/>
  </sheetViews>
  <sheetFormatPr defaultColWidth="9.140625" defaultRowHeight="15" x14ac:dyDescent="0.25"/>
  <cols>
    <col min="1" max="1" width="1.42578125" customWidth="1"/>
    <col min="2" max="2" width="2.85546875" customWidth="1"/>
    <col min="3" max="3" width="13.28515625" customWidth="1"/>
    <col min="4" max="4" width="2.85546875" customWidth="1"/>
    <col min="5" max="7" width="1.42578125" customWidth="1"/>
    <col min="8" max="8" width="2.85546875" customWidth="1"/>
    <col min="9" max="9" width="42.7109375" customWidth="1"/>
    <col min="10" max="11" width="1.42578125" customWidth="1"/>
    <col min="12" max="12" width="15.5703125" bestFit="1" customWidth="1"/>
    <col min="13" max="14" width="1.42578125" customWidth="1"/>
    <col min="15" max="15" width="2.85546875" customWidth="1"/>
    <col min="16" max="16" width="32.5703125" customWidth="1"/>
    <col min="17" max="17" width="2.85546875" customWidth="1"/>
    <col min="18" max="18" width="1.42578125" customWidth="1"/>
    <col min="23" max="23" width="17.7109375" bestFit="1" customWidth="1"/>
  </cols>
  <sheetData>
    <row r="1" spans="1:18" s="36" customFormat="1" ht="45" customHeight="1" x14ac:dyDescent="0.45">
      <c r="A1" s="13" t="str">
        <f>Welcome!A2</f>
        <v>Modeling</v>
      </c>
      <c r="B1" s="13"/>
      <c r="C1" s="13"/>
      <c r="D1" s="13"/>
      <c r="E1" s="13"/>
      <c r="F1" s="13"/>
      <c r="G1" s="13"/>
      <c r="H1" s="13"/>
      <c r="I1" s="13"/>
      <c r="J1" s="6"/>
      <c r="K1" s="6"/>
      <c r="L1" s="6"/>
      <c r="M1" s="6"/>
      <c r="N1" s="6"/>
      <c r="O1" s="6"/>
      <c r="P1" s="6"/>
      <c r="Q1" s="6"/>
      <c r="R1" s="6"/>
    </row>
    <row r="2" spans="1:18" s="37" customFormat="1" ht="30" customHeight="1" x14ac:dyDescent="0.35">
      <c r="A2" s="14" t="s">
        <v>18</v>
      </c>
      <c r="B2" s="14"/>
      <c r="C2" s="14"/>
      <c r="D2" s="14"/>
      <c r="E2" s="14"/>
      <c r="F2" s="14"/>
      <c r="G2" s="14"/>
      <c r="H2" s="14"/>
      <c r="I2" s="14"/>
      <c r="J2" s="7"/>
      <c r="K2" s="7"/>
      <c r="L2" s="7"/>
      <c r="M2" s="7"/>
      <c r="N2" s="7"/>
      <c r="O2" s="7"/>
      <c r="P2" s="7"/>
      <c r="Q2" s="7"/>
      <c r="R2" s="7"/>
    </row>
    <row r="3" spans="1:18" s="2" customFormat="1" ht="7.5" customHeight="1" x14ac:dyDescent="0.25"/>
    <row r="4" spans="1:18" s="2" customFormat="1" ht="22.5" customHeight="1" x14ac:dyDescent="0.25">
      <c r="A4" s="1"/>
      <c r="B4" s="85" t="s">
        <v>0</v>
      </c>
      <c r="C4" s="85"/>
      <c r="D4" s="85"/>
      <c r="E4" s="85"/>
      <c r="F4" s="85"/>
      <c r="G4" s="85"/>
      <c r="H4" s="85"/>
      <c r="I4" s="85"/>
      <c r="K4" s="1"/>
      <c r="L4" s="85" t="s">
        <v>2</v>
      </c>
      <c r="M4" s="85"/>
      <c r="N4" s="85"/>
      <c r="O4" s="85"/>
      <c r="P4" s="85"/>
      <c r="Q4" s="45"/>
      <c r="R4" s="45"/>
    </row>
    <row r="5" spans="1:18" s="2" customFormat="1" ht="15" customHeight="1" x14ac:dyDescent="0.25">
      <c r="A5" s="17"/>
      <c r="B5" s="8" t="s">
        <v>1</v>
      </c>
      <c r="C5" s="59" t="s">
        <v>21</v>
      </c>
      <c r="D5" s="18"/>
      <c r="E5" s="18"/>
      <c r="F5" s="18"/>
      <c r="G5" s="18"/>
      <c r="H5" s="18"/>
      <c r="I5" s="18"/>
      <c r="K5" s="1"/>
      <c r="L5" s="9" t="s">
        <v>3</v>
      </c>
      <c r="M5" s="9"/>
      <c r="N5" s="88" t="s">
        <v>144</v>
      </c>
      <c r="O5" s="88"/>
      <c r="P5" s="88"/>
      <c r="Q5" s="88"/>
      <c r="R5" s="45"/>
    </row>
    <row r="6" spans="1:18" s="2" customFormat="1" ht="15" customHeight="1" x14ac:dyDescent="0.25">
      <c r="A6" s="3"/>
      <c r="B6" s="8" t="s">
        <v>1</v>
      </c>
      <c r="C6" s="18" t="s">
        <v>22</v>
      </c>
      <c r="D6" s="18"/>
      <c r="E6" s="18"/>
      <c r="F6" s="18"/>
      <c r="G6" s="18"/>
      <c r="H6" s="18"/>
      <c r="I6" s="18"/>
      <c r="K6" s="17"/>
      <c r="L6" s="9" t="s">
        <v>4</v>
      </c>
      <c r="M6" s="9"/>
      <c r="N6" s="89">
        <v>42369</v>
      </c>
      <c r="O6" s="89"/>
      <c r="P6" s="89"/>
      <c r="Q6" s="89"/>
      <c r="R6" s="45"/>
    </row>
    <row r="7" spans="1:18" s="2" customFormat="1" ht="15" customHeight="1" x14ac:dyDescent="0.25">
      <c r="A7" s="18"/>
      <c r="B7" s="8" t="s">
        <v>1</v>
      </c>
      <c r="C7" s="18" t="s">
        <v>23</v>
      </c>
      <c r="D7" s="18"/>
      <c r="E7" s="18"/>
      <c r="F7" s="18"/>
      <c r="G7" s="18"/>
      <c r="H7" s="18"/>
      <c r="I7" s="18"/>
      <c r="K7" s="3"/>
      <c r="L7" s="9" t="s">
        <v>5</v>
      </c>
      <c r="M7" s="9"/>
      <c r="N7" s="88" t="s">
        <v>9</v>
      </c>
      <c r="O7" s="88"/>
      <c r="P7" s="88"/>
      <c r="Q7" s="88"/>
      <c r="R7" s="45"/>
    </row>
    <row r="8" spans="1:18" s="2" customFormat="1" ht="15" customHeight="1" x14ac:dyDescent="0.25">
      <c r="A8" s="18"/>
      <c r="B8" s="8" t="s">
        <v>1</v>
      </c>
      <c r="C8" s="18" t="s">
        <v>146</v>
      </c>
      <c r="D8" s="18"/>
      <c r="E8" s="18"/>
      <c r="F8" s="18"/>
      <c r="G8" s="18"/>
      <c r="H8" s="18"/>
      <c r="I8" s="18"/>
      <c r="K8" s="18"/>
      <c r="L8" s="9" t="s">
        <v>6</v>
      </c>
      <c r="M8" s="9"/>
      <c r="N8" s="88" t="s">
        <v>128</v>
      </c>
      <c r="O8" s="88"/>
      <c r="P8" s="88"/>
      <c r="Q8" s="88"/>
      <c r="R8" s="45"/>
    </row>
    <row r="9" spans="1:18" s="2" customFormat="1" ht="15" customHeight="1" x14ac:dyDescent="0.25">
      <c r="A9" s="43"/>
      <c r="B9" s="8"/>
      <c r="C9" s="18"/>
      <c r="D9" s="43"/>
      <c r="E9" s="43"/>
      <c r="F9" s="43"/>
      <c r="G9" s="43"/>
      <c r="H9" s="43"/>
      <c r="I9" s="43"/>
      <c r="K9" s="18"/>
      <c r="L9" s="9" t="s">
        <v>7</v>
      </c>
      <c r="M9" s="9"/>
      <c r="N9" s="88" t="s">
        <v>10</v>
      </c>
      <c r="O9" s="88"/>
      <c r="P9" s="88"/>
      <c r="Q9" s="88"/>
      <c r="R9" s="45"/>
    </row>
    <row r="10" spans="1:18" s="2" customFormat="1" ht="15" customHeight="1" x14ac:dyDescent="0.25">
      <c r="A10" s="44"/>
      <c r="B10" s="44"/>
      <c r="C10" s="44"/>
      <c r="D10" s="44"/>
      <c r="E10" s="44"/>
      <c r="F10" s="44"/>
      <c r="G10" s="44"/>
      <c r="H10" s="44"/>
      <c r="I10" s="44"/>
      <c r="K10" s="18"/>
      <c r="L10" s="9" t="s">
        <v>8</v>
      </c>
      <c r="M10" s="9"/>
      <c r="N10" s="90">
        <v>0</v>
      </c>
      <c r="O10" s="90"/>
      <c r="P10" s="90"/>
      <c r="Q10" s="90"/>
      <c r="R10" s="51"/>
    </row>
    <row r="11" spans="1:18" s="2" customFormat="1" ht="15" customHeight="1" thickBot="1" x14ac:dyDescent="0.3">
      <c r="A11" s="48"/>
      <c r="B11" s="48"/>
      <c r="C11" s="48"/>
      <c r="D11" s="48"/>
      <c r="E11" s="48"/>
      <c r="F11" s="48"/>
      <c r="G11" s="48"/>
      <c r="H11" s="48"/>
      <c r="I11" s="48"/>
      <c r="K11" s="4"/>
      <c r="L11" s="63"/>
      <c r="M11" s="63"/>
      <c r="N11" s="52"/>
      <c r="O11" s="53"/>
      <c r="P11" s="53"/>
      <c r="Q11" s="54"/>
      <c r="R11" s="55"/>
    </row>
    <row r="12" spans="1:18" s="2" customFormat="1" ht="7.5" customHeight="1" x14ac:dyDescent="0.25">
      <c r="K12" s="25"/>
      <c r="L12" s="25"/>
      <c r="M12" s="25"/>
      <c r="N12" s="25"/>
      <c r="O12" s="25"/>
      <c r="P12" s="25"/>
      <c r="Q12" s="25"/>
      <c r="R12" s="25"/>
    </row>
    <row r="13" spans="1:18" s="2" customFormat="1" ht="22.5" customHeight="1" x14ac:dyDescent="0.25">
      <c r="A13" s="59"/>
      <c r="B13" s="86" t="s">
        <v>19</v>
      </c>
      <c r="C13" s="86"/>
      <c r="D13" s="86"/>
      <c r="E13" s="86"/>
      <c r="F13" s="86"/>
      <c r="G13" s="86"/>
      <c r="H13" s="86"/>
      <c r="I13" s="86"/>
      <c r="J13" s="86"/>
      <c r="K13" s="86"/>
      <c r="L13" s="86"/>
      <c r="N13" s="1"/>
      <c r="O13" s="85" t="s">
        <v>14</v>
      </c>
      <c r="P13" s="85"/>
      <c r="Q13" s="85"/>
      <c r="R13" s="62"/>
    </row>
    <row r="14" spans="1:18" s="2" customFormat="1" ht="15" customHeight="1" x14ac:dyDescent="0.25">
      <c r="A14" s="60"/>
      <c r="B14" s="87" t="s">
        <v>39</v>
      </c>
      <c r="C14" s="87"/>
      <c r="D14" s="87" t="s">
        <v>24</v>
      </c>
      <c r="E14" s="87"/>
      <c r="F14" s="87"/>
      <c r="G14" s="87"/>
      <c r="H14" s="87"/>
      <c r="I14" s="87"/>
      <c r="J14" s="87"/>
      <c r="K14" s="87"/>
      <c r="L14" s="87"/>
      <c r="N14" s="17"/>
      <c r="O14" s="27"/>
      <c r="P14" s="22"/>
      <c r="Q14" s="22"/>
      <c r="R14" s="60"/>
    </row>
    <row r="15" spans="1:18" s="2" customFormat="1" ht="15" customHeight="1" x14ac:dyDescent="0.25">
      <c r="A15" s="60"/>
      <c r="B15" s="87" t="s">
        <v>38</v>
      </c>
      <c r="C15" s="87"/>
      <c r="D15" s="87" t="s">
        <v>24</v>
      </c>
      <c r="E15" s="87"/>
      <c r="F15" s="87"/>
      <c r="G15" s="87"/>
      <c r="H15" s="87"/>
      <c r="I15" s="87"/>
      <c r="J15" s="87"/>
      <c r="K15" s="87"/>
      <c r="L15" s="87"/>
      <c r="N15" s="3"/>
      <c r="O15" s="27"/>
      <c r="P15" s="56" t="s">
        <v>15</v>
      </c>
      <c r="Q15" s="22"/>
      <c r="R15" s="60"/>
    </row>
    <row r="16" spans="1:18" s="2" customFormat="1" ht="15" customHeight="1" x14ac:dyDescent="0.25">
      <c r="A16" s="60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N16" s="18"/>
      <c r="O16" s="27"/>
      <c r="P16" s="38" t="s">
        <v>16</v>
      </c>
      <c r="Q16" s="22"/>
      <c r="R16" s="60"/>
    </row>
    <row r="17" spans="1:18" s="2" customFormat="1" ht="15" customHeight="1" x14ac:dyDescent="0.25">
      <c r="A17" s="60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N17" s="18"/>
      <c r="O17" s="27"/>
      <c r="P17" t="s">
        <v>17</v>
      </c>
      <c r="Q17" s="22"/>
      <c r="R17" s="60"/>
    </row>
    <row r="18" spans="1:18" s="2" customFormat="1" ht="15" customHeight="1" x14ac:dyDescent="0.25">
      <c r="A18" s="44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N18" s="44"/>
      <c r="O18" s="57"/>
      <c r="P18" s="57"/>
      <c r="Q18" s="57"/>
      <c r="R18" s="44"/>
    </row>
    <row r="19" spans="1:18" ht="15.75" thickBot="1" x14ac:dyDescent="0.3">
      <c r="A19" s="48"/>
      <c r="B19" s="48"/>
      <c r="C19" s="48"/>
      <c r="D19" s="61"/>
      <c r="E19" s="61"/>
      <c r="F19" s="61"/>
      <c r="G19" s="61"/>
      <c r="H19" s="61"/>
      <c r="I19" s="61"/>
      <c r="J19" s="61"/>
      <c r="K19" s="61"/>
      <c r="L19" s="61"/>
      <c r="N19" s="48"/>
      <c r="O19" s="48"/>
      <c r="P19" s="48"/>
      <c r="Q19" s="48"/>
      <c r="R19" s="48"/>
    </row>
    <row r="20" spans="1:18" x14ac:dyDescent="0.25">
      <c r="Q20" s="58"/>
      <c r="R20" s="35"/>
    </row>
    <row r="21" spans="1:18" x14ac:dyDescent="0.25"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</row>
    <row r="22" spans="1:18" x14ac:dyDescent="0.25"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</row>
    <row r="23" spans="1:18" x14ac:dyDescent="0.25">
      <c r="F23" s="35"/>
      <c r="G23" s="35"/>
      <c r="H23" s="35"/>
      <c r="I23" s="35"/>
      <c r="J23" s="35"/>
      <c r="K23" s="35"/>
      <c r="L23" s="35"/>
      <c r="M23" s="35"/>
      <c r="N23" s="32"/>
      <c r="O23" s="32"/>
      <c r="P23" s="32"/>
      <c r="Q23" s="32"/>
    </row>
    <row r="24" spans="1:18" x14ac:dyDescent="0.25"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</row>
    <row r="25" spans="1:18" x14ac:dyDescent="0.25"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</row>
    <row r="26" spans="1:18" x14ac:dyDescent="0.25"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</row>
  </sheetData>
  <mergeCells count="20">
    <mergeCell ref="B14:C14"/>
    <mergeCell ref="B15:C15"/>
    <mergeCell ref="B16:C16"/>
    <mergeCell ref="B17:C17"/>
    <mergeCell ref="L4:P4"/>
    <mergeCell ref="B4:I4"/>
    <mergeCell ref="B13:L13"/>
    <mergeCell ref="B18:C18"/>
    <mergeCell ref="D16:L16"/>
    <mergeCell ref="D17:L17"/>
    <mergeCell ref="D18:L18"/>
    <mergeCell ref="N5:Q5"/>
    <mergeCell ref="N6:Q6"/>
    <mergeCell ref="N7:Q7"/>
    <mergeCell ref="N8:Q8"/>
    <mergeCell ref="N9:Q9"/>
    <mergeCell ref="N10:Q10"/>
    <mergeCell ref="O13:Q13"/>
    <mergeCell ref="D14:L14"/>
    <mergeCell ref="D15:L15"/>
  </mergeCells>
  <pageMargins left="0.7" right="0.7" top="0.75" bottom="0.75" header="0.3" footer="0.3"/>
  <pageSetup paperSize="9" orientation="landscape" verticalDpi="0" r:id="rId1"/>
  <headerFooter>
    <oddHeader xml:space="preserve">&amp;R&amp;10&amp;F 
&amp;A
</oddHeader>
    <oddFooter>&amp;L&amp;10© 2016&amp;C&amp;10Page &amp;P of &amp;N&amp;R&amp;G</oddFooter>
  </headerFooter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183"/>
  <sheetViews>
    <sheetView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ColWidth="9.140625" defaultRowHeight="15" customHeight="1" x14ac:dyDescent="0.25"/>
  <cols>
    <col min="1" max="1" width="1.42578125" style="15" customWidth="1"/>
    <col min="2" max="2" width="41.7109375" style="16" customWidth="1"/>
    <col min="3" max="10" width="11" customWidth="1"/>
    <col min="11" max="12" width="10.7109375" customWidth="1"/>
    <col min="13" max="15" width="10.7109375" bestFit="1" customWidth="1"/>
  </cols>
  <sheetData>
    <row r="1" spans="1:15" s="50" customFormat="1" ht="45" customHeight="1" x14ac:dyDescent="0.45">
      <c r="A1" s="5" t="s">
        <v>20</v>
      </c>
      <c r="B1" s="10"/>
      <c r="C1" s="12" t="s">
        <v>12</v>
      </c>
      <c r="D1" s="12" t="s">
        <v>12</v>
      </c>
      <c r="E1" s="12" t="s">
        <v>12</v>
      </c>
      <c r="F1" s="12" t="s">
        <v>13</v>
      </c>
      <c r="G1" s="12" t="s">
        <v>13</v>
      </c>
      <c r="H1" s="12" t="s">
        <v>13</v>
      </c>
      <c r="I1" s="12" t="s">
        <v>13</v>
      </c>
      <c r="J1" s="12" t="s">
        <v>13</v>
      </c>
      <c r="K1" s="12" t="s">
        <v>13</v>
      </c>
      <c r="L1" s="12" t="s">
        <v>13</v>
      </c>
      <c r="M1" s="12" t="s">
        <v>13</v>
      </c>
      <c r="N1" s="12" t="s">
        <v>13</v>
      </c>
      <c r="O1" s="12" t="s">
        <v>13</v>
      </c>
    </row>
    <row r="2" spans="1:15" s="37" customFormat="1" ht="30" customHeight="1" x14ac:dyDescent="0.35">
      <c r="A2" s="14" t="s">
        <v>75</v>
      </c>
      <c r="B2" s="7"/>
      <c r="C2" s="11">
        <f>DATE(YEAR(D2)-1,MONTH(D2),DAY(D2))</f>
        <v>41639</v>
      </c>
      <c r="D2" s="11">
        <f>DATE(YEAR(E2)-1,MONTH(E2),DAY(E2))</f>
        <v>42004</v>
      </c>
      <c r="E2" s="11">
        <f>Info!N6</f>
        <v>42369</v>
      </c>
      <c r="F2" s="11">
        <f>DATE(YEAR(E2)+1,MONTH(E2),DAY(E2))</f>
        <v>42735</v>
      </c>
      <c r="G2" s="11">
        <f>DATE(YEAR(F2)+1,MONTH(F2),DAY(F2))</f>
        <v>43100</v>
      </c>
      <c r="H2" s="11">
        <f>DATE(YEAR(G2)+1,MONTH(G2),DAY(G2))</f>
        <v>43465</v>
      </c>
      <c r="I2" s="11">
        <f>DATE(YEAR(H2)+1,MONTH(H2),DAY(H2))</f>
        <v>43830</v>
      </c>
      <c r="J2" s="11">
        <f>DATE(YEAR(I2)+1,MONTH(I2),DAY(I2))</f>
        <v>44196</v>
      </c>
      <c r="K2" s="11">
        <f t="shared" ref="K2:O2" si="0">DATE(YEAR(J2)+1,MONTH(J2),DAY(J2))</f>
        <v>44561</v>
      </c>
      <c r="L2" s="11">
        <f t="shared" si="0"/>
        <v>44926</v>
      </c>
      <c r="M2" s="11">
        <f t="shared" si="0"/>
        <v>45291</v>
      </c>
      <c r="N2" s="11">
        <f t="shared" si="0"/>
        <v>45657</v>
      </c>
      <c r="O2" s="11">
        <f t="shared" si="0"/>
        <v>46022</v>
      </c>
    </row>
    <row r="4" spans="1:15" ht="15" customHeight="1" x14ac:dyDescent="0.25">
      <c r="A4" s="15" t="s">
        <v>40</v>
      </c>
    </row>
    <row r="5" spans="1:15" ht="15" customHeight="1" x14ac:dyDescent="0.25">
      <c r="B5" s="16" t="s">
        <v>25</v>
      </c>
      <c r="D5" s="71">
        <f>(D23/C23)-1</f>
        <v>0.1278372746759997</v>
      </c>
      <c r="E5" s="71">
        <f>(E23/D23)-1</f>
        <v>3.8811139732242816E-2</v>
      </c>
      <c r="F5" s="71">
        <f t="shared" ref="F5:H5" si="1">(F23/E23)-1</f>
        <v>4.9894550401256232E-2</v>
      </c>
      <c r="G5" s="71">
        <f t="shared" si="1"/>
        <v>7.3828654909736002E-2</v>
      </c>
      <c r="H5" s="71">
        <f t="shared" si="1"/>
        <v>9.4909544401794443E-2</v>
      </c>
      <c r="I5" s="68">
        <v>0.05</v>
      </c>
      <c r="J5" s="68">
        <v>0.05</v>
      </c>
      <c r="K5" s="68">
        <v>0.05</v>
      </c>
      <c r="L5" s="68">
        <v>0.05</v>
      </c>
      <c r="M5" s="68">
        <v>0.05</v>
      </c>
      <c r="N5" s="68">
        <v>0.05</v>
      </c>
      <c r="O5" s="68">
        <v>0.05</v>
      </c>
    </row>
    <row r="6" spans="1:15" ht="15" customHeight="1" x14ac:dyDescent="0.25">
      <c r="B6" s="16" t="s">
        <v>26</v>
      </c>
      <c r="C6" s="71">
        <f>C24/C23</f>
        <v>0.78523996765346415</v>
      </c>
      <c r="D6" s="71">
        <f t="shared" ref="D6:H6" si="2">D24/D23</f>
        <v>0.78864896034476872</v>
      </c>
      <c r="E6" s="71">
        <f t="shared" si="2"/>
        <v>0.78248897572376774</v>
      </c>
      <c r="F6" s="71">
        <f t="shared" si="2"/>
        <v>0.79618421510313397</v>
      </c>
      <c r="G6" s="71">
        <f t="shared" si="2"/>
        <v>0.79652754158366135</v>
      </c>
      <c r="H6" s="71">
        <f t="shared" si="2"/>
        <v>0.7768885996183601</v>
      </c>
      <c r="I6" s="68">
        <v>0.79</v>
      </c>
      <c r="J6" s="68">
        <v>0.79</v>
      </c>
      <c r="K6" s="68">
        <v>0.79</v>
      </c>
      <c r="L6" s="68">
        <v>0.79</v>
      </c>
      <c r="M6" s="68">
        <v>0.79</v>
      </c>
      <c r="N6" s="68">
        <v>0.79</v>
      </c>
      <c r="O6" s="68">
        <v>0.79</v>
      </c>
    </row>
    <row r="7" spans="1:15" ht="15" customHeight="1" x14ac:dyDescent="0.25">
      <c r="B7" s="16" t="s">
        <v>76</v>
      </c>
      <c r="C7" s="71"/>
      <c r="D7" s="71"/>
      <c r="E7" s="71">
        <f>E27/D91</f>
        <v>0.27166833192102902</v>
      </c>
      <c r="F7" s="71">
        <f>F27/E91</f>
        <v>0.23293134213961508</v>
      </c>
      <c r="G7" s="71">
        <f>G27/F91</f>
        <v>0.20774032360953493</v>
      </c>
      <c r="H7" s="71">
        <f>H27/G91</f>
        <v>0.27131411393615856</v>
      </c>
      <c r="I7" s="68">
        <v>0.27</v>
      </c>
      <c r="J7" s="68">
        <v>0.27</v>
      </c>
      <c r="K7" s="68">
        <v>0.27</v>
      </c>
      <c r="L7" s="68">
        <v>0.27</v>
      </c>
      <c r="M7" s="68">
        <v>0.27</v>
      </c>
      <c r="N7" s="68">
        <v>0.27</v>
      </c>
      <c r="O7" s="68">
        <v>0.27</v>
      </c>
    </row>
    <row r="8" spans="1:15" ht="15" customHeight="1" x14ac:dyDescent="0.25">
      <c r="B8" s="16" t="s">
        <v>85</v>
      </c>
      <c r="C8" s="72">
        <f>C28</f>
        <v>110</v>
      </c>
      <c r="D8" s="72">
        <f t="shared" ref="D8:E8" si="3">D28</f>
        <v>96</v>
      </c>
      <c r="E8" s="72">
        <f t="shared" si="3"/>
        <v>0</v>
      </c>
      <c r="F8" s="73">
        <v>0</v>
      </c>
      <c r="G8" s="73">
        <v>0</v>
      </c>
      <c r="H8" s="73">
        <v>0</v>
      </c>
      <c r="I8" s="73">
        <v>0</v>
      </c>
      <c r="J8" s="73">
        <v>0</v>
      </c>
      <c r="K8" s="73">
        <v>0</v>
      </c>
      <c r="L8" s="73">
        <v>0</v>
      </c>
      <c r="M8" s="73">
        <v>0</v>
      </c>
      <c r="N8" s="73">
        <v>0</v>
      </c>
      <c r="O8" s="73">
        <v>0</v>
      </c>
    </row>
    <row r="9" spans="1:15" ht="15" customHeight="1" x14ac:dyDescent="0.25">
      <c r="B9" s="16" t="s">
        <v>127</v>
      </c>
      <c r="C9" s="72">
        <f>C32</f>
        <v>-478</v>
      </c>
      <c r="D9" s="72">
        <f t="shared" ref="D9:E9" si="4">D32</f>
        <v>-886</v>
      </c>
      <c r="E9" s="72">
        <f t="shared" si="4"/>
        <v>-912</v>
      </c>
      <c r="F9" s="73">
        <f>E9</f>
        <v>-912</v>
      </c>
      <c r="G9" s="73">
        <f t="shared" ref="G9:O9" si="5">F9</f>
        <v>-912</v>
      </c>
      <c r="H9" s="73">
        <f t="shared" si="5"/>
        <v>-912</v>
      </c>
      <c r="I9" s="73">
        <f t="shared" si="5"/>
        <v>-912</v>
      </c>
      <c r="J9" s="73">
        <f t="shared" si="5"/>
        <v>-912</v>
      </c>
      <c r="K9" s="73">
        <f t="shared" si="5"/>
        <v>-912</v>
      </c>
      <c r="L9" s="73">
        <f t="shared" si="5"/>
        <v>-912</v>
      </c>
      <c r="M9" s="73">
        <f t="shared" si="5"/>
        <v>-912</v>
      </c>
      <c r="N9" s="73">
        <f t="shared" si="5"/>
        <v>-912</v>
      </c>
      <c r="O9" s="73">
        <f t="shared" si="5"/>
        <v>-912</v>
      </c>
    </row>
    <row r="10" spans="1:15" ht="15" customHeight="1" x14ac:dyDescent="0.25">
      <c r="B10" s="16" t="s">
        <v>86</v>
      </c>
      <c r="C10">
        <f>C33</f>
        <v>0</v>
      </c>
      <c r="D10">
        <f t="shared" ref="D10:E10" si="6">D33</f>
        <v>0</v>
      </c>
      <c r="E10">
        <f t="shared" si="6"/>
        <v>753</v>
      </c>
      <c r="F10" s="73">
        <v>0</v>
      </c>
      <c r="G10" s="73">
        <v>0</v>
      </c>
      <c r="H10" s="73">
        <v>0</v>
      </c>
      <c r="I10" s="73">
        <v>0</v>
      </c>
      <c r="J10" s="73">
        <v>0</v>
      </c>
      <c r="K10" s="73">
        <v>0</v>
      </c>
      <c r="L10" s="73">
        <v>0</v>
      </c>
      <c r="M10" s="73">
        <v>0</v>
      </c>
      <c r="N10" s="73">
        <v>0</v>
      </c>
      <c r="O10" s="73">
        <v>0</v>
      </c>
    </row>
    <row r="11" spans="1:15" ht="15" customHeight="1" x14ac:dyDescent="0.25">
      <c r="B11" s="16" t="s">
        <v>77</v>
      </c>
      <c r="C11" s="71">
        <f>C36/C34</f>
        <v>0.36638872114089283</v>
      </c>
      <c r="D11" s="71">
        <f t="shared" ref="D11:E11" si="7">D36/D34</f>
        <v>0.38182418823730008</v>
      </c>
      <c r="E11" s="71">
        <f t="shared" si="7"/>
        <v>0.35340112669697188</v>
      </c>
      <c r="F11" s="68">
        <v>0.35</v>
      </c>
      <c r="G11" s="68">
        <v>0.35</v>
      </c>
      <c r="H11" s="68">
        <v>0.35</v>
      </c>
      <c r="I11" s="68">
        <v>0.35</v>
      </c>
      <c r="J11" s="68">
        <v>0.35</v>
      </c>
      <c r="K11" s="68">
        <v>0.35</v>
      </c>
      <c r="L11" s="68">
        <v>0.35</v>
      </c>
      <c r="M11" s="68">
        <v>0.35</v>
      </c>
      <c r="N11" s="68">
        <v>0.35</v>
      </c>
      <c r="O11" s="68">
        <v>0.35</v>
      </c>
    </row>
    <row r="12" spans="1:15" ht="15" customHeight="1" x14ac:dyDescent="0.25">
      <c r="B12" s="16" t="s">
        <v>78</v>
      </c>
      <c r="C12" s="71">
        <f>(30138+1694)/C34</f>
        <v>0.36967529149440237</v>
      </c>
      <c r="D12" s="71">
        <f>(32844+3174)/D34</f>
        <v>0.38382761964641565</v>
      </c>
      <c r="E12" s="71">
        <f>(34108+2272)/E34</f>
        <v>0.37330815880475715</v>
      </c>
      <c r="F12" s="68">
        <v>0.375</v>
      </c>
      <c r="G12" s="68">
        <v>0.375</v>
      </c>
      <c r="H12" s="68">
        <v>0.375</v>
      </c>
      <c r="I12" s="68">
        <v>0.375</v>
      </c>
      <c r="J12" s="68">
        <v>0.375</v>
      </c>
      <c r="K12" s="68">
        <v>0.375</v>
      </c>
      <c r="L12" s="68">
        <v>0.375</v>
      </c>
      <c r="M12" s="68">
        <v>0.375</v>
      </c>
      <c r="N12" s="68">
        <v>0.375</v>
      </c>
      <c r="O12" s="68">
        <v>0.375</v>
      </c>
    </row>
    <row r="13" spans="1:15" ht="15" customHeight="1" x14ac:dyDescent="0.25">
      <c r="B13" s="16" t="s">
        <v>145</v>
      </c>
      <c r="D13" s="66" t="e">
        <f>D40/C40-1</f>
        <v>#DIV/0!</v>
      </c>
      <c r="E13" s="66" t="e">
        <f>E40/D40-1</f>
        <v>#DIV/0!</v>
      </c>
      <c r="F13" s="67">
        <v>0</v>
      </c>
      <c r="G13" s="67">
        <v>0</v>
      </c>
      <c r="H13" s="67">
        <v>0</v>
      </c>
      <c r="I13" s="67">
        <v>0</v>
      </c>
      <c r="J13" s="67">
        <v>0</v>
      </c>
      <c r="K13" s="67">
        <v>0</v>
      </c>
      <c r="L13" s="67">
        <v>0</v>
      </c>
      <c r="M13" s="67">
        <v>0</v>
      </c>
      <c r="N13" s="67">
        <v>0</v>
      </c>
      <c r="O13" s="67">
        <v>0</v>
      </c>
    </row>
    <row r="14" spans="1:15" ht="15" customHeight="1" x14ac:dyDescent="0.25">
      <c r="B14" s="16" t="s">
        <v>80</v>
      </c>
      <c r="C14">
        <f>C41</f>
        <v>67866.667000000001</v>
      </c>
      <c r="D14">
        <f t="shared" ref="D14:E14" si="8">D41</f>
        <v>67867.528999999995</v>
      </c>
      <c r="E14">
        <f t="shared" si="8"/>
        <v>67852.534</v>
      </c>
      <c r="F14" s="73">
        <v>67394.755999999994</v>
      </c>
      <c r="G14" s="73">
        <f>F14</f>
        <v>67394.755999999994</v>
      </c>
      <c r="H14" s="73">
        <f t="shared" ref="H14:O14" si="9">G14</f>
        <v>67394.755999999994</v>
      </c>
      <c r="I14" s="73">
        <f t="shared" si="9"/>
        <v>67394.755999999994</v>
      </c>
      <c r="J14" s="73">
        <f t="shared" si="9"/>
        <v>67394.755999999994</v>
      </c>
      <c r="K14" s="73">
        <f t="shared" si="9"/>
        <v>67394.755999999994</v>
      </c>
      <c r="L14" s="73">
        <f t="shared" si="9"/>
        <v>67394.755999999994</v>
      </c>
      <c r="M14" s="73">
        <f t="shared" si="9"/>
        <v>67394.755999999994</v>
      </c>
      <c r="N14" s="73">
        <f t="shared" si="9"/>
        <v>67394.755999999994</v>
      </c>
      <c r="O14" s="73">
        <f t="shared" si="9"/>
        <v>67394.755999999994</v>
      </c>
    </row>
    <row r="15" spans="1:15" ht="15" customHeight="1" x14ac:dyDescent="0.25">
      <c r="B15" s="16" t="s">
        <v>81</v>
      </c>
      <c r="C15">
        <f>C42</f>
        <v>67870.687999999995</v>
      </c>
      <c r="D15">
        <f t="shared" ref="D15:E15" si="10">D42</f>
        <v>67878.34</v>
      </c>
      <c r="E15">
        <f t="shared" si="10"/>
        <v>67876.771999999997</v>
      </c>
      <c r="F15">
        <f>E15/E14*F14</f>
        <v>67418.830474446702</v>
      </c>
      <c r="G15">
        <f t="shared" ref="G15:J15" si="11">F15/F14*G14</f>
        <v>67418.830474446702</v>
      </c>
      <c r="H15">
        <f t="shared" si="11"/>
        <v>67418.830474446702</v>
      </c>
      <c r="I15">
        <f t="shared" si="11"/>
        <v>67418.830474446702</v>
      </c>
      <c r="J15">
        <f t="shared" si="11"/>
        <v>67418.830474446702</v>
      </c>
      <c r="K15">
        <f t="shared" ref="K15" si="12">J15/J14*K14</f>
        <v>67418.830474446702</v>
      </c>
      <c r="L15">
        <f t="shared" ref="L15" si="13">K15/K14*L14</f>
        <v>67418.830474446702</v>
      </c>
      <c r="M15">
        <f t="shared" ref="M15" si="14">L15/L14*M14</f>
        <v>67418.830474446702</v>
      </c>
      <c r="N15">
        <f t="shared" ref="N15" si="15">M15/M14*N14</f>
        <v>67418.830474446702</v>
      </c>
      <c r="O15">
        <f t="shared" ref="O15" si="16">N15/N14*O14</f>
        <v>67418.830474446702</v>
      </c>
    </row>
    <row r="16" spans="1:15" ht="15" customHeight="1" x14ac:dyDescent="0.25">
      <c r="A16" s="64"/>
    </row>
    <row r="17" spans="1:15" ht="15" customHeight="1" x14ac:dyDescent="0.25">
      <c r="A17" s="15" t="s">
        <v>49</v>
      </c>
    </row>
    <row r="18" spans="1:15" ht="15" customHeight="1" x14ac:dyDescent="0.25">
      <c r="B18" s="16" t="s">
        <v>74</v>
      </c>
      <c r="C18" s="66">
        <f t="shared" ref="C18:O18" si="17">C25/C23</f>
        <v>0.21476003234653579</v>
      </c>
      <c r="D18" s="66">
        <f t="shared" si="17"/>
        <v>0.21135103965523128</v>
      </c>
      <c r="E18" s="66">
        <f t="shared" si="17"/>
        <v>0.21751102427623231</v>
      </c>
      <c r="F18" s="66">
        <f t="shared" si="17"/>
        <v>0.20381578489686597</v>
      </c>
      <c r="G18" s="66">
        <f t="shared" si="17"/>
        <v>0.20347245841633868</v>
      </c>
      <c r="H18" s="66">
        <f t="shared" si="17"/>
        <v>0.22311140038163987</v>
      </c>
      <c r="I18" s="66">
        <f t="shared" ca="1" si="17"/>
        <v>0.21</v>
      </c>
      <c r="J18" s="66">
        <f t="shared" ca="1" si="17"/>
        <v>0.20999999999999996</v>
      </c>
      <c r="K18" s="66">
        <f t="shared" ca="1" si="17"/>
        <v>0.20999999999999991</v>
      </c>
      <c r="L18" s="66">
        <f t="shared" ca="1" si="17"/>
        <v>0.20999999999999996</v>
      </c>
      <c r="M18" s="66">
        <f t="shared" ca="1" si="17"/>
        <v>0.21000000000000002</v>
      </c>
      <c r="N18" s="66">
        <f t="shared" ca="1" si="17"/>
        <v>0.20999999999999996</v>
      </c>
      <c r="O18" s="66">
        <f t="shared" ca="1" si="17"/>
        <v>0.21000000000000002</v>
      </c>
    </row>
    <row r="19" spans="1:15" ht="15" customHeight="1" x14ac:dyDescent="0.25">
      <c r="B19" s="16" t="s">
        <v>53</v>
      </c>
      <c r="C19" s="66">
        <f>C29/C23</f>
        <v>0.18475819253034628</v>
      </c>
      <c r="D19" s="66">
        <f>D29/D23</f>
        <v>0.17722128855791228</v>
      </c>
      <c r="E19" s="66">
        <f>E29/E23</f>
        <v>0.17828925144479646</v>
      </c>
      <c r="F19" s="66">
        <f>F29/F23</f>
        <v>0.16998852133987269</v>
      </c>
      <c r="G19" s="66">
        <f>G29/G23</f>
        <v>0.16934713246845795</v>
      </c>
      <c r="H19" s="66">
        <f>H31/H23</f>
        <v>0</v>
      </c>
      <c r="I19" s="66">
        <f t="shared" ref="I19:O19" ca="1" si="18">I29/I23</f>
        <v>0.15988994993882349</v>
      </c>
      <c r="J19" s="66">
        <f t="shared" ca="1" si="18"/>
        <v>0.1584472985288963</v>
      </c>
      <c r="K19" s="66">
        <f t="shared" ca="1" si="18"/>
        <v>0.15744431231056594</v>
      </c>
      <c r="L19" s="66">
        <f t="shared" ca="1" si="18"/>
        <v>0.15674699808258397</v>
      </c>
      <c r="M19" s="66">
        <f t="shared" ca="1" si="18"/>
        <v>0.15626219866693938</v>
      </c>
      <c r="N19" s="66">
        <f t="shared" ca="1" si="18"/>
        <v>0.155925147644634</v>
      </c>
      <c r="O19" s="66">
        <f t="shared" ca="1" si="18"/>
        <v>0.15569081693388845</v>
      </c>
    </row>
    <row r="20" spans="1:15" ht="15" customHeight="1" x14ac:dyDescent="0.25">
      <c r="B20" s="16" t="s">
        <v>54</v>
      </c>
      <c r="C20" s="66">
        <f t="shared" ref="C20:O20" si="19">C37/C23</f>
        <v>0.11671922265626672</v>
      </c>
      <c r="D20" s="66">
        <f t="shared" si="19"/>
        <v>0.1100334981050619</v>
      </c>
      <c r="E20" s="66">
        <f t="shared" si="19"/>
        <v>0.11505966347426756</v>
      </c>
      <c r="F20" s="66">
        <f t="shared" si="19"/>
        <v>0.11152353125326099</v>
      </c>
      <c r="G20" s="66">
        <f t="shared" si="19"/>
        <v>0.11103574494274655</v>
      </c>
      <c r="H20" s="66">
        <f t="shared" si="19"/>
        <v>0.11446799698238244</v>
      </c>
      <c r="I20" s="66">
        <f t="shared" ca="1" si="19"/>
        <v>0.10476359523351668</v>
      </c>
      <c r="J20" s="66">
        <f t="shared" ca="1" si="19"/>
        <v>0.10378610382786012</v>
      </c>
      <c r="K20" s="66">
        <f t="shared" ca="1" si="19"/>
        <v>0.10309628851051313</v>
      </c>
      <c r="L20" s="66">
        <f t="shared" ca="1" si="19"/>
        <v>0.10260696352381794</v>
      </c>
      <c r="M20" s="66">
        <f t="shared" ca="1" si="19"/>
        <v>0.10225749081935666</v>
      </c>
      <c r="N20" s="66">
        <f t="shared" ca="1" si="19"/>
        <v>0.10200569043172264</v>
      </c>
      <c r="O20" s="66">
        <f t="shared" ca="1" si="19"/>
        <v>0.10182221620960895</v>
      </c>
    </row>
    <row r="22" spans="1:15" ht="15" customHeight="1" x14ac:dyDescent="0.25">
      <c r="A22" s="15" t="s">
        <v>27</v>
      </c>
    </row>
    <row r="23" spans="1:15" ht="15" customHeight="1" x14ac:dyDescent="0.25">
      <c r="B23" s="16" t="s">
        <v>28</v>
      </c>
      <c r="C23" s="76">
        <v>467438</v>
      </c>
      <c r="D23" s="76">
        <v>527194</v>
      </c>
      <c r="E23" s="76">
        <v>547655</v>
      </c>
      <c r="F23" s="76">
        <v>574980</v>
      </c>
      <c r="G23" s="76">
        <v>617430</v>
      </c>
      <c r="H23" s="76">
        <v>676030</v>
      </c>
      <c r="I23">
        <f t="shared" ref="I23:O23" si="20">H23*(1+I5)</f>
        <v>709831.5</v>
      </c>
      <c r="J23">
        <f t="shared" si="20"/>
        <v>745323.07500000007</v>
      </c>
      <c r="K23">
        <f t="shared" si="20"/>
        <v>782589.22875000013</v>
      </c>
      <c r="L23">
        <f t="shared" si="20"/>
        <v>821718.69018750021</v>
      </c>
      <c r="M23">
        <f t="shared" si="20"/>
        <v>862804.62469687522</v>
      </c>
      <c r="N23">
        <f t="shared" si="20"/>
        <v>905944.85593171907</v>
      </c>
      <c r="O23">
        <f t="shared" si="20"/>
        <v>951242.09872830508</v>
      </c>
    </row>
    <row r="24" spans="1:15" ht="15" customHeight="1" x14ac:dyDescent="0.25">
      <c r="B24" s="16" t="s">
        <v>29</v>
      </c>
      <c r="C24" s="76">
        <f>198593-13914+(28875+17373+98720+37514-110)</f>
        <v>367051</v>
      </c>
      <c r="D24" s="76">
        <f>221227-17897+(36447+17539+114752+43799-96)</f>
        <v>415771</v>
      </c>
      <c r="E24" s="76">
        <f>220755-21480+(33946+18565+127848+49653-753)</f>
        <v>428534</v>
      </c>
      <c r="F24">
        <f>F23-F25</f>
        <v>457790</v>
      </c>
      <c r="G24">
        <f t="shared" ref="G24:O24" si="21">G23-G25</f>
        <v>491800</v>
      </c>
      <c r="H24">
        <f t="shared" si="21"/>
        <v>525200</v>
      </c>
      <c r="I24">
        <f t="shared" ca="1" si="21"/>
        <v>560766.88500000001</v>
      </c>
      <c r="J24">
        <f t="shared" ca="1" si="21"/>
        <v>588805.22925000009</v>
      </c>
      <c r="K24">
        <f t="shared" ca="1" si="21"/>
        <v>618245.49071250018</v>
      </c>
      <c r="L24">
        <f t="shared" ca="1" si="21"/>
        <v>649157.76524812519</v>
      </c>
      <c r="M24">
        <f t="shared" ca="1" si="21"/>
        <v>681615.65351053141</v>
      </c>
      <c r="N24">
        <f t="shared" ca="1" si="21"/>
        <v>715696.4361860581</v>
      </c>
      <c r="O24">
        <f t="shared" ca="1" si="21"/>
        <v>751481.257995361</v>
      </c>
    </row>
    <row r="25" spans="1:15" ht="15" customHeight="1" x14ac:dyDescent="0.25">
      <c r="B25" s="16" t="s">
        <v>42</v>
      </c>
      <c r="C25" s="75">
        <f>C23-C24</f>
        <v>100387</v>
      </c>
      <c r="D25" s="75">
        <f t="shared" ref="D25:E25" si="22">D23-D24</f>
        <v>111423</v>
      </c>
      <c r="E25" s="75">
        <f t="shared" si="22"/>
        <v>119121</v>
      </c>
      <c r="F25" s="76">
        <v>117190</v>
      </c>
      <c r="G25" s="76">
        <v>125630</v>
      </c>
      <c r="H25" s="76">
        <v>150830</v>
      </c>
      <c r="I25" s="75">
        <f t="shared" ref="I25:O25" ca="1" si="23">I23-I24</f>
        <v>149064.61499999999</v>
      </c>
      <c r="J25" s="75">
        <f t="shared" ca="1" si="23"/>
        <v>156517.84574999998</v>
      </c>
      <c r="K25" s="75">
        <f t="shared" ca="1" si="23"/>
        <v>164343.73803749995</v>
      </c>
      <c r="L25" s="75">
        <f t="shared" ca="1" si="23"/>
        <v>172560.92493937502</v>
      </c>
      <c r="M25" s="75">
        <f t="shared" ca="1" si="23"/>
        <v>181188.97118634381</v>
      </c>
      <c r="N25" s="75">
        <f t="shared" ca="1" si="23"/>
        <v>190248.41974566097</v>
      </c>
      <c r="O25" s="75">
        <f t="shared" ca="1" si="23"/>
        <v>199760.84073294408</v>
      </c>
    </row>
    <row r="27" spans="1:15" ht="15" customHeight="1" x14ac:dyDescent="0.25">
      <c r="B27" s="16" t="s">
        <v>82</v>
      </c>
      <c r="C27" s="76">
        <v>13914</v>
      </c>
      <c r="D27" s="76">
        <v>17897</v>
      </c>
      <c r="E27" s="65">
        <v>21480</v>
      </c>
      <c r="F27" s="59">
        <f>F25-F29-F28</f>
        <v>19450</v>
      </c>
      <c r="G27" s="59">
        <f t="shared" ref="G27:H27" si="24">G25-G29-G28</f>
        <v>21070</v>
      </c>
      <c r="H27" s="59">
        <f t="shared" si="24"/>
        <v>32690</v>
      </c>
      <c r="I27">
        <f t="shared" ref="I27:O27" si="25">I7*H91</f>
        <v>35569.69200000001</v>
      </c>
      <c r="J27">
        <f t="shared" si="25"/>
        <v>38423.417985000007</v>
      </c>
      <c r="K27">
        <f t="shared" si="25"/>
        <v>41129.515095300005</v>
      </c>
      <c r="L27">
        <f t="shared" si="25"/>
        <v>43758.986984131509</v>
      </c>
      <c r="M27">
        <f t="shared" si="25"/>
        <v>46365.223511206626</v>
      </c>
      <c r="N27">
        <f t="shared" si="25"/>
        <v>48988.834326610995</v>
      </c>
      <c r="O27">
        <f t="shared" si="25"/>
        <v>51661.181280027697</v>
      </c>
    </row>
    <row r="28" spans="1:15" ht="15" customHeight="1" x14ac:dyDescent="0.25">
      <c r="B28" s="16" t="s">
        <v>83</v>
      </c>
      <c r="C28" s="76">
        <v>110</v>
      </c>
      <c r="D28" s="76">
        <v>96</v>
      </c>
      <c r="E28" s="76">
        <v>0</v>
      </c>
      <c r="F28">
        <f t="shared" ref="F28:O28" si="26">F8</f>
        <v>0</v>
      </c>
      <c r="G28">
        <f t="shared" si="26"/>
        <v>0</v>
      </c>
      <c r="H28">
        <f t="shared" si="26"/>
        <v>0</v>
      </c>
      <c r="I28">
        <f t="shared" si="26"/>
        <v>0</v>
      </c>
      <c r="J28">
        <f t="shared" si="26"/>
        <v>0</v>
      </c>
      <c r="K28">
        <f t="shared" si="26"/>
        <v>0</v>
      </c>
      <c r="L28">
        <f t="shared" si="26"/>
        <v>0</v>
      </c>
      <c r="M28">
        <f t="shared" si="26"/>
        <v>0</v>
      </c>
      <c r="N28">
        <f t="shared" si="26"/>
        <v>0</v>
      </c>
      <c r="O28">
        <f t="shared" si="26"/>
        <v>0</v>
      </c>
    </row>
    <row r="29" spans="1:15" ht="15" customHeight="1" x14ac:dyDescent="0.25">
      <c r="B29" s="16" t="s">
        <v>43</v>
      </c>
      <c r="C29" s="75">
        <f>C25-C27-C28</f>
        <v>86363</v>
      </c>
      <c r="D29" s="75">
        <f>D25-D27-D28</f>
        <v>93430</v>
      </c>
      <c r="E29" s="75">
        <f>E25-E27-E28</f>
        <v>97641</v>
      </c>
      <c r="F29" s="76">
        <v>97740</v>
      </c>
      <c r="G29" s="76">
        <v>104560</v>
      </c>
      <c r="H29" s="76">
        <v>118140</v>
      </c>
      <c r="I29" s="75">
        <f t="shared" ref="I29" ca="1" si="27">I25-I27-I28</f>
        <v>113494.92299999998</v>
      </c>
      <c r="J29" s="75">
        <f t="shared" ref="J29" ca="1" si="28">J25-J27-J28</f>
        <v>118094.42776499997</v>
      </c>
      <c r="K29" s="75">
        <f t="shared" ref="K29" ca="1" si="29">K25-K27-K28</f>
        <v>123214.22294219994</v>
      </c>
      <c r="L29" s="75">
        <f t="shared" ref="L29" ca="1" si="30">L25-L27-L28</f>
        <v>128801.93795524351</v>
      </c>
      <c r="M29" s="75">
        <f t="shared" ref="M29" ca="1" si="31">M25-M27-M28</f>
        <v>134823.74767513719</v>
      </c>
      <c r="N29" s="75">
        <f t="shared" ref="N29" ca="1" si="32">N25-N27-N28</f>
        <v>141259.58541904998</v>
      </c>
      <c r="O29" s="75">
        <f t="shared" ref="O29" ca="1" si="33">O25-O27-O28</f>
        <v>148099.65945291638</v>
      </c>
    </row>
    <row r="31" spans="1:15" ht="15" customHeight="1" x14ac:dyDescent="0.25">
      <c r="B31" s="16" t="s">
        <v>126</v>
      </c>
      <c r="C31" s="76">
        <v>733</v>
      </c>
      <c r="D31" s="76">
        <v>477</v>
      </c>
      <c r="E31" s="76">
        <v>347</v>
      </c>
      <c r="F31">
        <f t="shared" ref="F31:O31" si="34">IF(switch=1,F140+F146,0)</f>
        <v>0</v>
      </c>
      <c r="G31">
        <f t="shared" si="34"/>
        <v>0</v>
      </c>
      <c r="H31">
        <f t="shared" si="34"/>
        <v>0</v>
      </c>
      <c r="I31">
        <f t="shared" si="34"/>
        <v>0</v>
      </c>
      <c r="J31">
        <f t="shared" si="34"/>
        <v>0</v>
      </c>
      <c r="K31">
        <f t="shared" si="34"/>
        <v>0</v>
      </c>
      <c r="L31">
        <f t="shared" si="34"/>
        <v>0</v>
      </c>
      <c r="M31">
        <f t="shared" si="34"/>
        <v>0</v>
      </c>
      <c r="N31">
        <f t="shared" si="34"/>
        <v>0</v>
      </c>
      <c r="O31">
        <f t="shared" si="34"/>
        <v>0</v>
      </c>
    </row>
    <row r="32" spans="1:15" ht="15" customHeight="1" x14ac:dyDescent="0.25">
      <c r="B32" s="16" t="s">
        <v>127</v>
      </c>
      <c r="C32" s="76">
        <f>(184+388-94)*-1</f>
        <v>-478</v>
      </c>
      <c r="D32" s="76">
        <f>(279+475+132)*-1</f>
        <v>-886</v>
      </c>
      <c r="E32" s="76">
        <f>(411+427+74)*-1</f>
        <v>-912</v>
      </c>
      <c r="F32">
        <f t="shared" ref="F32:O32" si="35">F9</f>
        <v>-912</v>
      </c>
      <c r="G32">
        <f t="shared" si="35"/>
        <v>-912</v>
      </c>
      <c r="H32">
        <f t="shared" si="35"/>
        <v>-912</v>
      </c>
      <c r="I32">
        <f t="shared" si="35"/>
        <v>-912</v>
      </c>
      <c r="J32">
        <f t="shared" si="35"/>
        <v>-912</v>
      </c>
      <c r="K32">
        <f t="shared" si="35"/>
        <v>-912</v>
      </c>
      <c r="L32">
        <f t="shared" si="35"/>
        <v>-912</v>
      </c>
      <c r="M32">
        <f t="shared" si="35"/>
        <v>-912</v>
      </c>
      <c r="N32">
        <f t="shared" si="35"/>
        <v>-912</v>
      </c>
      <c r="O32">
        <f t="shared" si="35"/>
        <v>-912</v>
      </c>
    </row>
    <row r="33" spans="1:15" ht="15" customHeight="1" x14ac:dyDescent="0.25">
      <c r="B33" s="16" t="s">
        <v>87</v>
      </c>
      <c r="C33" s="76"/>
      <c r="D33" s="76">
        <v>0</v>
      </c>
      <c r="E33" s="76">
        <v>753</v>
      </c>
      <c r="F33">
        <f t="shared" ref="F33:O33" si="36">F10</f>
        <v>0</v>
      </c>
      <c r="G33">
        <f t="shared" si="36"/>
        <v>0</v>
      </c>
      <c r="H33">
        <f t="shared" si="36"/>
        <v>0</v>
      </c>
      <c r="I33">
        <f t="shared" si="36"/>
        <v>0</v>
      </c>
      <c r="J33">
        <f t="shared" si="36"/>
        <v>0</v>
      </c>
      <c r="K33">
        <f t="shared" si="36"/>
        <v>0</v>
      </c>
      <c r="L33">
        <f t="shared" si="36"/>
        <v>0</v>
      </c>
      <c r="M33">
        <f t="shared" si="36"/>
        <v>0</v>
      </c>
      <c r="N33">
        <f t="shared" si="36"/>
        <v>0</v>
      </c>
      <c r="O33">
        <f t="shared" si="36"/>
        <v>0</v>
      </c>
    </row>
    <row r="34" spans="1:15" ht="15" customHeight="1" x14ac:dyDescent="0.25">
      <c r="B34" s="16" t="s">
        <v>46</v>
      </c>
      <c r="C34" s="75">
        <f>C29-C31-C32-C33</f>
        <v>86108</v>
      </c>
      <c r="D34" s="75">
        <f>D29-D31-D32-D33</f>
        <v>93839</v>
      </c>
      <c r="E34" s="75">
        <f>E29-E31-E32-E33</f>
        <v>97453</v>
      </c>
      <c r="F34" s="75">
        <f t="shared" ref="F34" si="37">F29-F31-F32-F33</f>
        <v>98652</v>
      </c>
      <c r="G34" s="75">
        <f t="shared" ref="G34" si="38">G29-G31-G32-G33</f>
        <v>105472</v>
      </c>
      <c r="H34" s="75">
        <f t="shared" ref="H34" si="39">H29-H31-H32-H33</f>
        <v>119052</v>
      </c>
      <c r="I34" s="75">
        <f t="shared" ref="I34" ca="1" si="40">I29-I31-I32-I33</f>
        <v>114406.92299999998</v>
      </c>
      <c r="J34" s="75">
        <f t="shared" ref="J34" ca="1" si="41">J29-J31-J32-J33</f>
        <v>119006.42776499997</v>
      </c>
      <c r="K34" s="75">
        <f t="shared" ref="K34" ca="1" si="42">K29-K31-K32-K33</f>
        <v>124126.22294219994</v>
      </c>
      <c r="L34" s="75">
        <f t="shared" ref="L34" ca="1" si="43">L29-L31-L32-L33</f>
        <v>129713.93795524351</v>
      </c>
      <c r="M34" s="75">
        <f t="shared" ref="M34" ca="1" si="44">M29-M31-M32-M33</f>
        <v>135735.74767513719</v>
      </c>
      <c r="N34" s="75">
        <f t="shared" ref="N34" ca="1" si="45">N29-N31-N32-N33</f>
        <v>142171.58541904998</v>
      </c>
      <c r="O34" s="75">
        <f t="shared" ref="O34" ca="1" si="46">O29-O31-O32-O33</f>
        <v>149011.65945291638</v>
      </c>
    </row>
    <row r="36" spans="1:15" ht="15" customHeight="1" x14ac:dyDescent="0.25">
      <c r="B36" s="16" t="s">
        <v>84</v>
      </c>
      <c r="C36" s="76">
        <v>31549</v>
      </c>
      <c r="D36" s="76">
        <v>35830</v>
      </c>
      <c r="E36" s="65">
        <v>34440</v>
      </c>
      <c r="F36">
        <f t="shared" ref="F36:O36" si="47">F34*F11</f>
        <v>34528.199999999997</v>
      </c>
      <c r="G36">
        <f t="shared" si="47"/>
        <v>36915.199999999997</v>
      </c>
      <c r="H36">
        <f t="shared" si="47"/>
        <v>41668.199999999997</v>
      </c>
      <c r="I36">
        <f t="shared" ca="1" si="47"/>
        <v>40042.42304999999</v>
      </c>
      <c r="J36">
        <f t="shared" ca="1" si="47"/>
        <v>41652.24971774999</v>
      </c>
      <c r="K36">
        <f t="shared" ca="1" si="47"/>
        <v>43444.178029769973</v>
      </c>
      <c r="L36">
        <f t="shared" ca="1" si="47"/>
        <v>45399.878284335224</v>
      </c>
      <c r="M36">
        <f t="shared" ca="1" si="47"/>
        <v>47507.511686298014</v>
      </c>
      <c r="N36">
        <f t="shared" ca="1" si="47"/>
        <v>49760.054896667491</v>
      </c>
      <c r="O36">
        <f t="shared" ca="1" si="47"/>
        <v>52154.080808520732</v>
      </c>
    </row>
    <row r="37" spans="1:15" ht="15" customHeight="1" x14ac:dyDescent="0.25">
      <c r="B37" s="16" t="s">
        <v>30</v>
      </c>
      <c r="C37">
        <f>C34-C36</f>
        <v>54559</v>
      </c>
      <c r="D37">
        <f>D34-D36</f>
        <v>58009</v>
      </c>
      <c r="E37">
        <f>E34-E36</f>
        <v>63013</v>
      </c>
      <c r="F37">
        <f t="shared" ref="F37" si="48">F34-F36</f>
        <v>64123.8</v>
      </c>
      <c r="G37">
        <f t="shared" ref="G37" si="49">G34-G36</f>
        <v>68556.800000000003</v>
      </c>
      <c r="H37">
        <f t="shared" ref="H37" si="50">H34-H36</f>
        <v>77383.8</v>
      </c>
      <c r="I37">
        <f t="shared" ref="I37" ca="1" si="51">I34-I36</f>
        <v>74364.499949999998</v>
      </c>
      <c r="J37">
        <f t="shared" ref="J37" ca="1" si="52">J34-J36</f>
        <v>77354.178047249981</v>
      </c>
      <c r="K37">
        <f t="shared" ref="K37" ca="1" si="53">K34-K36</f>
        <v>80682.044912429963</v>
      </c>
      <c r="L37">
        <f t="shared" ref="L37" ca="1" si="54">L34-L36</f>
        <v>84314.059670908289</v>
      </c>
      <c r="M37">
        <f t="shared" ref="M37" ca="1" si="55">M34-M36</f>
        <v>88228.23598883918</v>
      </c>
      <c r="N37">
        <f t="shared" ref="N37" ca="1" si="56">N34-N36</f>
        <v>92411.530522382498</v>
      </c>
      <c r="O37">
        <f t="shared" ref="O37" ca="1" si="57">O34-O36</f>
        <v>96857.57864439566</v>
      </c>
    </row>
    <row r="39" spans="1:15" ht="15" customHeight="1" x14ac:dyDescent="0.25">
      <c r="B39" s="16" t="s">
        <v>129</v>
      </c>
      <c r="C39" s="74">
        <v>0.8</v>
      </c>
      <c r="D39" s="74">
        <v>0.85</v>
      </c>
      <c r="E39" s="74">
        <v>0.93</v>
      </c>
      <c r="F39" s="77">
        <f>F37/F42</f>
        <v>0.95112596211980283</v>
      </c>
      <c r="G39" s="77">
        <f t="shared" ref="G39:O39" si="58">G37/G42</f>
        <v>1.0168791051037975</v>
      </c>
      <c r="H39" s="77">
        <f t="shared" si="58"/>
        <v>1.1478069176731012</v>
      </c>
      <c r="I39" s="77">
        <f t="shared" ca="1" si="58"/>
        <v>1.1030226930172848</v>
      </c>
      <c r="J39" s="77">
        <f t="shared" ca="1" si="58"/>
        <v>1.1473675455786645</v>
      </c>
      <c r="K39" s="77">
        <f t="shared" ca="1" si="58"/>
        <v>1.1967286341908634</v>
      </c>
      <c r="L39" s="77">
        <f t="shared" ca="1" si="58"/>
        <v>1.2506010424322811</v>
      </c>
      <c r="M39" s="77">
        <f t="shared" ca="1" si="58"/>
        <v>1.308658654680753</v>
      </c>
      <c r="N39" s="77">
        <f t="shared" ca="1" si="58"/>
        <v>1.370708003565986</v>
      </c>
      <c r="O39" s="77">
        <f t="shared" ca="1" si="58"/>
        <v>1.4366546847932482</v>
      </c>
    </row>
    <row r="40" spans="1:15" ht="15" customHeight="1" x14ac:dyDescent="0.25">
      <c r="B40" s="16" t="s">
        <v>79</v>
      </c>
      <c r="C40" s="74">
        <v>0</v>
      </c>
      <c r="D40" s="74">
        <v>0</v>
      </c>
      <c r="E40" s="74">
        <v>0</v>
      </c>
      <c r="F40" s="77">
        <f>E40*(1+F13)</f>
        <v>0</v>
      </c>
      <c r="G40" s="77">
        <f t="shared" ref="G40:O40" si="59">F40*(1+G13)</f>
        <v>0</v>
      </c>
      <c r="H40" s="77">
        <f t="shared" si="59"/>
        <v>0</v>
      </c>
      <c r="I40" s="77">
        <f t="shared" si="59"/>
        <v>0</v>
      </c>
      <c r="J40" s="77">
        <f t="shared" si="59"/>
        <v>0</v>
      </c>
      <c r="K40" s="77">
        <f t="shared" si="59"/>
        <v>0</v>
      </c>
      <c r="L40" s="77">
        <f t="shared" si="59"/>
        <v>0</v>
      </c>
      <c r="M40" s="77">
        <f t="shared" si="59"/>
        <v>0</v>
      </c>
      <c r="N40" s="77">
        <f t="shared" si="59"/>
        <v>0</v>
      </c>
      <c r="O40" s="77">
        <f t="shared" si="59"/>
        <v>0</v>
      </c>
    </row>
    <row r="41" spans="1:15" ht="15" customHeight="1" x14ac:dyDescent="0.25">
      <c r="B41" s="16" t="s">
        <v>80</v>
      </c>
      <c r="C41" s="76">
        <v>67866.667000000001</v>
      </c>
      <c r="D41" s="76">
        <v>67867.528999999995</v>
      </c>
      <c r="E41" s="76">
        <v>67852.534</v>
      </c>
      <c r="F41">
        <f t="shared" ref="F41:O41" si="60">F14</f>
        <v>67394.755999999994</v>
      </c>
      <c r="G41">
        <f t="shared" si="60"/>
        <v>67394.755999999994</v>
      </c>
      <c r="H41">
        <f t="shared" si="60"/>
        <v>67394.755999999994</v>
      </c>
      <c r="I41">
        <f t="shared" si="60"/>
        <v>67394.755999999994</v>
      </c>
      <c r="J41">
        <f t="shared" si="60"/>
        <v>67394.755999999994</v>
      </c>
      <c r="K41">
        <f t="shared" si="60"/>
        <v>67394.755999999994</v>
      </c>
      <c r="L41">
        <f t="shared" si="60"/>
        <v>67394.755999999994</v>
      </c>
      <c r="M41">
        <f t="shared" si="60"/>
        <v>67394.755999999994</v>
      </c>
      <c r="N41">
        <f t="shared" si="60"/>
        <v>67394.755999999994</v>
      </c>
      <c r="O41">
        <f t="shared" si="60"/>
        <v>67394.755999999994</v>
      </c>
    </row>
    <row r="42" spans="1:15" ht="15" customHeight="1" x14ac:dyDescent="0.25">
      <c r="B42" s="16" t="s">
        <v>81</v>
      </c>
      <c r="C42" s="76">
        <v>67870.687999999995</v>
      </c>
      <c r="D42" s="76">
        <v>67878.34</v>
      </c>
      <c r="E42" s="76">
        <v>67876.771999999997</v>
      </c>
      <c r="F42">
        <f t="shared" ref="F42:O42" si="61">F15</f>
        <v>67418.830474446702</v>
      </c>
      <c r="G42">
        <f t="shared" si="61"/>
        <v>67418.830474446702</v>
      </c>
      <c r="H42">
        <f t="shared" si="61"/>
        <v>67418.830474446702</v>
      </c>
      <c r="I42">
        <f t="shared" si="61"/>
        <v>67418.830474446702</v>
      </c>
      <c r="J42">
        <f t="shared" si="61"/>
        <v>67418.830474446702</v>
      </c>
      <c r="K42">
        <f t="shared" si="61"/>
        <v>67418.830474446702</v>
      </c>
      <c r="L42">
        <f t="shared" si="61"/>
        <v>67418.830474446702</v>
      </c>
      <c r="M42">
        <f t="shared" si="61"/>
        <v>67418.830474446702</v>
      </c>
      <c r="N42">
        <f t="shared" si="61"/>
        <v>67418.830474446702</v>
      </c>
      <c r="O42">
        <f t="shared" si="61"/>
        <v>67418.830474446702</v>
      </c>
    </row>
    <row r="43" spans="1:15" ht="15" customHeight="1" x14ac:dyDescent="0.25">
      <c r="E43" s="77"/>
    </row>
    <row r="44" spans="1:15" ht="15" customHeight="1" x14ac:dyDescent="0.25">
      <c r="A44" s="15" t="s">
        <v>41</v>
      </c>
    </row>
    <row r="45" spans="1:15" ht="15" customHeight="1" x14ac:dyDescent="0.25">
      <c r="B45" s="16" t="s">
        <v>136</v>
      </c>
      <c r="D45">
        <f>D86/D23*365</f>
        <v>22.078874190525688</v>
      </c>
      <c r="E45">
        <f>E86/E23*365</f>
        <v>21.616546913659146</v>
      </c>
      <c r="F45" s="73">
        <v>22</v>
      </c>
      <c r="G45" s="73">
        <v>22</v>
      </c>
      <c r="H45" s="73">
        <v>22</v>
      </c>
      <c r="I45" s="73">
        <v>22</v>
      </c>
      <c r="J45" s="73">
        <v>22</v>
      </c>
      <c r="K45" s="73">
        <v>22</v>
      </c>
      <c r="L45" s="73">
        <v>22</v>
      </c>
      <c r="M45" s="73">
        <v>22</v>
      </c>
      <c r="N45" s="73">
        <v>22</v>
      </c>
      <c r="O45" s="73">
        <v>22</v>
      </c>
    </row>
    <row r="46" spans="1:15" ht="15" customHeight="1" x14ac:dyDescent="0.25">
      <c r="B46" s="16" t="s">
        <v>137</v>
      </c>
      <c r="C46" s="66"/>
      <c r="D46">
        <f>D87/D24*365</f>
        <v>78.334744366490213</v>
      </c>
      <c r="E46">
        <f>E87/E24*365</f>
        <v>84.908361996947733</v>
      </c>
      <c r="F46" s="73">
        <v>180</v>
      </c>
      <c r="G46" s="73">
        <v>180</v>
      </c>
      <c r="H46" s="73">
        <v>180</v>
      </c>
      <c r="I46" s="73">
        <v>180</v>
      </c>
      <c r="J46" s="73">
        <v>180</v>
      </c>
      <c r="K46" s="73">
        <v>180</v>
      </c>
      <c r="L46" s="73">
        <v>180</v>
      </c>
      <c r="M46" s="73">
        <v>180</v>
      </c>
      <c r="N46" s="73">
        <v>180</v>
      </c>
      <c r="O46" s="73">
        <v>180</v>
      </c>
    </row>
    <row r="47" spans="1:15" ht="15" customHeight="1" x14ac:dyDescent="0.25">
      <c r="B47" s="16" t="s">
        <v>138</v>
      </c>
      <c r="C47" s="66"/>
      <c r="D47" s="66">
        <f>D88/D23</f>
        <v>2.1468377864694969E-2</v>
      </c>
      <c r="E47" s="66">
        <f>E88/E23</f>
        <v>3.0374962339429021E-2</v>
      </c>
      <c r="F47" s="68">
        <v>2.5000000000000001E-2</v>
      </c>
      <c r="G47" s="68">
        <v>2.5000000000000001E-2</v>
      </c>
      <c r="H47" s="68">
        <v>2.5000000000000001E-2</v>
      </c>
      <c r="I47" s="68">
        <v>2.5000000000000001E-2</v>
      </c>
      <c r="J47" s="68">
        <v>2.5000000000000001E-2</v>
      </c>
      <c r="K47" s="68">
        <v>2.5000000000000001E-2</v>
      </c>
      <c r="L47" s="68">
        <v>2.5000000000000001E-2</v>
      </c>
      <c r="M47" s="68">
        <v>2.5000000000000001E-2</v>
      </c>
      <c r="N47" s="68">
        <v>2.5000000000000001E-2</v>
      </c>
      <c r="O47" s="68">
        <v>2.5000000000000001E-2</v>
      </c>
    </row>
    <row r="48" spans="1:15" ht="15" customHeight="1" x14ac:dyDescent="0.25">
      <c r="B48" s="16" t="s">
        <v>55</v>
      </c>
      <c r="C48" s="66"/>
      <c r="D48" s="66">
        <f>D63/D23</f>
        <v>6.9378634809956111E-2</v>
      </c>
      <c r="E48" s="66">
        <f>E63/E23</f>
        <v>5.6265349535747869E-2</v>
      </c>
      <c r="F48" s="68">
        <v>6.5000000000000002E-2</v>
      </c>
      <c r="G48" s="68">
        <v>6.5000000000000002E-2</v>
      </c>
      <c r="H48" s="68">
        <v>6.5000000000000002E-2</v>
      </c>
      <c r="I48" s="68">
        <v>6.5000000000000002E-2</v>
      </c>
      <c r="J48" s="68">
        <v>6.5000000000000002E-2</v>
      </c>
      <c r="K48" s="68">
        <v>6.5000000000000002E-2</v>
      </c>
      <c r="L48" s="68">
        <v>6.5000000000000002E-2</v>
      </c>
      <c r="M48" s="68">
        <v>6.5000000000000002E-2</v>
      </c>
      <c r="N48" s="68">
        <v>6.5000000000000002E-2</v>
      </c>
      <c r="O48" s="68">
        <v>6.5000000000000002E-2</v>
      </c>
    </row>
    <row r="49" spans="1:17" ht="15" customHeight="1" x14ac:dyDescent="0.25">
      <c r="B49" s="16" t="s">
        <v>142</v>
      </c>
      <c r="C49" s="66"/>
      <c r="D49">
        <f>D92</f>
        <v>2156</v>
      </c>
      <c r="E49">
        <f>E92</f>
        <v>1840</v>
      </c>
      <c r="F49" s="69">
        <f>E49</f>
        <v>1840</v>
      </c>
      <c r="G49" s="69">
        <f t="shared" ref="G49:O49" si="62">F49</f>
        <v>1840</v>
      </c>
      <c r="H49" s="69">
        <f t="shared" si="62"/>
        <v>1840</v>
      </c>
      <c r="I49" s="69">
        <f t="shared" si="62"/>
        <v>1840</v>
      </c>
      <c r="J49" s="69">
        <f t="shared" si="62"/>
        <v>1840</v>
      </c>
      <c r="K49" s="69">
        <f t="shared" si="62"/>
        <v>1840</v>
      </c>
      <c r="L49" s="69">
        <f t="shared" si="62"/>
        <v>1840</v>
      </c>
      <c r="M49" s="69">
        <f t="shared" si="62"/>
        <v>1840</v>
      </c>
      <c r="N49" s="69">
        <f t="shared" si="62"/>
        <v>1840</v>
      </c>
      <c r="O49" s="69">
        <f t="shared" si="62"/>
        <v>1840</v>
      </c>
    </row>
    <row r="50" spans="1:17" ht="15" customHeight="1" x14ac:dyDescent="0.25">
      <c r="B50" s="16" t="s">
        <v>143</v>
      </c>
      <c r="C50" s="66"/>
      <c r="D50" s="66">
        <f>D95/D23</f>
        <v>2.2126579589297299E-2</v>
      </c>
      <c r="E50" s="66">
        <f>E95/E23</f>
        <v>1.8334535428326228E-2</v>
      </c>
      <c r="F50" s="68">
        <v>0.02</v>
      </c>
      <c r="G50" s="68">
        <v>0.02</v>
      </c>
      <c r="H50" s="68">
        <v>0.02</v>
      </c>
      <c r="I50" s="68">
        <v>0.02</v>
      </c>
      <c r="J50" s="68">
        <v>0.02</v>
      </c>
      <c r="K50" s="68">
        <v>0.02</v>
      </c>
      <c r="L50" s="68">
        <v>0.02</v>
      </c>
      <c r="M50" s="68">
        <v>0.02</v>
      </c>
      <c r="N50" s="68">
        <v>0.02</v>
      </c>
      <c r="O50" s="68">
        <v>0.02</v>
      </c>
    </row>
    <row r="51" spans="1:17" ht="15" customHeight="1" x14ac:dyDescent="0.25">
      <c r="B51" s="16" t="s">
        <v>139</v>
      </c>
      <c r="D51">
        <f>D99/D24*365</f>
        <v>29.758617123368392</v>
      </c>
      <c r="E51">
        <f>E99/E24*365</f>
        <v>30.52980626974756</v>
      </c>
      <c r="F51" s="73">
        <v>63</v>
      </c>
      <c r="G51" s="73">
        <v>63</v>
      </c>
      <c r="H51" s="73">
        <v>63</v>
      </c>
      <c r="I51" s="73">
        <v>63</v>
      </c>
      <c r="J51" s="73">
        <v>63</v>
      </c>
      <c r="K51" s="73">
        <v>63</v>
      </c>
      <c r="L51" s="73">
        <v>63</v>
      </c>
      <c r="M51" s="73">
        <v>63</v>
      </c>
      <c r="N51" s="73">
        <v>63</v>
      </c>
      <c r="O51" s="73">
        <v>63</v>
      </c>
    </row>
    <row r="52" spans="1:17" ht="15" customHeight="1" x14ac:dyDescent="0.25">
      <c r="B52" s="16" t="s">
        <v>140</v>
      </c>
      <c r="D52" s="66">
        <f>D100/D23</f>
        <v>6.5983300265177527E-2</v>
      </c>
      <c r="E52" s="66">
        <f>E100/E23</f>
        <v>7.1450091754845665E-2</v>
      </c>
      <c r="F52" s="67">
        <v>7.0000000000000007E-2</v>
      </c>
      <c r="G52" s="67">
        <v>7.0000000000000007E-2</v>
      </c>
      <c r="H52" s="67">
        <v>7.0000000000000007E-2</v>
      </c>
      <c r="I52" s="67">
        <v>7.0000000000000007E-2</v>
      </c>
      <c r="J52" s="67">
        <v>7.0000000000000007E-2</v>
      </c>
      <c r="K52" s="67">
        <v>7.0000000000000007E-2</v>
      </c>
      <c r="L52" s="67">
        <v>7.0000000000000007E-2</v>
      </c>
      <c r="M52" s="67">
        <v>7.0000000000000007E-2</v>
      </c>
      <c r="N52" s="67">
        <v>7.0000000000000007E-2</v>
      </c>
      <c r="O52" s="67">
        <v>7.0000000000000007E-2</v>
      </c>
    </row>
    <row r="53" spans="1:17" ht="15" customHeight="1" x14ac:dyDescent="0.25">
      <c r="B53" s="16" t="s">
        <v>141</v>
      </c>
      <c r="D53" s="66">
        <f>D101/D36</f>
        <v>6.5140943343566848E-2</v>
      </c>
      <c r="E53" s="66">
        <f>E101/E36</f>
        <v>1.7857142857142856E-2</v>
      </c>
      <c r="F53" s="67">
        <v>0.04</v>
      </c>
      <c r="G53" s="67">
        <v>0.04</v>
      </c>
      <c r="H53" s="67">
        <v>0.04</v>
      </c>
      <c r="I53" s="67">
        <v>0.04</v>
      </c>
      <c r="J53" s="67">
        <v>0.04</v>
      </c>
      <c r="K53" s="67">
        <v>0.04</v>
      </c>
      <c r="L53" s="67">
        <v>0.04</v>
      </c>
      <c r="M53" s="67">
        <v>0.04</v>
      </c>
      <c r="N53" s="67">
        <v>0.04</v>
      </c>
      <c r="O53" s="67">
        <v>0.04</v>
      </c>
    </row>
    <row r="54" spans="1:17" ht="15" customHeight="1" x14ac:dyDescent="0.25">
      <c r="B54" s="16" t="s">
        <v>88</v>
      </c>
      <c r="D54" s="66">
        <f>D105/D23</f>
        <v>0.10130805737546331</v>
      </c>
      <c r="E54" s="66">
        <f>E105/E23</f>
        <v>0.1013576065223544</v>
      </c>
      <c r="F54" s="67">
        <v>0.10100000000000001</v>
      </c>
      <c r="G54" s="67">
        <v>0.10100000000000001</v>
      </c>
      <c r="H54" s="67">
        <v>0.10100000000000001</v>
      </c>
      <c r="I54" s="67">
        <v>0.10100000000000001</v>
      </c>
      <c r="J54" s="67">
        <v>0.10100000000000001</v>
      </c>
      <c r="K54" s="67">
        <v>0.10100000000000001</v>
      </c>
      <c r="L54" s="67">
        <v>0.10100000000000001</v>
      </c>
      <c r="M54" s="67">
        <v>0.10100000000000001</v>
      </c>
      <c r="N54" s="67">
        <v>0.10100000000000001</v>
      </c>
      <c r="O54" s="67">
        <v>0.10100000000000001</v>
      </c>
      <c r="P54" s="66"/>
      <c r="Q54" s="66"/>
    </row>
    <row r="55" spans="1:17" ht="15" customHeight="1" x14ac:dyDescent="0.25">
      <c r="E55" s="66"/>
      <c r="F55" s="66"/>
      <c r="G55" s="66"/>
      <c r="H55" s="66"/>
      <c r="I55" s="66"/>
      <c r="J55" s="66"/>
      <c r="K55" s="66"/>
      <c r="L55" s="66"/>
      <c r="M55" s="66"/>
      <c r="N55" s="66"/>
      <c r="O55" s="66"/>
    </row>
    <row r="56" spans="1:17" ht="15" customHeight="1" x14ac:dyDescent="0.25">
      <c r="A56" s="15" t="s">
        <v>49</v>
      </c>
    </row>
    <row r="57" spans="1:17" ht="15" customHeight="1" x14ac:dyDescent="0.25">
      <c r="B57" s="16" t="s">
        <v>61</v>
      </c>
      <c r="C57">
        <f>C82</f>
        <v>0</v>
      </c>
      <c r="D57">
        <f t="shared" ref="D57:O57" si="63">D82</f>
        <v>61421</v>
      </c>
      <c r="E57">
        <f t="shared" si="63"/>
        <v>73168</v>
      </c>
      <c r="F57">
        <f t="shared" si="63"/>
        <v>154144.74460273972</v>
      </c>
      <c r="G57">
        <f t="shared" si="63"/>
        <v>165599.48035616433</v>
      </c>
      <c r="H57">
        <f t="shared" si="63"/>
        <v>177010.71652054798</v>
      </c>
      <c r="I57">
        <f t="shared" ca="1" si="63"/>
        <v>188992.92268758899</v>
      </c>
      <c r="J57">
        <f t="shared" ca="1" si="63"/>
        <v>198458.26060135858</v>
      </c>
      <c r="K57">
        <f t="shared" ca="1" si="63"/>
        <v>208392.80099838116</v>
      </c>
      <c r="L57">
        <f t="shared" ca="1" si="63"/>
        <v>218821.10139417721</v>
      </c>
      <c r="M57">
        <f t="shared" ca="1" si="63"/>
        <v>229768.65088437614</v>
      </c>
      <c r="N57">
        <f t="shared" ca="1" si="63"/>
        <v>241261.99672355287</v>
      </c>
      <c r="O57">
        <f t="shared" ca="1" si="63"/>
        <v>253328.85563304974</v>
      </c>
    </row>
    <row r="58" spans="1:17" ht="15" customHeight="1" x14ac:dyDescent="0.25">
      <c r="B58" s="16" t="s">
        <v>62</v>
      </c>
      <c r="C58" s="66">
        <f t="shared" ref="C58:O58" si="64">C57/C23</f>
        <v>0</v>
      </c>
      <c r="D58" s="66">
        <f t="shared" si="64"/>
        <v>0.11650549892449459</v>
      </c>
      <c r="E58" s="66">
        <f t="shared" si="64"/>
        <v>0.13360235914946453</v>
      </c>
      <c r="F58" s="66">
        <f t="shared" si="64"/>
        <v>0.26808714147055501</v>
      </c>
      <c r="G58" s="66">
        <f t="shared" si="64"/>
        <v>0.26820770023511059</v>
      </c>
      <c r="H58" s="66">
        <f t="shared" si="64"/>
        <v>0.26183855231357778</v>
      </c>
      <c r="I58" s="66">
        <f t="shared" ca="1" si="64"/>
        <v>0.26625040264850036</v>
      </c>
      <c r="J58" s="66">
        <f t="shared" ca="1" si="64"/>
        <v>0.26627145630954546</v>
      </c>
      <c r="K58" s="66">
        <f t="shared" ca="1" si="64"/>
        <v>0.26628631387022667</v>
      </c>
      <c r="L58" s="66">
        <f t="shared" ca="1" si="64"/>
        <v>0.26629685317763246</v>
      </c>
      <c r="M58" s="66">
        <f t="shared" ca="1" si="64"/>
        <v>0.26630438028203612</v>
      </c>
      <c r="N58" s="66">
        <f t="shared" ca="1" si="64"/>
        <v>0.26630980367500068</v>
      </c>
      <c r="O58" s="66">
        <f t="shared" ca="1" si="64"/>
        <v>0.26631375542747698</v>
      </c>
    </row>
    <row r="59" spans="1:17" ht="15" customHeight="1" x14ac:dyDescent="0.25">
      <c r="B59" s="16" t="s">
        <v>122</v>
      </c>
      <c r="C59" s="66">
        <f t="shared" ref="C59:O59" si="65">C91/C23</f>
        <v>0</v>
      </c>
      <c r="D59" s="66">
        <f t="shared" si="65"/>
        <v>0.14997704829721129</v>
      </c>
      <c r="E59" s="66">
        <f t="shared" si="65"/>
        <v>0.15247007696451234</v>
      </c>
      <c r="F59" s="66">
        <f t="shared" si="65"/>
        <v>0.17639691815367492</v>
      </c>
      <c r="G59" s="66">
        <f t="shared" si="65"/>
        <v>0.19514382197172153</v>
      </c>
      <c r="H59" s="66">
        <f t="shared" si="65"/>
        <v>0.1948724169045753</v>
      </c>
      <c r="I59" s="66">
        <f t="shared" si="65"/>
        <v>0.20048272794318089</v>
      </c>
      <c r="J59" s="66">
        <f t="shared" si="65"/>
        <v>0.20438322990335434</v>
      </c>
      <c r="K59" s="66">
        <f t="shared" si="65"/>
        <v>0.20709500745661774</v>
      </c>
      <c r="L59" s="66">
        <f t="shared" si="65"/>
        <v>0.20898033851745804</v>
      </c>
      <c r="M59" s="66">
        <f t="shared" si="65"/>
        <v>0.21029109249308986</v>
      </c>
      <c r="N59" s="66">
        <f t="shared" si="65"/>
        <v>0.21120237859043389</v>
      </c>
      <c r="O59" s="66">
        <f t="shared" si="65"/>
        <v>0.21183593940096831</v>
      </c>
    </row>
    <row r="61" spans="1:17" ht="15" customHeight="1" x14ac:dyDescent="0.25">
      <c r="A61" s="15" t="s">
        <v>50</v>
      </c>
    </row>
    <row r="62" spans="1:17" ht="15" customHeight="1" x14ac:dyDescent="0.25">
      <c r="B62" s="16" t="s">
        <v>89</v>
      </c>
      <c r="F62">
        <f>E65</f>
        <v>83501</v>
      </c>
      <c r="G62">
        <f t="shared" ref="G62:O62" si="66">F65</f>
        <v>101424.70000000001</v>
      </c>
      <c r="H62">
        <f t="shared" si="66"/>
        <v>120487.65000000002</v>
      </c>
      <c r="I62">
        <f t="shared" si="66"/>
        <v>131739.60000000003</v>
      </c>
      <c r="J62">
        <f t="shared" si="66"/>
        <v>142308.95550000001</v>
      </c>
      <c r="K62">
        <f t="shared" si="66"/>
        <v>152331.53739000001</v>
      </c>
      <c r="L62">
        <f t="shared" si="66"/>
        <v>162070.32216345001</v>
      </c>
      <c r="M62">
        <f t="shared" si="66"/>
        <v>171723.05004150601</v>
      </c>
      <c r="N62">
        <f t="shared" si="66"/>
        <v>181440.12713559627</v>
      </c>
      <c r="O62">
        <f t="shared" si="66"/>
        <v>191337.70844454702</v>
      </c>
    </row>
    <row r="63" spans="1:17" ht="15" customHeight="1" x14ac:dyDescent="0.25">
      <c r="B63" s="16" t="s">
        <v>57</v>
      </c>
      <c r="C63" s="65">
        <v>25440</v>
      </c>
      <c r="D63" s="65">
        <v>36576</v>
      </c>
      <c r="E63" s="65">
        <v>30814</v>
      </c>
      <c r="F63">
        <f t="shared" ref="F63:O63" si="67">F48*F23</f>
        <v>37373.700000000004</v>
      </c>
      <c r="G63">
        <f t="shared" si="67"/>
        <v>40132.950000000004</v>
      </c>
      <c r="H63">
        <f t="shared" si="67"/>
        <v>43941.950000000004</v>
      </c>
      <c r="I63">
        <f t="shared" si="67"/>
        <v>46139.047500000001</v>
      </c>
      <c r="J63">
        <f t="shared" si="67"/>
        <v>48445.999875000009</v>
      </c>
      <c r="K63">
        <f t="shared" si="67"/>
        <v>50868.299868750008</v>
      </c>
      <c r="L63">
        <f t="shared" si="67"/>
        <v>53411.714862187517</v>
      </c>
      <c r="M63">
        <f t="shared" si="67"/>
        <v>56082.300605296892</v>
      </c>
      <c r="N63">
        <f t="shared" si="67"/>
        <v>58886.415635561738</v>
      </c>
      <c r="O63">
        <f t="shared" si="67"/>
        <v>61830.736417339831</v>
      </c>
    </row>
    <row r="64" spans="1:17" ht="15" customHeight="1" x14ac:dyDescent="0.25">
      <c r="B64" s="16" t="s">
        <v>82</v>
      </c>
      <c r="F64">
        <f t="shared" ref="F64:O64" si="68">F27</f>
        <v>19450</v>
      </c>
      <c r="G64">
        <f t="shared" si="68"/>
        <v>21070</v>
      </c>
      <c r="H64">
        <f t="shared" si="68"/>
        <v>32690</v>
      </c>
      <c r="I64">
        <f t="shared" si="68"/>
        <v>35569.69200000001</v>
      </c>
      <c r="J64">
        <f t="shared" si="68"/>
        <v>38423.417985000007</v>
      </c>
      <c r="K64">
        <f t="shared" si="68"/>
        <v>41129.515095300005</v>
      </c>
      <c r="L64">
        <f t="shared" si="68"/>
        <v>43758.986984131509</v>
      </c>
      <c r="M64">
        <f t="shared" si="68"/>
        <v>46365.223511206626</v>
      </c>
      <c r="N64">
        <f t="shared" si="68"/>
        <v>48988.834326610995</v>
      </c>
      <c r="O64">
        <f t="shared" si="68"/>
        <v>51661.181280027697</v>
      </c>
    </row>
    <row r="65" spans="2:15" ht="15" customHeight="1" x14ac:dyDescent="0.25">
      <c r="B65" s="16" t="s">
        <v>93</v>
      </c>
      <c r="D65">
        <f t="shared" ref="D65:E65" si="69">D91</f>
        <v>79067</v>
      </c>
      <c r="E65">
        <f t="shared" si="69"/>
        <v>83501</v>
      </c>
      <c r="F65">
        <f>F62+F63-F64</f>
        <v>101424.70000000001</v>
      </c>
      <c r="G65">
        <f t="shared" ref="G65:O65" si="70">G62+G63-G64</f>
        <v>120487.65000000002</v>
      </c>
      <c r="H65">
        <f t="shared" si="70"/>
        <v>131739.60000000003</v>
      </c>
      <c r="I65">
        <f t="shared" si="70"/>
        <v>142308.95550000001</v>
      </c>
      <c r="J65">
        <f t="shared" si="70"/>
        <v>152331.53739000001</v>
      </c>
      <c r="K65">
        <f t="shared" si="70"/>
        <v>162070.32216345001</v>
      </c>
      <c r="L65">
        <f t="shared" si="70"/>
        <v>171723.05004150601</v>
      </c>
      <c r="M65">
        <f t="shared" si="70"/>
        <v>181440.12713559627</v>
      </c>
      <c r="N65">
        <f t="shared" si="70"/>
        <v>191337.70844454702</v>
      </c>
      <c r="O65">
        <f t="shared" si="70"/>
        <v>201507.26358185915</v>
      </c>
    </row>
    <row r="67" spans="2:15" ht="15" customHeight="1" x14ac:dyDescent="0.25">
      <c r="B67" s="16" t="s">
        <v>90</v>
      </c>
      <c r="F67">
        <f>E69</f>
        <v>130400</v>
      </c>
      <c r="G67">
        <f t="shared" ref="G67:O67" si="71">F69</f>
        <v>130400</v>
      </c>
      <c r="H67">
        <f t="shared" si="71"/>
        <v>130400</v>
      </c>
      <c r="I67">
        <f t="shared" si="71"/>
        <v>130400</v>
      </c>
      <c r="J67">
        <f t="shared" si="71"/>
        <v>130400</v>
      </c>
      <c r="K67">
        <f t="shared" si="71"/>
        <v>130400</v>
      </c>
      <c r="L67">
        <f t="shared" si="71"/>
        <v>130400</v>
      </c>
      <c r="M67">
        <f t="shared" si="71"/>
        <v>130400</v>
      </c>
      <c r="N67">
        <f t="shared" si="71"/>
        <v>130400</v>
      </c>
      <c r="O67">
        <f t="shared" si="71"/>
        <v>130400</v>
      </c>
    </row>
    <row r="68" spans="2:15" ht="15" customHeight="1" x14ac:dyDescent="0.25">
      <c r="B68" s="16" t="s">
        <v>83</v>
      </c>
      <c r="F68">
        <f t="shared" ref="F68:O68" si="72">F28</f>
        <v>0</v>
      </c>
      <c r="G68">
        <f t="shared" si="72"/>
        <v>0</v>
      </c>
      <c r="H68">
        <f t="shared" si="72"/>
        <v>0</v>
      </c>
      <c r="I68">
        <f t="shared" si="72"/>
        <v>0</v>
      </c>
      <c r="J68">
        <f t="shared" si="72"/>
        <v>0</v>
      </c>
      <c r="K68">
        <f t="shared" si="72"/>
        <v>0</v>
      </c>
      <c r="L68">
        <f t="shared" si="72"/>
        <v>0</v>
      </c>
      <c r="M68">
        <f t="shared" si="72"/>
        <v>0</v>
      </c>
      <c r="N68">
        <f t="shared" si="72"/>
        <v>0</v>
      </c>
      <c r="O68">
        <f t="shared" si="72"/>
        <v>0</v>
      </c>
    </row>
    <row r="69" spans="2:15" ht="15" customHeight="1" x14ac:dyDescent="0.25">
      <c r="B69" s="16" t="s">
        <v>91</v>
      </c>
      <c r="D69">
        <f t="shared" ref="D69:E69" si="73">D94</f>
        <v>130414</v>
      </c>
      <c r="E69">
        <f t="shared" si="73"/>
        <v>130400</v>
      </c>
      <c r="F69">
        <f>F67-F68</f>
        <v>130400</v>
      </c>
      <c r="G69">
        <f t="shared" ref="G69:O69" si="74">G67-G68</f>
        <v>130400</v>
      </c>
      <c r="H69">
        <f t="shared" si="74"/>
        <v>130400</v>
      </c>
      <c r="I69">
        <f t="shared" si="74"/>
        <v>130400</v>
      </c>
      <c r="J69">
        <f t="shared" si="74"/>
        <v>130400</v>
      </c>
      <c r="K69">
        <f t="shared" si="74"/>
        <v>130400</v>
      </c>
      <c r="L69">
        <f t="shared" si="74"/>
        <v>130400</v>
      </c>
      <c r="M69">
        <f t="shared" si="74"/>
        <v>130400</v>
      </c>
      <c r="N69">
        <f t="shared" si="74"/>
        <v>130400</v>
      </c>
      <c r="O69">
        <f t="shared" si="74"/>
        <v>130400</v>
      </c>
    </row>
    <row r="71" spans="2:15" ht="15" customHeight="1" x14ac:dyDescent="0.25">
      <c r="B71" s="16" t="s">
        <v>58</v>
      </c>
      <c r="E71">
        <f>D74</f>
        <v>426883</v>
      </c>
      <c r="F71">
        <f>E74</f>
        <v>489896</v>
      </c>
      <c r="G71">
        <f t="shared" ref="G71:O71" si="75">F74</f>
        <v>554019.80000000005</v>
      </c>
      <c r="H71">
        <f t="shared" si="75"/>
        <v>622576.60000000009</v>
      </c>
      <c r="I71">
        <f t="shared" si="75"/>
        <v>699960.40000000014</v>
      </c>
      <c r="J71">
        <f t="shared" ca="1" si="75"/>
        <v>774324.89995000011</v>
      </c>
      <c r="K71">
        <f t="shared" ca="1" si="75"/>
        <v>851679.07799725013</v>
      </c>
      <c r="L71">
        <f t="shared" ca="1" si="75"/>
        <v>932361.12290968013</v>
      </c>
      <c r="M71">
        <f t="shared" ca="1" si="75"/>
        <v>1016675.1825805884</v>
      </c>
      <c r="N71">
        <f t="shared" ca="1" si="75"/>
        <v>1104903.4185694274</v>
      </c>
      <c r="O71">
        <f t="shared" ca="1" si="75"/>
        <v>1197314.94909181</v>
      </c>
    </row>
    <row r="72" spans="2:15" ht="15" customHeight="1" x14ac:dyDescent="0.25">
      <c r="B72" s="16" t="s">
        <v>30</v>
      </c>
      <c r="E72">
        <f t="shared" ref="E72:O72" si="76">E37</f>
        <v>63013</v>
      </c>
      <c r="F72">
        <f t="shared" si="76"/>
        <v>64123.8</v>
      </c>
      <c r="G72">
        <f t="shared" si="76"/>
        <v>68556.800000000003</v>
      </c>
      <c r="H72">
        <f t="shared" si="76"/>
        <v>77383.8</v>
      </c>
      <c r="I72">
        <f t="shared" ca="1" si="76"/>
        <v>74364.499949999998</v>
      </c>
      <c r="J72">
        <f t="shared" ca="1" si="76"/>
        <v>77354.178047249981</v>
      </c>
      <c r="K72">
        <f t="shared" ca="1" si="76"/>
        <v>80682.044912429963</v>
      </c>
      <c r="L72">
        <f t="shared" ca="1" si="76"/>
        <v>84314.059670908289</v>
      </c>
      <c r="M72">
        <f t="shared" ca="1" si="76"/>
        <v>88228.23598883918</v>
      </c>
      <c r="N72">
        <f t="shared" ca="1" si="76"/>
        <v>92411.530522382498</v>
      </c>
      <c r="O72">
        <f t="shared" ca="1" si="76"/>
        <v>96857.57864439566</v>
      </c>
    </row>
    <row r="73" spans="2:15" ht="15" customHeight="1" x14ac:dyDescent="0.25">
      <c r="B73" s="16" t="s">
        <v>59</v>
      </c>
      <c r="E73">
        <f t="shared" ref="E73:O73" si="77">E40*E41</f>
        <v>0</v>
      </c>
      <c r="F73">
        <f t="shared" si="77"/>
        <v>0</v>
      </c>
      <c r="G73">
        <f t="shared" si="77"/>
        <v>0</v>
      </c>
      <c r="H73">
        <f t="shared" si="77"/>
        <v>0</v>
      </c>
      <c r="I73">
        <f t="shared" si="77"/>
        <v>0</v>
      </c>
      <c r="J73">
        <f t="shared" si="77"/>
        <v>0</v>
      </c>
      <c r="K73">
        <f t="shared" si="77"/>
        <v>0</v>
      </c>
      <c r="L73">
        <f t="shared" si="77"/>
        <v>0</v>
      </c>
      <c r="M73">
        <f t="shared" si="77"/>
        <v>0</v>
      </c>
      <c r="N73">
        <f t="shared" si="77"/>
        <v>0</v>
      </c>
      <c r="O73">
        <f t="shared" si="77"/>
        <v>0</v>
      </c>
    </row>
    <row r="74" spans="2:15" ht="15" customHeight="1" x14ac:dyDescent="0.25">
      <c r="B74" s="16" t="s">
        <v>60</v>
      </c>
      <c r="D74">
        <f t="shared" ref="D74" si="78">D108</f>
        <v>426883</v>
      </c>
      <c r="E74">
        <f>E71+E72-E73</f>
        <v>489896</v>
      </c>
      <c r="F74">
        <f>F71+F72-F73</f>
        <v>554019.80000000005</v>
      </c>
      <c r="G74">
        <f t="shared" ref="G74:O74" si="79">G71+G72-G73</f>
        <v>622576.60000000009</v>
      </c>
      <c r="H74">
        <f t="shared" si="79"/>
        <v>699960.40000000014</v>
      </c>
      <c r="I74">
        <f t="shared" ca="1" si="79"/>
        <v>774324.89995000011</v>
      </c>
      <c r="J74">
        <f t="shared" ca="1" si="79"/>
        <v>851679.07799725013</v>
      </c>
      <c r="K74">
        <f t="shared" ca="1" si="79"/>
        <v>932361.12290968013</v>
      </c>
      <c r="L74">
        <f t="shared" ca="1" si="79"/>
        <v>1016675.1825805884</v>
      </c>
      <c r="M74">
        <f t="shared" ca="1" si="79"/>
        <v>1104903.4185694274</v>
      </c>
      <c r="N74">
        <f t="shared" ca="1" si="79"/>
        <v>1197314.94909181</v>
      </c>
      <c r="O74">
        <f t="shared" ca="1" si="79"/>
        <v>1294172.5277362056</v>
      </c>
    </row>
    <row r="76" spans="2:15" ht="15" customHeight="1" x14ac:dyDescent="0.25">
      <c r="B76" s="16" t="str">
        <f>B86</f>
        <v>Receivables</v>
      </c>
      <c r="D76">
        <f>D86</f>
        <v>31890</v>
      </c>
      <c r="E76">
        <f>E86</f>
        <v>32434</v>
      </c>
      <c r="F76">
        <f>F86</f>
        <v>34656.328767123283</v>
      </c>
      <c r="G76">
        <f t="shared" ref="G76:O76" si="80">G86</f>
        <v>37214.95890410959</v>
      </c>
      <c r="H76">
        <f t="shared" si="80"/>
        <v>40747.013698630137</v>
      </c>
      <c r="I76">
        <f t="shared" si="80"/>
        <v>42784.364383561646</v>
      </c>
      <c r="J76">
        <f t="shared" si="80"/>
        <v>44923.582602739734</v>
      </c>
      <c r="K76">
        <f t="shared" si="80"/>
        <v>47169.761732876723</v>
      </c>
      <c r="L76">
        <f t="shared" si="80"/>
        <v>49528.249819520563</v>
      </c>
      <c r="M76">
        <f t="shared" si="80"/>
        <v>52004.662310496591</v>
      </c>
      <c r="N76">
        <f t="shared" si="80"/>
        <v>54604.895426021423</v>
      </c>
      <c r="O76">
        <f t="shared" si="80"/>
        <v>57335.1401973225</v>
      </c>
    </row>
    <row r="77" spans="2:15" ht="15" customHeight="1" x14ac:dyDescent="0.25">
      <c r="B77" s="16" t="str">
        <f>B87</f>
        <v>Inventories</v>
      </c>
      <c r="D77">
        <f t="shared" ref="D77:E78" si="81">D87</f>
        <v>89231</v>
      </c>
      <c r="E77">
        <f t="shared" si="81"/>
        <v>99688</v>
      </c>
      <c r="F77">
        <f t="shared" ref="F77:O77" si="82">F87</f>
        <v>225759.45205479453</v>
      </c>
      <c r="G77">
        <f t="shared" si="82"/>
        <v>242531.50684931505</v>
      </c>
      <c r="H77">
        <f t="shared" si="82"/>
        <v>259002.73972602742</v>
      </c>
      <c r="I77">
        <f t="shared" ca="1" si="82"/>
        <v>276542.57342465752</v>
      </c>
      <c r="J77">
        <f t="shared" ca="1" si="82"/>
        <v>290369.70209589048</v>
      </c>
      <c r="K77">
        <f t="shared" ca="1" si="82"/>
        <v>304888.18720068503</v>
      </c>
      <c r="L77">
        <f t="shared" ca="1" si="82"/>
        <v>320132.59656071931</v>
      </c>
      <c r="M77">
        <f t="shared" ca="1" si="82"/>
        <v>336139.2263887552</v>
      </c>
      <c r="N77">
        <f t="shared" ca="1" si="82"/>
        <v>352946.18770819303</v>
      </c>
      <c r="O77">
        <f t="shared" ca="1" si="82"/>
        <v>370593.49709360272</v>
      </c>
    </row>
    <row r="78" spans="2:15" ht="15" customHeight="1" x14ac:dyDescent="0.25">
      <c r="B78" s="16" t="str">
        <f>B88</f>
        <v>Prepaids and other current assets</v>
      </c>
      <c r="D78">
        <f t="shared" si="81"/>
        <v>11318</v>
      </c>
      <c r="E78">
        <f t="shared" si="81"/>
        <v>16635</v>
      </c>
      <c r="F78">
        <f t="shared" ref="F78:O78" si="83">F88</f>
        <v>14374.5</v>
      </c>
      <c r="G78">
        <f t="shared" si="83"/>
        <v>15435.75</v>
      </c>
      <c r="H78">
        <f t="shared" si="83"/>
        <v>16900.75</v>
      </c>
      <c r="I78">
        <f t="shared" si="83"/>
        <v>17745.787500000002</v>
      </c>
      <c r="J78">
        <f t="shared" si="83"/>
        <v>18633.076875000002</v>
      </c>
      <c r="K78">
        <f t="shared" si="83"/>
        <v>19564.730718750005</v>
      </c>
      <c r="L78">
        <f t="shared" si="83"/>
        <v>20542.967254687508</v>
      </c>
      <c r="M78">
        <f t="shared" si="83"/>
        <v>21570.115617421881</v>
      </c>
      <c r="N78">
        <f t="shared" si="83"/>
        <v>22648.621398292977</v>
      </c>
      <c r="O78">
        <f t="shared" si="83"/>
        <v>23781.052468207628</v>
      </c>
    </row>
    <row r="79" spans="2:15" ht="15" customHeight="1" x14ac:dyDescent="0.25">
      <c r="B79" s="16" t="str">
        <f>B99</f>
        <v>Payables</v>
      </c>
      <c r="D79">
        <f t="shared" ref="D79:E79" si="84">D99</f>
        <v>33898</v>
      </c>
      <c r="E79">
        <f t="shared" si="84"/>
        <v>35844</v>
      </c>
      <c r="F79">
        <f t="shared" ref="F79:O79" si="85">F99</f>
        <v>79015.808219178085</v>
      </c>
      <c r="G79">
        <f t="shared" si="85"/>
        <v>84886.027397260274</v>
      </c>
      <c r="H79">
        <f t="shared" si="85"/>
        <v>90650.95890410959</v>
      </c>
      <c r="I79">
        <f t="shared" ca="1" si="85"/>
        <v>96789.900698630139</v>
      </c>
      <c r="J79">
        <f t="shared" ca="1" si="85"/>
        <v>101629.39573356166</v>
      </c>
      <c r="K79">
        <f t="shared" ca="1" si="85"/>
        <v>106710.86552023976</v>
      </c>
      <c r="L79">
        <f t="shared" ca="1" si="85"/>
        <v>112046.40879625175</v>
      </c>
      <c r="M79">
        <f t="shared" ca="1" si="85"/>
        <v>117648.72923606433</v>
      </c>
      <c r="N79">
        <f t="shared" ca="1" si="85"/>
        <v>123531.16569786757</v>
      </c>
      <c r="O79">
        <f t="shared" ca="1" si="85"/>
        <v>129707.72398276094</v>
      </c>
    </row>
    <row r="80" spans="2:15" ht="15" customHeight="1" x14ac:dyDescent="0.25">
      <c r="B80" s="16" t="str">
        <f t="shared" ref="B80:E81" si="86">B100</f>
        <v>Accrued expenses</v>
      </c>
      <c r="D80">
        <f t="shared" si="86"/>
        <v>34786</v>
      </c>
      <c r="E80">
        <f t="shared" si="86"/>
        <v>39130</v>
      </c>
      <c r="F80">
        <f t="shared" ref="F80:O80" si="87">F100</f>
        <v>40248.600000000006</v>
      </c>
      <c r="G80">
        <f t="shared" si="87"/>
        <v>43220.100000000006</v>
      </c>
      <c r="H80">
        <f t="shared" si="87"/>
        <v>47322.100000000006</v>
      </c>
      <c r="I80">
        <f t="shared" si="87"/>
        <v>49688.205000000002</v>
      </c>
      <c r="J80">
        <f t="shared" si="87"/>
        <v>52172.61525000001</v>
      </c>
      <c r="K80">
        <f t="shared" si="87"/>
        <v>54781.246012500014</v>
      </c>
      <c r="L80">
        <f t="shared" si="87"/>
        <v>57520.308313125017</v>
      </c>
      <c r="M80">
        <f t="shared" si="87"/>
        <v>60396.323728781274</v>
      </c>
      <c r="N80">
        <f t="shared" si="87"/>
        <v>63416.139915220338</v>
      </c>
      <c r="O80">
        <f t="shared" si="87"/>
        <v>66586.946910981365</v>
      </c>
    </row>
    <row r="81" spans="1:15" ht="15" customHeight="1" x14ac:dyDescent="0.25">
      <c r="B81" s="16" t="str">
        <f t="shared" si="86"/>
        <v>Income taxes payable</v>
      </c>
      <c r="D81">
        <f t="shared" si="86"/>
        <v>2334</v>
      </c>
      <c r="E81">
        <f t="shared" si="86"/>
        <v>615</v>
      </c>
      <c r="F81">
        <f t="shared" ref="F81:O81" si="88">F101</f>
        <v>1381.1279999999999</v>
      </c>
      <c r="G81">
        <f t="shared" si="88"/>
        <v>1476.6079999999999</v>
      </c>
      <c r="H81">
        <f t="shared" si="88"/>
        <v>1666.7279999999998</v>
      </c>
      <c r="I81">
        <f t="shared" ca="1" si="88"/>
        <v>1601.6969219999996</v>
      </c>
      <c r="J81">
        <f t="shared" ca="1" si="88"/>
        <v>1666.0899887099997</v>
      </c>
      <c r="K81">
        <f t="shared" ca="1" si="88"/>
        <v>1737.7671211907989</v>
      </c>
      <c r="L81">
        <f t="shared" ca="1" si="88"/>
        <v>1815.9951313734091</v>
      </c>
      <c r="M81">
        <f t="shared" ca="1" si="88"/>
        <v>1900.3004674519207</v>
      </c>
      <c r="N81">
        <f t="shared" ca="1" si="88"/>
        <v>1990.4021958666997</v>
      </c>
      <c r="O81">
        <f t="shared" ca="1" si="88"/>
        <v>2086.1632323408294</v>
      </c>
    </row>
    <row r="82" spans="1:15" ht="15" customHeight="1" x14ac:dyDescent="0.25">
      <c r="B82" s="16" t="s">
        <v>92</v>
      </c>
      <c r="D82">
        <f>SUM(D76:D78)-SUM(D79:D81)</f>
        <v>61421</v>
      </c>
      <c r="E82">
        <f>SUM(E76:E78)-SUM(E79:E81)</f>
        <v>73168</v>
      </c>
      <c r="F82">
        <f>SUM(F76:F78)-SUM(F79:F81)</f>
        <v>154144.74460273972</v>
      </c>
      <c r="G82">
        <f t="shared" ref="G82:O82" si="89">SUM(G76:G78)-SUM(G79:G81)</f>
        <v>165599.48035616433</v>
      </c>
      <c r="H82">
        <f t="shared" si="89"/>
        <v>177010.71652054798</v>
      </c>
      <c r="I82">
        <f t="shared" ca="1" si="89"/>
        <v>188992.92268758899</v>
      </c>
      <c r="J82">
        <f t="shared" ca="1" si="89"/>
        <v>198458.26060135858</v>
      </c>
      <c r="K82">
        <f t="shared" ca="1" si="89"/>
        <v>208392.80099838116</v>
      </c>
      <c r="L82">
        <f t="shared" ca="1" si="89"/>
        <v>218821.10139417721</v>
      </c>
      <c r="M82">
        <f t="shared" ca="1" si="89"/>
        <v>229768.65088437614</v>
      </c>
      <c r="N82">
        <f t="shared" ca="1" si="89"/>
        <v>241261.99672355287</v>
      </c>
      <c r="O82">
        <f t="shared" ca="1" si="89"/>
        <v>253328.85563304974</v>
      </c>
    </row>
    <row r="84" spans="1:15" ht="15" customHeight="1" x14ac:dyDescent="0.25">
      <c r="A84" s="15" t="s">
        <v>31</v>
      </c>
    </row>
    <row r="85" spans="1:15" ht="15" customHeight="1" x14ac:dyDescent="0.25">
      <c r="B85" s="16" t="s">
        <v>94</v>
      </c>
      <c r="C85" s="76"/>
      <c r="D85" s="78">
        <v>52796</v>
      </c>
      <c r="E85" s="76">
        <v>94632</v>
      </c>
      <c r="F85">
        <f ca="1">F181</f>
        <v>224534.22460273973</v>
      </c>
      <c r="G85">
        <f t="shared" ref="G85:O85" ca="1" si="90">G181</f>
        <v>300541.2603561643</v>
      </c>
      <c r="H85">
        <f t="shared" ca="1" si="90"/>
        <v>385710.63852054795</v>
      </c>
      <c r="I85">
        <f t="shared" ca="1" si="90"/>
        <v>467079.63662258897</v>
      </c>
      <c r="J85">
        <f t="shared" ca="1" si="90"/>
        <v>549457.48537890858</v>
      </c>
      <c r="K85">
        <f t="shared" ca="1" si="90"/>
        <v>635983.31625749264</v>
      </c>
      <c r="L85">
        <f t="shared" ca="1" si="90"/>
        <v>726848.67134965362</v>
      </c>
      <c r="M85">
        <f t="shared" ca="1" si="90"/>
        <v>822258.9512452652</v>
      </c>
      <c r="N85">
        <f t="shared" ca="1" si="90"/>
        <v>922432.95198131271</v>
      </c>
      <c r="O85">
        <f t="shared" ca="1" si="90"/>
        <v>973195.72978438891</v>
      </c>
    </row>
    <row r="86" spans="1:15" ht="15" customHeight="1" x14ac:dyDescent="0.25">
      <c r="B86" s="16" t="s">
        <v>130</v>
      </c>
      <c r="C86" s="76"/>
      <c r="D86" s="78">
        <v>31890</v>
      </c>
      <c r="E86" s="76">
        <v>32434</v>
      </c>
      <c r="F86">
        <f t="shared" ref="F86:O86" si="91">F23/365*F45</f>
        <v>34656.328767123283</v>
      </c>
      <c r="G86">
        <f t="shared" si="91"/>
        <v>37214.95890410959</v>
      </c>
      <c r="H86">
        <f t="shared" si="91"/>
        <v>40747.013698630137</v>
      </c>
      <c r="I86">
        <f t="shared" si="91"/>
        <v>42784.364383561646</v>
      </c>
      <c r="J86">
        <f t="shared" si="91"/>
        <v>44923.582602739734</v>
      </c>
      <c r="K86">
        <f t="shared" si="91"/>
        <v>47169.761732876723</v>
      </c>
      <c r="L86">
        <f t="shared" si="91"/>
        <v>49528.249819520563</v>
      </c>
      <c r="M86">
        <f t="shared" si="91"/>
        <v>52004.662310496591</v>
      </c>
      <c r="N86">
        <f t="shared" si="91"/>
        <v>54604.895426021423</v>
      </c>
      <c r="O86">
        <f t="shared" si="91"/>
        <v>57335.1401973225</v>
      </c>
    </row>
    <row r="87" spans="1:15" ht="15" customHeight="1" x14ac:dyDescent="0.25">
      <c r="B87" s="16" t="s">
        <v>131</v>
      </c>
      <c r="C87" s="76"/>
      <c r="D87" s="78">
        <v>89231</v>
      </c>
      <c r="E87" s="76">
        <v>99688</v>
      </c>
      <c r="F87">
        <f t="shared" ref="F87:O87" si="92">F24/365*F46</f>
        <v>225759.45205479453</v>
      </c>
      <c r="G87">
        <f t="shared" si="92"/>
        <v>242531.50684931505</v>
      </c>
      <c r="H87">
        <f t="shared" si="92"/>
        <v>259002.73972602742</v>
      </c>
      <c r="I87">
        <f t="shared" ca="1" si="92"/>
        <v>276542.57342465752</v>
      </c>
      <c r="J87">
        <f t="shared" ca="1" si="92"/>
        <v>290369.70209589048</v>
      </c>
      <c r="K87">
        <f t="shared" ca="1" si="92"/>
        <v>304888.18720068503</v>
      </c>
      <c r="L87">
        <f t="shared" ca="1" si="92"/>
        <v>320132.59656071931</v>
      </c>
      <c r="M87">
        <f t="shared" ca="1" si="92"/>
        <v>336139.2263887552</v>
      </c>
      <c r="N87">
        <f t="shared" ca="1" si="92"/>
        <v>352946.18770819303</v>
      </c>
      <c r="O87">
        <f t="shared" ca="1" si="92"/>
        <v>370593.49709360272</v>
      </c>
    </row>
    <row r="88" spans="1:15" ht="15" customHeight="1" x14ac:dyDescent="0.25">
      <c r="B88" s="16" t="s">
        <v>132</v>
      </c>
      <c r="C88" s="76"/>
      <c r="D88" s="78">
        <f>3003+8315</f>
        <v>11318</v>
      </c>
      <c r="E88" s="76">
        <f>3543+996+12096</f>
        <v>16635</v>
      </c>
      <c r="F88">
        <f t="shared" ref="F88:O88" si="93">F47*F23</f>
        <v>14374.5</v>
      </c>
      <c r="G88">
        <f t="shared" si="93"/>
        <v>15435.75</v>
      </c>
      <c r="H88">
        <f t="shared" si="93"/>
        <v>16900.75</v>
      </c>
      <c r="I88">
        <f t="shared" si="93"/>
        <v>17745.787500000002</v>
      </c>
      <c r="J88">
        <f t="shared" si="93"/>
        <v>18633.076875000002</v>
      </c>
      <c r="K88">
        <f t="shared" si="93"/>
        <v>19564.730718750005</v>
      </c>
      <c r="L88">
        <f t="shared" si="93"/>
        <v>20542.967254687508</v>
      </c>
      <c r="M88">
        <f t="shared" si="93"/>
        <v>21570.115617421881</v>
      </c>
      <c r="N88">
        <f t="shared" si="93"/>
        <v>22648.621398292977</v>
      </c>
      <c r="O88">
        <f t="shared" si="93"/>
        <v>23781.052468207628</v>
      </c>
    </row>
    <row r="89" spans="1:15" ht="15" customHeight="1" x14ac:dyDescent="0.25">
      <c r="B89" s="16" t="s">
        <v>100</v>
      </c>
      <c r="C89" s="75"/>
      <c r="D89" s="75">
        <f>SUM(D85:D88)</f>
        <v>185235</v>
      </c>
      <c r="E89" s="75">
        <f>SUM(E85:E88)</f>
        <v>243389</v>
      </c>
      <c r="F89" s="75">
        <f t="shared" ref="F89" ca="1" si="94">SUM(F85:F88)</f>
        <v>499324.50542465755</v>
      </c>
      <c r="G89" s="75">
        <f t="shared" ref="G89" ca="1" si="95">SUM(G85:G88)</f>
        <v>595723.47610958898</v>
      </c>
      <c r="H89" s="75">
        <f t="shared" ref="H89" ca="1" si="96">SUM(H85:H88)</f>
        <v>702361.14194520551</v>
      </c>
      <c r="I89" s="75">
        <f t="shared" ref="I89" ca="1" si="97">SUM(I85:I88)</f>
        <v>804152.36193080817</v>
      </c>
      <c r="J89" s="75">
        <f t="shared" ref="J89" ca="1" si="98">SUM(J85:J88)</f>
        <v>903383.8469525387</v>
      </c>
      <c r="K89" s="75">
        <f t="shared" ref="K89" ca="1" si="99">SUM(K85:K88)</f>
        <v>1007605.9959098045</v>
      </c>
      <c r="L89" s="75">
        <f t="shared" ref="L89" ca="1" si="100">SUM(L85:L88)</f>
        <v>1117052.4849845809</v>
      </c>
      <c r="M89" s="75">
        <f t="shared" ref="M89" ca="1" si="101">SUM(M85:M88)</f>
        <v>1231972.9555619389</v>
      </c>
      <c r="N89" s="75">
        <f t="shared" ref="N89" ca="1" si="102">SUM(N85:N88)</f>
        <v>1352632.6565138202</v>
      </c>
      <c r="O89" s="75">
        <f t="shared" ref="O89" ca="1" si="103">SUM(O85:O88)</f>
        <v>1424905.4195435217</v>
      </c>
    </row>
    <row r="91" spans="1:15" ht="15" customHeight="1" x14ac:dyDescent="0.25">
      <c r="B91" s="16" t="s">
        <v>95</v>
      </c>
      <c r="C91" s="76"/>
      <c r="D91" s="78">
        <v>79067</v>
      </c>
      <c r="E91" s="76">
        <v>83501</v>
      </c>
      <c r="F91">
        <f>F65</f>
        <v>101424.70000000001</v>
      </c>
      <c r="G91">
        <f t="shared" ref="G91:O91" si="104">G65</f>
        <v>120487.65000000002</v>
      </c>
      <c r="H91">
        <f t="shared" si="104"/>
        <v>131739.60000000003</v>
      </c>
      <c r="I91">
        <f t="shared" si="104"/>
        <v>142308.95550000001</v>
      </c>
      <c r="J91">
        <f t="shared" si="104"/>
        <v>152331.53739000001</v>
      </c>
      <c r="K91">
        <f t="shared" si="104"/>
        <v>162070.32216345001</v>
      </c>
      <c r="L91">
        <f t="shared" si="104"/>
        <v>171723.05004150601</v>
      </c>
      <c r="M91">
        <f t="shared" si="104"/>
        <v>181440.12713559627</v>
      </c>
      <c r="N91">
        <f t="shared" si="104"/>
        <v>191337.70844454702</v>
      </c>
      <c r="O91">
        <f t="shared" si="104"/>
        <v>201507.26358185915</v>
      </c>
    </row>
    <row r="92" spans="1:15" ht="15" customHeight="1" x14ac:dyDescent="0.25">
      <c r="B92" s="16" t="s">
        <v>101</v>
      </c>
      <c r="C92" s="76"/>
      <c r="D92" s="78">
        <v>2156</v>
      </c>
      <c r="E92" s="76">
        <v>1840</v>
      </c>
      <c r="F92">
        <f t="shared" ref="F92:O92" si="105">F49</f>
        <v>1840</v>
      </c>
      <c r="G92">
        <f t="shared" si="105"/>
        <v>1840</v>
      </c>
      <c r="H92">
        <f t="shared" si="105"/>
        <v>1840</v>
      </c>
      <c r="I92">
        <f t="shared" si="105"/>
        <v>1840</v>
      </c>
      <c r="J92">
        <f t="shared" si="105"/>
        <v>1840</v>
      </c>
      <c r="K92">
        <f t="shared" si="105"/>
        <v>1840</v>
      </c>
      <c r="L92">
        <f t="shared" si="105"/>
        <v>1840</v>
      </c>
      <c r="M92">
        <f t="shared" si="105"/>
        <v>1840</v>
      </c>
      <c r="N92">
        <f t="shared" si="105"/>
        <v>1840</v>
      </c>
      <c r="O92">
        <f t="shared" si="105"/>
        <v>1840</v>
      </c>
    </row>
    <row r="93" spans="1:15" ht="15" customHeight="1" x14ac:dyDescent="0.25">
      <c r="B93" s="16" t="s">
        <v>96</v>
      </c>
      <c r="C93" s="76"/>
      <c r="D93" s="78">
        <v>142773</v>
      </c>
      <c r="E93" s="76">
        <v>142773</v>
      </c>
      <c r="F93">
        <f>E93</f>
        <v>142773</v>
      </c>
      <c r="G93">
        <f t="shared" ref="G93:O93" si="106">F93</f>
        <v>142773</v>
      </c>
      <c r="H93">
        <f t="shared" si="106"/>
        <v>142773</v>
      </c>
      <c r="I93">
        <f t="shared" si="106"/>
        <v>142773</v>
      </c>
      <c r="J93">
        <f t="shared" si="106"/>
        <v>142773</v>
      </c>
      <c r="K93">
        <f t="shared" si="106"/>
        <v>142773</v>
      </c>
      <c r="L93">
        <f t="shared" si="106"/>
        <v>142773</v>
      </c>
      <c r="M93">
        <f t="shared" si="106"/>
        <v>142773</v>
      </c>
      <c r="N93">
        <f t="shared" si="106"/>
        <v>142773</v>
      </c>
      <c r="O93">
        <f t="shared" si="106"/>
        <v>142773</v>
      </c>
    </row>
    <row r="94" spans="1:15" ht="15" customHeight="1" x14ac:dyDescent="0.25">
      <c r="B94" s="16" t="s">
        <v>97</v>
      </c>
      <c r="C94" s="76"/>
      <c r="D94" s="78">
        <v>130414</v>
      </c>
      <c r="E94" s="76">
        <v>130400</v>
      </c>
      <c r="F94">
        <f>F69</f>
        <v>130400</v>
      </c>
      <c r="G94">
        <f t="shared" ref="G94:O94" si="107">G69</f>
        <v>130400</v>
      </c>
      <c r="H94">
        <f t="shared" si="107"/>
        <v>130400</v>
      </c>
      <c r="I94">
        <f t="shared" si="107"/>
        <v>130400</v>
      </c>
      <c r="J94">
        <f t="shared" si="107"/>
        <v>130400</v>
      </c>
      <c r="K94">
        <f t="shared" si="107"/>
        <v>130400</v>
      </c>
      <c r="L94">
        <f t="shared" si="107"/>
        <v>130400</v>
      </c>
      <c r="M94">
        <f t="shared" si="107"/>
        <v>130400</v>
      </c>
      <c r="N94">
        <f t="shared" si="107"/>
        <v>130400</v>
      </c>
      <c r="O94">
        <f t="shared" si="107"/>
        <v>130400</v>
      </c>
    </row>
    <row r="95" spans="1:15" ht="15" customHeight="1" x14ac:dyDescent="0.25">
      <c r="B95" s="16" t="s">
        <v>102</v>
      </c>
      <c r="C95" s="76"/>
      <c r="D95" s="78">
        <f>386+11279</f>
        <v>11665</v>
      </c>
      <c r="E95" s="76">
        <f>771+9270</f>
        <v>10041</v>
      </c>
      <c r="F95">
        <f t="shared" ref="F95:O95" si="108">F50*F23</f>
        <v>11499.6</v>
      </c>
      <c r="G95">
        <f t="shared" si="108"/>
        <v>12348.6</v>
      </c>
      <c r="H95">
        <f t="shared" si="108"/>
        <v>13520.6</v>
      </c>
      <c r="I95">
        <f t="shared" si="108"/>
        <v>14196.630000000001</v>
      </c>
      <c r="J95">
        <f t="shared" si="108"/>
        <v>14906.461500000001</v>
      </c>
      <c r="K95">
        <f t="shared" si="108"/>
        <v>15651.784575000003</v>
      </c>
      <c r="L95">
        <f t="shared" si="108"/>
        <v>16434.373803750004</v>
      </c>
      <c r="M95">
        <f t="shared" si="108"/>
        <v>17256.092493937504</v>
      </c>
      <c r="N95">
        <f t="shared" si="108"/>
        <v>18118.897118634381</v>
      </c>
      <c r="O95">
        <f t="shared" si="108"/>
        <v>19024.841974566101</v>
      </c>
    </row>
    <row r="96" spans="1:15" ht="15" customHeight="1" x14ac:dyDescent="0.25">
      <c r="B96" s="16" t="s">
        <v>32</v>
      </c>
      <c r="C96" s="75"/>
      <c r="D96" s="75">
        <f>SUM(D89,D91:D95)</f>
        <v>551310</v>
      </c>
      <c r="E96" s="75">
        <f>SUM(E89,E91:E95)</f>
        <v>611944</v>
      </c>
      <c r="F96" s="75">
        <f t="shared" ref="F96" ca="1" si="109">SUM(F89,F91:F95)</f>
        <v>887261.80542465753</v>
      </c>
      <c r="G96" s="75">
        <f t="shared" ref="G96" ca="1" si="110">SUM(G89,G91:G95)</f>
        <v>1003572.726109589</v>
      </c>
      <c r="H96" s="75">
        <f t="shared" ref="H96" ca="1" si="111">SUM(H89,H91:H95)</f>
        <v>1122634.3419452056</v>
      </c>
      <c r="I96" s="75">
        <f t="shared" ref="I96" ca="1" si="112">SUM(I89,I91:I95)</f>
        <v>1235670.9474308081</v>
      </c>
      <c r="J96" s="75">
        <f t="shared" ref="J96" ca="1" si="113">SUM(J89,J91:J95)</f>
        <v>1345634.8458425386</v>
      </c>
      <c r="K96" s="75">
        <f t="shared" ref="K96" ca="1" si="114">SUM(K89,K91:K95)</f>
        <v>1460341.1026482545</v>
      </c>
      <c r="L96" s="75">
        <f t="shared" ref="L96" ca="1" si="115">SUM(L89,L91:L95)</f>
        <v>1580222.9088298369</v>
      </c>
      <c r="M96" s="75">
        <f t="shared" ref="M96" ca="1" si="116">SUM(M89,M91:M95)</f>
        <v>1705682.1751914728</v>
      </c>
      <c r="N96" s="75">
        <f t="shared" ref="N96" ca="1" si="117">SUM(N89,N91:N95)</f>
        <v>1837102.2620770016</v>
      </c>
      <c r="O96" s="75">
        <f t="shared" ref="O96" ca="1" si="118">SUM(O89,O91:O95)</f>
        <v>1920450.5250999469</v>
      </c>
    </row>
    <row r="98" spans="2:15" ht="15" customHeight="1" x14ac:dyDescent="0.25">
      <c r="B98" s="16" t="s">
        <v>103</v>
      </c>
      <c r="C98" s="76"/>
      <c r="D98" s="76">
        <v>0</v>
      </c>
      <c r="E98" s="76">
        <v>0</v>
      </c>
      <c r="F98">
        <f ca="1">F138</f>
        <v>0</v>
      </c>
      <c r="G98">
        <f t="shared" ref="G98:O98" ca="1" si="119">G138</f>
        <v>0</v>
      </c>
      <c r="H98">
        <f t="shared" ca="1" si="119"/>
        <v>0</v>
      </c>
      <c r="I98">
        <f t="shared" ca="1" si="119"/>
        <v>0</v>
      </c>
      <c r="J98">
        <f t="shared" ca="1" si="119"/>
        <v>0</v>
      </c>
      <c r="K98">
        <f t="shared" ca="1" si="119"/>
        <v>0</v>
      </c>
      <c r="L98">
        <f t="shared" ca="1" si="119"/>
        <v>0</v>
      </c>
      <c r="M98">
        <f t="shared" ca="1" si="119"/>
        <v>0</v>
      </c>
      <c r="N98">
        <f t="shared" ca="1" si="119"/>
        <v>0</v>
      </c>
      <c r="O98">
        <f t="shared" ca="1" si="119"/>
        <v>0</v>
      </c>
    </row>
    <row r="99" spans="2:15" ht="15" customHeight="1" x14ac:dyDescent="0.25">
      <c r="B99" s="16" t="s">
        <v>133</v>
      </c>
      <c r="C99" s="76"/>
      <c r="D99" s="76">
        <v>33898</v>
      </c>
      <c r="E99" s="76">
        <v>35844</v>
      </c>
      <c r="F99">
        <f t="shared" ref="F99:O99" si="120">F24/365*F51</f>
        <v>79015.808219178085</v>
      </c>
      <c r="G99">
        <f t="shared" si="120"/>
        <v>84886.027397260274</v>
      </c>
      <c r="H99">
        <f t="shared" si="120"/>
        <v>90650.95890410959</v>
      </c>
      <c r="I99">
        <f t="shared" ca="1" si="120"/>
        <v>96789.900698630139</v>
      </c>
      <c r="J99">
        <f t="shared" ca="1" si="120"/>
        <v>101629.39573356166</v>
      </c>
      <c r="K99">
        <f t="shared" ca="1" si="120"/>
        <v>106710.86552023976</v>
      </c>
      <c r="L99">
        <f t="shared" ca="1" si="120"/>
        <v>112046.40879625175</v>
      </c>
      <c r="M99">
        <f t="shared" ca="1" si="120"/>
        <v>117648.72923606433</v>
      </c>
      <c r="N99">
        <f t="shared" ca="1" si="120"/>
        <v>123531.16569786757</v>
      </c>
      <c r="O99">
        <f t="shared" ca="1" si="120"/>
        <v>129707.72398276094</v>
      </c>
    </row>
    <row r="100" spans="2:15" ht="15" customHeight="1" x14ac:dyDescent="0.25">
      <c r="B100" s="16" t="s">
        <v>134</v>
      </c>
      <c r="C100" s="76"/>
      <c r="D100" s="76">
        <v>34786</v>
      </c>
      <c r="E100" s="76">
        <v>39130</v>
      </c>
      <c r="F100">
        <f t="shared" ref="F100:O100" si="121">F52*F23</f>
        <v>40248.600000000006</v>
      </c>
      <c r="G100">
        <f t="shared" si="121"/>
        <v>43220.100000000006</v>
      </c>
      <c r="H100">
        <f t="shared" si="121"/>
        <v>47322.100000000006</v>
      </c>
      <c r="I100">
        <f t="shared" si="121"/>
        <v>49688.205000000002</v>
      </c>
      <c r="J100">
        <f t="shared" si="121"/>
        <v>52172.61525000001</v>
      </c>
      <c r="K100">
        <f t="shared" si="121"/>
        <v>54781.246012500014</v>
      </c>
      <c r="L100">
        <f t="shared" si="121"/>
        <v>57520.308313125017</v>
      </c>
      <c r="M100">
        <f t="shared" si="121"/>
        <v>60396.323728781274</v>
      </c>
      <c r="N100">
        <f t="shared" si="121"/>
        <v>63416.139915220338</v>
      </c>
      <c r="O100">
        <f t="shared" si="121"/>
        <v>66586.946910981365</v>
      </c>
    </row>
    <row r="101" spans="2:15" ht="15" customHeight="1" x14ac:dyDescent="0.25">
      <c r="B101" s="16" t="s">
        <v>135</v>
      </c>
      <c r="C101" s="76"/>
      <c r="D101" s="76">
        <v>2334</v>
      </c>
      <c r="E101" s="76">
        <v>615</v>
      </c>
      <c r="F101">
        <f t="shared" ref="F101:O101" si="122">F53*F36</f>
        <v>1381.1279999999999</v>
      </c>
      <c r="G101">
        <f t="shared" si="122"/>
        <v>1476.6079999999999</v>
      </c>
      <c r="H101">
        <f t="shared" si="122"/>
        <v>1666.7279999999998</v>
      </c>
      <c r="I101">
        <f t="shared" ca="1" si="122"/>
        <v>1601.6969219999996</v>
      </c>
      <c r="J101">
        <f t="shared" ca="1" si="122"/>
        <v>1666.0899887099997</v>
      </c>
      <c r="K101">
        <f t="shared" ca="1" si="122"/>
        <v>1737.7671211907989</v>
      </c>
      <c r="L101">
        <f t="shared" ca="1" si="122"/>
        <v>1815.9951313734091</v>
      </c>
      <c r="M101">
        <f t="shared" ca="1" si="122"/>
        <v>1900.3004674519207</v>
      </c>
      <c r="N101">
        <f t="shared" ca="1" si="122"/>
        <v>1990.4021958666997</v>
      </c>
      <c r="O101">
        <f t="shared" ca="1" si="122"/>
        <v>2086.1632323408294</v>
      </c>
    </row>
    <row r="102" spans="2:15" ht="15" customHeight="1" x14ac:dyDescent="0.25">
      <c r="B102" s="16" t="s">
        <v>104</v>
      </c>
      <c r="C102" s="75"/>
      <c r="D102" s="75">
        <f>SUM(D98:D101)</f>
        <v>71018</v>
      </c>
      <c r="E102" s="75">
        <f>SUM(E98:E101)</f>
        <v>75589</v>
      </c>
      <c r="F102">
        <f>SUM(F99:F101)</f>
        <v>120645.53621917809</v>
      </c>
      <c r="G102">
        <f t="shared" ref="G102:O102" si="123">SUM(G99:G101)</f>
        <v>129582.73539726027</v>
      </c>
      <c r="H102">
        <f t="shared" si="123"/>
        <v>139639.78690410958</v>
      </c>
      <c r="I102">
        <f t="shared" ca="1" si="123"/>
        <v>148079.80262063016</v>
      </c>
      <c r="J102">
        <f t="shared" ca="1" si="123"/>
        <v>155468.10097227167</v>
      </c>
      <c r="K102">
        <f t="shared" ca="1" si="123"/>
        <v>163229.87865393056</v>
      </c>
      <c r="L102">
        <f t="shared" ca="1" si="123"/>
        <v>171382.71224075017</v>
      </c>
      <c r="M102">
        <f t="shared" ca="1" si="123"/>
        <v>179945.35343229753</v>
      </c>
      <c r="N102">
        <f t="shared" ca="1" si="123"/>
        <v>188937.70780895458</v>
      </c>
      <c r="O102">
        <f t="shared" ca="1" si="123"/>
        <v>198380.83412608312</v>
      </c>
    </row>
    <row r="104" spans="2:15" ht="15" customHeight="1" x14ac:dyDescent="0.25">
      <c r="B104" s="16" t="s">
        <v>47</v>
      </c>
      <c r="C104" s="76"/>
      <c r="D104" s="76">
        <v>0</v>
      </c>
      <c r="E104" s="76">
        <v>0</v>
      </c>
      <c r="F104">
        <f>F144</f>
        <v>0</v>
      </c>
      <c r="G104">
        <f t="shared" ref="G104:O104" si="124">G144</f>
        <v>0</v>
      </c>
      <c r="H104">
        <f t="shared" si="124"/>
        <v>0</v>
      </c>
      <c r="I104">
        <f t="shared" si="124"/>
        <v>0</v>
      </c>
      <c r="J104">
        <f t="shared" si="124"/>
        <v>0</v>
      </c>
      <c r="K104">
        <f t="shared" si="124"/>
        <v>0</v>
      </c>
      <c r="L104">
        <f t="shared" si="124"/>
        <v>0</v>
      </c>
      <c r="M104">
        <f t="shared" si="124"/>
        <v>0</v>
      </c>
      <c r="N104">
        <f t="shared" si="124"/>
        <v>0</v>
      </c>
      <c r="O104">
        <f t="shared" si="124"/>
        <v>0</v>
      </c>
    </row>
    <row r="105" spans="2:15" ht="15" customHeight="1" x14ac:dyDescent="0.25">
      <c r="B105" s="16" t="s">
        <v>105</v>
      </c>
      <c r="C105" s="76"/>
      <c r="D105" s="76">
        <f>11407+42002</f>
        <v>53409</v>
      </c>
      <c r="E105" s="76">
        <f>12775+42734</f>
        <v>55509</v>
      </c>
      <c r="F105">
        <f t="shared" ref="F105:O105" si="125">F54*F23</f>
        <v>58072.98</v>
      </c>
      <c r="G105">
        <f t="shared" si="125"/>
        <v>62360.430000000008</v>
      </c>
      <c r="H105">
        <f t="shared" si="125"/>
        <v>68279.03</v>
      </c>
      <c r="I105">
        <f t="shared" si="125"/>
        <v>71692.981500000009</v>
      </c>
      <c r="J105">
        <f t="shared" si="125"/>
        <v>75277.630575000017</v>
      </c>
      <c r="K105">
        <f t="shared" si="125"/>
        <v>79041.512103750021</v>
      </c>
      <c r="L105">
        <f t="shared" si="125"/>
        <v>82993.587708937528</v>
      </c>
      <c r="M105">
        <f t="shared" si="125"/>
        <v>87143.267094384399</v>
      </c>
      <c r="N105">
        <f t="shared" si="125"/>
        <v>91500.430449103631</v>
      </c>
      <c r="O105">
        <f t="shared" si="125"/>
        <v>96075.451971558825</v>
      </c>
    </row>
    <row r="106" spans="2:15" ht="15" customHeight="1" x14ac:dyDescent="0.25">
      <c r="B106" s="16" t="s">
        <v>33</v>
      </c>
      <c r="C106" s="75"/>
      <c r="D106" s="75">
        <f>SUM(D102,D104:D105)</f>
        <v>124427</v>
      </c>
      <c r="E106" s="75">
        <f>SUM(E102,E104:E105)</f>
        <v>131098</v>
      </c>
      <c r="F106" s="75">
        <f t="shared" ref="F106" si="126">SUM(F102,F104:F105)</f>
        <v>178718.5162191781</v>
      </c>
      <c r="G106" s="75">
        <f t="shared" ref="G106" si="127">SUM(G102,G104:G105)</f>
        <v>191943.16539726028</v>
      </c>
      <c r="H106" s="75">
        <f t="shared" ref="H106" si="128">SUM(H102,H104:H105)</f>
        <v>207918.81690410958</v>
      </c>
      <c r="I106" s="75">
        <f t="shared" ref="I106" ca="1" si="129">SUM(I102,I104:I105)</f>
        <v>219772.78412063018</v>
      </c>
      <c r="J106" s="75">
        <f t="shared" ref="J106" ca="1" si="130">SUM(J102,J104:J105)</f>
        <v>230745.73154727169</v>
      </c>
      <c r="K106" s="75">
        <f t="shared" ref="K106" ca="1" si="131">SUM(K102,K104:K105)</f>
        <v>242271.39075768058</v>
      </c>
      <c r="L106" s="75">
        <f t="shared" ref="L106" ca="1" si="132">SUM(L102,L104:L105)</f>
        <v>254376.2999496877</v>
      </c>
      <c r="M106" s="75">
        <f t="shared" ref="M106" ca="1" si="133">SUM(M102,M104:M105)</f>
        <v>267088.62052668195</v>
      </c>
      <c r="N106" s="75">
        <f t="shared" ref="N106" ca="1" si="134">SUM(N102,N104:N105)</f>
        <v>280438.13825805823</v>
      </c>
      <c r="O106" s="75">
        <f t="shared" ref="O106" ca="1" si="135">SUM(O102,O104:O105)</f>
        <v>294456.28609764192</v>
      </c>
    </row>
    <row r="108" spans="2:15" ht="15" customHeight="1" x14ac:dyDescent="0.25">
      <c r="B108" s="16" t="s">
        <v>98</v>
      </c>
      <c r="C108" s="76"/>
      <c r="D108" s="76">
        <v>426883</v>
      </c>
      <c r="E108" s="76">
        <v>480846</v>
      </c>
      <c r="F108">
        <f>F74</f>
        <v>554019.80000000005</v>
      </c>
      <c r="G108">
        <f t="shared" ref="G108:O108" si="136">G74</f>
        <v>622576.60000000009</v>
      </c>
      <c r="H108">
        <f t="shared" si="136"/>
        <v>699960.40000000014</v>
      </c>
      <c r="I108">
        <f t="shared" ca="1" si="136"/>
        <v>774324.89995000011</v>
      </c>
      <c r="J108">
        <f t="shared" ca="1" si="136"/>
        <v>851679.07799725013</v>
      </c>
      <c r="K108">
        <f t="shared" ca="1" si="136"/>
        <v>932361.12290968013</v>
      </c>
      <c r="L108">
        <f t="shared" ca="1" si="136"/>
        <v>1016675.1825805884</v>
      </c>
      <c r="M108">
        <f t="shared" ca="1" si="136"/>
        <v>1104903.4185694274</v>
      </c>
      <c r="N108">
        <f t="shared" ca="1" si="136"/>
        <v>1197314.94909181</v>
      </c>
      <c r="O108">
        <f t="shared" ca="1" si="136"/>
        <v>1294172.5277362056</v>
      </c>
    </row>
    <row r="109" spans="2:15" ht="15" customHeight="1" x14ac:dyDescent="0.25">
      <c r="B109" s="16" t="s">
        <v>34</v>
      </c>
      <c r="C109" s="75"/>
      <c r="D109" s="75">
        <f t="shared" ref="D109:E109" si="137">D106+D108</f>
        <v>551310</v>
      </c>
      <c r="E109" s="75">
        <f t="shared" si="137"/>
        <v>611944</v>
      </c>
      <c r="F109" s="75">
        <f t="shared" ref="F109" si="138">F106+F108</f>
        <v>732738.31621917814</v>
      </c>
      <c r="G109" s="75">
        <f t="shared" ref="G109:O109" si="139">G106+G108</f>
        <v>814519.76539726043</v>
      </c>
      <c r="H109" s="75">
        <f t="shared" si="139"/>
        <v>907879.21690410969</v>
      </c>
      <c r="I109" s="75">
        <f t="shared" ca="1" si="139"/>
        <v>994097.68407063023</v>
      </c>
      <c r="J109" s="75">
        <f t="shared" ca="1" si="139"/>
        <v>1082424.8095445218</v>
      </c>
      <c r="K109" s="75">
        <f t="shared" ca="1" si="139"/>
        <v>1174632.5136673606</v>
      </c>
      <c r="L109" s="75">
        <f t="shared" ca="1" si="139"/>
        <v>1271051.4825302761</v>
      </c>
      <c r="M109" s="75">
        <f t="shared" ca="1" si="139"/>
        <v>1371992.0390961093</v>
      </c>
      <c r="N109" s="75">
        <f t="shared" ca="1" si="139"/>
        <v>1477753.0873498684</v>
      </c>
      <c r="O109" s="75">
        <f t="shared" ca="1" si="139"/>
        <v>1588628.8138338476</v>
      </c>
    </row>
    <row r="111" spans="2:15" ht="15" customHeight="1" x14ac:dyDescent="0.25">
      <c r="B111" s="16" t="s">
        <v>99</v>
      </c>
      <c r="D111">
        <f t="shared" ref="D111:E111" si="140">D109-D96</f>
        <v>0</v>
      </c>
      <c r="E111">
        <f t="shared" si="140"/>
        <v>0</v>
      </c>
      <c r="F111">
        <f t="shared" ref="F111" ca="1" si="141">F109-F96</f>
        <v>-154523.48920547939</v>
      </c>
      <c r="G111">
        <f t="shared" ref="G111:O111" ca="1" si="142">G109-G96</f>
        <v>-189052.96071232855</v>
      </c>
      <c r="H111">
        <f t="shared" ca="1" si="142"/>
        <v>-214755.12504109589</v>
      </c>
      <c r="I111">
        <f t="shared" ca="1" si="142"/>
        <v>-241573.26336017787</v>
      </c>
      <c r="J111">
        <f t="shared" ca="1" si="142"/>
        <v>-263210.03629801678</v>
      </c>
      <c r="K111">
        <f t="shared" ca="1" si="142"/>
        <v>-285708.58898089384</v>
      </c>
      <c r="L111">
        <f t="shared" ca="1" si="142"/>
        <v>-309171.42629956082</v>
      </c>
      <c r="M111">
        <f t="shared" ca="1" si="142"/>
        <v>-333690.13609536341</v>
      </c>
      <c r="N111">
        <f t="shared" ca="1" si="142"/>
        <v>-359349.17472713324</v>
      </c>
      <c r="O111">
        <f t="shared" ca="1" si="142"/>
        <v>-331821.71126609924</v>
      </c>
    </row>
    <row r="113" spans="1:15" ht="15" customHeight="1" x14ac:dyDescent="0.25">
      <c r="A113" s="15" t="s">
        <v>48</v>
      </c>
    </row>
    <row r="114" spans="1:15" ht="15" customHeight="1" x14ac:dyDescent="0.25">
      <c r="B114" s="16" t="s">
        <v>56</v>
      </c>
      <c r="F114" s="73">
        <v>0</v>
      </c>
      <c r="G114" s="73">
        <v>0</v>
      </c>
      <c r="H114" s="73">
        <v>0</v>
      </c>
      <c r="I114" s="73">
        <v>0</v>
      </c>
      <c r="J114" s="73">
        <v>0</v>
      </c>
      <c r="K114" s="73">
        <v>0</v>
      </c>
      <c r="L114" s="73">
        <v>0</v>
      </c>
      <c r="M114" s="73">
        <v>0</v>
      </c>
      <c r="N114" s="73">
        <v>0</v>
      </c>
      <c r="O114" s="73">
        <v>0</v>
      </c>
    </row>
    <row r="115" spans="1:15" ht="15" customHeight="1" x14ac:dyDescent="0.25">
      <c r="B115" s="16" t="s">
        <v>106</v>
      </c>
      <c r="D115" s="66"/>
      <c r="E115" s="66"/>
      <c r="F115" s="68">
        <v>1.4999999999999999E-2</v>
      </c>
      <c r="G115" s="68">
        <v>1.4999999999999999E-2</v>
      </c>
      <c r="H115" s="68">
        <v>1.4999999999999999E-2</v>
      </c>
      <c r="I115" s="68">
        <v>1.4999999999999999E-2</v>
      </c>
      <c r="J115" s="68">
        <v>1.4999999999999999E-2</v>
      </c>
      <c r="K115" s="68">
        <v>1.4999999999999999E-2</v>
      </c>
      <c r="L115" s="68">
        <v>1.4999999999999999E-2</v>
      </c>
      <c r="M115" s="68">
        <v>1.4999999999999999E-2</v>
      </c>
      <c r="N115" s="68">
        <v>1.4999999999999999E-2</v>
      </c>
      <c r="O115" s="68">
        <v>1.4999999999999999E-2</v>
      </c>
    </row>
    <row r="116" spans="1:15" ht="15" customHeight="1" x14ac:dyDescent="0.25">
      <c r="B116" s="16" t="s">
        <v>64</v>
      </c>
      <c r="D116" s="66"/>
      <c r="E116" s="66"/>
      <c r="F116" s="68">
        <v>5.5E-2</v>
      </c>
      <c r="G116" s="68">
        <v>5.5E-2</v>
      </c>
      <c r="H116" s="68">
        <v>5.5E-2</v>
      </c>
      <c r="I116" s="68">
        <v>5.5E-2</v>
      </c>
      <c r="J116" s="68">
        <v>5.5E-2</v>
      </c>
      <c r="K116" s="68">
        <v>5.5E-2</v>
      </c>
      <c r="L116" s="68">
        <v>5.5E-2</v>
      </c>
      <c r="M116" s="68">
        <v>5.5E-2</v>
      </c>
      <c r="N116" s="68">
        <v>5.5E-2</v>
      </c>
      <c r="O116" s="68">
        <v>5.5E-2</v>
      </c>
    </row>
    <row r="117" spans="1:15" ht="15" customHeight="1" x14ac:dyDescent="0.25">
      <c r="B117" s="16" t="s">
        <v>63</v>
      </c>
      <c r="F117" s="68">
        <v>1E-3</v>
      </c>
      <c r="G117" s="68">
        <v>1E-3</v>
      </c>
      <c r="H117" s="68">
        <v>1E-3</v>
      </c>
      <c r="I117" s="68">
        <v>1E-3</v>
      </c>
      <c r="J117" s="68">
        <v>1E-3</v>
      </c>
      <c r="K117" s="68">
        <v>1E-3</v>
      </c>
      <c r="L117" s="68">
        <v>1E-3</v>
      </c>
      <c r="M117" s="68">
        <v>1E-3</v>
      </c>
      <c r="N117" s="68">
        <v>1E-3</v>
      </c>
      <c r="O117" s="68">
        <v>1E-3</v>
      </c>
    </row>
    <row r="119" spans="1:15" ht="15" customHeight="1" x14ac:dyDescent="0.25">
      <c r="A119" s="15" t="s">
        <v>52</v>
      </c>
    </row>
    <row r="120" spans="1:15" ht="15" customHeight="1" x14ac:dyDescent="0.25">
      <c r="B120" s="16" t="s">
        <v>30</v>
      </c>
      <c r="F120">
        <f t="shared" ref="F120:O120" si="143">F37</f>
        <v>64123.8</v>
      </c>
      <c r="G120">
        <f t="shared" si="143"/>
        <v>68556.800000000003</v>
      </c>
      <c r="H120">
        <f t="shared" si="143"/>
        <v>77383.8</v>
      </c>
      <c r="I120">
        <f t="shared" ca="1" si="143"/>
        <v>74364.499949999998</v>
      </c>
      <c r="J120">
        <f t="shared" ca="1" si="143"/>
        <v>77354.178047249981</v>
      </c>
      <c r="K120">
        <f t="shared" ca="1" si="143"/>
        <v>80682.044912429963</v>
      </c>
      <c r="L120">
        <f t="shared" ca="1" si="143"/>
        <v>84314.059670908289</v>
      </c>
      <c r="M120">
        <f t="shared" ca="1" si="143"/>
        <v>88228.23598883918</v>
      </c>
      <c r="N120">
        <f t="shared" ca="1" si="143"/>
        <v>92411.530522382498</v>
      </c>
      <c r="O120">
        <f t="shared" ca="1" si="143"/>
        <v>96857.57864439566</v>
      </c>
    </row>
    <row r="121" spans="1:15" ht="15" customHeight="1" x14ac:dyDescent="0.25">
      <c r="B121" s="16" t="s">
        <v>82</v>
      </c>
      <c r="F121">
        <f t="shared" ref="F121:O121" si="144">F27</f>
        <v>19450</v>
      </c>
      <c r="G121">
        <f t="shared" si="144"/>
        <v>21070</v>
      </c>
      <c r="H121">
        <f t="shared" si="144"/>
        <v>32690</v>
      </c>
      <c r="I121">
        <f t="shared" si="144"/>
        <v>35569.69200000001</v>
      </c>
      <c r="J121">
        <f t="shared" si="144"/>
        <v>38423.417985000007</v>
      </c>
      <c r="K121">
        <f t="shared" si="144"/>
        <v>41129.515095300005</v>
      </c>
      <c r="L121">
        <f t="shared" si="144"/>
        <v>43758.986984131509</v>
      </c>
      <c r="M121">
        <f t="shared" si="144"/>
        <v>46365.223511206626</v>
      </c>
      <c r="N121">
        <f t="shared" si="144"/>
        <v>48988.834326610995</v>
      </c>
      <c r="O121">
        <f t="shared" si="144"/>
        <v>51661.181280027697</v>
      </c>
    </row>
    <row r="122" spans="1:15" ht="15" customHeight="1" x14ac:dyDescent="0.25">
      <c r="B122" s="16" t="s">
        <v>83</v>
      </c>
      <c r="F122">
        <f t="shared" ref="F122:O122" si="145">F28</f>
        <v>0</v>
      </c>
      <c r="G122">
        <f t="shared" si="145"/>
        <v>0</v>
      </c>
      <c r="H122">
        <f t="shared" si="145"/>
        <v>0</v>
      </c>
      <c r="I122">
        <f t="shared" si="145"/>
        <v>0</v>
      </c>
      <c r="J122">
        <f t="shared" si="145"/>
        <v>0</v>
      </c>
      <c r="K122">
        <f t="shared" si="145"/>
        <v>0</v>
      </c>
      <c r="L122">
        <f t="shared" si="145"/>
        <v>0</v>
      </c>
      <c r="M122">
        <f t="shared" si="145"/>
        <v>0</v>
      </c>
      <c r="N122">
        <f t="shared" si="145"/>
        <v>0</v>
      </c>
      <c r="O122">
        <f t="shared" si="145"/>
        <v>0</v>
      </c>
    </row>
    <row r="123" spans="1:15" ht="15" customHeight="1" x14ac:dyDescent="0.25">
      <c r="B123" s="16" t="s">
        <v>67</v>
      </c>
      <c r="F123">
        <f>F82-E82</f>
        <v>80976.744602739724</v>
      </c>
      <c r="G123">
        <f t="shared" ref="G123:O123" si="146">G82-F82</f>
        <v>11454.735753424611</v>
      </c>
      <c r="H123">
        <f t="shared" si="146"/>
        <v>11411.236164383648</v>
      </c>
      <c r="I123">
        <f t="shared" ca="1" si="146"/>
        <v>11982.206167041004</v>
      </c>
      <c r="J123">
        <f t="shared" ca="1" si="146"/>
        <v>9465.3379137695883</v>
      </c>
      <c r="K123">
        <f t="shared" ca="1" si="146"/>
        <v>9934.5403970225889</v>
      </c>
      <c r="L123">
        <f t="shared" ca="1" si="146"/>
        <v>10428.300395796046</v>
      </c>
      <c r="M123">
        <f t="shared" ca="1" si="146"/>
        <v>10947.54949019893</v>
      </c>
      <c r="N123">
        <f t="shared" ca="1" si="146"/>
        <v>11493.345839176734</v>
      </c>
      <c r="O123">
        <f t="shared" ca="1" si="146"/>
        <v>12066.858909496863</v>
      </c>
    </row>
    <row r="124" spans="1:15" ht="15" customHeight="1" x14ac:dyDescent="0.25">
      <c r="B124" s="16" t="s">
        <v>107</v>
      </c>
      <c r="F124">
        <f>E95-F95</f>
        <v>-1458.6000000000004</v>
      </c>
      <c r="G124">
        <f t="shared" ref="G124:O124" si="147">F95-G95</f>
        <v>-849</v>
      </c>
      <c r="H124">
        <f t="shared" si="147"/>
        <v>-1172</v>
      </c>
      <c r="I124">
        <f t="shared" si="147"/>
        <v>-676.03000000000065</v>
      </c>
      <c r="J124">
        <f t="shared" si="147"/>
        <v>-709.83150000000023</v>
      </c>
      <c r="K124">
        <f t="shared" si="147"/>
        <v>-745.32307500000206</v>
      </c>
      <c r="L124">
        <f t="shared" si="147"/>
        <v>-782.58922875000098</v>
      </c>
      <c r="M124">
        <f t="shared" si="147"/>
        <v>-821.71869018749931</v>
      </c>
      <c r="N124">
        <f t="shared" si="147"/>
        <v>-862.804624696877</v>
      </c>
      <c r="O124">
        <f t="shared" si="147"/>
        <v>-905.94485593172067</v>
      </c>
    </row>
    <row r="125" spans="1:15" ht="15" customHeight="1" x14ac:dyDescent="0.25">
      <c r="B125" s="16" t="s">
        <v>108</v>
      </c>
      <c r="F125">
        <f>F105-E105</f>
        <v>2563.9800000000032</v>
      </c>
      <c r="G125">
        <f t="shared" ref="G125:O125" si="148">G105-F105</f>
        <v>4287.4500000000044</v>
      </c>
      <c r="H125">
        <f t="shared" si="148"/>
        <v>5918.5999999999913</v>
      </c>
      <c r="I125">
        <f t="shared" si="148"/>
        <v>3413.9515000000101</v>
      </c>
      <c r="J125">
        <f t="shared" si="148"/>
        <v>3584.6490750000085</v>
      </c>
      <c r="K125">
        <f t="shared" si="148"/>
        <v>3763.8815287500038</v>
      </c>
      <c r="L125">
        <f t="shared" si="148"/>
        <v>3952.0756051875069</v>
      </c>
      <c r="M125">
        <f t="shared" si="148"/>
        <v>4149.6793854468706</v>
      </c>
      <c r="N125">
        <f t="shared" si="148"/>
        <v>4357.1633547192323</v>
      </c>
      <c r="O125">
        <f t="shared" si="148"/>
        <v>4575.0215224551939</v>
      </c>
    </row>
    <row r="126" spans="1:15" ht="15" customHeight="1" x14ac:dyDescent="0.25">
      <c r="B126" s="16" t="s">
        <v>57</v>
      </c>
      <c r="F126">
        <f>F63*-1</f>
        <v>-37373.700000000004</v>
      </c>
      <c r="G126">
        <f t="shared" ref="G126:O126" si="149">G63*-1</f>
        <v>-40132.950000000004</v>
      </c>
      <c r="H126">
        <f t="shared" si="149"/>
        <v>-43941.950000000004</v>
      </c>
      <c r="I126">
        <f t="shared" si="149"/>
        <v>-46139.047500000001</v>
      </c>
      <c r="J126">
        <f t="shared" si="149"/>
        <v>-48445.999875000009</v>
      </c>
      <c r="K126">
        <f t="shared" si="149"/>
        <v>-50868.299868750008</v>
      </c>
      <c r="L126">
        <f t="shared" si="149"/>
        <v>-53411.714862187517</v>
      </c>
      <c r="M126">
        <f t="shared" si="149"/>
        <v>-56082.300605296892</v>
      </c>
      <c r="N126">
        <f t="shared" si="149"/>
        <v>-58886.415635561738</v>
      </c>
      <c r="O126">
        <f t="shared" si="149"/>
        <v>-61830.736417339831</v>
      </c>
    </row>
    <row r="127" spans="1:15" ht="15" customHeight="1" x14ac:dyDescent="0.25">
      <c r="B127" s="16" t="s">
        <v>109</v>
      </c>
      <c r="F127">
        <f>E92-F92</f>
        <v>0</v>
      </c>
      <c r="G127">
        <f t="shared" ref="G127:O127" si="150">F92-G92</f>
        <v>0</v>
      </c>
      <c r="H127">
        <f t="shared" si="150"/>
        <v>0</v>
      </c>
      <c r="I127">
        <f t="shared" si="150"/>
        <v>0</v>
      </c>
      <c r="J127">
        <f t="shared" si="150"/>
        <v>0</v>
      </c>
      <c r="K127">
        <f t="shared" si="150"/>
        <v>0</v>
      </c>
      <c r="L127">
        <f t="shared" si="150"/>
        <v>0</v>
      </c>
      <c r="M127">
        <f t="shared" si="150"/>
        <v>0</v>
      </c>
      <c r="N127">
        <f t="shared" si="150"/>
        <v>0</v>
      </c>
      <c r="O127">
        <f t="shared" si="150"/>
        <v>0</v>
      </c>
    </row>
    <row r="128" spans="1:15" ht="15" customHeight="1" x14ac:dyDescent="0.25">
      <c r="B128" s="16" t="s">
        <v>59</v>
      </c>
      <c r="F128">
        <f>F73*-1</f>
        <v>0</v>
      </c>
      <c r="G128">
        <f t="shared" ref="G128:O128" si="151">G73*-1</f>
        <v>0</v>
      </c>
      <c r="H128">
        <f t="shared" si="151"/>
        <v>0</v>
      </c>
      <c r="I128">
        <f t="shared" si="151"/>
        <v>0</v>
      </c>
      <c r="J128">
        <f t="shared" si="151"/>
        <v>0</v>
      </c>
      <c r="K128">
        <f t="shared" si="151"/>
        <v>0</v>
      </c>
      <c r="L128">
        <f t="shared" si="151"/>
        <v>0</v>
      </c>
      <c r="M128">
        <f t="shared" si="151"/>
        <v>0</v>
      </c>
      <c r="N128">
        <f t="shared" si="151"/>
        <v>0</v>
      </c>
      <c r="O128">
        <f t="shared" si="151"/>
        <v>0</v>
      </c>
    </row>
    <row r="129" spans="2:15" ht="15" customHeight="1" x14ac:dyDescent="0.25">
      <c r="B129" s="16" t="s">
        <v>66</v>
      </c>
      <c r="F129">
        <f>SUM(F120:F128)</f>
        <v>128282.22460273973</v>
      </c>
      <c r="G129">
        <f t="shared" ref="G129:O129" si="152">SUM(G120:G128)</f>
        <v>64387.035753424607</v>
      </c>
      <c r="H129">
        <f t="shared" si="152"/>
        <v>82289.686164383631</v>
      </c>
      <c r="I129">
        <f t="shared" ca="1" si="152"/>
        <v>78515.272117041022</v>
      </c>
      <c r="J129">
        <f t="shared" ca="1" si="152"/>
        <v>79671.751646019577</v>
      </c>
      <c r="K129">
        <f t="shared" ca="1" si="152"/>
        <v>83896.358989752567</v>
      </c>
      <c r="L129">
        <f t="shared" ca="1" si="152"/>
        <v>88259.118565085839</v>
      </c>
      <c r="M129">
        <f t="shared" ca="1" si="152"/>
        <v>92786.669080207212</v>
      </c>
      <c r="N129">
        <f t="shared" ca="1" si="152"/>
        <v>97501.653782630834</v>
      </c>
      <c r="O129">
        <f t="shared" ca="1" si="152"/>
        <v>102423.95908310387</v>
      </c>
    </row>
    <row r="130" spans="2:15" ht="15" customHeight="1" x14ac:dyDescent="0.25">
      <c r="B130" s="16" t="s">
        <v>36</v>
      </c>
      <c r="F130">
        <f ca="1">F85</f>
        <v>224534.22460273973</v>
      </c>
      <c r="G130">
        <f t="shared" ref="G130:O130" ca="1" si="153">G85</f>
        <v>300541.2603561643</v>
      </c>
      <c r="H130">
        <f t="shared" ca="1" si="153"/>
        <v>385710.63852054795</v>
      </c>
      <c r="I130">
        <f t="shared" ca="1" si="153"/>
        <v>467079.63662258897</v>
      </c>
      <c r="J130">
        <f t="shared" ca="1" si="153"/>
        <v>549457.48537890858</v>
      </c>
      <c r="K130">
        <f t="shared" ca="1" si="153"/>
        <v>635983.31625749264</v>
      </c>
      <c r="L130">
        <f t="shared" ca="1" si="153"/>
        <v>726848.67134965362</v>
      </c>
      <c r="M130">
        <f t="shared" ca="1" si="153"/>
        <v>822258.9512452652</v>
      </c>
      <c r="N130">
        <f t="shared" ca="1" si="153"/>
        <v>922432.95198131271</v>
      </c>
      <c r="O130">
        <f t="shared" ca="1" si="153"/>
        <v>973195.72978438891</v>
      </c>
    </row>
    <row r="131" spans="2:15" ht="15" customHeight="1" x14ac:dyDescent="0.25">
      <c r="B131" s="16" t="s">
        <v>65</v>
      </c>
      <c r="F131">
        <f ca="1">SUM(F129:F130)</f>
        <v>352816.44920547947</v>
      </c>
      <c r="G131">
        <f t="shared" ref="G131:O131" ca="1" si="154">SUM(G129:G130)</f>
        <v>364928.29610958893</v>
      </c>
      <c r="H131">
        <f t="shared" ca="1" si="154"/>
        <v>468000.32468493155</v>
      </c>
      <c r="I131">
        <f t="shared" ca="1" si="154"/>
        <v>545594.90873963002</v>
      </c>
      <c r="J131">
        <f t="shared" ca="1" si="154"/>
        <v>629129.23702492821</v>
      </c>
      <c r="K131">
        <f t="shared" ca="1" si="154"/>
        <v>719879.67524724524</v>
      </c>
      <c r="L131">
        <f t="shared" ca="1" si="154"/>
        <v>815107.78991473943</v>
      </c>
      <c r="M131">
        <f t="shared" ca="1" si="154"/>
        <v>915045.62032547244</v>
      </c>
      <c r="N131">
        <f t="shared" ca="1" si="154"/>
        <v>1019934.6057639435</v>
      </c>
      <c r="O131">
        <f t="shared" ca="1" si="154"/>
        <v>1075619.6888674928</v>
      </c>
    </row>
    <row r="133" spans="2:15" ht="15" customHeight="1" x14ac:dyDescent="0.25">
      <c r="B133" s="16" t="s">
        <v>56</v>
      </c>
      <c r="F133">
        <f>F114</f>
        <v>0</v>
      </c>
      <c r="G133">
        <f t="shared" ref="G133:O133" si="155">G114</f>
        <v>0</v>
      </c>
      <c r="H133">
        <f t="shared" si="155"/>
        <v>0</v>
      </c>
      <c r="I133">
        <f t="shared" si="155"/>
        <v>0</v>
      </c>
      <c r="J133">
        <f t="shared" si="155"/>
        <v>0</v>
      </c>
      <c r="K133">
        <f t="shared" si="155"/>
        <v>0</v>
      </c>
      <c r="L133">
        <f t="shared" si="155"/>
        <v>0</v>
      </c>
      <c r="M133">
        <f t="shared" si="155"/>
        <v>0</v>
      </c>
      <c r="N133">
        <f t="shared" si="155"/>
        <v>0</v>
      </c>
      <c r="O133">
        <f t="shared" si="155"/>
        <v>0</v>
      </c>
    </row>
    <row r="134" spans="2:15" ht="15" customHeight="1" x14ac:dyDescent="0.25">
      <c r="B134" s="16" t="s">
        <v>68</v>
      </c>
      <c r="F134">
        <f ca="1">F131-F133</f>
        <v>352816.44920547947</v>
      </c>
      <c r="G134">
        <f t="shared" ref="G134:O134" ca="1" si="156">G131-G133</f>
        <v>364928.29610958893</v>
      </c>
      <c r="H134">
        <f t="shared" ca="1" si="156"/>
        <v>468000.32468493155</v>
      </c>
      <c r="I134">
        <f t="shared" ca="1" si="156"/>
        <v>545594.90873963002</v>
      </c>
      <c r="J134">
        <f t="shared" ca="1" si="156"/>
        <v>629129.23702492821</v>
      </c>
      <c r="K134">
        <f t="shared" ca="1" si="156"/>
        <v>719879.67524724524</v>
      </c>
      <c r="L134">
        <f t="shared" ca="1" si="156"/>
        <v>815107.78991473943</v>
      </c>
      <c r="M134">
        <f t="shared" ca="1" si="156"/>
        <v>915045.62032547244</v>
      </c>
      <c r="N134">
        <f t="shared" ca="1" si="156"/>
        <v>1019934.6057639435</v>
      </c>
      <c r="O134">
        <f t="shared" ca="1" si="156"/>
        <v>1075619.6888674928</v>
      </c>
    </row>
    <row r="136" spans="2:15" ht="15" customHeight="1" x14ac:dyDescent="0.25">
      <c r="B136" s="16" t="s">
        <v>111</v>
      </c>
      <c r="F136">
        <f>E138</f>
        <v>0</v>
      </c>
      <c r="G136">
        <f t="shared" ref="G136:O136" ca="1" si="157">F138</f>
        <v>0</v>
      </c>
      <c r="H136">
        <f t="shared" ca="1" si="157"/>
        <v>0</v>
      </c>
      <c r="I136">
        <f t="shared" ca="1" si="157"/>
        <v>0</v>
      </c>
      <c r="J136">
        <f t="shared" ca="1" si="157"/>
        <v>0</v>
      </c>
      <c r="K136">
        <f t="shared" ca="1" si="157"/>
        <v>0</v>
      </c>
      <c r="L136">
        <f t="shared" ca="1" si="157"/>
        <v>0</v>
      </c>
      <c r="M136">
        <f t="shared" ca="1" si="157"/>
        <v>0</v>
      </c>
      <c r="N136">
        <f t="shared" ca="1" si="157"/>
        <v>0</v>
      </c>
      <c r="O136">
        <f t="shared" ca="1" si="157"/>
        <v>0</v>
      </c>
    </row>
    <row r="137" spans="2:15" ht="15" customHeight="1" x14ac:dyDescent="0.25">
      <c r="B137" s="16" t="s">
        <v>112</v>
      </c>
      <c r="F137">
        <f ca="1">MIN(F136,F134)*-1</f>
        <v>0</v>
      </c>
      <c r="G137">
        <f t="shared" ref="G137:O137" ca="1" si="158">MIN(G136,G134)*-1</f>
        <v>0</v>
      </c>
      <c r="H137">
        <f t="shared" ca="1" si="158"/>
        <v>0</v>
      </c>
      <c r="I137">
        <f t="shared" ca="1" si="158"/>
        <v>0</v>
      </c>
      <c r="J137">
        <f t="shared" ca="1" si="158"/>
        <v>0</v>
      </c>
      <c r="K137">
        <f t="shared" ca="1" si="158"/>
        <v>0</v>
      </c>
      <c r="L137">
        <f t="shared" ca="1" si="158"/>
        <v>0</v>
      </c>
      <c r="M137">
        <f t="shared" ca="1" si="158"/>
        <v>0</v>
      </c>
      <c r="N137">
        <f t="shared" ca="1" si="158"/>
        <v>0</v>
      </c>
      <c r="O137">
        <f t="shared" ca="1" si="158"/>
        <v>0</v>
      </c>
    </row>
    <row r="138" spans="2:15" ht="15" customHeight="1" x14ac:dyDescent="0.25">
      <c r="B138" s="16" t="s">
        <v>124</v>
      </c>
      <c r="E138">
        <f>E98</f>
        <v>0</v>
      </c>
      <c r="F138">
        <f ca="1">SUM(F136:F137)</f>
        <v>0</v>
      </c>
      <c r="G138">
        <f t="shared" ref="G138:O138" ca="1" si="159">SUM(G136:G137)</f>
        <v>0</v>
      </c>
      <c r="H138">
        <f t="shared" ca="1" si="159"/>
        <v>0</v>
      </c>
      <c r="I138">
        <f t="shared" ca="1" si="159"/>
        <v>0</v>
      </c>
      <c r="J138">
        <f t="shared" ca="1" si="159"/>
        <v>0</v>
      </c>
      <c r="K138">
        <f t="shared" ca="1" si="159"/>
        <v>0</v>
      </c>
      <c r="L138">
        <f t="shared" ca="1" si="159"/>
        <v>0</v>
      </c>
      <c r="M138">
        <f t="shared" ca="1" si="159"/>
        <v>0</v>
      </c>
      <c r="N138">
        <f t="shared" ca="1" si="159"/>
        <v>0</v>
      </c>
      <c r="O138">
        <f t="shared" ca="1" si="159"/>
        <v>0</v>
      </c>
    </row>
    <row r="139" spans="2:15" ht="15" customHeight="1" x14ac:dyDescent="0.25">
      <c r="B139" s="16" t="s">
        <v>110</v>
      </c>
      <c r="F139" s="66">
        <f>F115</f>
        <v>1.4999999999999999E-2</v>
      </c>
      <c r="G139" s="66">
        <f t="shared" ref="G139:O139" si="160">G115</f>
        <v>1.4999999999999999E-2</v>
      </c>
      <c r="H139" s="66">
        <f t="shared" si="160"/>
        <v>1.4999999999999999E-2</v>
      </c>
      <c r="I139" s="66">
        <f t="shared" si="160"/>
        <v>1.4999999999999999E-2</v>
      </c>
      <c r="J139" s="66">
        <f t="shared" si="160"/>
        <v>1.4999999999999999E-2</v>
      </c>
      <c r="K139" s="66">
        <f t="shared" si="160"/>
        <v>1.4999999999999999E-2</v>
      </c>
      <c r="L139" s="66">
        <f t="shared" si="160"/>
        <v>1.4999999999999999E-2</v>
      </c>
      <c r="M139" s="66">
        <f t="shared" si="160"/>
        <v>1.4999999999999999E-2</v>
      </c>
      <c r="N139" s="66">
        <f t="shared" si="160"/>
        <v>1.4999999999999999E-2</v>
      </c>
      <c r="O139" s="66">
        <f t="shared" si="160"/>
        <v>1.4999999999999999E-2</v>
      </c>
    </row>
    <row r="140" spans="2:15" ht="15" customHeight="1" x14ac:dyDescent="0.25">
      <c r="B140" s="16" t="s">
        <v>45</v>
      </c>
      <c r="F140">
        <f ca="1">AVERAGE(E138:F138)*F139</f>
        <v>0</v>
      </c>
      <c r="G140">
        <f t="shared" ref="G140:O140" ca="1" si="161">AVERAGE(F138:G138)*G139</f>
        <v>0</v>
      </c>
      <c r="H140">
        <f t="shared" ca="1" si="161"/>
        <v>0</v>
      </c>
      <c r="I140">
        <f t="shared" ca="1" si="161"/>
        <v>0</v>
      </c>
      <c r="J140">
        <f t="shared" ca="1" si="161"/>
        <v>0</v>
      </c>
      <c r="K140">
        <f t="shared" ca="1" si="161"/>
        <v>0</v>
      </c>
      <c r="L140">
        <f t="shared" ca="1" si="161"/>
        <v>0</v>
      </c>
      <c r="M140">
        <f t="shared" ca="1" si="161"/>
        <v>0</v>
      </c>
      <c r="N140">
        <f t="shared" ca="1" si="161"/>
        <v>0</v>
      </c>
      <c r="O140">
        <f t="shared" ca="1" si="161"/>
        <v>0</v>
      </c>
    </row>
    <row r="142" spans="2:15" ht="15" customHeight="1" x14ac:dyDescent="0.25">
      <c r="B142" s="16" t="s">
        <v>69</v>
      </c>
      <c r="F142">
        <f>E144</f>
        <v>0</v>
      </c>
      <c r="G142">
        <f t="shared" ref="G142:O142" si="162">F144</f>
        <v>0</v>
      </c>
      <c r="H142">
        <f t="shared" si="162"/>
        <v>0</v>
      </c>
      <c r="I142">
        <f t="shared" si="162"/>
        <v>0</v>
      </c>
      <c r="J142">
        <f t="shared" si="162"/>
        <v>0</v>
      </c>
      <c r="K142">
        <f t="shared" si="162"/>
        <v>0</v>
      </c>
      <c r="L142">
        <f t="shared" si="162"/>
        <v>0</v>
      </c>
      <c r="M142">
        <f t="shared" si="162"/>
        <v>0</v>
      </c>
      <c r="N142">
        <f t="shared" si="162"/>
        <v>0</v>
      </c>
      <c r="O142">
        <f t="shared" si="162"/>
        <v>0</v>
      </c>
    </row>
    <row r="143" spans="2:15" ht="15" customHeight="1" x14ac:dyDescent="0.25">
      <c r="B143" s="16" t="s">
        <v>125</v>
      </c>
      <c r="F143">
        <f>F114</f>
        <v>0</v>
      </c>
      <c r="G143">
        <f t="shared" ref="G143:O143" si="163">G114</f>
        <v>0</v>
      </c>
      <c r="H143">
        <f t="shared" si="163"/>
        <v>0</v>
      </c>
      <c r="I143">
        <f t="shared" si="163"/>
        <v>0</v>
      </c>
      <c r="J143">
        <f t="shared" si="163"/>
        <v>0</v>
      </c>
      <c r="K143">
        <f t="shared" si="163"/>
        <v>0</v>
      </c>
      <c r="L143">
        <f t="shared" si="163"/>
        <v>0</v>
      </c>
      <c r="M143">
        <f t="shared" si="163"/>
        <v>0</v>
      </c>
      <c r="N143">
        <f t="shared" si="163"/>
        <v>0</v>
      </c>
      <c r="O143">
        <f t="shared" si="163"/>
        <v>0</v>
      </c>
    </row>
    <row r="144" spans="2:15" ht="15" customHeight="1" x14ac:dyDescent="0.25">
      <c r="B144" s="16" t="s">
        <v>70</v>
      </c>
      <c r="E144">
        <f>E104</f>
        <v>0</v>
      </c>
      <c r="F144">
        <f>SUM(F142:F143)</f>
        <v>0</v>
      </c>
      <c r="G144">
        <f t="shared" ref="G144:O144" si="164">SUM(G142:G143)</f>
        <v>0</v>
      </c>
      <c r="H144">
        <f t="shared" si="164"/>
        <v>0</v>
      </c>
      <c r="I144">
        <f t="shared" si="164"/>
        <v>0</v>
      </c>
      <c r="J144">
        <f t="shared" si="164"/>
        <v>0</v>
      </c>
      <c r="K144">
        <f t="shared" si="164"/>
        <v>0</v>
      </c>
      <c r="L144">
        <f t="shared" si="164"/>
        <v>0</v>
      </c>
      <c r="M144">
        <f t="shared" si="164"/>
        <v>0</v>
      </c>
      <c r="N144">
        <f t="shared" si="164"/>
        <v>0</v>
      </c>
      <c r="O144">
        <f t="shared" si="164"/>
        <v>0</v>
      </c>
    </row>
    <row r="145" spans="1:15" ht="15" customHeight="1" x14ac:dyDescent="0.25">
      <c r="B145" s="16" t="s">
        <v>110</v>
      </c>
      <c r="F145" s="66">
        <f>F116</f>
        <v>5.5E-2</v>
      </c>
      <c r="G145" s="66">
        <f t="shared" ref="G145:O145" si="165">G116</f>
        <v>5.5E-2</v>
      </c>
      <c r="H145" s="66">
        <f t="shared" si="165"/>
        <v>5.5E-2</v>
      </c>
      <c r="I145" s="66">
        <f t="shared" si="165"/>
        <v>5.5E-2</v>
      </c>
      <c r="J145" s="66">
        <f t="shared" si="165"/>
        <v>5.5E-2</v>
      </c>
      <c r="K145" s="66">
        <f t="shared" si="165"/>
        <v>5.5E-2</v>
      </c>
      <c r="L145" s="66">
        <f t="shared" si="165"/>
        <v>5.5E-2</v>
      </c>
      <c r="M145" s="66">
        <f t="shared" si="165"/>
        <v>5.5E-2</v>
      </c>
      <c r="N145" s="66">
        <f t="shared" si="165"/>
        <v>5.5E-2</v>
      </c>
      <c r="O145" s="66">
        <f t="shared" si="165"/>
        <v>5.5E-2</v>
      </c>
    </row>
    <row r="146" spans="1:15" ht="15" customHeight="1" x14ac:dyDescent="0.25">
      <c r="B146" s="16" t="s">
        <v>45</v>
      </c>
      <c r="F146">
        <f>AVERAGE(E144:F144)*F145</f>
        <v>0</v>
      </c>
      <c r="G146">
        <f t="shared" ref="G146:O146" si="166">AVERAGE(F144:G144)*G145</f>
        <v>0</v>
      </c>
      <c r="H146">
        <f t="shared" si="166"/>
        <v>0</v>
      </c>
      <c r="I146">
        <f t="shared" si="166"/>
        <v>0</v>
      </c>
      <c r="J146">
        <f t="shared" si="166"/>
        <v>0</v>
      </c>
      <c r="K146">
        <f t="shared" si="166"/>
        <v>0</v>
      </c>
      <c r="L146">
        <f t="shared" si="166"/>
        <v>0</v>
      </c>
      <c r="M146">
        <f t="shared" si="166"/>
        <v>0</v>
      </c>
      <c r="N146">
        <f t="shared" si="166"/>
        <v>0</v>
      </c>
      <c r="O146">
        <f t="shared" si="166"/>
        <v>0</v>
      </c>
    </row>
    <row r="148" spans="1:15" ht="15" customHeight="1" x14ac:dyDescent="0.25">
      <c r="B148" s="16" t="s">
        <v>36</v>
      </c>
      <c r="F148">
        <f>E150</f>
        <v>94632</v>
      </c>
      <c r="G148">
        <f t="shared" ref="G148:O148" ca="1" si="167">F150</f>
        <v>222914.22460273973</v>
      </c>
      <c r="H148">
        <f t="shared" ca="1" si="167"/>
        <v>287301.26035616436</v>
      </c>
      <c r="I148">
        <f t="shared" ca="1" si="167"/>
        <v>369590.94652054796</v>
      </c>
      <c r="J148">
        <f t="shared" ca="1" si="167"/>
        <v>448106.21863758902</v>
      </c>
      <c r="K148">
        <f t="shared" ca="1" si="167"/>
        <v>527777.97028360865</v>
      </c>
      <c r="L148">
        <f t="shared" ca="1" si="167"/>
        <v>611674.32927336125</v>
      </c>
      <c r="M148">
        <f t="shared" ca="1" si="167"/>
        <v>699933.44783844706</v>
      </c>
      <c r="N148">
        <f t="shared" ca="1" si="167"/>
        <v>792720.1169186543</v>
      </c>
      <c r="O148">
        <f t="shared" ca="1" si="167"/>
        <v>890221.7707012851</v>
      </c>
    </row>
    <row r="149" spans="1:15" ht="15" customHeight="1" x14ac:dyDescent="0.25">
      <c r="B149" s="16" t="s">
        <v>35</v>
      </c>
      <c r="F149">
        <f ca="1">F129+F133+F137</f>
        <v>128282.22460273973</v>
      </c>
      <c r="G149">
        <f t="shared" ref="G149:O149" ca="1" si="168">G129+G133+G137</f>
        <v>64387.035753424607</v>
      </c>
      <c r="H149">
        <f t="shared" ca="1" si="168"/>
        <v>82289.686164383631</v>
      </c>
      <c r="I149">
        <f t="shared" ca="1" si="168"/>
        <v>78515.272117041022</v>
      </c>
      <c r="J149">
        <f t="shared" ca="1" si="168"/>
        <v>79671.751646019577</v>
      </c>
      <c r="K149">
        <f t="shared" ca="1" si="168"/>
        <v>83896.358989752567</v>
      </c>
      <c r="L149">
        <f t="shared" ca="1" si="168"/>
        <v>88259.118565085839</v>
      </c>
      <c r="M149">
        <f t="shared" ca="1" si="168"/>
        <v>92786.669080207212</v>
      </c>
      <c r="N149">
        <f t="shared" ca="1" si="168"/>
        <v>97501.653782630834</v>
      </c>
      <c r="O149">
        <f t="shared" ca="1" si="168"/>
        <v>102423.95908310387</v>
      </c>
    </row>
    <row r="150" spans="1:15" ht="15" customHeight="1" x14ac:dyDescent="0.25">
      <c r="B150" s="16" t="s">
        <v>37</v>
      </c>
      <c r="E150">
        <f>E85</f>
        <v>94632</v>
      </c>
      <c r="F150">
        <f ca="1">SUM(F148:F149)</f>
        <v>222914.22460273973</v>
      </c>
      <c r="G150">
        <f t="shared" ref="G150:O150" ca="1" si="169">SUM(G148:G149)</f>
        <v>287301.26035616436</v>
      </c>
      <c r="H150">
        <f t="shared" ca="1" si="169"/>
        <v>369590.94652054796</v>
      </c>
      <c r="I150">
        <f t="shared" ca="1" si="169"/>
        <v>448106.21863758902</v>
      </c>
      <c r="J150">
        <f t="shared" ca="1" si="169"/>
        <v>527777.97028360865</v>
      </c>
      <c r="K150">
        <f t="shared" ca="1" si="169"/>
        <v>611674.32927336125</v>
      </c>
      <c r="L150">
        <f t="shared" ca="1" si="169"/>
        <v>699933.44783844706</v>
      </c>
      <c r="M150">
        <f t="shared" ca="1" si="169"/>
        <v>792720.1169186543</v>
      </c>
      <c r="N150">
        <f t="shared" ca="1" si="169"/>
        <v>890221.7707012851</v>
      </c>
      <c r="O150">
        <f t="shared" ca="1" si="169"/>
        <v>992645.72978438903</v>
      </c>
    </row>
    <row r="151" spans="1:15" ht="15" customHeight="1" x14ac:dyDescent="0.25">
      <c r="B151" s="16" t="s">
        <v>110</v>
      </c>
      <c r="F151" s="66">
        <f>F117</f>
        <v>1E-3</v>
      </c>
      <c r="G151" s="66">
        <f t="shared" ref="G151:O151" si="170">G117</f>
        <v>1E-3</v>
      </c>
      <c r="H151" s="66">
        <f t="shared" si="170"/>
        <v>1E-3</v>
      </c>
      <c r="I151" s="66">
        <f t="shared" si="170"/>
        <v>1E-3</v>
      </c>
      <c r="J151" s="66">
        <f t="shared" si="170"/>
        <v>1E-3</v>
      </c>
      <c r="K151" s="66">
        <f t="shared" si="170"/>
        <v>1E-3</v>
      </c>
      <c r="L151" s="66">
        <f t="shared" si="170"/>
        <v>1E-3</v>
      </c>
      <c r="M151" s="66">
        <f t="shared" si="170"/>
        <v>1E-3</v>
      </c>
      <c r="N151" s="66">
        <f t="shared" si="170"/>
        <v>1E-3</v>
      </c>
      <c r="O151" s="66">
        <f t="shared" si="170"/>
        <v>1E-3</v>
      </c>
    </row>
    <row r="152" spans="1:15" ht="15" customHeight="1" x14ac:dyDescent="0.25">
      <c r="B152" s="16" t="s">
        <v>44</v>
      </c>
      <c r="F152">
        <f ca="1">AVERAGE(E150:F150)*F151</f>
        <v>158.77311230136988</v>
      </c>
      <c r="G152">
        <f t="shared" ref="G152:O152" ca="1" si="171">AVERAGE(F150:G150)*G151</f>
        <v>255.10774247945204</v>
      </c>
      <c r="H152">
        <f t="shared" ca="1" si="171"/>
        <v>328.4461034383562</v>
      </c>
      <c r="I152">
        <f t="shared" ca="1" si="171"/>
        <v>408.84858257906848</v>
      </c>
      <c r="J152">
        <f t="shared" ca="1" si="171"/>
        <v>487.94209446059887</v>
      </c>
      <c r="K152">
        <f t="shared" ca="1" si="171"/>
        <v>569.72614977848491</v>
      </c>
      <c r="L152">
        <f t="shared" ca="1" si="171"/>
        <v>655.80388855590411</v>
      </c>
      <c r="M152">
        <f t="shared" ca="1" si="171"/>
        <v>746.32678237855066</v>
      </c>
      <c r="N152">
        <f t="shared" ca="1" si="171"/>
        <v>841.47094380996975</v>
      </c>
      <c r="O152">
        <f t="shared" ca="1" si="171"/>
        <v>941.43375024283705</v>
      </c>
    </row>
    <row r="154" spans="1:15" ht="15" customHeight="1" x14ac:dyDescent="0.25">
      <c r="A154" s="15" t="s">
        <v>71</v>
      </c>
    </row>
    <row r="155" spans="1:15" ht="15" customHeight="1" x14ac:dyDescent="0.25">
      <c r="B155" s="16" t="s">
        <v>103</v>
      </c>
      <c r="F155">
        <f ca="1">F138</f>
        <v>0</v>
      </c>
      <c r="G155">
        <f t="shared" ref="G155:O155" ca="1" si="172">G138</f>
        <v>0</v>
      </c>
      <c r="H155">
        <f t="shared" ca="1" si="172"/>
        <v>0</v>
      </c>
      <c r="I155">
        <f t="shared" ca="1" si="172"/>
        <v>0</v>
      </c>
      <c r="J155">
        <f t="shared" ca="1" si="172"/>
        <v>0</v>
      </c>
      <c r="K155">
        <f t="shared" ca="1" si="172"/>
        <v>0</v>
      </c>
      <c r="L155">
        <f t="shared" ca="1" si="172"/>
        <v>0</v>
      </c>
      <c r="M155">
        <f t="shared" ca="1" si="172"/>
        <v>0</v>
      </c>
      <c r="N155">
        <f t="shared" ca="1" si="172"/>
        <v>0</v>
      </c>
      <c r="O155">
        <f t="shared" ca="1" si="172"/>
        <v>0</v>
      </c>
    </row>
    <row r="156" spans="1:15" ht="15" customHeight="1" x14ac:dyDescent="0.25">
      <c r="B156" s="16" t="s">
        <v>47</v>
      </c>
      <c r="F156">
        <f>F144</f>
        <v>0</v>
      </c>
      <c r="G156">
        <f t="shared" ref="G156:O156" si="173">G144</f>
        <v>0</v>
      </c>
      <c r="H156">
        <f t="shared" si="173"/>
        <v>0</v>
      </c>
      <c r="I156">
        <f t="shared" si="173"/>
        <v>0</v>
      </c>
      <c r="J156">
        <f t="shared" si="173"/>
        <v>0</v>
      </c>
      <c r="K156">
        <f t="shared" si="173"/>
        <v>0</v>
      </c>
      <c r="L156">
        <f t="shared" si="173"/>
        <v>0</v>
      </c>
      <c r="M156">
        <f t="shared" si="173"/>
        <v>0</v>
      </c>
      <c r="N156">
        <f t="shared" si="173"/>
        <v>0</v>
      </c>
      <c r="O156">
        <f t="shared" si="173"/>
        <v>0</v>
      </c>
    </row>
    <row r="157" spans="1:15" ht="15" customHeight="1" x14ac:dyDescent="0.25">
      <c r="B157" s="16" t="s">
        <v>113</v>
      </c>
      <c r="F157">
        <f ca="1">SUM(F155:F156)</f>
        <v>0</v>
      </c>
      <c r="G157">
        <f t="shared" ref="G157:O157" ca="1" si="174">SUM(G155:G156)</f>
        <v>0</v>
      </c>
      <c r="H157">
        <f t="shared" ca="1" si="174"/>
        <v>0</v>
      </c>
      <c r="I157">
        <f t="shared" ca="1" si="174"/>
        <v>0</v>
      </c>
      <c r="J157">
        <f t="shared" ca="1" si="174"/>
        <v>0</v>
      </c>
      <c r="K157">
        <f t="shared" ca="1" si="174"/>
        <v>0</v>
      </c>
      <c r="L157">
        <f t="shared" ca="1" si="174"/>
        <v>0</v>
      </c>
      <c r="M157">
        <f t="shared" ca="1" si="174"/>
        <v>0</v>
      </c>
      <c r="N157">
        <f t="shared" ca="1" si="174"/>
        <v>0</v>
      </c>
      <c r="O157">
        <f t="shared" ca="1" si="174"/>
        <v>0</v>
      </c>
    </row>
    <row r="158" spans="1:15" ht="15" customHeight="1" x14ac:dyDescent="0.25">
      <c r="B158" s="16" t="s">
        <v>72</v>
      </c>
      <c r="F158">
        <f ca="1">F157-F150</f>
        <v>-222914.22460273973</v>
      </c>
      <c r="G158">
        <f t="shared" ref="G158:O158" ca="1" si="175">G157-G150</f>
        <v>-287301.26035616436</v>
      </c>
      <c r="H158">
        <f t="shared" ca="1" si="175"/>
        <v>-369590.94652054796</v>
      </c>
      <c r="I158">
        <f t="shared" ca="1" si="175"/>
        <v>-448106.21863758902</v>
      </c>
      <c r="J158">
        <f t="shared" ca="1" si="175"/>
        <v>-527777.97028360865</v>
      </c>
      <c r="K158">
        <f t="shared" ca="1" si="175"/>
        <v>-611674.32927336125</v>
      </c>
      <c r="L158">
        <f t="shared" ca="1" si="175"/>
        <v>-699933.44783844706</v>
      </c>
      <c r="M158">
        <f t="shared" ca="1" si="175"/>
        <v>-792720.1169186543</v>
      </c>
      <c r="N158">
        <f t="shared" ca="1" si="175"/>
        <v>-890221.7707012851</v>
      </c>
      <c r="O158">
        <f t="shared" ca="1" si="175"/>
        <v>-992645.72978438903</v>
      </c>
    </row>
    <row r="159" spans="1:15" ht="15" customHeight="1" x14ac:dyDescent="0.25">
      <c r="B159" s="16" t="s">
        <v>123</v>
      </c>
      <c r="E159" s="70"/>
      <c r="F159" s="70">
        <f ca="1">F157/F$25</f>
        <v>0</v>
      </c>
      <c r="G159" s="70">
        <f t="shared" ref="G159:O159" ca="1" si="176">G157/G$25</f>
        <v>0</v>
      </c>
      <c r="H159" s="70">
        <f t="shared" ca="1" si="176"/>
        <v>0</v>
      </c>
      <c r="I159" s="70">
        <f t="shared" ca="1" si="176"/>
        <v>0</v>
      </c>
      <c r="J159" s="70">
        <f t="shared" ca="1" si="176"/>
        <v>0</v>
      </c>
      <c r="K159" s="70">
        <f t="shared" ca="1" si="176"/>
        <v>0</v>
      </c>
      <c r="L159" s="70">
        <f t="shared" ca="1" si="176"/>
        <v>0</v>
      </c>
      <c r="M159" s="70">
        <f t="shared" ca="1" si="176"/>
        <v>0</v>
      </c>
      <c r="N159" s="70">
        <f t="shared" ca="1" si="176"/>
        <v>0</v>
      </c>
      <c r="O159" s="70">
        <f t="shared" ca="1" si="176"/>
        <v>0</v>
      </c>
    </row>
    <row r="160" spans="1:15" ht="15" customHeight="1" x14ac:dyDescent="0.25">
      <c r="B160" s="16" t="s">
        <v>73</v>
      </c>
      <c r="E160" s="70"/>
      <c r="F160" s="70">
        <f ca="1">F158/F$25</f>
        <v>-1.9021608038462303</v>
      </c>
      <c r="G160" s="70">
        <f t="shared" ref="G160:O160" ca="1" si="177">G158/G$25</f>
        <v>-2.2868841865491074</v>
      </c>
      <c r="H160" s="70">
        <f t="shared" ca="1" si="177"/>
        <v>-2.450380869326712</v>
      </c>
      <c r="I160" s="70">
        <f t="shared" ca="1" si="177"/>
        <v>-3.0061206587330536</v>
      </c>
      <c r="J160" s="70">
        <f t="shared" ca="1" si="177"/>
        <v>-3.3719986865051057</v>
      </c>
      <c r="K160" s="70">
        <f t="shared" ca="1" si="177"/>
        <v>-3.7219205098875712</v>
      </c>
      <c r="L160" s="70">
        <f t="shared" ca="1" si="177"/>
        <v>-4.0561526202084925</v>
      </c>
      <c r="M160" s="70">
        <f t="shared" ca="1" si="177"/>
        <v>-4.3751013747044309</v>
      </c>
      <c r="N160" s="70">
        <f t="shared" ca="1" si="177"/>
        <v>-4.6792597378280645</v>
      </c>
      <c r="O160" s="70">
        <f t="shared" ca="1" si="177"/>
        <v>-4.9691707651122448</v>
      </c>
    </row>
    <row r="162" spans="1:15" ht="15" customHeight="1" x14ac:dyDescent="0.25">
      <c r="A162" s="15" t="s">
        <v>51</v>
      </c>
    </row>
    <row r="163" spans="1:15" ht="15" customHeight="1" x14ac:dyDescent="0.25">
      <c r="B163" s="16" t="str">
        <f t="shared" ref="B163:B168" si="178">B120</f>
        <v>Net income</v>
      </c>
      <c r="F163">
        <f t="shared" ref="F163:F168" si="179">F120</f>
        <v>64123.8</v>
      </c>
      <c r="G163">
        <f t="shared" ref="G163:O163" si="180">G120</f>
        <v>68556.800000000003</v>
      </c>
      <c r="H163">
        <f t="shared" si="180"/>
        <v>77383.8</v>
      </c>
      <c r="I163">
        <f t="shared" ca="1" si="180"/>
        <v>74364.499949999998</v>
      </c>
      <c r="J163">
        <f t="shared" ca="1" si="180"/>
        <v>77354.178047249981</v>
      </c>
      <c r="K163">
        <f t="shared" ca="1" si="180"/>
        <v>80682.044912429963</v>
      </c>
      <c r="L163">
        <f t="shared" ca="1" si="180"/>
        <v>84314.059670908289</v>
      </c>
      <c r="M163">
        <f t="shared" ca="1" si="180"/>
        <v>88228.23598883918</v>
      </c>
      <c r="N163">
        <f t="shared" ca="1" si="180"/>
        <v>92411.530522382498</v>
      </c>
      <c r="O163">
        <f t="shared" ca="1" si="180"/>
        <v>96857.57864439566</v>
      </c>
    </row>
    <row r="164" spans="1:15" ht="15" customHeight="1" x14ac:dyDescent="0.25">
      <c r="B164" s="16" t="str">
        <f t="shared" si="178"/>
        <v>Depreciation</v>
      </c>
      <c r="F164">
        <f>G121</f>
        <v>21070</v>
      </c>
      <c r="G164">
        <f t="shared" ref="G164:O164" si="181">H121</f>
        <v>32690</v>
      </c>
      <c r="H164">
        <f t="shared" si="181"/>
        <v>35569.69200000001</v>
      </c>
      <c r="I164">
        <f t="shared" si="181"/>
        <v>38423.417985000007</v>
      </c>
      <c r="J164">
        <f t="shared" si="181"/>
        <v>41129.515095300005</v>
      </c>
      <c r="K164">
        <f t="shared" si="181"/>
        <v>43758.986984131509</v>
      </c>
      <c r="L164">
        <f t="shared" si="181"/>
        <v>46365.223511206626</v>
      </c>
      <c r="M164">
        <f t="shared" si="181"/>
        <v>48988.834326610995</v>
      </c>
      <c r="N164">
        <f t="shared" si="181"/>
        <v>51661.181280027697</v>
      </c>
      <c r="O164">
        <f t="shared" si="181"/>
        <v>0</v>
      </c>
    </row>
    <row r="165" spans="1:15" ht="15" customHeight="1" x14ac:dyDescent="0.25">
      <c r="B165" s="16" t="str">
        <f t="shared" si="178"/>
        <v>Amortization</v>
      </c>
      <c r="F165">
        <f t="shared" si="179"/>
        <v>0</v>
      </c>
      <c r="G165">
        <f t="shared" ref="G165:O165" si="182">G122</f>
        <v>0</v>
      </c>
      <c r="H165">
        <f t="shared" si="182"/>
        <v>0</v>
      </c>
      <c r="I165">
        <f t="shared" si="182"/>
        <v>0</v>
      </c>
      <c r="J165">
        <f t="shared" si="182"/>
        <v>0</v>
      </c>
      <c r="K165">
        <f t="shared" si="182"/>
        <v>0</v>
      </c>
      <c r="L165">
        <f t="shared" si="182"/>
        <v>0</v>
      </c>
      <c r="M165">
        <f t="shared" si="182"/>
        <v>0</v>
      </c>
      <c r="N165">
        <f t="shared" si="182"/>
        <v>0</v>
      </c>
      <c r="O165">
        <f t="shared" si="182"/>
        <v>0</v>
      </c>
    </row>
    <row r="166" spans="1:15" ht="15" customHeight="1" x14ac:dyDescent="0.25">
      <c r="B166" s="16" t="str">
        <f t="shared" si="178"/>
        <v>Change in OWC</v>
      </c>
      <c r="F166">
        <f t="shared" si="179"/>
        <v>80976.744602739724</v>
      </c>
      <c r="G166">
        <f t="shared" ref="G166:O166" si="183">G123</f>
        <v>11454.735753424611</v>
      </c>
      <c r="H166">
        <f t="shared" si="183"/>
        <v>11411.236164383648</v>
      </c>
      <c r="I166">
        <f t="shared" ca="1" si="183"/>
        <v>11982.206167041004</v>
      </c>
      <c r="J166">
        <f t="shared" ca="1" si="183"/>
        <v>9465.3379137695883</v>
      </c>
      <c r="K166">
        <f t="shared" ca="1" si="183"/>
        <v>9934.5403970225889</v>
      </c>
      <c r="L166">
        <f t="shared" ca="1" si="183"/>
        <v>10428.300395796046</v>
      </c>
      <c r="M166">
        <f t="shared" ca="1" si="183"/>
        <v>10947.54949019893</v>
      </c>
      <c r="N166">
        <f t="shared" ca="1" si="183"/>
        <v>11493.345839176734</v>
      </c>
      <c r="O166">
        <f t="shared" ca="1" si="183"/>
        <v>12066.858909496863</v>
      </c>
    </row>
    <row r="167" spans="1:15" ht="15" customHeight="1" x14ac:dyDescent="0.25">
      <c r="B167" s="16" t="str">
        <f t="shared" si="178"/>
        <v>Change in other long term assets</v>
      </c>
      <c r="F167">
        <f t="shared" si="179"/>
        <v>-1458.6000000000004</v>
      </c>
      <c r="G167">
        <f t="shared" ref="G167:O167" si="184">G124</f>
        <v>-849</v>
      </c>
      <c r="H167">
        <f t="shared" si="184"/>
        <v>-1172</v>
      </c>
      <c r="I167">
        <f t="shared" si="184"/>
        <v>-676.03000000000065</v>
      </c>
      <c r="J167">
        <f t="shared" si="184"/>
        <v>-709.83150000000023</v>
      </c>
      <c r="K167">
        <f t="shared" si="184"/>
        <v>-745.32307500000206</v>
      </c>
      <c r="L167">
        <f t="shared" si="184"/>
        <v>-782.58922875000098</v>
      </c>
      <c r="M167">
        <f t="shared" si="184"/>
        <v>-821.71869018749931</v>
      </c>
      <c r="N167">
        <f t="shared" si="184"/>
        <v>-862.804624696877</v>
      </c>
      <c r="O167">
        <f t="shared" si="184"/>
        <v>-905.94485593172067</v>
      </c>
    </row>
    <row r="168" spans="1:15" ht="15" customHeight="1" x14ac:dyDescent="0.25">
      <c r="B168" s="16" t="str">
        <f t="shared" si="178"/>
        <v>Change in other non current liabilities</v>
      </c>
      <c r="F168">
        <f t="shared" si="179"/>
        <v>2563.9800000000032</v>
      </c>
      <c r="G168">
        <f t="shared" ref="G168:O168" si="185">G125</f>
        <v>4287.4500000000044</v>
      </c>
      <c r="H168">
        <f t="shared" si="185"/>
        <v>5918.5999999999913</v>
      </c>
      <c r="I168">
        <f t="shared" si="185"/>
        <v>3413.9515000000101</v>
      </c>
      <c r="J168">
        <f t="shared" si="185"/>
        <v>3584.6490750000085</v>
      </c>
      <c r="K168">
        <f t="shared" si="185"/>
        <v>3763.8815287500038</v>
      </c>
      <c r="L168">
        <f t="shared" si="185"/>
        <v>3952.0756051875069</v>
      </c>
      <c r="M168">
        <f t="shared" si="185"/>
        <v>4149.6793854468706</v>
      </c>
      <c r="N168">
        <f t="shared" si="185"/>
        <v>4357.1633547192323</v>
      </c>
      <c r="O168">
        <f t="shared" si="185"/>
        <v>4575.0215224551939</v>
      </c>
    </row>
    <row r="169" spans="1:15" ht="15" customHeight="1" x14ac:dyDescent="0.25">
      <c r="B169" s="16" t="s">
        <v>118</v>
      </c>
      <c r="F169">
        <f>SUM(F163:F168)</f>
        <v>167275.92460273975</v>
      </c>
      <c r="G169">
        <f t="shared" ref="G169:O169" si="186">SUM(G163:G168)</f>
        <v>116139.98575342461</v>
      </c>
      <c r="H169">
        <f t="shared" si="186"/>
        <v>129111.32816438365</v>
      </c>
      <c r="I169">
        <f t="shared" ca="1" si="186"/>
        <v>127508.04560204102</v>
      </c>
      <c r="J169">
        <f t="shared" ca="1" si="186"/>
        <v>130823.84863131958</v>
      </c>
      <c r="K169">
        <f t="shared" ca="1" si="186"/>
        <v>137394.13074733407</v>
      </c>
      <c r="L169">
        <f t="shared" ca="1" si="186"/>
        <v>144277.06995434847</v>
      </c>
      <c r="M169">
        <f t="shared" ca="1" si="186"/>
        <v>151492.58050090849</v>
      </c>
      <c r="N169">
        <f t="shared" ca="1" si="186"/>
        <v>159060.41637160929</v>
      </c>
      <c r="O169">
        <f t="shared" ca="1" si="186"/>
        <v>112593.51422041599</v>
      </c>
    </row>
    <row r="171" spans="1:15" ht="15" customHeight="1" x14ac:dyDescent="0.25">
      <c r="B171" s="16" t="str">
        <f>B126</f>
        <v>Capex</v>
      </c>
      <c r="F171">
        <f>F126</f>
        <v>-37373.700000000004</v>
      </c>
      <c r="G171">
        <f t="shared" ref="G171:O171" si="187">G126</f>
        <v>-40132.950000000004</v>
      </c>
      <c r="H171">
        <f t="shared" si="187"/>
        <v>-43941.950000000004</v>
      </c>
      <c r="I171">
        <f t="shared" si="187"/>
        <v>-46139.047500000001</v>
      </c>
      <c r="J171">
        <f t="shared" si="187"/>
        <v>-48445.999875000009</v>
      </c>
      <c r="K171">
        <f t="shared" si="187"/>
        <v>-50868.299868750008</v>
      </c>
      <c r="L171">
        <f t="shared" si="187"/>
        <v>-53411.714862187517</v>
      </c>
      <c r="M171">
        <f t="shared" si="187"/>
        <v>-56082.300605296892</v>
      </c>
      <c r="N171">
        <f t="shared" si="187"/>
        <v>-58886.415635561738</v>
      </c>
      <c r="O171">
        <f t="shared" si="187"/>
        <v>-61830.736417339831</v>
      </c>
    </row>
    <row r="172" spans="1:15" ht="15" customHeight="1" x14ac:dyDescent="0.25">
      <c r="B172" s="16" t="str">
        <f>B127</f>
        <v>Change in long term investments</v>
      </c>
      <c r="F172">
        <f>F127</f>
        <v>0</v>
      </c>
      <c r="G172">
        <f t="shared" ref="G172:O172" si="188">G127</f>
        <v>0</v>
      </c>
      <c r="H172">
        <f t="shared" si="188"/>
        <v>0</v>
      </c>
      <c r="I172">
        <f t="shared" si="188"/>
        <v>0</v>
      </c>
      <c r="J172">
        <f t="shared" si="188"/>
        <v>0</v>
      </c>
      <c r="K172">
        <f t="shared" si="188"/>
        <v>0</v>
      </c>
      <c r="L172">
        <f t="shared" si="188"/>
        <v>0</v>
      </c>
      <c r="M172">
        <f t="shared" si="188"/>
        <v>0</v>
      </c>
      <c r="N172">
        <f t="shared" si="188"/>
        <v>0</v>
      </c>
      <c r="O172">
        <f t="shared" si="188"/>
        <v>0</v>
      </c>
    </row>
    <row r="173" spans="1:15" ht="15" customHeight="1" x14ac:dyDescent="0.25">
      <c r="B173" s="16" t="s">
        <v>119</v>
      </c>
      <c r="F173">
        <f>SUM(F171:F172)</f>
        <v>-37373.700000000004</v>
      </c>
      <c r="G173">
        <f t="shared" ref="G173:O173" si="189">SUM(G171:G172)</f>
        <v>-40132.950000000004</v>
      </c>
      <c r="H173">
        <f t="shared" si="189"/>
        <v>-43941.950000000004</v>
      </c>
      <c r="I173">
        <f t="shared" si="189"/>
        <v>-46139.047500000001</v>
      </c>
      <c r="J173">
        <f t="shared" si="189"/>
        <v>-48445.999875000009</v>
      </c>
      <c r="K173">
        <f t="shared" si="189"/>
        <v>-50868.299868750008</v>
      </c>
      <c r="L173">
        <f t="shared" si="189"/>
        <v>-53411.714862187517</v>
      </c>
      <c r="M173">
        <f t="shared" si="189"/>
        <v>-56082.300605296892</v>
      </c>
      <c r="N173">
        <f t="shared" si="189"/>
        <v>-58886.415635561738</v>
      </c>
      <c r="O173">
        <f t="shared" si="189"/>
        <v>-61830.736417339831</v>
      </c>
    </row>
    <row r="175" spans="1:15" ht="15" customHeight="1" x14ac:dyDescent="0.25">
      <c r="B175" s="16" t="s">
        <v>120</v>
      </c>
      <c r="F175">
        <f ca="1">F98-E98</f>
        <v>0</v>
      </c>
      <c r="G175">
        <f t="shared" ref="G175:O175" ca="1" si="190">G98-F98</f>
        <v>0</v>
      </c>
      <c r="H175">
        <f t="shared" ca="1" si="190"/>
        <v>0</v>
      </c>
      <c r="I175">
        <f t="shared" ca="1" si="190"/>
        <v>0</v>
      </c>
      <c r="J175">
        <f t="shared" ca="1" si="190"/>
        <v>0</v>
      </c>
      <c r="K175">
        <f t="shared" ca="1" si="190"/>
        <v>0</v>
      </c>
      <c r="L175">
        <f t="shared" ca="1" si="190"/>
        <v>0</v>
      </c>
      <c r="M175">
        <f t="shared" ca="1" si="190"/>
        <v>0</v>
      </c>
      <c r="N175">
        <f t="shared" ca="1" si="190"/>
        <v>0</v>
      </c>
      <c r="O175">
        <f t="shared" ca="1" si="190"/>
        <v>0</v>
      </c>
    </row>
    <row r="176" spans="1:15" ht="15" customHeight="1" x14ac:dyDescent="0.25">
      <c r="B176" s="16" t="s">
        <v>121</v>
      </c>
      <c r="F176">
        <f>F104-E104</f>
        <v>0</v>
      </c>
      <c r="G176">
        <f t="shared" ref="G176:O176" si="191">G104-F104</f>
        <v>0</v>
      </c>
      <c r="H176">
        <f t="shared" si="191"/>
        <v>0</v>
      </c>
      <c r="I176">
        <f t="shared" si="191"/>
        <v>0</v>
      </c>
      <c r="J176">
        <f t="shared" si="191"/>
        <v>0</v>
      </c>
      <c r="K176">
        <f t="shared" si="191"/>
        <v>0</v>
      </c>
      <c r="L176">
        <f t="shared" si="191"/>
        <v>0</v>
      </c>
      <c r="M176">
        <f t="shared" si="191"/>
        <v>0</v>
      </c>
      <c r="N176">
        <f t="shared" si="191"/>
        <v>0</v>
      </c>
      <c r="O176">
        <f t="shared" si="191"/>
        <v>0</v>
      </c>
    </row>
    <row r="177" spans="2:15" ht="15" customHeight="1" x14ac:dyDescent="0.25">
      <c r="B177" s="16" t="s">
        <v>114</v>
      </c>
      <c r="F177">
        <f>F128</f>
        <v>0</v>
      </c>
      <c r="G177">
        <f t="shared" ref="G177:O177" si="192">G128</f>
        <v>0</v>
      </c>
      <c r="H177">
        <f t="shared" si="192"/>
        <v>0</v>
      </c>
      <c r="I177">
        <f t="shared" si="192"/>
        <v>0</v>
      </c>
      <c r="J177">
        <f t="shared" si="192"/>
        <v>0</v>
      </c>
      <c r="K177">
        <f t="shared" si="192"/>
        <v>0</v>
      </c>
      <c r="L177">
        <f t="shared" si="192"/>
        <v>0</v>
      </c>
      <c r="M177">
        <f t="shared" si="192"/>
        <v>0</v>
      </c>
      <c r="N177">
        <f t="shared" si="192"/>
        <v>0</v>
      </c>
      <c r="O177">
        <f t="shared" si="192"/>
        <v>0</v>
      </c>
    </row>
    <row r="178" spans="2:15" ht="15" customHeight="1" x14ac:dyDescent="0.25">
      <c r="B178" s="16" t="s">
        <v>115</v>
      </c>
      <c r="F178">
        <f ca="1">SUM(F175:F177)</f>
        <v>0</v>
      </c>
      <c r="G178">
        <f t="shared" ref="G178:O178" ca="1" si="193">SUM(G175:G177)</f>
        <v>0</v>
      </c>
      <c r="H178">
        <f t="shared" ca="1" si="193"/>
        <v>0</v>
      </c>
      <c r="I178">
        <f t="shared" ca="1" si="193"/>
        <v>0</v>
      </c>
      <c r="J178">
        <f t="shared" ca="1" si="193"/>
        <v>0</v>
      </c>
      <c r="K178">
        <f t="shared" ca="1" si="193"/>
        <v>0</v>
      </c>
      <c r="L178">
        <f t="shared" ca="1" si="193"/>
        <v>0</v>
      </c>
      <c r="M178">
        <f t="shared" ca="1" si="193"/>
        <v>0</v>
      </c>
      <c r="N178">
        <f t="shared" ca="1" si="193"/>
        <v>0</v>
      </c>
      <c r="O178">
        <f t="shared" ca="1" si="193"/>
        <v>0</v>
      </c>
    </row>
    <row r="180" spans="2:15" ht="15" customHeight="1" x14ac:dyDescent="0.25">
      <c r="B180" s="16" t="s">
        <v>116</v>
      </c>
      <c r="F180">
        <f ca="1">F169+F173+F178</f>
        <v>129902.22460273973</v>
      </c>
      <c r="G180">
        <f t="shared" ref="G180:O180" ca="1" si="194">G169+G173+G178</f>
        <v>76007.0357534246</v>
      </c>
      <c r="H180">
        <f t="shared" ca="1" si="194"/>
        <v>85169.378164383641</v>
      </c>
      <c r="I180">
        <f t="shared" ca="1" si="194"/>
        <v>81368.99810204102</v>
      </c>
      <c r="J180">
        <f t="shared" ca="1" si="194"/>
        <v>82377.848756319567</v>
      </c>
      <c r="K180">
        <f t="shared" ca="1" si="194"/>
        <v>86525.830878584064</v>
      </c>
      <c r="L180">
        <f t="shared" ca="1" si="194"/>
        <v>90865.355092160957</v>
      </c>
      <c r="M180">
        <f t="shared" ca="1" si="194"/>
        <v>95410.279895611602</v>
      </c>
      <c r="N180">
        <f t="shared" ca="1" si="194"/>
        <v>100174.00073604754</v>
      </c>
      <c r="O180">
        <f t="shared" ca="1" si="194"/>
        <v>50762.777803076162</v>
      </c>
    </row>
    <row r="181" spans="2:15" ht="15" customHeight="1" x14ac:dyDescent="0.25">
      <c r="B181" s="16" t="s">
        <v>117</v>
      </c>
      <c r="E181">
        <f>E85</f>
        <v>94632</v>
      </c>
      <c r="F181">
        <f ca="1">E181+F180</f>
        <v>224534.22460273973</v>
      </c>
      <c r="G181">
        <f t="shared" ref="G181:O181" ca="1" si="195">F181+G180</f>
        <v>300541.2603561643</v>
      </c>
      <c r="H181">
        <f t="shared" ca="1" si="195"/>
        <v>385710.63852054795</v>
      </c>
      <c r="I181">
        <f t="shared" ca="1" si="195"/>
        <v>467079.63662258897</v>
      </c>
      <c r="J181">
        <f t="shared" ca="1" si="195"/>
        <v>549457.48537890858</v>
      </c>
      <c r="K181">
        <f t="shared" ca="1" si="195"/>
        <v>635983.31625749264</v>
      </c>
      <c r="L181">
        <f t="shared" ca="1" si="195"/>
        <v>726848.67134965362</v>
      </c>
      <c r="M181">
        <f t="shared" ca="1" si="195"/>
        <v>822258.9512452652</v>
      </c>
      <c r="N181">
        <f t="shared" ca="1" si="195"/>
        <v>922432.95198131271</v>
      </c>
      <c r="O181">
        <f t="shared" ca="1" si="195"/>
        <v>973195.72978438891</v>
      </c>
    </row>
    <row r="183" spans="2:15" ht="15" customHeight="1" x14ac:dyDescent="0.25">
      <c r="B183" s="16" t="s">
        <v>99</v>
      </c>
      <c r="F183">
        <f ca="1">F181-F150</f>
        <v>1620</v>
      </c>
      <c r="G183">
        <f t="shared" ref="G183:O183" ca="1" si="196">G181-G150</f>
        <v>13239.999999999942</v>
      </c>
      <c r="H183">
        <f t="shared" ca="1" si="196"/>
        <v>16119.691999999981</v>
      </c>
      <c r="I183">
        <f t="shared" ca="1" si="196"/>
        <v>18973.417984999949</v>
      </c>
      <c r="J183">
        <f t="shared" ca="1" si="196"/>
        <v>21679.515095299925</v>
      </c>
      <c r="K183">
        <f t="shared" ca="1" si="196"/>
        <v>24308.986984131392</v>
      </c>
      <c r="L183">
        <f t="shared" ca="1" si="196"/>
        <v>26915.223511206568</v>
      </c>
      <c r="M183">
        <f t="shared" ca="1" si="196"/>
        <v>29538.8343266109</v>
      </c>
      <c r="N183">
        <f t="shared" ca="1" si="196"/>
        <v>32211.181280027609</v>
      </c>
      <c r="O183">
        <f t="shared" ca="1" si="196"/>
        <v>-19450.000000000116</v>
      </c>
    </row>
  </sheetData>
  <pageMargins left="0.7" right="0.7" top="0.75" bottom="0.75" header="0.3" footer="0.3"/>
  <pageSetup paperSize="9" orientation="landscape" r:id="rId1"/>
  <headerFooter>
    <oddHeader xml:space="preserve">&amp;R&amp;10&amp;F 
&amp;A
</oddHeader>
    <oddFooter>&amp;L&amp;10© 2016&amp;C&amp;10Page &amp;P of &amp;N&amp;R&amp;G</oddFooter>
  </headerFooter>
  <legacy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Welcome</vt:lpstr>
      <vt:lpstr>Info</vt:lpstr>
      <vt:lpstr>Model 1</vt:lpstr>
      <vt:lpstr>switch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</dc:creator>
  <cp:lastModifiedBy>User</cp:lastModifiedBy>
  <cp:lastPrinted>2016-02-04T14:08:33Z</cp:lastPrinted>
  <dcterms:created xsi:type="dcterms:W3CDTF">2016-02-03T14:06:14Z</dcterms:created>
  <dcterms:modified xsi:type="dcterms:W3CDTF">2016-04-25T08:49:07Z</dcterms:modified>
</cp:coreProperties>
</file>