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linhphan/Desktop/Investment Banking/Intro To Modeling/Three Statement Modeling/"/>
    </mc:Choice>
  </mc:AlternateContent>
  <xr:revisionPtr revIDLastSave="0" documentId="13_ncr:1_{4F70D3A1-0B39-974A-AAFE-D60DC1AA732A}" xr6:coauthVersionLast="47" xr6:coauthVersionMax="47" xr10:uidLastSave="{00000000-0000-0000-0000-000000000000}"/>
  <bookViews>
    <workbookView xWindow="28800" yWindow="500" windowWidth="38400" windowHeight="21100" activeTab="2" xr2:uid="{00000000-000D-0000-FFFF-FFFF00000000}"/>
  </bookViews>
  <sheets>
    <sheet name="Welcome" sheetId="1" r:id="rId1"/>
    <sheet name="Info" sheetId="6" r:id="rId2"/>
    <sheet name="Model 1" sheetId="2" r:id="rId3"/>
  </sheets>
  <definedNames>
    <definedName name="switch">Info!$N$10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7" i="2" l="1"/>
  <c r="E80" i="2"/>
  <c r="E119" i="2"/>
  <c r="E118" i="2"/>
  <c r="E115" i="2"/>
  <c r="D115" i="2"/>
  <c r="G115" i="2"/>
  <c r="H115" i="2"/>
  <c r="I115" i="2"/>
  <c r="J115" i="2"/>
  <c r="K115" i="2"/>
  <c r="L115" i="2"/>
  <c r="M115" i="2"/>
  <c r="N115" i="2"/>
  <c r="O115" i="2"/>
  <c r="F115" i="2"/>
  <c r="G114" i="2"/>
  <c r="H114" i="2"/>
  <c r="I114" i="2"/>
  <c r="J114" i="2"/>
  <c r="K114" i="2"/>
  <c r="L114" i="2"/>
  <c r="M114" i="2"/>
  <c r="N114" i="2"/>
  <c r="O114" i="2"/>
  <c r="E114" i="2"/>
  <c r="F114" i="2"/>
  <c r="D111" i="2"/>
  <c r="E111" i="2"/>
  <c r="C111" i="2"/>
  <c r="G110" i="2"/>
  <c r="H110" i="2"/>
  <c r="I110" i="2"/>
  <c r="J110" i="2"/>
  <c r="K110" i="2"/>
  <c r="L110" i="2"/>
  <c r="M110" i="2"/>
  <c r="N110" i="2"/>
  <c r="O110" i="2"/>
  <c r="F110" i="2"/>
  <c r="G109" i="2"/>
  <c r="H109" i="2"/>
  <c r="I109" i="2"/>
  <c r="J109" i="2"/>
  <c r="K109" i="2"/>
  <c r="L109" i="2"/>
  <c r="M109" i="2"/>
  <c r="N109" i="2"/>
  <c r="O109" i="2"/>
  <c r="F109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C108" i="2"/>
  <c r="E97" i="2" l="1"/>
  <c r="E91" i="2" l="1"/>
  <c r="E101" i="2"/>
  <c r="F79" i="2"/>
  <c r="G54" i="2"/>
  <c r="H54" i="2"/>
  <c r="I54" i="2"/>
  <c r="J54" i="2"/>
  <c r="K54" i="2"/>
  <c r="L54" i="2"/>
  <c r="M54" i="2"/>
  <c r="M44" i="2" s="1"/>
  <c r="N54" i="2"/>
  <c r="O54" i="2"/>
  <c r="G90" i="2"/>
  <c r="H90" i="2"/>
  <c r="H100" i="2" s="1"/>
  <c r="I90" i="2"/>
  <c r="J90" i="2"/>
  <c r="K90" i="2"/>
  <c r="L90" i="2"/>
  <c r="L100" i="2" s="1"/>
  <c r="M90" i="2"/>
  <c r="N90" i="2"/>
  <c r="O90" i="2"/>
  <c r="G100" i="2"/>
  <c r="I100" i="2"/>
  <c r="J100" i="2"/>
  <c r="K100" i="2"/>
  <c r="M100" i="2"/>
  <c r="N100" i="2"/>
  <c r="O100" i="2"/>
  <c r="F100" i="2"/>
  <c r="F99" i="2"/>
  <c r="F101" i="2" s="1"/>
  <c r="F104" i="2" s="1"/>
  <c r="F93" i="2"/>
  <c r="E95" i="2"/>
  <c r="F90" i="2"/>
  <c r="G84" i="2"/>
  <c r="H84" i="2"/>
  <c r="I84" i="2"/>
  <c r="J84" i="2"/>
  <c r="K84" i="2"/>
  <c r="L84" i="2"/>
  <c r="M84" i="2"/>
  <c r="N84" i="2"/>
  <c r="O84" i="2"/>
  <c r="F84" i="2"/>
  <c r="G65" i="2"/>
  <c r="H65" i="2"/>
  <c r="I65" i="2"/>
  <c r="J65" i="2"/>
  <c r="K65" i="2"/>
  <c r="L65" i="2"/>
  <c r="M65" i="2"/>
  <c r="N65" i="2"/>
  <c r="O65" i="2"/>
  <c r="G69" i="2"/>
  <c r="H69" i="2"/>
  <c r="I69" i="2"/>
  <c r="J69" i="2"/>
  <c r="J70" i="2" s="1"/>
  <c r="K69" i="2"/>
  <c r="L69" i="2"/>
  <c r="M69" i="2"/>
  <c r="N69" i="2"/>
  <c r="N70" i="2" s="1"/>
  <c r="O69" i="2"/>
  <c r="G70" i="2"/>
  <c r="H70" i="2"/>
  <c r="I70" i="2"/>
  <c r="K70" i="2"/>
  <c r="L70" i="2"/>
  <c r="M70" i="2"/>
  <c r="O70" i="2"/>
  <c r="I44" i="2"/>
  <c r="J44" i="2"/>
  <c r="N44" i="2"/>
  <c r="G49" i="2"/>
  <c r="H49" i="2"/>
  <c r="I49" i="2"/>
  <c r="J49" i="2"/>
  <c r="K49" i="2"/>
  <c r="L49" i="2"/>
  <c r="M49" i="2"/>
  <c r="N49" i="2"/>
  <c r="O49" i="2"/>
  <c r="G50" i="2"/>
  <c r="H50" i="2"/>
  <c r="I50" i="2"/>
  <c r="J50" i="2"/>
  <c r="K50" i="2"/>
  <c r="L50" i="2"/>
  <c r="M50" i="2"/>
  <c r="N50" i="2"/>
  <c r="O50" i="2"/>
  <c r="G33" i="2"/>
  <c r="G34" i="2"/>
  <c r="H34" i="2"/>
  <c r="I34" i="2"/>
  <c r="J34" i="2"/>
  <c r="K34" i="2"/>
  <c r="L34" i="2"/>
  <c r="M34" i="2"/>
  <c r="N34" i="2"/>
  <c r="O34" i="2"/>
  <c r="G35" i="2"/>
  <c r="G36" i="2" s="1"/>
  <c r="H33" i="2" s="1"/>
  <c r="G43" i="2"/>
  <c r="H43" i="2"/>
  <c r="I43" i="2"/>
  <c r="J43" i="2"/>
  <c r="K43" i="2"/>
  <c r="L43" i="2"/>
  <c r="M43" i="2"/>
  <c r="N43" i="2"/>
  <c r="O43" i="2"/>
  <c r="G44" i="2"/>
  <c r="G45" i="2" s="1"/>
  <c r="G66" i="2" s="1"/>
  <c r="H44" i="2"/>
  <c r="H45" i="2" s="1"/>
  <c r="K44" i="2"/>
  <c r="K45" i="2" s="1"/>
  <c r="L66" i="2" s="1"/>
  <c r="L44" i="2"/>
  <c r="L45" i="2" s="1"/>
  <c r="O44" i="2"/>
  <c r="O45" i="2" s="1"/>
  <c r="F70" i="2"/>
  <c r="F69" i="2"/>
  <c r="F66" i="2"/>
  <c r="F65" i="2"/>
  <c r="E45" i="2"/>
  <c r="F45" i="2"/>
  <c r="D45" i="2"/>
  <c r="E44" i="2"/>
  <c r="F44" i="2"/>
  <c r="D44" i="2"/>
  <c r="E43" i="2"/>
  <c r="F43" i="2"/>
  <c r="D43" i="2"/>
  <c r="F38" i="2"/>
  <c r="E41" i="2"/>
  <c r="F50" i="2"/>
  <c r="F36" i="2"/>
  <c r="F35" i="2"/>
  <c r="F34" i="2"/>
  <c r="F33" i="2"/>
  <c r="E36" i="2"/>
  <c r="F54" i="2"/>
  <c r="F49" i="2"/>
  <c r="G23" i="2"/>
  <c r="G25" i="2" s="1"/>
  <c r="H23" i="2"/>
  <c r="I23" i="2" s="1"/>
  <c r="G24" i="2"/>
  <c r="F25" i="2"/>
  <c r="F24" i="2"/>
  <c r="F23" i="2"/>
  <c r="E61" i="2"/>
  <c r="D61" i="2"/>
  <c r="E59" i="2"/>
  <c r="D59" i="2"/>
  <c r="E56" i="2"/>
  <c r="D56" i="2"/>
  <c r="E51" i="2"/>
  <c r="D51" i="2"/>
  <c r="D30" i="2"/>
  <c r="E30" i="2"/>
  <c r="C30" i="2"/>
  <c r="D28" i="2"/>
  <c r="E28" i="2"/>
  <c r="C28" i="2"/>
  <c r="D25" i="2"/>
  <c r="E25" i="2"/>
  <c r="C25" i="2"/>
  <c r="C7" i="2"/>
  <c r="B44" i="2"/>
  <c r="B43" i="2"/>
  <c r="G99" i="2" l="1"/>
  <c r="G101" i="2" s="1"/>
  <c r="G104" i="2" s="1"/>
  <c r="F55" i="2"/>
  <c r="F74" i="2" s="1"/>
  <c r="H66" i="2"/>
  <c r="N45" i="2"/>
  <c r="O66" i="2" s="1"/>
  <c r="J45" i="2"/>
  <c r="K66" i="2" s="1"/>
  <c r="M45" i="2"/>
  <c r="N66" i="2" s="1"/>
  <c r="I45" i="2"/>
  <c r="H35" i="2"/>
  <c r="H36" i="2" s="1"/>
  <c r="I33" i="2" s="1"/>
  <c r="J23" i="2"/>
  <c r="I24" i="2"/>
  <c r="I25" i="2" s="1"/>
  <c r="H24" i="2"/>
  <c r="H25" i="2" s="1"/>
  <c r="E29" i="2"/>
  <c r="D29" i="2"/>
  <c r="C29" i="2"/>
  <c r="E27" i="2"/>
  <c r="D27" i="2"/>
  <c r="C27" i="2"/>
  <c r="E24" i="2"/>
  <c r="E6" i="2" s="1"/>
  <c r="D24" i="2"/>
  <c r="D6" i="2" s="1"/>
  <c r="C24" i="2"/>
  <c r="C6" i="2" s="1"/>
  <c r="G55" i="2" l="1"/>
  <c r="G74" i="2" s="1"/>
  <c r="H99" i="2"/>
  <c r="H101" i="2" s="1"/>
  <c r="J66" i="2"/>
  <c r="I66" i="2"/>
  <c r="M66" i="2"/>
  <c r="I35" i="2"/>
  <c r="I36" i="2"/>
  <c r="J33" i="2" s="1"/>
  <c r="K23" i="2"/>
  <c r="J24" i="2"/>
  <c r="J25" i="2"/>
  <c r="D7" i="2"/>
  <c r="A7" i="1"/>
  <c r="I99" i="2" l="1"/>
  <c r="I101" i="2" s="1"/>
  <c r="I104" i="2" s="1"/>
  <c r="H55" i="2"/>
  <c r="H74" i="2" s="1"/>
  <c r="H104" i="2"/>
  <c r="J35" i="2"/>
  <c r="J36" i="2" s="1"/>
  <c r="K33" i="2" s="1"/>
  <c r="K24" i="2"/>
  <c r="K25" i="2" s="1"/>
  <c r="L23" i="2"/>
  <c r="J17" i="2"/>
  <c r="E13" i="2"/>
  <c r="J99" i="2" l="1"/>
  <c r="J101" i="2" s="1"/>
  <c r="I55" i="2"/>
  <c r="I74" i="2" s="1"/>
  <c r="J104" i="2"/>
  <c r="K35" i="2"/>
  <c r="K36" i="2"/>
  <c r="L33" i="2" s="1"/>
  <c r="M23" i="2"/>
  <c r="L24" i="2"/>
  <c r="L25" i="2"/>
  <c r="D12" i="2"/>
  <c r="E12" i="2"/>
  <c r="J55" i="2" l="1"/>
  <c r="J74" i="2" s="1"/>
  <c r="K99" i="2"/>
  <c r="K101" i="2" s="1"/>
  <c r="K104" i="2" s="1"/>
  <c r="L35" i="2"/>
  <c r="L36" i="2" s="1"/>
  <c r="M33" i="2" s="1"/>
  <c r="N23" i="2"/>
  <c r="M24" i="2"/>
  <c r="M25" i="2" s="1"/>
  <c r="A2" i="2"/>
  <c r="O17" i="2"/>
  <c r="L17" i="2"/>
  <c r="K17" i="2"/>
  <c r="F17" i="2"/>
  <c r="D55" i="2"/>
  <c r="D54" i="2"/>
  <c r="D49" i="2"/>
  <c r="E54" i="2"/>
  <c r="E55" i="2"/>
  <c r="E49" i="2"/>
  <c r="E26" i="2"/>
  <c r="L99" i="2" l="1"/>
  <c r="L101" i="2" s="1"/>
  <c r="L104" i="2"/>
  <c r="K55" i="2"/>
  <c r="K74" i="2" s="1"/>
  <c r="M35" i="2"/>
  <c r="M36" i="2" s="1"/>
  <c r="N33" i="2" s="1"/>
  <c r="O23" i="2"/>
  <c r="N24" i="2"/>
  <c r="N25" i="2" s="1"/>
  <c r="E7" i="2"/>
  <c r="M99" i="2" l="1"/>
  <c r="M101" i="2" s="1"/>
  <c r="L55" i="2"/>
  <c r="L74" i="2" s="1"/>
  <c r="M104" i="2"/>
  <c r="N35" i="2"/>
  <c r="N36" i="2" s="1"/>
  <c r="O33" i="2" s="1"/>
  <c r="O24" i="2"/>
  <c r="O25" i="2"/>
  <c r="B90" i="2"/>
  <c r="B100" i="2" s="1"/>
  <c r="N99" i="2" l="1"/>
  <c r="N101" i="2" s="1"/>
  <c r="M55" i="2"/>
  <c r="M74" i="2" s="1"/>
  <c r="O35" i="2"/>
  <c r="O36" i="2" s="1"/>
  <c r="E10" i="2"/>
  <c r="D10" i="2"/>
  <c r="O99" i="2" l="1"/>
  <c r="O101" i="2" s="1"/>
  <c r="O55" i="2" s="1"/>
  <c r="O74" i="2" s="1"/>
  <c r="N55" i="2"/>
  <c r="N74" i="2" s="1"/>
  <c r="N104" i="2"/>
  <c r="E5" i="2"/>
  <c r="D5" i="2"/>
  <c r="D11" i="2"/>
  <c r="O104" i="2" l="1"/>
  <c r="E11" i="2"/>
  <c r="E14" i="2" l="1"/>
  <c r="D14" i="2"/>
  <c r="E2" i="2" l="1"/>
  <c r="A1" i="6"/>
  <c r="D2" i="2" l="1"/>
  <c r="C2" i="2" s="1"/>
  <c r="F2" i="2" l="1"/>
  <c r="G2" i="2" s="1"/>
  <c r="H2" i="2" s="1"/>
  <c r="I2" i="2" s="1"/>
  <c r="J2" i="2" s="1"/>
  <c r="K2" i="2" s="1"/>
  <c r="L2" i="2" s="1"/>
  <c r="M2" i="2" s="1"/>
  <c r="N2" i="2" s="1"/>
  <c r="O2" i="2" s="1"/>
  <c r="F26" i="2" l="1"/>
  <c r="G26" i="2"/>
  <c r="H26" i="2"/>
  <c r="I26" i="2"/>
  <c r="J26" i="2"/>
  <c r="K26" i="2"/>
  <c r="L26" i="2"/>
  <c r="M26" i="2"/>
  <c r="N26" i="2"/>
  <c r="O26" i="2"/>
  <c r="F27" i="2"/>
  <c r="G27" i="2"/>
  <c r="H27" i="2"/>
  <c r="I27" i="2"/>
  <c r="J27" i="2"/>
  <c r="K27" i="2"/>
  <c r="L27" i="2"/>
  <c r="M27" i="2"/>
  <c r="N27" i="2"/>
  <c r="O27" i="2"/>
  <c r="F28" i="2"/>
  <c r="G28" i="2"/>
  <c r="H28" i="2"/>
  <c r="I28" i="2"/>
  <c r="J28" i="2"/>
  <c r="K28" i="2"/>
  <c r="L28" i="2"/>
  <c r="M28" i="2"/>
  <c r="N28" i="2"/>
  <c r="O28" i="2"/>
  <c r="F29" i="2"/>
  <c r="G29" i="2"/>
  <c r="H29" i="2"/>
  <c r="I29" i="2"/>
  <c r="J29" i="2"/>
  <c r="K29" i="2"/>
  <c r="L29" i="2"/>
  <c r="M29" i="2"/>
  <c r="N29" i="2"/>
  <c r="O29" i="2"/>
  <c r="F30" i="2"/>
  <c r="G30" i="2"/>
  <c r="H30" i="2"/>
  <c r="I30" i="2"/>
  <c r="J30" i="2"/>
  <c r="K30" i="2"/>
  <c r="L30" i="2"/>
  <c r="M30" i="2"/>
  <c r="N30" i="2"/>
  <c r="O30" i="2"/>
  <c r="G38" i="2"/>
  <c r="H38" i="2"/>
  <c r="I38" i="2"/>
  <c r="J38" i="2"/>
  <c r="K38" i="2"/>
  <c r="L38" i="2"/>
  <c r="M38" i="2"/>
  <c r="N38" i="2"/>
  <c r="O38" i="2"/>
  <c r="F39" i="2"/>
  <c r="G39" i="2"/>
  <c r="H39" i="2"/>
  <c r="I39" i="2"/>
  <c r="J39" i="2"/>
  <c r="K39" i="2"/>
  <c r="L39" i="2"/>
  <c r="M39" i="2"/>
  <c r="N39" i="2"/>
  <c r="O39" i="2"/>
  <c r="F40" i="2"/>
  <c r="G40" i="2"/>
  <c r="H40" i="2"/>
  <c r="I40" i="2"/>
  <c r="J40" i="2"/>
  <c r="K40" i="2"/>
  <c r="L40" i="2"/>
  <c r="M40" i="2"/>
  <c r="N40" i="2"/>
  <c r="O40" i="2"/>
  <c r="F41" i="2"/>
  <c r="G41" i="2"/>
  <c r="H41" i="2"/>
  <c r="I41" i="2"/>
  <c r="J41" i="2"/>
  <c r="K41" i="2"/>
  <c r="L41" i="2"/>
  <c r="M41" i="2"/>
  <c r="N41" i="2"/>
  <c r="O41" i="2"/>
  <c r="F48" i="2"/>
  <c r="G48" i="2"/>
  <c r="H48" i="2"/>
  <c r="I48" i="2"/>
  <c r="J48" i="2"/>
  <c r="K48" i="2"/>
  <c r="L48" i="2"/>
  <c r="M48" i="2"/>
  <c r="N48" i="2"/>
  <c r="O48" i="2"/>
  <c r="F51" i="2"/>
  <c r="G51" i="2"/>
  <c r="H51" i="2"/>
  <c r="I51" i="2"/>
  <c r="J51" i="2"/>
  <c r="K51" i="2"/>
  <c r="L51" i="2"/>
  <c r="M51" i="2"/>
  <c r="N51" i="2"/>
  <c r="O51" i="2"/>
  <c r="F53" i="2"/>
  <c r="G53" i="2"/>
  <c r="H53" i="2"/>
  <c r="I53" i="2"/>
  <c r="J53" i="2"/>
  <c r="K53" i="2"/>
  <c r="L53" i="2"/>
  <c r="M53" i="2"/>
  <c r="N53" i="2"/>
  <c r="O53" i="2"/>
  <c r="F56" i="2"/>
  <c r="G56" i="2"/>
  <c r="H56" i="2"/>
  <c r="I56" i="2"/>
  <c r="J56" i="2"/>
  <c r="K56" i="2"/>
  <c r="L56" i="2"/>
  <c r="M56" i="2"/>
  <c r="N56" i="2"/>
  <c r="O56" i="2"/>
  <c r="F58" i="2"/>
  <c r="G58" i="2"/>
  <c r="H58" i="2"/>
  <c r="I58" i="2"/>
  <c r="J58" i="2"/>
  <c r="K58" i="2"/>
  <c r="L58" i="2"/>
  <c r="M58" i="2"/>
  <c r="N58" i="2"/>
  <c r="O58" i="2"/>
  <c r="F59" i="2"/>
  <c r="G59" i="2"/>
  <c r="H59" i="2"/>
  <c r="I59" i="2"/>
  <c r="J59" i="2"/>
  <c r="K59" i="2"/>
  <c r="L59" i="2"/>
  <c r="M59" i="2"/>
  <c r="N59" i="2"/>
  <c r="O59" i="2"/>
  <c r="F61" i="2"/>
  <c r="G61" i="2"/>
  <c r="H61" i="2"/>
  <c r="I61" i="2"/>
  <c r="J61" i="2"/>
  <c r="K61" i="2"/>
  <c r="L61" i="2"/>
  <c r="M61" i="2"/>
  <c r="N61" i="2"/>
  <c r="O61" i="2"/>
  <c r="F64" i="2"/>
  <c r="G64" i="2"/>
  <c r="H64" i="2"/>
  <c r="I64" i="2"/>
  <c r="J64" i="2"/>
  <c r="K64" i="2"/>
  <c r="L64" i="2"/>
  <c r="M64" i="2"/>
  <c r="N64" i="2"/>
  <c r="O64" i="2"/>
  <c r="F67" i="2"/>
  <c r="G67" i="2"/>
  <c r="H67" i="2"/>
  <c r="I67" i="2"/>
  <c r="J67" i="2"/>
  <c r="K67" i="2"/>
  <c r="L67" i="2"/>
  <c r="M67" i="2"/>
  <c r="N67" i="2"/>
  <c r="O67" i="2"/>
  <c r="F72" i="2"/>
  <c r="G72" i="2"/>
  <c r="H72" i="2"/>
  <c r="I72" i="2"/>
  <c r="J72" i="2"/>
  <c r="K72" i="2"/>
  <c r="L72" i="2"/>
  <c r="M72" i="2"/>
  <c r="N72" i="2"/>
  <c r="O72" i="2"/>
  <c r="F73" i="2"/>
  <c r="G73" i="2"/>
  <c r="H73" i="2"/>
  <c r="I73" i="2"/>
  <c r="J73" i="2"/>
  <c r="K73" i="2"/>
  <c r="L73" i="2"/>
  <c r="M73" i="2"/>
  <c r="N73" i="2"/>
  <c r="O73" i="2"/>
  <c r="F75" i="2"/>
  <c r="G75" i="2"/>
  <c r="H75" i="2"/>
  <c r="I75" i="2"/>
  <c r="J75" i="2"/>
  <c r="K75" i="2"/>
  <c r="L75" i="2"/>
  <c r="M75" i="2"/>
  <c r="N75" i="2"/>
  <c r="O75" i="2"/>
  <c r="F77" i="2"/>
  <c r="G77" i="2"/>
  <c r="H77" i="2"/>
  <c r="I77" i="2"/>
  <c r="J77" i="2"/>
  <c r="K77" i="2"/>
  <c r="L77" i="2"/>
  <c r="M77" i="2"/>
  <c r="N77" i="2"/>
  <c r="O77" i="2"/>
  <c r="G79" i="2"/>
  <c r="H79" i="2"/>
  <c r="I79" i="2"/>
  <c r="J79" i="2"/>
  <c r="K79" i="2"/>
  <c r="L79" i="2"/>
  <c r="M79" i="2"/>
  <c r="N79" i="2"/>
  <c r="O79" i="2"/>
  <c r="F80" i="2"/>
  <c r="G80" i="2"/>
  <c r="H80" i="2"/>
  <c r="I80" i="2"/>
  <c r="J80" i="2"/>
  <c r="K80" i="2"/>
  <c r="L80" i="2"/>
  <c r="M80" i="2"/>
  <c r="N80" i="2"/>
  <c r="O80" i="2"/>
  <c r="F83" i="2"/>
  <c r="G83" i="2"/>
  <c r="H83" i="2"/>
  <c r="I83" i="2"/>
  <c r="J83" i="2"/>
  <c r="K83" i="2"/>
  <c r="L83" i="2"/>
  <c r="M83" i="2"/>
  <c r="N83" i="2"/>
  <c r="O83" i="2"/>
  <c r="F85" i="2"/>
  <c r="G85" i="2"/>
  <c r="H85" i="2"/>
  <c r="I85" i="2"/>
  <c r="J85" i="2"/>
  <c r="K85" i="2"/>
  <c r="L85" i="2"/>
  <c r="M85" i="2"/>
  <c r="N85" i="2"/>
  <c r="O85" i="2"/>
  <c r="F86" i="2"/>
  <c r="G86" i="2"/>
  <c r="H86" i="2"/>
  <c r="I86" i="2"/>
  <c r="J86" i="2"/>
  <c r="K86" i="2"/>
  <c r="L86" i="2"/>
  <c r="M86" i="2"/>
  <c r="N86" i="2"/>
  <c r="O86" i="2"/>
  <c r="G87" i="2"/>
  <c r="H87" i="2"/>
  <c r="I87" i="2"/>
  <c r="J87" i="2"/>
  <c r="K87" i="2"/>
  <c r="L87" i="2"/>
  <c r="M87" i="2"/>
  <c r="N87" i="2"/>
  <c r="O87" i="2"/>
  <c r="F88" i="2"/>
  <c r="G88" i="2"/>
  <c r="H88" i="2"/>
  <c r="I88" i="2"/>
  <c r="J88" i="2"/>
  <c r="K88" i="2"/>
  <c r="L88" i="2"/>
  <c r="M88" i="2"/>
  <c r="N88" i="2"/>
  <c r="O88" i="2"/>
  <c r="F91" i="2"/>
  <c r="G91" i="2"/>
  <c r="H91" i="2"/>
  <c r="I91" i="2"/>
  <c r="J91" i="2"/>
  <c r="K91" i="2"/>
  <c r="L91" i="2"/>
  <c r="M91" i="2"/>
  <c r="N91" i="2"/>
  <c r="O91" i="2"/>
  <c r="G93" i="2"/>
  <c r="H93" i="2"/>
  <c r="I93" i="2"/>
  <c r="J93" i="2"/>
  <c r="K93" i="2"/>
  <c r="L93" i="2"/>
  <c r="M93" i="2"/>
  <c r="N93" i="2"/>
  <c r="O93" i="2"/>
  <c r="F94" i="2"/>
  <c r="G94" i="2"/>
  <c r="H94" i="2"/>
  <c r="I94" i="2"/>
  <c r="J94" i="2"/>
  <c r="K94" i="2"/>
  <c r="L94" i="2"/>
  <c r="M94" i="2"/>
  <c r="N94" i="2"/>
  <c r="O94" i="2"/>
  <c r="F95" i="2"/>
  <c r="G95" i="2"/>
  <c r="H95" i="2"/>
  <c r="I95" i="2"/>
  <c r="J95" i="2"/>
  <c r="K95" i="2"/>
  <c r="L95" i="2"/>
  <c r="M95" i="2"/>
  <c r="N95" i="2"/>
  <c r="O95" i="2"/>
  <c r="F97" i="2"/>
  <c r="G97" i="2"/>
  <c r="H97" i="2"/>
  <c r="I97" i="2"/>
  <c r="J97" i="2"/>
  <c r="K97" i="2"/>
  <c r="L97" i="2"/>
  <c r="M97" i="2"/>
  <c r="N97" i="2"/>
  <c r="O97" i="2"/>
  <c r="F103" i="2"/>
  <c r="G103" i="2"/>
  <c r="H103" i="2"/>
  <c r="I103" i="2"/>
  <c r="J103" i="2"/>
  <c r="K103" i="2"/>
  <c r="L103" i="2"/>
  <c r="M103" i="2"/>
  <c r="N103" i="2"/>
  <c r="O103" i="2"/>
  <c r="F105" i="2"/>
  <c r="G105" i="2"/>
  <c r="H105" i="2"/>
  <c r="I105" i="2"/>
  <c r="J105" i="2"/>
  <c r="K105" i="2"/>
  <c r="L105" i="2"/>
  <c r="M105" i="2"/>
  <c r="N105" i="2"/>
  <c r="O105" i="2"/>
  <c r="F111" i="2"/>
  <c r="G111" i="2"/>
  <c r="H111" i="2"/>
  <c r="I111" i="2"/>
  <c r="J111" i="2"/>
  <c r="K111" i="2"/>
  <c r="L111" i="2"/>
  <c r="M111" i="2"/>
  <c r="N111" i="2"/>
  <c r="O111" i="2"/>
  <c r="F118" i="2"/>
  <c r="G118" i="2"/>
  <c r="H118" i="2"/>
  <c r="I118" i="2"/>
  <c r="J118" i="2"/>
  <c r="K118" i="2"/>
  <c r="L118" i="2"/>
  <c r="M118" i="2"/>
  <c r="N118" i="2"/>
  <c r="O118" i="2"/>
  <c r="F119" i="2"/>
  <c r="G119" i="2"/>
  <c r="H119" i="2"/>
  <c r="I119" i="2"/>
  <c r="J119" i="2"/>
  <c r="K119" i="2"/>
  <c r="L119" i="2"/>
  <c r="M119" i="2"/>
  <c r="N119" i="2"/>
  <c r="O119" i="2"/>
  <c r="F120" i="2"/>
  <c r="G120" i="2"/>
  <c r="H120" i="2"/>
  <c r="I120" i="2"/>
  <c r="J120" i="2"/>
  <c r="K120" i="2"/>
  <c r="L120" i="2"/>
  <c r="M120" i="2"/>
  <c r="N120" i="2"/>
  <c r="O120" i="2"/>
  <c r="F121" i="2"/>
  <c r="G121" i="2"/>
  <c r="H121" i="2"/>
  <c r="I121" i="2"/>
  <c r="J121" i="2"/>
  <c r="K121" i="2"/>
  <c r="L121" i="2"/>
  <c r="M121" i="2"/>
  <c r="N121" i="2"/>
  <c r="O121" i="2"/>
  <c r="F122" i="2"/>
  <c r="G122" i="2"/>
  <c r="H122" i="2"/>
  <c r="I122" i="2"/>
  <c r="J122" i="2"/>
  <c r="K122" i="2"/>
  <c r="L122" i="2"/>
  <c r="M122" i="2"/>
  <c r="N122" i="2"/>
  <c r="O122" i="2"/>
  <c r="F123" i="2"/>
  <c r="G123" i="2"/>
  <c r="H123" i="2"/>
  <c r="I123" i="2"/>
  <c r="J123" i="2"/>
  <c r="K123" i="2"/>
  <c r="L123" i="2"/>
  <c r="M123" i="2"/>
  <c r="N123" i="2"/>
  <c r="O123" i="2"/>
</calcChain>
</file>

<file path=xl/sharedStrings.xml><?xml version="1.0" encoding="utf-8"?>
<sst xmlns="http://schemas.openxmlformats.org/spreadsheetml/2006/main" count="154" uniqueCount="124">
  <si>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</si>
  <si>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</si>
  <si>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</si>
  <si>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</si>
  <si>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</si>
  <si>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</si>
  <si>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</si>
  <si>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</si>
  <si>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</si>
  <si>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Millions</t>
  </si>
  <si>
    <t>Firstname Lastname</t>
  </si>
  <si>
    <t>This document is for training purposes only. Financial Edge accepts no responsibility or liability for any other purpose or usage.</t>
  </si>
  <si>
    <t>Hist.</t>
  </si>
  <si>
    <t>Proj.</t>
  </si>
  <si>
    <t>Formatting</t>
  </si>
  <si>
    <t>Input</t>
  </si>
  <si>
    <t>Hard coded</t>
  </si>
  <si>
    <t>Formulas</t>
  </si>
  <si>
    <t>Workout Information</t>
  </si>
  <si>
    <t>Tab Structure</t>
  </si>
  <si>
    <t>Modeling</t>
  </si>
  <si>
    <t>Modeling an income statement</t>
  </si>
  <si>
    <t>Modeling a balance sheet</t>
  </si>
  <si>
    <t>Modeling a cash flow statement</t>
  </si>
  <si>
    <t>Assumptions, income statement, balance sheet, cash flow statement</t>
  </si>
  <si>
    <t>Revenue growth</t>
  </si>
  <si>
    <t>Operating costs % revenues</t>
  </si>
  <si>
    <t>Revenues</t>
  </si>
  <si>
    <t>Operating costs</t>
  </si>
  <si>
    <t>Tax expense</t>
  </si>
  <si>
    <t>Net income</t>
  </si>
  <si>
    <t>Cash and cash equivalents</t>
  </si>
  <si>
    <t>Total assets</t>
  </si>
  <si>
    <t>Total liabilities</t>
  </si>
  <si>
    <t>Total liabilities and equity</t>
  </si>
  <si>
    <t>Balance ?</t>
  </si>
  <si>
    <t>Operating cash flow</t>
  </si>
  <si>
    <t>Investing cash flow</t>
  </si>
  <si>
    <t>Beginning cash and cash equivalents</t>
  </si>
  <si>
    <t>Ending cash and cash equivalents</t>
  </si>
  <si>
    <t>Model 2</t>
  </si>
  <si>
    <t>Model 1</t>
  </si>
  <si>
    <t>Modeling interest</t>
  </si>
  <si>
    <t>Dealing with circular references</t>
  </si>
  <si>
    <t>Income Statement Assumptions</t>
  </si>
  <si>
    <t>Balance Sheet Assumptions</t>
  </si>
  <si>
    <t>EBITDA</t>
  </si>
  <si>
    <t>EBIT</t>
  </si>
  <si>
    <t>Interest income</t>
  </si>
  <si>
    <t>Interest expense</t>
  </si>
  <si>
    <t>Earnings before tax</t>
  </si>
  <si>
    <t>Net Debt and Interest Assumptions</t>
  </si>
  <si>
    <t>Taxes % of earnings before tax</t>
  </si>
  <si>
    <t>EBIT margin</t>
  </si>
  <si>
    <t>NI margin</t>
  </si>
  <si>
    <t>Capex % revenues</t>
  </si>
  <si>
    <t>Long term debt issuance / (repayment)</t>
  </si>
  <si>
    <t xml:space="preserve">Dividend payout </t>
  </si>
  <si>
    <t>Beginning long term assets</t>
  </si>
  <si>
    <t>Capex</t>
  </si>
  <si>
    <t>D&amp;A % prior year long term assets</t>
  </si>
  <si>
    <t>D&amp;A</t>
  </si>
  <si>
    <t>Ending long term assets</t>
  </si>
  <si>
    <t>Beginning equity</t>
  </si>
  <si>
    <t>Dividends</t>
  </si>
  <si>
    <t>Ending equity</t>
  </si>
  <si>
    <t>OWC</t>
  </si>
  <si>
    <t>OWC % revenues</t>
  </si>
  <si>
    <t>Long term assets % revenue</t>
  </si>
  <si>
    <t>Debt</t>
  </si>
  <si>
    <t>Cash and cash equivalents interest rate</t>
  </si>
  <si>
    <t>Revolver interest rate</t>
  </si>
  <si>
    <t>Long term debt interest rate</t>
  </si>
  <si>
    <t>Cash available to service debt</t>
  </si>
  <si>
    <t>Cash flow generated to service debt</t>
  </si>
  <si>
    <t>Surplus cash / (revolver requirement)</t>
  </si>
  <si>
    <t>Beginning revolver</t>
  </si>
  <si>
    <t>Revolver issuance (repayment)</t>
  </si>
  <si>
    <t xml:space="preserve"> Ending revolver</t>
  </si>
  <si>
    <t>Beginning long term debt</t>
  </si>
  <si>
    <t>Ending long term debt</t>
  </si>
  <si>
    <t>Interest on revolver</t>
  </si>
  <si>
    <t>Interest on long term debt</t>
  </si>
  <si>
    <t>Interest on cash and cash equivalents</t>
  </si>
  <si>
    <t>Net Debt and Interest Statistics</t>
  </si>
  <si>
    <t>Net debt</t>
  </si>
  <si>
    <t>Debt / EBITDA</t>
  </si>
  <si>
    <t>Net debt / EBITDA</t>
  </si>
  <si>
    <t>EBITDA / interest expense</t>
  </si>
  <si>
    <t>Net debt / net debt + equity</t>
  </si>
  <si>
    <t>EBITDA margin</t>
  </si>
  <si>
    <t>Luxottica</t>
  </si>
  <si>
    <t>EUR</t>
  </si>
  <si>
    <t>Operating current assets % revenues</t>
  </si>
  <si>
    <t>Operating current liabilities % revenues</t>
  </si>
  <si>
    <t>End</t>
  </si>
  <si>
    <t>Income Statement Operating Statistics</t>
  </si>
  <si>
    <t>Balance Sheet Operating Statistics</t>
  </si>
  <si>
    <t xml:space="preserve">Leave for later when forecast </t>
  </si>
  <si>
    <t>*</t>
  </si>
  <si>
    <t>Operating current assets (Op)</t>
  </si>
  <si>
    <t>Long term assets (Inv/Op)</t>
  </si>
  <si>
    <t>Revolver (Fin)</t>
  </si>
  <si>
    <t>Operating current liabilities (Op)</t>
  </si>
  <si>
    <t>Long term debt (including currently due) (Fin)</t>
  </si>
  <si>
    <t>Equity (Op/Fin)</t>
  </si>
  <si>
    <t>Net Income</t>
  </si>
  <si>
    <t>Change in OWC (Operating Assets and Liabilities)</t>
  </si>
  <si>
    <t>Operating Cash Flow</t>
  </si>
  <si>
    <t>CapEx</t>
  </si>
  <si>
    <t>Investing Cash Flow</t>
  </si>
  <si>
    <t>Dividends Paid</t>
  </si>
  <si>
    <t>Financing Cash Flow</t>
  </si>
  <si>
    <t>Net Cash Flow</t>
  </si>
  <si>
    <t>Long Term Debt Issuance (Repayment)</t>
  </si>
  <si>
    <t>Revolver Issuance (Repayment)</t>
  </si>
  <si>
    <t>Beginning Cash and Cash Equivalents</t>
  </si>
  <si>
    <t>Ending Cash and Cash Equivalents</t>
  </si>
  <si>
    <t>Income Statement (1)</t>
  </si>
  <si>
    <t>Balance Sheet (2)</t>
  </si>
  <si>
    <t>Calculations (3)</t>
  </si>
  <si>
    <t>Cash Flow Statement (4)</t>
  </si>
  <si>
    <t>Net Debt and Interest Calculations (5)</t>
  </si>
  <si>
    <t>circular reference -&gt; Excel, Preference, Calculation, Enable Iterative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</si>
</sst>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3" formatCode="_(* #,##0.00_);_(* \(#,##0.00\);_(* &quot;-&quot;??_);_(@_)"/>
    <numFmt numFmtId="164" formatCode="_(&quot;£&quot;* #,##0_);_(&quot;£&quot;* \(#,##0\);_(&quot;£&quot;* &quot;-&quot;_);_(@_)"/>
    <numFmt numFmtId="165" formatCode="_(&quot;£&quot;* #,##0.00_);_(&quot;£&quot;* \(#,##0.00\);_(&quot;£&quot;* &quot;-&quot;??_);_(@_)"/>
    <numFmt numFmtId="166" formatCode="[$-409]d\-mmm\-yy;@"/>
    <numFmt numFmtId="167" formatCode="0.0"/>
    <numFmt numFmtId="168" formatCode="#,##0.0_);\(#,##0.0\)\,0.0_);@_)"/>
    <numFmt numFmtId="169" formatCode="#,##0.0\ \x_);\(#,##0.0\ \x\);"/>
    <numFmt numFmtId="170" formatCode="0.0%_);\(0.0%\)"/>
    <numFmt numFmtId="171" formatCode=";;;"/>
    <numFmt numFmtId="172" formatCode="#,##0.0_);\(#,##0.0\);0.0_);@_)"/>
    <numFmt numFmtId="173" formatCode="#,##0_);\(#,##0.\)\,0.0_);@_)"/>
  </numFmts>
  <fonts count="35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11"/>
      <color rgb="FF16326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5">
    <xf numFmtId="172" fontId="0" fillId="0" borderId="0"/>
    <xf numFmtId="0" fontId="6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6" fontId="28" fillId="3" borderId="0">
      <alignment horizontal="center"/>
    </xf>
    <xf numFmtId="168" fontId="27" fillId="2" borderId="0">
      <alignment horizontal="center"/>
    </xf>
    <xf numFmtId="168" fontId="3" fillId="0" borderId="0">
      <alignment vertical="top"/>
    </xf>
    <xf numFmtId="166" fontId="2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29" fillId="2" borderId="0" applyFont="0" applyFill="0" applyBorder="0" applyAlignment="0" applyProtection="0"/>
    <xf numFmtId="168" fontId="30" fillId="2" borderId="0" applyNumberFormat="0" applyFill="0" applyBorder="0" applyAlignment="0" applyProtection="0"/>
    <xf numFmtId="168" fontId="31" fillId="0" borderId="0" applyNumberFormat="0" applyFill="0" applyBorder="0" applyAlignment="0">
      <alignment vertical="top"/>
    </xf>
    <xf numFmtId="171" fontId="29" fillId="2" borderId="0" applyFont="0" applyFill="0" applyBorder="0" applyAlignment="0" applyProtection="0"/>
    <xf numFmtId="169" fontId="30" fillId="37" borderId="11" applyNumberFormat="0">
      <protection locked="0"/>
    </xf>
    <xf numFmtId="0" fontId="2" fillId="5" borderId="12" applyFont="0" applyAlignment="0" applyProtection="0">
      <alignment vertical="top"/>
    </xf>
    <xf numFmtId="168" fontId="32" fillId="3" borderId="0" applyNumberFormat="0" applyBorder="0">
      <alignment horizontal="center" vertical="top"/>
    </xf>
    <xf numFmtId="168" fontId="3" fillId="38" borderId="0" applyNumberFormat="0" applyFont="0" applyBorder="0" applyAlignment="0" applyProtection="0">
      <alignment vertical="top"/>
    </xf>
  </cellStyleXfs>
  <cellXfs count="84">
    <xf numFmtId="172" fontId="0" fillId="0" borderId="0" xfId="0"/>
    <xf numFmtId="172" fontId="2" fillId="5" borderId="0" xfId="0" applyFont="1" applyFill="1" applyBorder="1"/>
    <xf numFmtId="172" fontId="2" fillId="4" borderId="0" xfId="0" applyFont="1" applyFill="1" applyBorder="1"/>
    <xf numFmtId="172" fontId="2" fillId="5" borderId="0" xfId="0" applyFont="1" applyFill="1" applyBorder="1" applyAlignment="1">
      <alignment vertical="top" wrapText="1"/>
    </xf>
    <xf numFmtId="172" fontId="2" fillId="5" borderId="1" xfId="0" applyFont="1" applyFill="1" applyBorder="1" applyAlignment="1">
      <alignment vertical="top"/>
    </xf>
    <xf numFmtId="172" fontId="25" fillId="2" borderId="0" xfId="0" applyFont="1" applyFill="1" applyBorder="1" applyAlignment="1"/>
    <xf numFmtId="172" fontId="26" fillId="3" borderId="0" xfId="0" applyFont="1" applyFill="1" applyBorder="1" applyAlignment="1"/>
    <xf numFmtId="172" fontId="3" fillId="5" borderId="0" xfId="0" applyFont="1" applyFill="1" applyBorder="1" applyAlignment="1">
      <alignment horizontal="center" vertical="top"/>
    </xf>
    <xf numFmtId="172" fontId="3" fillId="5" borderId="0" xfId="0" applyFont="1" applyFill="1" applyBorder="1" applyAlignment="1">
      <alignment vertical="top"/>
    </xf>
    <xf numFmtId="172" fontId="25" fillId="2" borderId="0" xfId="0" applyFont="1" applyFill="1" applyBorder="1" applyAlignment="1">
      <alignment vertical="center"/>
    </xf>
    <xf numFmtId="166" fontId="28" fillId="3" borderId="0" xfId="52">
      <alignment horizontal="center"/>
    </xf>
    <xf numFmtId="168" fontId="27" fillId="2" borderId="0" xfId="53">
      <alignment horizontal="center"/>
    </xf>
    <xf numFmtId="168" fontId="32" fillId="2" borderId="0" xfId="48" applyNumberFormat="1" applyAlignment="1"/>
    <xf numFmtId="168" fontId="8" fillId="3" borderId="0" xfId="49" applyNumberFormat="1" applyAlignment="1"/>
    <xf numFmtId="168" fontId="3" fillId="0" borderId="0" xfId="54">
      <alignment vertical="top"/>
    </xf>
    <xf numFmtId="172" fontId="2" fillId="5" borderId="0" xfId="0" applyFont="1" applyFill="1" applyBorder="1" applyAlignment="1">
      <alignment horizontal="left" vertical="top"/>
    </xf>
    <xf numFmtId="172" fontId="2" fillId="5" borderId="0" xfId="0" applyFont="1" applyFill="1" applyBorder="1" applyAlignment="1">
      <alignment vertical="top"/>
    </xf>
    <xf numFmtId="172" fontId="2" fillId="0" borderId="0" xfId="0" applyFont="1" applyFill="1" applyBorder="1" applyAlignment="1">
      <alignment vertical="top" wrapText="1"/>
    </xf>
    <xf numFmtId="172" fontId="3" fillId="0" borderId="0" xfId="0" applyFont="1" applyFill="1" applyBorder="1" applyAlignment="1">
      <alignment vertical="top"/>
    </xf>
    <xf numFmtId="172" fontId="2" fillId="0" borderId="0" xfId="0" applyFont="1" applyFill="1" applyBorder="1" applyAlignment="1">
      <alignment horizontal="left" wrapText="1"/>
    </xf>
    <xf numFmtId="172" fontId="2" fillId="0" borderId="0" xfId="0" applyFont="1" applyFill="1" applyBorder="1" applyAlignment="1">
      <alignment vertical="top"/>
    </xf>
    <xf numFmtId="172" fontId="2" fillId="0" borderId="0" xfId="0" applyFont="1" applyFill="1" applyBorder="1"/>
    <xf numFmtId="172" fontId="4" fillId="0" borderId="0" xfId="0" applyFont="1" applyFill="1" applyBorder="1" applyAlignment="1">
      <alignment vertical="center"/>
    </xf>
    <xf numFmtId="172" fontId="5" fillId="0" borderId="0" xfId="0" applyFont="1" applyFill="1" applyBorder="1" applyAlignment="1">
      <alignment vertical="center" wrapText="1"/>
    </xf>
    <xf numFmtId="172" fontId="2" fillId="0" borderId="0" xfId="0" applyFont="1" applyFill="1" applyBorder="1" applyAlignment="1">
      <alignment horizontal="left" vertical="top"/>
    </xf>
    <xf numFmtId="172" fontId="3" fillId="0" borderId="0" xfId="0" applyFont="1" applyFill="1" applyBorder="1" applyAlignment="1">
      <alignment horizontal="center" vertical="top"/>
    </xf>
    <xf numFmtId="172" fontId="7" fillId="0" borderId="0" xfId="0" applyFont="1" applyFill="1" applyBorder="1" applyAlignment="1">
      <alignment vertical="center" wrapText="1"/>
    </xf>
    <xf numFmtId="166" fontId="2" fillId="0" borderId="0" xfId="0" applyNumberFormat="1" applyFont="1" applyFill="1" applyBorder="1" applyAlignment="1">
      <alignment horizontal="left"/>
    </xf>
    <xf numFmtId="172" fontId="2" fillId="0" borderId="0" xfId="0" applyFont="1" applyFill="1" applyBorder="1" applyAlignment="1">
      <alignment horizontal="left"/>
    </xf>
    <xf numFmtId="167" fontId="2" fillId="0" borderId="0" xfId="0" applyNumberFormat="1" applyFont="1" applyFill="1" applyBorder="1" applyAlignment="1">
      <alignment horizontal="left"/>
    </xf>
    <xf numFmtId="172" fontId="0" fillId="0" borderId="0" xfId="0" applyFill="1"/>
    <xf numFmtId="172" fontId="3" fillId="0" borderId="0" xfId="0" applyFont="1" applyFill="1" applyBorder="1" applyAlignment="1">
      <alignment horizontal="left" vertical="top"/>
    </xf>
    <xf numFmtId="172" fontId="3" fillId="0" borderId="0" xfId="0" applyFont="1" applyFill="1" applyBorder="1"/>
    <xf numFmtId="172" fontId="0" fillId="0" borderId="0" xfId="0" applyFill="1" applyBorder="1"/>
    <xf numFmtId="172" fontId="25" fillId="0" borderId="0" xfId="0" applyFont="1" applyFill="1" applyBorder="1" applyAlignment="1"/>
    <xf numFmtId="172" fontId="26" fillId="0" borderId="0" xfId="0" applyFont="1" applyFill="1" applyBorder="1" applyAlignment="1"/>
    <xf numFmtId="168" fontId="30" fillId="0" borderId="0" xfId="58" applyFill="1" applyBorder="1" applyAlignment="1">
      <alignment vertical="top"/>
    </xf>
    <xf numFmtId="168" fontId="2" fillId="5" borderId="0" xfId="51" applyNumberFormat="1" applyFont="1" applyBorder="1" applyAlignment="1">
      <alignment horizontal="left" vertical="top"/>
    </xf>
    <xf numFmtId="168" fontId="3" fillId="5" borderId="0" xfId="51" applyNumberFormat="1" applyFont="1" applyBorder="1" applyAlignment="1">
      <alignment horizontal="center" vertical="top"/>
    </xf>
    <xf numFmtId="168" fontId="2" fillId="5" borderId="0" xfId="51" applyNumberFormat="1" applyFont="1" applyBorder="1" applyAlignment="1"/>
    <xf numFmtId="168" fontId="5" fillId="5" borderId="0" xfId="51" applyNumberFormat="1" applyFont="1" applyBorder="1" applyAlignment="1">
      <alignment vertical="center" wrapText="1"/>
    </xf>
    <xf numFmtId="168" fontId="2" fillId="5" borderId="0" xfId="51" applyNumberFormat="1" applyFont="1" applyAlignment="1">
      <alignment vertical="top"/>
    </xf>
    <xf numFmtId="168" fontId="2" fillId="5" borderId="0" xfId="51" applyNumberFormat="1" applyFont="1" applyAlignment="1"/>
    <xf numFmtId="168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2" fontId="25" fillId="0" borderId="0" xfId="0" applyFont="1" applyFill="1" applyBorder="1" applyAlignment="1">
      <alignment vertical="center"/>
    </xf>
    <xf numFmtId="168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68" fontId="30" fillId="37" borderId="11" xfId="61" applyNumberFormat="1">
      <protection locked="0"/>
    </xf>
    <xf numFmtId="168" fontId="2" fillId="0" borderId="0" xfId="51" applyNumberFormat="1" applyFont="1" applyFill="1" applyAlignment="1"/>
    <xf numFmtId="0" fontId="2" fillId="0" borderId="0" xfId="62" applyFont="1" applyFill="1" applyBorder="1" applyAlignment="1"/>
    <xf numFmtId="172" fontId="0" fillId="5" borderId="0" xfId="51" applyNumberFormat="1" applyFont="1" applyAlignment="1"/>
    <xf numFmtId="172" fontId="2" fillId="5" borderId="0" xfId="51" applyNumberFormat="1" applyFont="1" applyAlignment="1">
      <alignment vertical="top"/>
    </xf>
    <xf numFmtId="0" fontId="0" fillId="5" borderId="12" xfId="62" applyFont="1" applyAlignment="1"/>
    <xf numFmtId="172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2" fontId="30" fillId="0" borderId="0" xfId="58" applyNumberFormat="1" applyFill="1"/>
    <xf numFmtId="170" fontId="0" fillId="0" borderId="0" xfId="57" applyFont="1" applyFill="1"/>
    <xf numFmtId="170" fontId="30" fillId="37" borderId="11" xfId="57" applyFont="1" applyFill="1" applyBorder="1" applyProtection="1">
      <protection locked="0"/>
    </xf>
    <xf numFmtId="170" fontId="30" fillId="37" borderId="11" xfId="61" applyNumberFormat="1">
      <protection locked="0"/>
    </xf>
    <xf numFmtId="172" fontId="30" fillId="37" borderId="11" xfId="61" applyNumberFormat="1">
      <protection locked="0"/>
    </xf>
    <xf numFmtId="169" fontId="0" fillId="0" borderId="0" xfId="56" applyFont="1"/>
    <xf numFmtId="173" fontId="33" fillId="2" borderId="0" xfId="48" applyNumberFormat="1" applyFont="1">
      <alignment horizontal="left"/>
    </xf>
    <xf numFmtId="173" fontId="33" fillId="3" borderId="0" xfId="49" applyNumberFormat="1" applyFont="1" applyAlignment="1"/>
    <xf numFmtId="173" fontId="34" fillId="0" borderId="0" xfId="50" applyNumberFormat="1" applyFont="1">
      <alignment horizontal="left" vertical="center"/>
    </xf>
    <xf numFmtId="173" fontId="34" fillId="0" borderId="0" xfId="50" applyNumberFormat="1" applyFont="1" applyFill="1">
      <alignment horizontal="left" vertical="center"/>
    </xf>
    <xf numFmtId="168" fontId="32" fillId="2" borderId="0" xfId="48" applyNumberFormat="1" applyFill="1" applyAlignment="1">
      <alignment horizontal="center"/>
    </xf>
    <xf numFmtId="172" fontId="5" fillId="0" borderId="0" xfId="0" applyFont="1" applyFill="1" applyBorder="1" applyAlignment="1">
      <alignment horizontal="center" vertical="center" wrapText="1"/>
    </xf>
    <xf numFmtId="168" fontId="2" fillId="5" borderId="0" xfId="51" applyNumberFormat="1" applyFont="1" applyBorder="1" applyAlignment="1">
      <alignment horizontal="left" vertical="top"/>
    </xf>
    <xf numFmtId="168" fontId="32" fillId="3" borderId="0" xfId="49" applyNumberFormat="1" applyFont="1" applyAlignment="1">
      <alignment horizontal="center" vertical="center"/>
    </xf>
    <xf numFmtId="168" fontId="31" fillId="5" borderId="0" xfId="59" applyNumberFormat="1" applyFill="1" applyBorder="1" applyAlignment="1">
      <alignment horizontal="center" vertical="center" wrapText="1"/>
    </xf>
    <xf numFmtId="172" fontId="7" fillId="0" borderId="0" xfId="0" applyFont="1" applyFill="1" applyBorder="1" applyAlignment="1">
      <alignment horizontal="center" vertical="center" wrapText="1"/>
    </xf>
    <xf numFmtId="172" fontId="4" fillId="5" borderId="0" xfId="0" applyFont="1" applyFill="1" applyBorder="1" applyAlignment="1">
      <alignment horizontal="left" vertical="center"/>
    </xf>
    <xf numFmtId="172" fontId="4" fillId="5" borderId="0" xfId="50" applyNumberFormat="1" applyFill="1" applyAlignment="1">
      <alignment horizontal="left" vertical="center"/>
    </xf>
    <xf numFmtId="172" fontId="0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6" fontId="2" fillId="5" borderId="0" xfId="51" applyNumberFormat="1" applyFont="1" applyAlignment="1">
      <alignment horizontal="left"/>
    </xf>
    <xf numFmtId="0" fontId="2" fillId="5" borderId="0" xfId="51" applyNumberFormat="1" applyFont="1" applyAlignment="1">
      <alignment horizontal="left"/>
    </xf>
  </cellXfs>
  <cellStyles count="65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 xr:uid="{00000000-0005-0000-0000-000018000000}"/>
    <cellStyle name="Bad" xfId="13" builtinId="27" hidden="1"/>
    <cellStyle name="BG Border" xfId="62" xr:uid="{00000000-0005-0000-0000-00001A000000}"/>
    <cellStyle name="Blank" xfId="60" xr:uid="{00000000-0005-0000-0000-00001B000000}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 xr:uid="{00000000-0005-0000-0000-000020000000}"/>
    <cellStyle name="Currency" xfId="4" builtinId="4" hidden="1"/>
    <cellStyle name="Currency [0]" xfId="5" builtinId="7" hidden="1"/>
    <cellStyle name="Date" xfId="55" xr:uid="{00000000-0005-0000-0000-000023000000}"/>
    <cellStyle name="Date Heading" xfId="52" xr:uid="{00000000-0005-0000-0000-000024000000}"/>
    <cellStyle name="Explanatory Text" xfId="22" builtinId="53" hidden="1"/>
    <cellStyle name="Good" xfId="12" builtinId="26" hidden="1"/>
    <cellStyle name="Hard Coded Number" xfId="58" xr:uid="{00000000-0005-0000-0000-000027000000}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 xr:uid="{00000000-0005-0000-0000-00002C000000}"/>
    <cellStyle name="Hist Proj Title" xfId="53" xr:uid="{00000000-0005-0000-0000-00002D000000}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 xr:uid="{00000000-0005-0000-0000-000032000000}"/>
    <cellStyle name="Neutral" xfId="14" builtinId="28" hidden="1"/>
    <cellStyle name="Normal" xfId="0" builtinId="0" customBuiltin="1"/>
    <cellStyle name="Note" xfId="21" builtinId="10" hidden="1"/>
    <cellStyle name="Notes and Comments" xfId="59" xr:uid="{00000000-0005-0000-0000-000036000000}"/>
    <cellStyle name="Output" xfId="16" builtinId="21" hidden="1"/>
    <cellStyle name="Percent" xfId="6" builtinId="5" hidden="1"/>
    <cellStyle name="Percent" xfId="57" builtinId="5" customBuiltin="1"/>
    <cellStyle name="Primary Title" xfId="48" xr:uid="{00000000-0005-0000-0000-00003A000000}"/>
    <cellStyle name="Row Label" xfId="54" xr:uid="{00000000-0005-0000-0000-00003B000000}"/>
    <cellStyle name="Secondary Title" xfId="49" xr:uid="{00000000-0005-0000-0000-00003C000000}"/>
    <cellStyle name="Tertiary Title" xfId="50" xr:uid="{00000000-0005-0000-0000-00003D000000}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zoomScaleNormal="100" workbookViewId="0">
      <selection activeCell="E11" sqref="E11"/>
    </sheetView>
  </sheetViews>
  <sheetFormatPr baseColWidth="10" defaultColWidth="9.1640625" defaultRowHeight="15" x14ac:dyDescent="0.2"/>
  <cols>
    <col min="1" max="1" width="9.83203125" style="30" customWidth="1"/>
    <col min="2" max="13" width="9.33203125" style="30" customWidth="1"/>
    <col min="14" max="14" width="9.83203125" style="30" customWidth="1"/>
    <col min="15" max="26" width="9.1640625" style="30" customWidth="1"/>
    <col min="27" max="16384" width="9.1640625" style="30"/>
  </cols>
  <sheetData>
    <row r="1" spans="1:14" s="34" customFormat="1" ht="189.75" customHeight="1" x14ac:dyDescent="0.3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s="20" customFormat="1" ht="75" customHeight="1" x14ac:dyDescent="0.2">
      <c r="A2" s="75" t="s">
        <v>20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4" s="21" customFormat="1" ht="7.5" customHeight="1" x14ac:dyDescent="0.2">
      <c r="B3" s="22"/>
      <c r="C3" s="22"/>
      <c r="F3" s="23"/>
      <c r="G3" s="23"/>
      <c r="H3" s="23"/>
      <c r="I3" s="23"/>
      <c r="J3" s="23"/>
      <c r="K3" s="23"/>
    </row>
    <row r="4" spans="1:14" s="21" customFormat="1" ht="15" customHeight="1" x14ac:dyDescent="0.2">
      <c r="A4" s="37"/>
      <c r="B4" s="38"/>
      <c r="C4" s="74"/>
      <c r="D4" s="74"/>
      <c r="E4" s="39"/>
      <c r="F4" s="40"/>
      <c r="G4" s="40"/>
      <c r="H4" s="40"/>
      <c r="I4" s="40"/>
      <c r="J4" s="40"/>
      <c r="K4" s="40"/>
      <c r="L4" s="39"/>
      <c r="M4" s="39"/>
      <c r="N4" s="39"/>
    </row>
    <row r="5" spans="1:14" s="21" customFormat="1" ht="15" customHeight="1" x14ac:dyDescent="0.2">
      <c r="A5" s="76" t="s">
        <v>11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</row>
    <row r="6" spans="1:14" s="21" customFormat="1" ht="15" customHeight="1" x14ac:dyDescent="0.2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</row>
    <row r="7" spans="1:14" s="21" customFormat="1" ht="15" customHeight="1" x14ac:dyDescent="0.2">
      <c r="A7" s="76" t="str">
        <f ca="1">"© "&amp;YEAR(TODAY())&amp;" Financial Edge Training "</f>
        <v xml:space="preserve">© 2022 Financial Edge Training 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1:14" s="21" customFormat="1" ht="15" customHeight="1" thickBot="1" x14ac:dyDescent="0.25">
      <c r="A8" s="44"/>
      <c r="B8" s="45"/>
      <c r="C8" s="44"/>
      <c r="D8" s="44"/>
      <c r="E8" s="46"/>
      <c r="F8" s="47"/>
      <c r="G8" s="47"/>
      <c r="H8" s="47"/>
      <c r="I8" s="47"/>
      <c r="J8" s="47"/>
      <c r="K8" s="47"/>
      <c r="L8" s="46"/>
      <c r="M8" s="46"/>
      <c r="N8" s="46"/>
    </row>
    <row r="9" spans="1:14" s="21" customFormat="1" ht="15" customHeight="1" x14ac:dyDescent="0.2">
      <c r="F9" s="26"/>
      <c r="G9" s="77"/>
      <c r="H9" s="77"/>
      <c r="I9" s="77"/>
      <c r="J9" s="77"/>
      <c r="K9" s="26"/>
    </row>
    <row r="10" spans="1:14" s="21" customFormat="1" ht="15" customHeight="1" x14ac:dyDescent="0.2">
      <c r="B10" s="22"/>
      <c r="C10" s="22"/>
      <c r="F10" s="26"/>
      <c r="G10" s="77"/>
      <c r="H10" s="77"/>
      <c r="I10" s="77"/>
      <c r="J10" s="77"/>
      <c r="K10" s="26"/>
    </row>
    <row r="11" spans="1:14" s="21" customFormat="1" ht="15" customHeight="1" x14ac:dyDescent="0.2">
      <c r="B11" s="18"/>
      <c r="C11" s="18"/>
      <c r="D11" s="19"/>
      <c r="F11" s="23"/>
      <c r="G11" s="23"/>
      <c r="H11" s="23"/>
      <c r="I11" s="23"/>
      <c r="J11" s="23"/>
      <c r="K11" s="23"/>
    </row>
    <row r="12" spans="1:14" s="21" customFormat="1" ht="15" customHeight="1" x14ac:dyDescent="0.2">
      <c r="A12" s="24"/>
      <c r="B12" s="18"/>
      <c r="C12" s="18"/>
      <c r="D12" s="27"/>
      <c r="F12" s="23"/>
      <c r="G12" s="73"/>
      <c r="H12" s="73"/>
      <c r="I12" s="73"/>
      <c r="J12" s="73"/>
      <c r="K12" s="23"/>
    </row>
    <row r="13" spans="1:14" s="21" customFormat="1" ht="15" customHeight="1" x14ac:dyDescent="0.2">
      <c r="A13" s="17"/>
      <c r="B13" s="18"/>
      <c r="C13" s="18"/>
      <c r="D13" s="28"/>
      <c r="F13" s="23"/>
      <c r="G13" s="73"/>
      <c r="H13" s="73"/>
      <c r="I13" s="73"/>
      <c r="J13" s="73"/>
      <c r="K13" s="23"/>
    </row>
    <row r="14" spans="1:14" s="21" customFormat="1" ht="15" customHeight="1" x14ac:dyDescent="0.2">
      <c r="A14" s="20"/>
      <c r="B14" s="18"/>
      <c r="C14" s="18"/>
      <c r="D14" s="28"/>
      <c r="F14" s="23"/>
      <c r="G14" s="73"/>
      <c r="H14" s="73"/>
      <c r="I14" s="73"/>
      <c r="J14" s="73"/>
      <c r="K14" s="23"/>
    </row>
    <row r="15" spans="1:14" s="21" customFormat="1" ht="15" customHeight="1" x14ac:dyDescent="0.2">
      <c r="A15" s="20"/>
      <c r="B15" s="18"/>
      <c r="C15" s="18"/>
      <c r="D15" s="28"/>
      <c r="F15" s="23"/>
      <c r="G15" s="23"/>
      <c r="H15" s="23"/>
      <c r="I15" s="23"/>
      <c r="J15" s="23"/>
      <c r="K15" s="23"/>
    </row>
    <row r="16" spans="1:14" s="21" customFormat="1" ht="15" customHeight="1" x14ac:dyDescent="0.2">
      <c r="A16" s="20"/>
      <c r="B16" s="18"/>
      <c r="C16" s="18"/>
      <c r="D16" s="29"/>
      <c r="F16" s="23"/>
      <c r="G16" s="73"/>
      <c r="H16" s="73"/>
      <c r="I16" s="73"/>
      <c r="J16" s="73"/>
      <c r="K16" s="23"/>
    </row>
    <row r="17" spans="1:12" s="21" customFormat="1" ht="15" customHeight="1" x14ac:dyDescent="0.2">
      <c r="A17" s="20"/>
      <c r="B17" s="31"/>
      <c r="C17" s="32"/>
      <c r="D17" s="29"/>
      <c r="F17" s="23"/>
      <c r="G17" s="23"/>
      <c r="H17" s="23"/>
      <c r="I17" s="23"/>
      <c r="J17" s="23"/>
      <c r="K17" s="23"/>
    </row>
    <row r="18" spans="1:12" ht="15" customHeight="1" x14ac:dyDescent="0.2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 x14ac:dyDescent="0.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  <row r="20" spans="1:12" x14ac:dyDescent="0.2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spans="1:12" x14ac:dyDescent="0.2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"/>
  <sheetViews>
    <sheetView showGridLines="0" zoomScaleNormal="100" workbookViewId="0">
      <selection activeCell="N11" sqref="N11"/>
    </sheetView>
  </sheetViews>
  <sheetFormatPr baseColWidth="10" defaultColWidth="9.1640625" defaultRowHeight="15" x14ac:dyDescent="0.2"/>
  <cols>
    <col min="1" max="1" width="1.33203125" customWidth="1"/>
    <col min="2" max="2" width="2.83203125" customWidth="1"/>
    <col min="3" max="3" width="13.33203125" customWidth="1"/>
    <col min="4" max="4" width="2.83203125" customWidth="1"/>
    <col min="5" max="7" width="1.33203125" customWidth="1"/>
    <col min="8" max="8" width="2.83203125" customWidth="1"/>
    <col min="9" max="9" width="42.6640625" customWidth="1"/>
    <col min="10" max="11" width="1.33203125" customWidth="1"/>
    <col min="12" max="12" width="15.6640625" bestFit="1" customWidth="1"/>
    <col min="13" max="14" width="1.33203125" customWidth="1"/>
    <col min="15" max="15" width="2.83203125" customWidth="1"/>
    <col min="16" max="16" width="32.6640625" customWidth="1"/>
    <col min="17" max="17" width="2.83203125" customWidth="1"/>
    <col min="18" max="18" width="1.33203125" customWidth="1"/>
    <col min="23" max="23" width="17.6640625" bestFit="1" customWidth="1"/>
  </cols>
  <sheetData>
    <row r="1" spans="1:18" s="34" customFormat="1" ht="45" customHeight="1" x14ac:dyDescent="0.35">
      <c r="A1" s="12" t="str">
        <f>Welcome!A2</f>
        <v>Modeling</v>
      </c>
      <c r="B1" s="12"/>
      <c r="C1" s="12"/>
      <c r="D1" s="12"/>
      <c r="E1" s="12"/>
      <c r="F1" s="12"/>
      <c r="G1" s="12"/>
      <c r="H1" s="12"/>
      <c r="I1" s="12"/>
      <c r="J1" s="5"/>
      <c r="K1" s="5"/>
      <c r="L1" s="5"/>
      <c r="M1" s="5"/>
      <c r="N1" s="5"/>
      <c r="O1" s="5"/>
      <c r="P1" s="5"/>
      <c r="Q1" s="5"/>
      <c r="R1" s="5"/>
    </row>
    <row r="2" spans="1:18" s="35" customFormat="1" ht="30" customHeight="1" x14ac:dyDescent="0.25">
      <c r="A2" s="13" t="s">
        <v>18</v>
      </c>
      <c r="B2" s="13"/>
      <c r="C2" s="13"/>
      <c r="D2" s="13"/>
      <c r="E2" s="13"/>
      <c r="F2" s="13"/>
      <c r="G2" s="13"/>
      <c r="H2" s="13"/>
      <c r="I2" s="13"/>
      <c r="J2" s="6"/>
      <c r="K2" s="6"/>
      <c r="L2" s="6"/>
      <c r="M2" s="6"/>
      <c r="N2" s="6"/>
      <c r="O2" s="6"/>
      <c r="P2" s="6"/>
      <c r="Q2" s="6"/>
      <c r="R2" s="6"/>
    </row>
    <row r="3" spans="1:18" s="2" customFormat="1" ht="7.5" customHeight="1" x14ac:dyDescent="0.2"/>
    <row r="4" spans="1:18" s="2" customFormat="1" ht="22.5" customHeight="1" x14ac:dyDescent="0.2">
      <c r="A4" s="1"/>
      <c r="B4" s="78" t="s">
        <v>0</v>
      </c>
      <c r="C4" s="78"/>
      <c r="D4" s="78"/>
      <c r="E4" s="78"/>
      <c r="F4" s="78"/>
      <c r="G4" s="78"/>
      <c r="H4" s="78"/>
      <c r="I4" s="78"/>
      <c r="K4" s="1"/>
      <c r="L4" s="78" t="s">
        <v>2</v>
      </c>
      <c r="M4" s="78"/>
      <c r="N4" s="78"/>
      <c r="O4" s="78"/>
      <c r="P4" s="78"/>
      <c r="Q4" s="43"/>
      <c r="R4" s="43"/>
    </row>
    <row r="5" spans="1:18" s="2" customFormat="1" ht="15" customHeight="1" x14ac:dyDescent="0.2">
      <c r="A5" s="15"/>
      <c r="B5" s="7" t="s">
        <v>1</v>
      </c>
      <c r="C5" s="57" t="s">
        <v>21</v>
      </c>
      <c r="D5" s="16"/>
      <c r="E5" s="16"/>
      <c r="F5" s="16"/>
      <c r="G5" s="16"/>
      <c r="H5" s="16"/>
      <c r="I5" s="16"/>
      <c r="K5" s="1"/>
      <c r="L5" s="8" t="s">
        <v>3</v>
      </c>
      <c r="M5" s="8"/>
      <c r="N5" s="81" t="s">
        <v>91</v>
      </c>
      <c r="O5" s="81"/>
      <c r="P5" s="81"/>
      <c r="Q5" s="81"/>
      <c r="R5" s="43"/>
    </row>
    <row r="6" spans="1:18" s="2" customFormat="1" ht="15" customHeight="1" x14ac:dyDescent="0.2">
      <c r="A6" s="3"/>
      <c r="B6" s="7" t="s">
        <v>1</v>
      </c>
      <c r="C6" s="16" t="s">
        <v>22</v>
      </c>
      <c r="D6" s="16"/>
      <c r="E6" s="16"/>
      <c r="F6" s="16"/>
      <c r="G6" s="16"/>
      <c r="H6" s="16"/>
      <c r="I6" s="16"/>
      <c r="K6" s="15"/>
      <c r="L6" s="8" t="s">
        <v>4</v>
      </c>
      <c r="M6" s="8"/>
      <c r="N6" s="82">
        <v>42004</v>
      </c>
      <c r="O6" s="82"/>
      <c r="P6" s="82"/>
      <c r="Q6" s="82"/>
      <c r="R6" s="43"/>
    </row>
    <row r="7" spans="1:18" s="2" customFormat="1" ht="15" customHeight="1" x14ac:dyDescent="0.2">
      <c r="A7" s="16"/>
      <c r="B7" s="7" t="s">
        <v>1</v>
      </c>
      <c r="C7" s="16" t="s">
        <v>23</v>
      </c>
      <c r="D7" s="16"/>
      <c r="E7" s="16"/>
      <c r="F7" s="16"/>
      <c r="G7" s="16"/>
      <c r="H7" s="16"/>
      <c r="I7" s="16"/>
      <c r="K7" s="3"/>
      <c r="L7" s="8" t="s">
        <v>5</v>
      </c>
      <c r="M7" s="8"/>
      <c r="N7" s="81" t="s">
        <v>92</v>
      </c>
      <c r="O7" s="81"/>
      <c r="P7" s="81"/>
      <c r="Q7" s="81"/>
      <c r="R7" s="43"/>
    </row>
    <row r="8" spans="1:18" s="2" customFormat="1" ht="15" customHeight="1" x14ac:dyDescent="0.2">
      <c r="A8" s="16"/>
      <c r="B8" s="7" t="s">
        <v>1</v>
      </c>
      <c r="C8" s="16" t="s">
        <v>42</v>
      </c>
      <c r="D8" s="16"/>
      <c r="E8" s="16"/>
      <c r="F8" s="16"/>
      <c r="G8" s="16"/>
      <c r="H8" s="16"/>
      <c r="I8" s="16"/>
      <c r="K8" s="16"/>
      <c r="L8" s="8" t="s">
        <v>6</v>
      </c>
      <c r="M8" s="8"/>
      <c r="N8" s="81" t="s">
        <v>9</v>
      </c>
      <c r="O8" s="81"/>
      <c r="P8" s="81"/>
      <c r="Q8" s="81"/>
      <c r="R8" s="43"/>
    </row>
    <row r="9" spans="1:18" s="2" customFormat="1" ht="15" customHeight="1" x14ac:dyDescent="0.2">
      <c r="A9" s="41"/>
      <c r="B9" s="7" t="s">
        <v>1</v>
      </c>
      <c r="C9" s="16" t="s">
        <v>43</v>
      </c>
      <c r="D9" s="41"/>
      <c r="E9" s="41"/>
      <c r="F9" s="41"/>
      <c r="G9" s="41"/>
      <c r="H9" s="41"/>
      <c r="I9" s="41"/>
      <c r="K9" s="16"/>
      <c r="L9" s="8" t="s">
        <v>7</v>
      </c>
      <c r="M9" s="8"/>
      <c r="N9" s="81" t="s">
        <v>10</v>
      </c>
      <c r="O9" s="81"/>
      <c r="P9" s="81"/>
      <c r="Q9" s="81"/>
      <c r="R9" s="43"/>
    </row>
    <row r="10" spans="1:18" s="2" customFormat="1" ht="15" customHeight="1" x14ac:dyDescent="0.2">
      <c r="A10" s="42"/>
      <c r="B10" s="42"/>
      <c r="C10" s="42"/>
      <c r="D10" s="42"/>
      <c r="E10" s="42"/>
      <c r="F10" s="42"/>
      <c r="G10" s="42"/>
      <c r="H10" s="42"/>
      <c r="I10" s="42"/>
      <c r="K10" s="16"/>
      <c r="L10" s="8" t="s">
        <v>8</v>
      </c>
      <c r="M10" s="8"/>
      <c r="N10" s="83">
        <v>1</v>
      </c>
      <c r="O10" s="83"/>
      <c r="P10" s="83"/>
      <c r="Q10" s="83"/>
      <c r="R10" s="49"/>
    </row>
    <row r="11" spans="1:18" s="2" customFormat="1" ht="15" customHeight="1" thickBot="1" x14ac:dyDescent="0.25">
      <c r="A11" s="46"/>
      <c r="B11" s="46"/>
      <c r="C11" s="46"/>
      <c r="D11" s="46"/>
      <c r="E11" s="46"/>
      <c r="F11" s="46"/>
      <c r="G11" s="46"/>
      <c r="H11" s="46"/>
      <c r="I11" s="46"/>
      <c r="K11" s="4"/>
      <c r="L11" s="61"/>
      <c r="M11" s="61"/>
      <c r="N11" s="50"/>
      <c r="O11" s="51"/>
      <c r="P11" s="51"/>
      <c r="Q11" s="52"/>
      <c r="R11" s="53"/>
    </row>
    <row r="12" spans="1:18" s="2" customFormat="1" ht="7.5" customHeight="1" x14ac:dyDescent="0.2">
      <c r="K12" s="23"/>
      <c r="L12" s="23"/>
      <c r="M12" s="23"/>
      <c r="N12" s="23"/>
      <c r="O12" s="23"/>
      <c r="P12" s="23"/>
      <c r="Q12" s="23"/>
      <c r="R12" s="23"/>
    </row>
    <row r="13" spans="1:18" s="2" customFormat="1" ht="22.5" customHeight="1" x14ac:dyDescent="0.2">
      <c r="A13" s="57"/>
      <c r="B13" s="79" t="s">
        <v>19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N13" s="1"/>
      <c r="O13" s="78" t="s">
        <v>14</v>
      </c>
      <c r="P13" s="78"/>
      <c r="Q13" s="78"/>
      <c r="R13" s="60"/>
    </row>
    <row r="14" spans="1:18" s="2" customFormat="1" ht="15" customHeight="1" x14ac:dyDescent="0.2">
      <c r="A14" s="58"/>
      <c r="B14" s="80" t="s">
        <v>41</v>
      </c>
      <c r="C14" s="80"/>
      <c r="D14" s="80" t="s">
        <v>24</v>
      </c>
      <c r="E14" s="80"/>
      <c r="F14" s="80"/>
      <c r="G14" s="80"/>
      <c r="H14" s="80"/>
      <c r="I14" s="80"/>
      <c r="J14" s="80"/>
      <c r="K14" s="80"/>
      <c r="L14" s="80"/>
      <c r="N14" s="15"/>
      <c r="O14" s="25"/>
      <c r="P14" s="20"/>
      <c r="Q14" s="20"/>
      <c r="R14" s="58"/>
    </row>
    <row r="15" spans="1:18" s="2" customFormat="1" ht="15" customHeight="1" x14ac:dyDescent="0.2">
      <c r="A15" s="58"/>
      <c r="B15" s="80" t="s">
        <v>40</v>
      </c>
      <c r="C15" s="80"/>
      <c r="D15" s="80" t="s">
        <v>24</v>
      </c>
      <c r="E15" s="80"/>
      <c r="F15" s="80"/>
      <c r="G15" s="80"/>
      <c r="H15" s="80"/>
      <c r="I15" s="80"/>
      <c r="J15" s="80"/>
      <c r="K15" s="80"/>
      <c r="L15" s="80"/>
      <c r="N15" s="3"/>
      <c r="O15" s="25"/>
      <c r="P15" s="54" t="s">
        <v>15</v>
      </c>
      <c r="Q15" s="20"/>
      <c r="R15" s="58"/>
    </row>
    <row r="16" spans="1:18" s="2" customFormat="1" ht="15" customHeight="1" x14ac:dyDescent="0.2">
      <c r="A16" s="58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N16" s="16"/>
      <c r="O16" s="25"/>
      <c r="P16" s="36" t="s">
        <v>16</v>
      </c>
      <c r="Q16" s="20"/>
      <c r="R16" s="58"/>
    </row>
    <row r="17" spans="1:18" s="2" customFormat="1" ht="15" customHeight="1" x14ac:dyDescent="0.2">
      <c r="A17" s="58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N17" s="16"/>
      <c r="O17" s="25"/>
      <c r="P17" t="s">
        <v>17</v>
      </c>
      <c r="Q17" s="20"/>
      <c r="R17" s="58"/>
    </row>
    <row r="18" spans="1:18" s="2" customFormat="1" ht="15" customHeight="1" x14ac:dyDescent="0.2">
      <c r="A18" s="42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N18" s="42"/>
      <c r="O18" s="55"/>
      <c r="P18" s="55"/>
      <c r="Q18" s="55"/>
      <c r="R18" s="42"/>
    </row>
    <row r="19" spans="1:18" ht="16" thickBot="1" x14ac:dyDescent="0.25">
      <c r="A19" s="46"/>
      <c r="B19" s="46"/>
      <c r="C19" s="46"/>
      <c r="D19" s="59"/>
      <c r="E19" s="59"/>
      <c r="F19" s="59"/>
      <c r="G19" s="59"/>
      <c r="H19" s="59"/>
      <c r="I19" s="59"/>
      <c r="J19" s="59"/>
      <c r="K19" s="59"/>
      <c r="L19" s="59"/>
      <c r="N19" s="46"/>
      <c r="O19" s="46"/>
      <c r="P19" s="46"/>
      <c r="Q19" s="46"/>
      <c r="R19" s="46"/>
    </row>
    <row r="20" spans="1:18" x14ac:dyDescent="0.2">
      <c r="Q20" s="56"/>
      <c r="R20" s="33"/>
    </row>
    <row r="21" spans="1:18" x14ac:dyDescent="0.2"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</row>
    <row r="22" spans="1:18" x14ac:dyDescent="0.2"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</row>
    <row r="23" spans="1:18" x14ac:dyDescent="0.2">
      <c r="F23" s="33"/>
      <c r="G23" s="33"/>
      <c r="H23" s="33"/>
      <c r="I23" s="33"/>
      <c r="J23" s="33"/>
      <c r="K23" s="33"/>
      <c r="L23" s="33"/>
      <c r="M23" s="33"/>
      <c r="N23" s="30"/>
      <c r="O23" s="30"/>
      <c r="P23" s="30"/>
      <c r="Q23" s="30"/>
    </row>
    <row r="24" spans="1:18" x14ac:dyDescent="0.2"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8" x14ac:dyDescent="0.2"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8" x14ac:dyDescent="0.2"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</sheetData>
  <mergeCells count="20">
    <mergeCell ref="B14:C14"/>
    <mergeCell ref="B15:C15"/>
    <mergeCell ref="B16:C16"/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25"/>
  <sheetViews>
    <sheetView tabSelected="1" zoomScale="138" zoomScaleNormal="100" workbookViewId="0">
      <pane xSplit="2" ySplit="2" topLeftCell="O50" activePane="bottomRight" state="frozen"/>
      <selection pane="topRight" activeCell="C1" sqref="C1"/>
      <selection pane="bottomLeft" activeCell="A3" sqref="A3"/>
      <selection pane="bottomRight" activeCell="V84" sqref="T60:V84"/>
    </sheetView>
  </sheetViews>
  <sheetFormatPr baseColWidth="10" defaultColWidth="9.1640625" defaultRowHeight="15" customHeight="1" x14ac:dyDescent="0.2"/>
  <cols>
    <col min="1" max="1" width="2.1640625" style="70" customWidth="1"/>
    <col min="2" max="2" width="41.6640625" style="14" customWidth="1"/>
    <col min="3" max="10" width="11" customWidth="1"/>
    <col min="11" max="12" width="9.33203125" customWidth="1"/>
    <col min="20" max="20" width="30.5" customWidth="1"/>
    <col min="21" max="21" width="19" customWidth="1"/>
    <col min="22" max="22" width="17" customWidth="1"/>
  </cols>
  <sheetData>
    <row r="1" spans="1:15" s="48" customFormat="1" ht="45" customHeight="1" x14ac:dyDescent="0.2">
      <c r="A1" s="68" t="s">
        <v>20</v>
      </c>
      <c r="B1" s="9"/>
      <c r="C1" s="11" t="s">
        <v>12</v>
      </c>
      <c r="D1" s="11" t="s">
        <v>12</v>
      </c>
      <c r="E1" s="11" t="s">
        <v>12</v>
      </c>
      <c r="F1" s="11" t="s">
        <v>13</v>
      </c>
      <c r="G1" s="11" t="s">
        <v>13</v>
      </c>
      <c r="H1" s="11" t="s">
        <v>13</v>
      </c>
      <c r="I1" s="11" t="s">
        <v>13</v>
      </c>
      <c r="J1" s="11" t="s">
        <v>13</v>
      </c>
      <c r="K1" s="11" t="s">
        <v>13</v>
      </c>
      <c r="L1" s="11" t="s">
        <v>13</v>
      </c>
      <c r="M1" s="11" t="s">
        <v>13</v>
      </c>
      <c r="N1" s="11" t="s">
        <v>13</v>
      </c>
      <c r="O1" s="11" t="s">
        <v>13</v>
      </c>
    </row>
    <row r="2" spans="1:15" s="35" customFormat="1" ht="30" customHeight="1" x14ac:dyDescent="0.25">
      <c r="A2" s="69" t="str">
        <f>Info!N5</f>
        <v>Luxottica</v>
      </c>
      <c r="B2" s="6"/>
      <c r="C2" s="10">
        <f>DATE(YEAR(D2)-1,MONTH(D2),DAY(D2))</f>
        <v>41274</v>
      </c>
      <c r="D2" s="10">
        <f>DATE(YEAR(E2)-1,MONTH(E2),DAY(E2))</f>
        <v>41639</v>
      </c>
      <c r="E2" s="10">
        <f>Info!N6</f>
        <v>42004</v>
      </c>
      <c r="F2" s="10">
        <f>DATE(YEAR(E2)+1,MONTH(E2),DAY(E2))</f>
        <v>42369</v>
      </c>
      <c r="G2" s="10">
        <f>DATE(YEAR(F2)+1,MONTH(F2),DAY(F2))</f>
        <v>42735</v>
      </c>
      <c r="H2" s="10">
        <f>DATE(YEAR(G2)+1,MONTH(G2),DAY(G2))</f>
        <v>43100</v>
      </c>
      <c r="I2" s="10">
        <f>DATE(YEAR(H2)+1,MONTH(H2),DAY(H2))</f>
        <v>43465</v>
      </c>
      <c r="J2" s="10">
        <f>DATE(YEAR(I2)+1,MONTH(I2),DAY(I2))</f>
        <v>43830</v>
      </c>
      <c r="K2" s="10">
        <f t="shared" ref="K2:O2" si="0">DATE(YEAR(J2)+1,MONTH(J2),DAY(J2))</f>
        <v>44196</v>
      </c>
      <c r="L2" s="10">
        <f t="shared" si="0"/>
        <v>44561</v>
      </c>
      <c r="M2" s="10">
        <f t="shared" si="0"/>
        <v>44926</v>
      </c>
      <c r="N2" s="10">
        <f t="shared" si="0"/>
        <v>45291</v>
      </c>
      <c r="O2" s="10">
        <f t="shared" si="0"/>
        <v>45657</v>
      </c>
    </row>
    <row r="4" spans="1:15" ht="15" customHeight="1" x14ac:dyDescent="0.2">
      <c r="A4" s="70" t="s">
        <v>44</v>
      </c>
    </row>
    <row r="5" spans="1:15" ht="15" customHeight="1" x14ac:dyDescent="0.2">
      <c r="B5" s="14" t="s">
        <v>25</v>
      </c>
      <c r="D5" s="63">
        <f>D23/C23-1</f>
        <v>3.1959421642975938E-2</v>
      </c>
      <c r="E5" s="63">
        <f>E23/D23-1</f>
        <v>4.645481620723424E-2</v>
      </c>
      <c r="F5" s="64">
        <v>0.15</v>
      </c>
      <c r="G5" s="64">
        <v>0.06</v>
      </c>
      <c r="H5" s="64">
        <v>0.06</v>
      </c>
      <c r="I5" s="64">
        <v>0.06</v>
      </c>
      <c r="J5" s="64">
        <v>0.06</v>
      </c>
      <c r="K5" s="64">
        <v>0.05</v>
      </c>
      <c r="L5" s="64">
        <v>0.05</v>
      </c>
      <c r="M5" s="64">
        <v>4.4999999999999998E-2</v>
      </c>
      <c r="N5" s="64">
        <v>0.04</v>
      </c>
      <c r="O5" s="64">
        <v>0.04</v>
      </c>
    </row>
    <row r="6" spans="1:15" ht="15" customHeight="1" x14ac:dyDescent="0.2">
      <c r="B6" s="14" t="s">
        <v>26</v>
      </c>
      <c r="C6" s="63">
        <f>C24*-1/C23</f>
        <v>0.86309334472834454</v>
      </c>
      <c r="D6" s="63">
        <f>D24*-1/D23</f>
        <v>0.85563651614997704</v>
      </c>
      <c r="E6" s="63">
        <f>E24*-1/E23</f>
        <v>0.84872385710105835</v>
      </c>
      <c r="F6" s="64">
        <v>0.85</v>
      </c>
      <c r="G6" s="64">
        <v>0.85</v>
      </c>
      <c r="H6" s="64">
        <v>0.85</v>
      </c>
      <c r="I6" s="64">
        <v>0.85</v>
      </c>
      <c r="J6" s="64">
        <v>0.85</v>
      </c>
      <c r="K6" s="64">
        <v>0.85</v>
      </c>
      <c r="L6" s="64">
        <v>0.85</v>
      </c>
      <c r="M6" s="64">
        <v>0.85</v>
      </c>
      <c r="N6" s="64">
        <v>0.85</v>
      </c>
      <c r="O6" s="64">
        <v>0.85</v>
      </c>
    </row>
    <row r="7" spans="1:15" ht="15" customHeight="1" x14ac:dyDescent="0.2">
      <c r="B7" s="14" t="s">
        <v>52</v>
      </c>
      <c r="C7" s="63">
        <f>C29*-1/C28</f>
        <v>0.36223824585794046</v>
      </c>
      <c r="D7" s="63">
        <f>D29*-1/D28</f>
        <v>0.4260968854006883</v>
      </c>
      <c r="E7" s="63">
        <f>E29*-1/E28</f>
        <v>0.39059845426906048</v>
      </c>
      <c r="F7" s="64">
        <v>0.36</v>
      </c>
      <c r="G7" s="64">
        <v>0.36</v>
      </c>
      <c r="H7" s="64">
        <v>0.36</v>
      </c>
      <c r="I7" s="64">
        <v>0.36</v>
      </c>
      <c r="J7" s="64">
        <v>0.36</v>
      </c>
      <c r="K7" s="64">
        <v>0.36</v>
      </c>
      <c r="L7" s="64">
        <v>0.36</v>
      </c>
      <c r="M7" s="64">
        <v>0.36</v>
      </c>
      <c r="N7" s="64">
        <v>0.36</v>
      </c>
      <c r="O7" s="64">
        <v>0.36</v>
      </c>
    </row>
    <row r="8" spans="1:15" ht="15" customHeight="1" x14ac:dyDescent="0.2">
      <c r="A8" s="71"/>
    </row>
    <row r="9" spans="1:15" ht="15" customHeight="1" x14ac:dyDescent="0.2">
      <c r="A9" s="70" t="s">
        <v>45</v>
      </c>
    </row>
    <row r="10" spans="1:15" ht="15" customHeight="1" x14ac:dyDescent="0.2">
      <c r="B10" s="14" t="s">
        <v>93</v>
      </c>
      <c r="D10" s="63">
        <f>D49/D23</f>
        <v>0.22126255587778429</v>
      </c>
      <c r="E10" s="63">
        <f>E49/E23</f>
        <v>0.22399843080206949</v>
      </c>
      <c r="F10" s="64">
        <v>0.223</v>
      </c>
      <c r="G10" s="64">
        <v>0.223</v>
      </c>
      <c r="H10" s="64">
        <v>0.223</v>
      </c>
      <c r="I10" s="64">
        <v>0.223</v>
      </c>
      <c r="J10" s="64">
        <v>0.223</v>
      </c>
      <c r="K10" s="64">
        <v>0.223</v>
      </c>
      <c r="L10" s="64">
        <v>0.223</v>
      </c>
      <c r="M10" s="64">
        <v>0.223</v>
      </c>
      <c r="N10" s="64">
        <v>0.223</v>
      </c>
      <c r="O10" s="64">
        <v>0.223</v>
      </c>
    </row>
    <row r="11" spans="1:15" ht="15" customHeight="1" x14ac:dyDescent="0.2">
      <c r="B11" s="14" t="s">
        <v>94</v>
      </c>
      <c r="D11" s="63">
        <f>D54/D23</f>
        <v>0.2534714344848919</v>
      </c>
      <c r="E11" s="63">
        <f>E54/E23</f>
        <v>0.28736564363447042</v>
      </c>
      <c r="F11" s="64">
        <v>0.27</v>
      </c>
      <c r="G11" s="64">
        <v>0.27</v>
      </c>
      <c r="H11" s="64">
        <v>0.27</v>
      </c>
      <c r="I11" s="64">
        <v>0.27</v>
      </c>
      <c r="J11" s="64">
        <v>0.27</v>
      </c>
      <c r="K11" s="64">
        <v>0.27</v>
      </c>
      <c r="L11" s="64">
        <v>0.27</v>
      </c>
      <c r="M11" s="64">
        <v>0.27</v>
      </c>
      <c r="N11" s="64">
        <v>0.27</v>
      </c>
      <c r="O11" s="64">
        <v>0.27</v>
      </c>
    </row>
    <row r="12" spans="1:15" ht="15" customHeight="1" x14ac:dyDescent="0.2">
      <c r="B12" s="14" t="s">
        <v>55</v>
      </c>
      <c r="D12" s="63">
        <f>274.114/D23</f>
        <v>3.748510620898609E-2</v>
      </c>
      <c r="E12" s="63">
        <f>280.779/E23</f>
        <v>3.6692024128117014E-2</v>
      </c>
      <c r="F12" s="64">
        <v>3.6999999999999998E-2</v>
      </c>
      <c r="G12" s="64">
        <v>3.6999999999999998E-2</v>
      </c>
      <c r="H12" s="64">
        <v>3.6999999999999998E-2</v>
      </c>
      <c r="I12" s="64">
        <v>3.6999999999999998E-2</v>
      </c>
      <c r="J12" s="64">
        <v>3.6999999999999998E-2</v>
      </c>
      <c r="K12" s="64">
        <v>3.6999999999999998E-2</v>
      </c>
      <c r="L12" s="64">
        <v>3.6999999999999998E-2</v>
      </c>
      <c r="M12" s="64">
        <v>3.6999999999999998E-2</v>
      </c>
      <c r="N12" s="64">
        <v>3.6999999999999998E-2</v>
      </c>
      <c r="O12" s="64">
        <v>3.6999999999999998E-2</v>
      </c>
    </row>
    <row r="13" spans="1:15" ht="15" customHeight="1" x14ac:dyDescent="0.2">
      <c r="B13" s="14" t="s">
        <v>60</v>
      </c>
      <c r="D13" s="63"/>
      <c r="E13" s="63">
        <f>383.996/D50</f>
        <v>6.5675110396050687E-2</v>
      </c>
      <c r="F13" s="65">
        <v>6.6000000000000003E-2</v>
      </c>
      <c r="G13" s="65">
        <v>6.6000000000000003E-2</v>
      </c>
      <c r="H13" s="65">
        <v>6.6000000000000003E-2</v>
      </c>
      <c r="I13" s="65">
        <v>6.6000000000000003E-2</v>
      </c>
      <c r="J13" s="65">
        <v>6.6000000000000003E-2</v>
      </c>
      <c r="K13" s="65">
        <v>6.6000000000000003E-2</v>
      </c>
      <c r="L13" s="65">
        <v>6.6000000000000003E-2</v>
      </c>
      <c r="M13" s="65">
        <v>6.6000000000000003E-2</v>
      </c>
      <c r="N13" s="65">
        <v>6.6000000000000003E-2</v>
      </c>
      <c r="O13" s="65">
        <v>6.6000000000000003E-2</v>
      </c>
    </row>
    <row r="14" spans="1:15" ht="15" customHeight="1" x14ac:dyDescent="0.2">
      <c r="B14" s="14" t="s">
        <v>57</v>
      </c>
      <c r="D14" s="63">
        <f>216.855/D30</f>
        <v>0.39509931458180753</v>
      </c>
      <c r="E14" s="63">
        <f>156.129/E30</f>
        <v>0.24168014674581853</v>
      </c>
      <c r="F14" s="65">
        <v>0.32</v>
      </c>
      <c r="G14" s="65">
        <v>0.32</v>
      </c>
      <c r="H14" s="65">
        <v>0.32</v>
      </c>
      <c r="I14" s="65">
        <v>0.32</v>
      </c>
      <c r="J14" s="65">
        <v>0.32</v>
      </c>
      <c r="K14" s="65">
        <v>0.32</v>
      </c>
      <c r="L14" s="65">
        <v>0.32</v>
      </c>
      <c r="M14" s="65">
        <v>0.32</v>
      </c>
      <c r="N14" s="65">
        <v>0.32</v>
      </c>
      <c r="O14" s="65">
        <v>0.32</v>
      </c>
    </row>
    <row r="15" spans="1:15" ht="15" customHeight="1" x14ac:dyDescent="0.2">
      <c r="A15" s="71"/>
    </row>
    <row r="16" spans="1:15" ht="15" customHeight="1" x14ac:dyDescent="0.2">
      <c r="A16" s="70" t="s">
        <v>51</v>
      </c>
    </row>
    <row r="17" spans="1:17" ht="15" customHeight="1" x14ac:dyDescent="0.2">
      <c r="B17" s="14" t="s">
        <v>56</v>
      </c>
      <c r="D17" s="63"/>
      <c r="E17" s="63"/>
      <c r="F17" s="66">
        <f>-(626.788+28.72)</f>
        <v>-655.50800000000004</v>
      </c>
      <c r="G17" s="66">
        <v>-21.841999999999999</v>
      </c>
      <c r="H17" s="66">
        <v>-91.188999999999993</v>
      </c>
      <c r="I17" s="66">
        <v>-105.428</v>
      </c>
      <c r="J17" s="66">
        <f>-1441.236*(75+500)/1525</f>
        <v>-543.41685245901647</v>
      </c>
      <c r="K17" s="66">
        <f>-1441.236*(50+50)/1525</f>
        <v>-94.507278688524593</v>
      </c>
      <c r="L17" s="66">
        <f>-1441.236*350/1525</f>
        <v>-330.77547540983608</v>
      </c>
      <c r="M17" s="66">
        <v>0</v>
      </c>
      <c r="N17" s="66">
        <v>0</v>
      </c>
      <c r="O17" s="66">
        <f>-1441.236*500/1525</f>
        <v>-472.53639344262297</v>
      </c>
    </row>
    <row r="18" spans="1:17" ht="15" customHeight="1" x14ac:dyDescent="0.2">
      <c r="B18" s="14" t="s">
        <v>71</v>
      </c>
      <c r="F18" s="65">
        <v>0.02</v>
      </c>
      <c r="G18" s="65">
        <v>0.02</v>
      </c>
      <c r="H18" s="65">
        <v>0.02</v>
      </c>
      <c r="I18" s="65">
        <v>0.02</v>
      </c>
      <c r="J18" s="65">
        <v>0.02</v>
      </c>
      <c r="K18" s="65">
        <v>0.02</v>
      </c>
      <c r="L18" s="65">
        <v>0.02</v>
      </c>
      <c r="M18" s="65">
        <v>0.02</v>
      </c>
      <c r="N18" s="65">
        <v>0.02</v>
      </c>
      <c r="O18" s="65">
        <v>0.02</v>
      </c>
    </row>
    <row r="19" spans="1:17" ht="15" customHeight="1" x14ac:dyDescent="0.2">
      <c r="B19" s="14" t="s">
        <v>72</v>
      </c>
      <c r="F19" s="65">
        <v>0.04</v>
      </c>
      <c r="G19" s="65">
        <v>0.04</v>
      </c>
      <c r="H19" s="65">
        <v>0.04</v>
      </c>
      <c r="I19" s="65">
        <v>0.04</v>
      </c>
      <c r="J19" s="65">
        <v>0.04</v>
      </c>
      <c r="K19" s="65">
        <v>0.04</v>
      </c>
      <c r="L19" s="65">
        <v>0.04</v>
      </c>
      <c r="M19" s="65">
        <v>0.04</v>
      </c>
      <c r="N19" s="65">
        <v>0.04</v>
      </c>
      <c r="O19" s="65">
        <v>0.04</v>
      </c>
    </row>
    <row r="20" spans="1:17" ht="15" customHeight="1" x14ac:dyDescent="0.2">
      <c r="B20" s="14" t="s">
        <v>70</v>
      </c>
      <c r="F20" s="65">
        <v>5.0000000000000001E-3</v>
      </c>
      <c r="G20" s="65">
        <v>5.0000000000000001E-3</v>
      </c>
      <c r="H20" s="65">
        <v>5.0000000000000001E-3</v>
      </c>
      <c r="I20" s="65">
        <v>5.0000000000000001E-3</v>
      </c>
      <c r="J20" s="65">
        <v>5.0000000000000001E-3</v>
      </c>
      <c r="K20" s="65">
        <v>5.0000000000000001E-3</v>
      </c>
      <c r="L20" s="65">
        <v>5.0000000000000001E-3</v>
      </c>
      <c r="M20" s="65">
        <v>5.0000000000000001E-3</v>
      </c>
      <c r="N20" s="65">
        <v>5.0000000000000001E-3</v>
      </c>
      <c r="O20" s="65">
        <v>5.0000000000000001E-3</v>
      </c>
    </row>
    <row r="21" spans="1:17" ht="15" customHeight="1" x14ac:dyDescent="0.2">
      <c r="A21" s="71"/>
    </row>
    <row r="22" spans="1:17" ht="15" customHeight="1" x14ac:dyDescent="0.2">
      <c r="A22" s="70" t="s">
        <v>118</v>
      </c>
    </row>
    <row r="23" spans="1:17" ht="15" customHeight="1" x14ac:dyDescent="0.2">
      <c r="A23" s="70">
        <v>1</v>
      </c>
      <c r="B23" s="14" t="s">
        <v>27</v>
      </c>
      <c r="C23" s="62">
        <v>7086.1419999999998</v>
      </c>
      <c r="D23" s="62">
        <v>7312.6109999999999</v>
      </c>
      <c r="E23" s="62">
        <v>7652.317</v>
      </c>
      <c r="F23">
        <f>E23*(1+F5)</f>
        <v>8800.1645499999995</v>
      </c>
      <c r="G23">
        <f t="shared" ref="G23:O23" si="1">F23*(1+G5)</f>
        <v>9328.1744230000004</v>
      </c>
      <c r="H23">
        <f t="shared" si="1"/>
        <v>9887.8648883800015</v>
      </c>
      <c r="I23">
        <f t="shared" si="1"/>
        <v>10481.136781682802</v>
      </c>
      <c r="J23">
        <f t="shared" si="1"/>
        <v>11110.004988583771</v>
      </c>
      <c r="K23">
        <f t="shared" si="1"/>
        <v>11665.50523801296</v>
      </c>
      <c r="L23">
        <f t="shared" si="1"/>
        <v>12248.780499913608</v>
      </c>
      <c r="M23">
        <f t="shared" si="1"/>
        <v>12799.97562240972</v>
      </c>
      <c r="N23">
        <f t="shared" si="1"/>
        <v>13311.97464730611</v>
      </c>
      <c r="O23">
        <f t="shared" si="1"/>
        <v>13844.453633198355</v>
      </c>
    </row>
    <row r="24" spans="1:17" ht="15" customHeight="1" x14ac:dyDescent="0.2">
      <c r="A24" s="70">
        <v>2</v>
      </c>
      <c r="B24" s="14" t="s">
        <v>28</v>
      </c>
      <c r="C24" s="62">
        <f>(2435.993+3680.009)*-1</f>
        <v>-6116.0020000000004</v>
      </c>
      <c r="D24" s="62">
        <f>(2524.006+3732.931)*-1</f>
        <v>-6256.9369999999999</v>
      </c>
      <c r="E24" s="62">
        <f>(2574.685+3920.019)*-1</f>
        <v>-6494.7039999999997</v>
      </c>
      <c r="F24">
        <f>F6*F23*-1</f>
        <v>-7480.1398674999991</v>
      </c>
      <c r="G24">
        <f t="shared" ref="G24:O24" si="2">G6*G23*-1</f>
        <v>-7928.9482595500003</v>
      </c>
      <c r="H24">
        <f t="shared" si="2"/>
        <v>-8404.6851551230011</v>
      </c>
      <c r="I24">
        <f t="shared" si="2"/>
        <v>-8908.9662644303826</v>
      </c>
      <c r="J24">
        <f t="shared" si="2"/>
        <v>-9443.5042402962044</v>
      </c>
      <c r="K24">
        <f t="shared" si="2"/>
        <v>-9915.6794523110166</v>
      </c>
      <c r="L24">
        <f t="shared" si="2"/>
        <v>-10411.463424926567</v>
      </c>
      <c r="M24">
        <f t="shared" si="2"/>
        <v>-10879.979279048262</v>
      </c>
      <c r="N24">
        <f t="shared" si="2"/>
        <v>-11315.178450210193</v>
      </c>
      <c r="O24">
        <f t="shared" si="2"/>
        <v>-11767.785588218601</v>
      </c>
    </row>
    <row r="25" spans="1:17" ht="15" customHeight="1" x14ac:dyDescent="0.2">
      <c r="A25" s="70">
        <v>3</v>
      </c>
      <c r="B25" s="14" t="s">
        <v>47</v>
      </c>
      <c r="C25">
        <f>C23+C24</f>
        <v>970.13999999999942</v>
      </c>
      <c r="D25">
        <f t="shared" ref="D25:E25" si="3">D23+D24</f>
        <v>1055.674</v>
      </c>
      <c r="E25">
        <f t="shared" si="3"/>
        <v>1157.6130000000003</v>
      </c>
      <c r="F25">
        <f>F23+F24</f>
        <v>1320.0246825000004</v>
      </c>
      <c r="G25">
        <f t="shared" ref="G25:O25" si="4">G23+G24</f>
        <v>1399.2261634500001</v>
      </c>
      <c r="H25">
        <f t="shared" si="4"/>
        <v>1483.1797332570004</v>
      </c>
      <c r="I25">
        <f t="shared" si="4"/>
        <v>1572.1705172524198</v>
      </c>
      <c r="J25">
        <f t="shared" si="4"/>
        <v>1666.5007482875662</v>
      </c>
      <c r="K25">
        <f t="shared" si="4"/>
        <v>1749.8257857019435</v>
      </c>
      <c r="L25">
        <f t="shared" si="4"/>
        <v>1837.3170749870405</v>
      </c>
      <c r="M25">
        <f t="shared" si="4"/>
        <v>1919.9963433614575</v>
      </c>
      <c r="N25">
        <f t="shared" si="4"/>
        <v>1996.7961970959168</v>
      </c>
      <c r="O25">
        <f t="shared" si="4"/>
        <v>2076.6680449797532</v>
      </c>
    </row>
    <row r="26" spans="1:17" ht="15" customHeight="1" x14ac:dyDescent="0.2">
      <c r="A26" s="70" t="s">
        <v>99</v>
      </c>
      <c r="B26" s="14" t="s">
        <v>48</v>
      </c>
      <c r="C26" s="62">
        <v>18.91</v>
      </c>
      <c r="D26" s="62">
        <v>10.071999999999999</v>
      </c>
      <c r="E26" s="62">
        <f>11.672+0.455</f>
        <v>12.127000000000001</v>
      </c>
      <c r="F26">
        <f t="shared" ref="F26:O26" ca="1" si="5">IF(switch = 1, F105, 0)</f>
        <v>6.6743446932162191</v>
      </c>
      <c r="G26">
        <f t="shared" ca="1" si="5"/>
        <v>7.7284752076697361</v>
      </c>
      <c r="H26">
        <f t="shared" ca="1" si="5"/>
        <v>10.887774812702121</v>
      </c>
      <c r="I26">
        <f t="shared" ca="1" si="5"/>
        <v>13.921046144572106</v>
      </c>
      <c r="J26">
        <f t="shared" ca="1" si="5"/>
        <v>15.930784573930724</v>
      </c>
      <c r="K26">
        <f t="shared" ca="1" si="5"/>
        <v>18.076473992932829</v>
      </c>
      <c r="L26">
        <f t="shared" ca="1" si="5"/>
        <v>20.861692330933984</v>
      </c>
      <c r="M26">
        <f t="shared" ca="1" si="5"/>
        <v>23.996714465309623</v>
      </c>
      <c r="N26">
        <f t="shared" ca="1" si="5"/>
        <v>28.057640182155136</v>
      </c>
      <c r="O26">
        <f t="shared" ca="1" si="5"/>
        <v>31.049330382422713</v>
      </c>
      <c r="Q26" t="s">
        <v>123</v>
      </c>
    </row>
    <row r="27" spans="1:17" ht="15" customHeight="1" x14ac:dyDescent="0.2">
      <c r="A27" s="70" t="s">
        <v>99</v>
      </c>
      <c r="B27" s="14" t="s">
        <v>49</v>
      </c>
      <c r="C27" s="62">
        <f>(138.14+6.463)*-1</f>
        <v>-144.60299999999998</v>
      </c>
      <c r="D27" s="62">
        <f>(102.132+7.247)*-1</f>
        <v>-109.379</v>
      </c>
      <c r="E27" s="62">
        <f>109.659*-1</f>
        <v>-109.65900000000001</v>
      </c>
      <c r="F27">
        <f t="shared" ref="F27:O27" ca="1" si="6">IF(switch=1,(F103+F104)*-1,0)</f>
        <v>-81.010990000000007</v>
      </c>
      <c r="G27">
        <f t="shared" ca="1" si="6"/>
        <v>-65.950959999999995</v>
      </c>
      <c r="H27">
        <f t="shared" ca="1" si="6"/>
        <v>-63.690339999999999</v>
      </c>
      <c r="I27">
        <f t="shared" ca="1" si="6"/>
        <v>-59.757999999999996</v>
      </c>
      <c r="J27">
        <f t="shared" ca="1" si="6"/>
        <v>-46.781102950819665</v>
      </c>
      <c r="K27">
        <f t="shared" ca="1" si="6"/>
        <v>-34.022620327868843</v>
      </c>
      <c r="L27">
        <f t="shared" ca="1" si="6"/>
        <v>-25.516965245901631</v>
      </c>
      <c r="M27">
        <f t="shared" ca="1" si="6"/>
        <v>-18.901455737704911</v>
      </c>
      <c r="N27">
        <f t="shared" ca="1" si="6"/>
        <v>-18.901455737704911</v>
      </c>
      <c r="O27">
        <f t="shared" ca="1" si="6"/>
        <v>-9.4507278688524554</v>
      </c>
      <c r="Q27" t="s">
        <v>123</v>
      </c>
    </row>
    <row r="28" spans="1:17" ht="15" customHeight="1" x14ac:dyDescent="0.2">
      <c r="A28" s="70">
        <v>4</v>
      </c>
      <c r="B28" s="14" t="s">
        <v>50</v>
      </c>
      <c r="C28">
        <f>SUM(C25:C27)</f>
        <v>844.44699999999943</v>
      </c>
      <c r="D28">
        <f t="shared" ref="D28:F28" si="7">SUM(D25:D27)</f>
        <v>956.36699999999985</v>
      </c>
      <c r="E28">
        <f t="shared" si="7"/>
        <v>1060.0810000000001</v>
      </c>
      <c r="F28">
        <f t="shared" ca="1" si="7"/>
        <v>1245.6880371932166</v>
      </c>
      <c r="G28">
        <f t="shared" ref="G28" ca="1" si="8">SUM(G25:G27)</f>
        <v>1341.00367865767</v>
      </c>
      <c r="H28">
        <f t="shared" ref="H28" ca="1" si="9">SUM(H25:H27)</f>
        <v>1430.3771680697025</v>
      </c>
      <c r="I28">
        <f t="shared" ref="I28" ca="1" si="10">SUM(I25:I27)</f>
        <v>1526.3335633969918</v>
      </c>
      <c r="J28">
        <f t="shared" ref="J28" ca="1" si="11">SUM(J25:J27)</f>
        <v>1635.6504299106773</v>
      </c>
      <c r="K28">
        <f t="shared" ref="K28" ca="1" si="12">SUM(K25:K27)</f>
        <v>1733.8796393670073</v>
      </c>
      <c r="L28">
        <f t="shared" ref="L28" ca="1" si="13">SUM(L25:L27)</f>
        <v>1832.6618020720728</v>
      </c>
      <c r="M28">
        <f t="shared" ref="M28" ca="1" si="14">SUM(M25:M27)</f>
        <v>1925.0916020890622</v>
      </c>
      <c r="N28">
        <f t="shared" ref="N28" ca="1" si="15">SUM(N25:N27)</f>
        <v>2005.952381540367</v>
      </c>
      <c r="O28">
        <f t="shared" ref="O28" ca="1" si="16">SUM(O25:O27)</f>
        <v>2098.2666474933235</v>
      </c>
    </row>
    <row r="29" spans="1:17" ht="15" customHeight="1" x14ac:dyDescent="0.2">
      <c r="A29" s="70">
        <v>5</v>
      </c>
      <c r="B29" s="14" t="s">
        <v>29</v>
      </c>
      <c r="C29" s="62">
        <f>305.891*-1</f>
        <v>-305.89100000000002</v>
      </c>
      <c r="D29" s="62">
        <f>407.505*-1</f>
        <v>-407.505</v>
      </c>
      <c r="E29" s="62">
        <f>414.066*-1</f>
        <v>-414.06599999999997</v>
      </c>
      <c r="F29">
        <f ca="1">F28*F7*-1</f>
        <v>-448.44769338955797</v>
      </c>
      <c r="G29">
        <f t="shared" ref="G29:O29" ca="1" si="17">G28*G7*-1</f>
        <v>-482.76132431676115</v>
      </c>
      <c r="H29">
        <f t="shared" ca="1" si="17"/>
        <v>-514.93578050509291</v>
      </c>
      <c r="I29">
        <f t="shared" ca="1" si="17"/>
        <v>-549.4800828229171</v>
      </c>
      <c r="J29">
        <f t="shared" ca="1" si="17"/>
        <v>-588.83415476784376</v>
      </c>
      <c r="K29">
        <f t="shared" ca="1" si="17"/>
        <v>-624.19667017212259</v>
      </c>
      <c r="L29">
        <f t="shared" ca="1" si="17"/>
        <v>-659.75824874594616</v>
      </c>
      <c r="M29">
        <f t="shared" ca="1" si="17"/>
        <v>-693.03297675206238</v>
      </c>
      <c r="N29">
        <f t="shared" ca="1" si="17"/>
        <v>-722.14285735453211</v>
      </c>
      <c r="O29">
        <f t="shared" ca="1" si="17"/>
        <v>-755.37599309759639</v>
      </c>
    </row>
    <row r="30" spans="1:17" ht="15" customHeight="1" x14ac:dyDescent="0.2">
      <c r="A30" s="70">
        <v>6</v>
      </c>
      <c r="B30" s="14" t="s">
        <v>30</v>
      </c>
      <c r="C30">
        <f>C28+C29</f>
        <v>538.55599999999936</v>
      </c>
      <c r="D30">
        <f t="shared" ref="D30:E30" si="18">D28+D29</f>
        <v>548.86199999999985</v>
      </c>
      <c r="E30">
        <f t="shared" si="18"/>
        <v>646.0150000000001</v>
      </c>
      <c r="F30">
        <f ca="1">F28+F29</f>
        <v>797.24034380365856</v>
      </c>
      <c r="G30">
        <f t="shared" ref="G30" ca="1" si="19">G28+G29</f>
        <v>858.24235434090883</v>
      </c>
      <c r="H30">
        <f t="shared" ref="H30" ca="1" si="20">H28+H29</f>
        <v>915.44138756460961</v>
      </c>
      <c r="I30">
        <f t="shared" ref="I30" ca="1" si="21">I28+I29</f>
        <v>976.85348057407475</v>
      </c>
      <c r="J30">
        <f t="shared" ref="J30" ca="1" si="22">J28+J29</f>
        <v>1046.8162751428335</v>
      </c>
      <c r="K30">
        <f t="shared" ref="K30" ca="1" si="23">K28+K29</f>
        <v>1109.6829691948847</v>
      </c>
      <c r="L30">
        <f t="shared" ref="L30" ca="1" si="24">L28+L29</f>
        <v>1172.9035533261267</v>
      </c>
      <c r="M30">
        <f t="shared" ref="M30" ca="1" si="25">M28+M29</f>
        <v>1232.0586253369997</v>
      </c>
      <c r="N30">
        <f t="shared" ref="N30" ca="1" si="26">N28+N29</f>
        <v>1283.809524185835</v>
      </c>
      <c r="O30">
        <f t="shared" ref="O30" ca="1" si="27">O28+O29</f>
        <v>1342.8906543957271</v>
      </c>
    </row>
    <row r="32" spans="1:17" ht="15" customHeight="1" x14ac:dyDescent="0.2">
      <c r="A32" s="70" t="s">
        <v>120</v>
      </c>
    </row>
    <row r="33" spans="1:17" ht="15" customHeight="1" x14ac:dyDescent="0.2">
      <c r="B33" s="14" t="s">
        <v>58</v>
      </c>
      <c r="F33">
        <f>E36</f>
        <v>6426.6030000000001</v>
      </c>
      <c r="G33">
        <f t="shared" ref="G33:O33" si="28">F36</f>
        <v>6328.0532903500007</v>
      </c>
      <c r="H33">
        <f t="shared" si="28"/>
        <v>6255.5442268379011</v>
      </c>
      <c r="I33">
        <f t="shared" si="28"/>
        <v>6208.529308736659</v>
      </c>
      <c r="J33">
        <f t="shared" si="28"/>
        <v>6186.5684352823037</v>
      </c>
      <c r="K33">
        <f t="shared" si="28"/>
        <v>6189.3251031312711</v>
      </c>
      <c r="L33">
        <f t="shared" si="28"/>
        <v>6212.4533401310864</v>
      </c>
      <c r="M33">
        <f t="shared" si="28"/>
        <v>6255.6362981792381</v>
      </c>
      <c r="N33">
        <f t="shared" si="28"/>
        <v>6316.3634005285685</v>
      </c>
      <c r="O33">
        <f t="shared" si="28"/>
        <v>6392.0264780440084</v>
      </c>
    </row>
    <row r="34" spans="1:17" ht="15" customHeight="1" x14ac:dyDescent="0.2">
      <c r="B34" s="14" t="s">
        <v>59</v>
      </c>
      <c r="F34">
        <f>F12*F23</f>
        <v>325.60608834999999</v>
      </c>
      <c r="G34">
        <f t="shared" ref="G34:O34" si="29">G12*G23</f>
        <v>345.14245365099998</v>
      </c>
      <c r="H34">
        <f t="shared" si="29"/>
        <v>365.85100087006003</v>
      </c>
      <c r="I34">
        <f t="shared" si="29"/>
        <v>387.80206092226365</v>
      </c>
      <c r="J34">
        <f t="shared" si="29"/>
        <v>411.07018457759949</v>
      </c>
      <c r="K34">
        <f t="shared" si="29"/>
        <v>431.62369380647948</v>
      </c>
      <c r="L34">
        <f t="shared" si="29"/>
        <v>453.20487849680347</v>
      </c>
      <c r="M34">
        <f t="shared" si="29"/>
        <v>473.59909802915962</v>
      </c>
      <c r="N34">
        <f t="shared" si="29"/>
        <v>492.54306195032603</v>
      </c>
      <c r="O34">
        <f t="shared" si="29"/>
        <v>512.24478442833913</v>
      </c>
    </row>
    <row r="35" spans="1:17" ht="15" customHeight="1" x14ac:dyDescent="0.2">
      <c r="B35" s="14" t="s">
        <v>61</v>
      </c>
      <c r="F35">
        <f>F13*F33*-1</f>
        <v>-424.155798</v>
      </c>
      <c r="G35">
        <f t="shared" ref="G35:O35" si="30">G13*G33*-1</f>
        <v>-417.65151716310004</v>
      </c>
      <c r="H35">
        <f t="shared" si="30"/>
        <v>-412.86591897130148</v>
      </c>
      <c r="I35">
        <f t="shared" si="30"/>
        <v>-409.76293437661951</v>
      </c>
      <c r="J35">
        <f t="shared" si="30"/>
        <v>-408.31351672863207</v>
      </c>
      <c r="K35">
        <f t="shared" si="30"/>
        <v>-408.49545680666392</v>
      </c>
      <c r="L35">
        <f t="shared" si="30"/>
        <v>-410.02192044865171</v>
      </c>
      <c r="M35">
        <f t="shared" si="30"/>
        <v>-412.87199567982975</v>
      </c>
      <c r="N35">
        <f t="shared" si="30"/>
        <v>-416.87998443488556</v>
      </c>
      <c r="O35">
        <f t="shared" si="30"/>
        <v>-421.87374755090457</v>
      </c>
    </row>
    <row r="36" spans="1:17" ht="15" customHeight="1" x14ac:dyDescent="0.2">
      <c r="B36" s="14" t="s">
        <v>62</v>
      </c>
      <c r="E36">
        <f>E50</f>
        <v>6426.6030000000001</v>
      </c>
      <c r="F36" s="30">
        <f>SUM(F33:F35)</f>
        <v>6328.0532903500007</v>
      </c>
      <c r="G36" s="30">
        <f t="shared" ref="G36:O36" si="31">SUM(G33:G35)</f>
        <v>6255.5442268379011</v>
      </c>
      <c r="H36" s="30">
        <f t="shared" si="31"/>
        <v>6208.529308736659</v>
      </c>
      <c r="I36" s="30">
        <f t="shared" si="31"/>
        <v>6186.5684352823037</v>
      </c>
      <c r="J36" s="30">
        <f t="shared" si="31"/>
        <v>6189.3251031312711</v>
      </c>
      <c r="K36" s="30">
        <f t="shared" si="31"/>
        <v>6212.4533401310864</v>
      </c>
      <c r="L36" s="30">
        <f t="shared" si="31"/>
        <v>6255.6362981792381</v>
      </c>
      <c r="M36" s="30">
        <f t="shared" si="31"/>
        <v>6316.3634005285685</v>
      </c>
      <c r="N36" s="30">
        <f t="shared" si="31"/>
        <v>6392.0264780440084</v>
      </c>
      <c r="O36" s="30">
        <f t="shared" si="31"/>
        <v>6482.397514921443</v>
      </c>
    </row>
    <row r="38" spans="1:17" ht="15" customHeight="1" x14ac:dyDescent="0.2">
      <c r="B38" s="14" t="s">
        <v>63</v>
      </c>
      <c r="F38">
        <f>E41</f>
        <v>4928.7780000000002</v>
      </c>
      <c r="G38">
        <f t="shared" ref="G38:O38" ca="1" si="32">F41</f>
        <v>5470.9014337864874</v>
      </c>
      <c r="H38">
        <f t="shared" ca="1" si="32"/>
        <v>6054.5062347383055</v>
      </c>
      <c r="I38">
        <f t="shared" ca="1" si="32"/>
        <v>6677.0063782822399</v>
      </c>
      <c r="J38">
        <f t="shared" ca="1" si="32"/>
        <v>7341.2667450726103</v>
      </c>
      <c r="K38">
        <f t="shared" ca="1" si="32"/>
        <v>8053.1018121697361</v>
      </c>
      <c r="L38">
        <f t="shared" ca="1" si="32"/>
        <v>8807.6862312222565</v>
      </c>
      <c r="M38">
        <f t="shared" ca="1" si="32"/>
        <v>9605.2606474840231</v>
      </c>
      <c r="N38">
        <f t="shared" ca="1" si="32"/>
        <v>10443.060512713184</v>
      </c>
      <c r="O38">
        <f t="shared" ca="1" si="32"/>
        <v>11316.050989159552</v>
      </c>
    </row>
    <row r="39" spans="1:17" ht="15" customHeight="1" x14ac:dyDescent="0.2">
      <c r="B39" s="14" t="s">
        <v>30</v>
      </c>
      <c r="F39">
        <f ca="1">F30</f>
        <v>797.24034380365856</v>
      </c>
      <c r="G39">
        <f t="shared" ref="G39:O39" ca="1" si="33">G30</f>
        <v>858.24235434090883</v>
      </c>
      <c r="H39">
        <f t="shared" ca="1" si="33"/>
        <v>915.44138756460961</v>
      </c>
      <c r="I39">
        <f t="shared" ca="1" si="33"/>
        <v>976.85348057407475</v>
      </c>
      <c r="J39">
        <f t="shared" ca="1" si="33"/>
        <v>1046.8162751428335</v>
      </c>
      <c r="K39">
        <f t="shared" ca="1" si="33"/>
        <v>1109.6829691948847</v>
      </c>
      <c r="L39">
        <f t="shared" ca="1" si="33"/>
        <v>1172.9035533261267</v>
      </c>
      <c r="M39">
        <f t="shared" ca="1" si="33"/>
        <v>1232.0586253369997</v>
      </c>
      <c r="N39">
        <f t="shared" ca="1" si="33"/>
        <v>1283.809524185835</v>
      </c>
      <c r="O39">
        <f t="shared" ca="1" si="33"/>
        <v>1342.8906543957271</v>
      </c>
    </row>
    <row r="40" spans="1:17" ht="15" customHeight="1" x14ac:dyDescent="0.2">
      <c r="B40" s="14" t="s">
        <v>64</v>
      </c>
      <c r="F40">
        <f ca="1">F14*F30*-1</f>
        <v>-255.11691001717074</v>
      </c>
      <c r="G40">
        <f t="shared" ref="G40:O40" ca="1" si="34">G14*G30*-1</f>
        <v>-274.63755338909084</v>
      </c>
      <c r="H40">
        <f t="shared" ca="1" si="34"/>
        <v>-292.94124402067507</v>
      </c>
      <c r="I40">
        <f t="shared" ca="1" si="34"/>
        <v>-312.59311378370393</v>
      </c>
      <c r="J40">
        <f t="shared" ca="1" si="34"/>
        <v>-334.98120804570675</v>
      </c>
      <c r="K40">
        <f t="shared" ca="1" si="34"/>
        <v>-355.09855014236308</v>
      </c>
      <c r="L40">
        <f t="shared" ca="1" si="34"/>
        <v>-375.32913706436057</v>
      </c>
      <c r="M40">
        <f t="shared" ca="1" si="34"/>
        <v>-394.25876010783992</v>
      </c>
      <c r="N40">
        <f t="shared" ca="1" si="34"/>
        <v>-410.81904773946724</v>
      </c>
      <c r="O40">
        <f t="shared" ca="1" si="34"/>
        <v>-429.72500940663269</v>
      </c>
    </row>
    <row r="41" spans="1:17" ht="15" customHeight="1" x14ac:dyDescent="0.2">
      <c r="B41" s="14" t="s">
        <v>65</v>
      </c>
      <c r="E41">
        <f>E58</f>
        <v>4928.7780000000002</v>
      </c>
      <c r="F41" s="30">
        <f ca="1">SUM(F38:F40)</f>
        <v>5470.9014337864874</v>
      </c>
      <c r="G41" s="30">
        <f t="shared" ref="G41:O41" ca="1" si="35">SUM(G38:G40)</f>
        <v>6054.5062347383055</v>
      </c>
      <c r="H41" s="30">
        <f t="shared" ca="1" si="35"/>
        <v>6677.0063782822399</v>
      </c>
      <c r="I41" s="30">
        <f t="shared" ca="1" si="35"/>
        <v>7341.2667450726103</v>
      </c>
      <c r="J41" s="30">
        <f t="shared" ca="1" si="35"/>
        <v>8053.1018121697361</v>
      </c>
      <c r="K41" s="30">
        <f t="shared" ca="1" si="35"/>
        <v>8807.6862312222565</v>
      </c>
      <c r="L41" s="30">
        <f t="shared" ca="1" si="35"/>
        <v>9605.2606474840231</v>
      </c>
      <c r="M41" s="30">
        <f t="shared" ca="1" si="35"/>
        <v>10443.060512713184</v>
      </c>
      <c r="N41" s="30">
        <f t="shared" ca="1" si="35"/>
        <v>11316.050989159552</v>
      </c>
      <c r="O41" s="30">
        <f t="shared" ca="1" si="35"/>
        <v>12229.216634148646</v>
      </c>
    </row>
    <row r="43" spans="1:17" ht="15" customHeight="1" x14ac:dyDescent="0.2">
      <c r="B43" s="14" t="str">
        <f>B49</f>
        <v>Operating current assets (Op)</v>
      </c>
      <c r="D43">
        <f>D49</f>
        <v>1618.0070000000001</v>
      </c>
      <c r="E43">
        <f t="shared" ref="E43:F43" si="36">E49</f>
        <v>1714.107</v>
      </c>
      <c r="F43">
        <f t="shared" si="36"/>
        <v>1962.4366946499999</v>
      </c>
      <c r="G43">
        <f t="shared" ref="G43:O43" si="37">G49</f>
        <v>2080.182896329</v>
      </c>
      <c r="H43">
        <f t="shared" si="37"/>
        <v>2204.9938701087403</v>
      </c>
      <c r="I43">
        <f t="shared" si="37"/>
        <v>2337.293502315265</v>
      </c>
      <c r="J43">
        <f t="shared" si="37"/>
        <v>2477.5311124541809</v>
      </c>
      <c r="K43">
        <f t="shared" si="37"/>
        <v>2601.4076680768903</v>
      </c>
      <c r="L43">
        <f t="shared" si="37"/>
        <v>2731.4780514807344</v>
      </c>
      <c r="M43">
        <f t="shared" si="37"/>
        <v>2854.3945637973675</v>
      </c>
      <c r="N43">
        <f t="shared" si="37"/>
        <v>2968.5703463492623</v>
      </c>
      <c r="O43">
        <f t="shared" si="37"/>
        <v>3087.3131602032331</v>
      </c>
    </row>
    <row r="44" spans="1:17" ht="15" customHeight="1" x14ac:dyDescent="0.2">
      <c r="B44" s="14" t="str">
        <f>B54</f>
        <v>Operating current liabilities (Op)</v>
      </c>
      <c r="D44">
        <f>-D54</f>
        <v>-1853.538</v>
      </c>
      <c r="E44">
        <f t="shared" ref="E44:F44" si="38">-E54</f>
        <v>-2199.0129999999999</v>
      </c>
      <c r="F44">
        <f t="shared" si="38"/>
        <v>-2376.0444284999999</v>
      </c>
      <c r="G44">
        <f t="shared" ref="G44:O44" si="39">-G54</f>
        <v>-2518.6070942100005</v>
      </c>
      <c r="H44">
        <f t="shared" si="39"/>
        <v>-2669.7235198626004</v>
      </c>
      <c r="I44">
        <f t="shared" si="39"/>
        <v>-2829.9069310543568</v>
      </c>
      <c r="J44">
        <f t="shared" si="39"/>
        <v>-2999.7013469176181</v>
      </c>
      <c r="K44">
        <f t="shared" si="39"/>
        <v>-3149.6864142634995</v>
      </c>
      <c r="L44">
        <f t="shared" si="39"/>
        <v>-3307.1707349766743</v>
      </c>
      <c r="M44">
        <f t="shared" si="39"/>
        <v>-3455.9934180506248</v>
      </c>
      <c r="N44">
        <f t="shared" si="39"/>
        <v>-3594.2331547726499</v>
      </c>
      <c r="O44">
        <f t="shared" si="39"/>
        <v>-3738.0024809635561</v>
      </c>
    </row>
    <row r="45" spans="1:17" ht="15" customHeight="1" x14ac:dyDescent="0.2">
      <c r="B45" s="14" t="s">
        <v>66</v>
      </c>
      <c r="D45">
        <f>SUM(D43:D44)</f>
        <v>-235.53099999999995</v>
      </c>
      <c r="E45">
        <f t="shared" ref="E45:F45" si="40">SUM(E43:E44)</f>
        <v>-484.90599999999995</v>
      </c>
      <c r="F45">
        <f t="shared" si="40"/>
        <v>-413.60773384999993</v>
      </c>
      <c r="G45">
        <f t="shared" ref="G45" si="41">SUM(G43:G44)</f>
        <v>-438.42419788100051</v>
      </c>
      <c r="H45">
        <f t="shared" ref="H45" si="42">SUM(H43:H44)</f>
        <v>-464.72964975386003</v>
      </c>
      <c r="I45">
        <f t="shared" ref="I45" si="43">SUM(I43:I44)</f>
        <v>-492.61342873909189</v>
      </c>
      <c r="J45">
        <f t="shared" ref="J45" si="44">SUM(J43:J44)</f>
        <v>-522.17023446343728</v>
      </c>
      <c r="K45">
        <f t="shared" ref="K45" si="45">SUM(K43:K44)</f>
        <v>-548.27874618660917</v>
      </c>
      <c r="L45">
        <f t="shared" ref="L45" si="46">SUM(L43:L44)</f>
        <v>-575.69268349593995</v>
      </c>
      <c r="M45">
        <f t="shared" ref="M45" si="47">SUM(M43:M44)</f>
        <v>-601.59885425325729</v>
      </c>
      <c r="N45">
        <f t="shared" ref="N45" si="48">SUM(N43:N44)</f>
        <v>-625.66280842338756</v>
      </c>
      <c r="O45">
        <f t="shared" ref="O45" si="49">SUM(O43:O44)</f>
        <v>-650.68932076032297</v>
      </c>
    </row>
    <row r="47" spans="1:17" ht="15" customHeight="1" x14ac:dyDescent="0.2">
      <c r="A47" s="70" t="s">
        <v>119</v>
      </c>
    </row>
    <row r="48" spans="1:17" ht="15" customHeight="1" x14ac:dyDescent="0.2">
      <c r="A48" s="70" t="s">
        <v>99</v>
      </c>
      <c r="B48" s="14" t="s">
        <v>31</v>
      </c>
      <c r="D48" s="62">
        <v>617.995</v>
      </c>
      <c r="E48" s="62">
        <v>1453.587</v>
      </c>
      <c r="F48">
        <f ca="1">F80</f>
        <v>1216.1508772864879</v>
      </c>
      <c r="G48">
        <f t="shared" ref="G48:O48" ca="1" si="50">G80</f>
        <v>1875.2392057814066</v>
      </c>
      <c r="H48">
        <f t="shared" ca="1" si="50"/>
        <v>2479.870719299442</v>
      </c>
      <c r="I48">
        <f t="shared" ca="1" si="50"/>
        <v>3088.5477385294007</v>
      </c>
      <c r="J48">
        <f t="shared" ca="1" si="50"/>
        <v>3283.766091042889</v>
      </c>
      <c r="K48">
        <f t="shared" ca="1" si="50"/>
        <v>3946.8235061302421</v>
      </c>
      <c r="L48">
        <f t="shared" ca="1" si="50"/>
        <v>4397.8534262433514</v>
      </c>
      <c r="M48">
        <f t="shared" ca="1" si="50"/>
        <v>5200.8323598804982</v>
      </c>
      <c r="N48">
        <f t="shared" ca="1" si="50"/>
        <v>6022.2237129815558</v>
      </c>
      <c r="O48">
        <f t="shared" ca="1" si="50"/>
        <v>6397.5084399875286</v>
      </c>
      <c r="Q48" t="s">
        <v>98</v>
      </c>
    </row>
    <row r="49" spans="1:17" ht="15" customHeight="1" x14ac:dyDescent="0.2">
      <c r="A49" s="70">
        <v>1</v>
      </c>
      <c r="B49" s="14" t="s">
        <v>100</v>
      </c>
      <c r="D49" s="62">
        <f>680.296+698.95+238.761</f>
        <v>1618.0070000000001</v>
      </c>
      <c r="E49" s="62">
        <f>754.306+728.404+231.397</f>
        <v>1714.107</v>
      </c>
      <c r="F49">
        <f>F10*F23</f>
        <v>1962.4366946499999</v>
      </c>
      <c r="G49">
        <f t="shared" ref="G49:O49" si="51">G10*G23</f>
        <v>2080.182896329</v>
      </c>
      <c r="H49">
        <f t="shared" si="51"/>
        <v>2204.9938701087403</v>
      </c>
      <c r="I49">
        <f t="shared" si="51"/>
        <v>2337.293502315265</v>
      </c>
      <c r="J49">
        <f t="shared" si="51"/>
        <v>2477.5311124541809</v>
      </c>
      <c r="K49">
        <f t="shared" si="51"/>
        <v>2601.4076680768903</v>
      </c>
      <c r="L49">
        <f t="shared" si="51"/>
        <v>2731.4780514807344</v>
      </c>
      <c r="M49">
        <f t="shared" si="51"/>
        <v>2854.3945637973675</v>
      </c>
      <c r="N49">
        <f t="shared" si="51"/>
        <v>2968.5703463492623</v>
      </c>
      <c r="O49">
        <f t="shared" si="51"/>
        <v>3087.3131602032331</v>
      </c>
    </row>
    <row r="50" spans="1:17" ht="15" customHeight="1" x14ac:dyDescent="0.2">
      <c r="A50" s="70">
        <v>3</v>
      </c>
      <c r="B50" s="14" t="s">
        <v>101</v>
      </c>
      <c r="D50" s="62">
        <v>5846.9030000000002</v>
      </c>
      <c r="E50" s="62">
        <v>6426.6030000000001</v>
      </c>
      <c r="F50">
        <f>F36</f>
        <v>6328.0532903500007</v>
      </c>
      <c r="G50">
        <f t="shared" ref="G50:O50" si="52">G36</f>
        <v>6255.5442268379011</v>
      </c>
      <c r="H50">
        <f t="shared" si="52"/>
        <v>6208.529308736659</v>
      </c>
      <c r="I50">
        <f t="shared" si="52"/>
        <v>6186.5684352823037</v>
      </c>
      <c r="J50">
        <f t="shared" si="52"/>
        <v>6189.3251031312711</v>
      </c>
      <c r="K50">
        <f t="shared" si="52"/>
        <v>6212.4533401310864</v>
      </c>
      <c r="L50">
        <f t="shared" si="52"/>
        <v>6255.6362981792381</v>
      </c>
      <c r="M50">
        <f t="shared" si="52"/>
        <v>6316.3634005285685</v>
      </c>
      <c r="N50">
        <f t="shared" si="52"/>
        <v>6392.0264780440084</v>
      </c>
      <c r="O50">
        <f t="shared" si="52"/>
        <v>6482.397514921443</v>
      </c>
    </row>
    <row r="51" spans="1:17" ht="15" customHeight="1" x14ac:dyDescent="0.2">
      <c r="B51" s="14" t="s">
        <v>32</v>
      </c>
      <c r="D51">
        <f>SUM(D48:D50)</f>
        <v>8082.9050000000007</v>
      </c>
      <c r="E51">
        <f t="shared" ref="E51:O51" si="53">SUM(E48:E50)</f>
        <v>9594.2970000000005</v>
      </c>
      <c r="F51">
        <f t="shared" ca="1" si="53"/>
        <v>9506.6408622864874</v>
      </c>
      <c r="G51">
        <f t="shared" ca="1" si="53"/>
        <v>10210.966328948307</v>
      </c>
      <c r="H51">
        <f t="shared" ca="1" si="53"/>
        <v>10893.393898144841</v>
      </c>
      <c r="I51">
        <f t="shared" ca="1" si="53"/>
        <v>11612.409676126968</v>
      </c>
      <c r="J51">
        <f t="shared" ca="1" si="53"/>
        <v>11950.622306628342</v>
      </c>
      <c r="K51">
        <f t="shared" ca="1" si="53"/>
        <v>12760.68451433822</v>
      </c>
      <c r="L51">
        <f t="shared" ca="1" si="53"/>
        <v>13384.967775903324</v>
      </c>
      <c r="M51">
        <f t="shared" ca="1" si="53"/>
        <v>14371.590324206434</v>
      </c>
      <c r="N51">
        <f t="shared" ca="1" si="53"/>
        <v>15382.820537374826</v>
      </c>
      <c r="O51">
        <f t="shared" ca="1" si="53"/>
        <v>15967.219115112206</v>
      </c>
    </row>
    <row r="53" spans="1:17" ht="15" customHeight="1" x14ac:dyDescent="0.2">
      <c r="A53" s="70" t="s">
        <v>99</v>
      </c>
      <c r="B53" s="14" t="s">
        <v>102</v>
      </c>
      <c r="D53" s="62">
        <v>44.920999999999999</v>
      </c>
      <c r="E53" s="62">
        <v>151.303</v>
      </c>
      <c r="F53">
        <f ca="1">F95</f>
        <v>0</v>
      </c>
      <c r="G53">
        <f t="shared" ref="G53:O53" ca="1" si="54">G95</f>
        <v>0</v>
      </c>
      <c r="H53">
        <f t="shared" ca="1" si="54"/>
        <v>0</v>
      </c>
      <c r="I53">
        <f t="shared" ca="1" si="54"/>
        <v>0</v>
      </c>
      <c r="J53">
        <f t="shared" ca="1" si="54"/>
        <v>0</v>
      </c>
      <c r="K53">
        <f t="shared" ca="1" si="54"/>
        <v>0</v>
      </c>
      <c r="L53">
        <f t="shared" ca="1" si="54"/>
        <v>0</v>
      </c>
      <c r="M53">
        <f t="shared" ca="1" si="54"/>
        <v>0</v>
      </c>
      <c r="N53">
        <f t="shared" ca="1" si="54"/>
        <v>0</v>
      </c>
      <c r="O53">
        <f t="shared" ca="1" si="54"/>
        <v>0</v>
      </c>
      <c r="Q53" t="s">
        <v>98</v>
      </c>
    </row>
    <row r="54" spans="1:17" ht="15" customHeight="1" x14ac:dyDescent="0.2">
      <c r="A54" s="70">
        <v>2</v>
      </c>
      <c r="B54" s="14" t="s">
        <v>103</v>
      </c>
      <c r="D54" s="62">
        <f>681.151+9.477+123.688+523.05+76.399+268.078+97.544+74.151</f>
        <v>1853.538</v>
      </c>
      <c r="E54" s="62">
        <f>744.272+42.603+187.719+636.055+138.475+266.896+99.223+83.77</f>
        <v>2199.0129999999999</v>
      </c>
      <c r="F54">
        <f>F11*F23</f>
        <v>2376.0444284999999</v>
      </c>
      <c r="G54">
        <f t="shared" ref="G54:O54" si="55">G11*G23</f>
        <v>2518.6070942100005</v>
      </c>
      <c r="H54">
        <f t="shared" si="55"/>
        <v>2669.7235198626004</v>
      </c>
      <c r="I54">
        <f t="shared" si="55"/>
        <v>2829.9069310543568</v>
      </c>
      <c r="J54">
        <f t="shared" si="55"/>
        <v>2999.7013469176181</v>
      </c>
      <c r="K54">
        <f t="shared" si="55"/>
        <v>3149.6864142634995</v>
      </c>
      <c r="L54">
        <f t="shared" si="55"/>
        <v>3307.1707349766743</v>
      </c>
      <c r="M54">
        <f t="shared" si="55"/>
        <v>3455.9934180506248</v>
      </c>
      <c r="N54">
        <f t="shared" si="55"/>
        <v>3594.2331547726499</v>
      </c>
      <c r="O54">
        <f t="shared" si="55"/>
        <v>3738.0024809635561</v>
      </c>
    </row>
    <row r="55" spans="1:17" ht="15" customHeight="1" x14ac:dyDescent="0.2">
      <c r="A55" s="70" t="s">
        <v>99</v>
      </c>
      <c r="B55" s="14" t="s">
        <v>104</v>
      </c>
      <c r="D55" s="62">
        <f>318.1+1716.41</f>
        <v>2034.5100000000002</v>
      </c>
      <c r="E55" s="62">
        <f>626.788+1688.415</f>
        <v>2315.203</v>
      </c>
      <c r="F55">
        <f>F101</f>
        <v>1659.6949999999999</v>
      </c>
      <c r="G55">
        <f t="shared" ref="G55:O55" si="56">G101</f>
        <v>1637.8529999999998</v>
      </c>
      <c r="H55">
        <f t="shared" si="56"/>
        <v>1546.6639999999998</v>
      </c>
      <c r="I55">
        <f t="shared" si="56"/>
        <v>1441.2359999999999</v>
      </c>
      <c r="J55">
        <f t="shared" si="56"/>
        <v>897.81914754098341</v>
      </c>
      <c r="K55">
        <f t="shared" si="56"/>
        <v>803.31186885245882</v>
      </c>
      <c r="L55">
        <f t="shared" si="56"/>
        <v>472.53639344262274</v>
      </c>
      <c r="M55">
        <f t="shared" si="56"/>
        <v>472.53639344262274</v>
      </c>
      <c r="N55">
        <f t="shared" si="56"/>
        <v>472.53639344262274</v>
      </c>
      <c r="O55">
        <f t="shared" si="56"/>
        <v>0</v>
      </c>
      <c r="Q55" t="s">
        <v>98</v>
      </c>
    </row>
    <row r="56" spans="1:17" ht="15" customHeight="1" x14ac:dyDescent="0.2">
      <c r="B56" s="14" t="s">
        <v>33</v>
      </c>
      <c r="D56">
        <f>SUM(D53:D55)</f>
        <v>3932.9690000000001</v>
      </c>
      <c r="E56">
        <f t="shared" ref="E56:F56" si="57">SUM(E53:E55)</f>
        <v>4665.5190000000002</v>
      </c>
      <c r="F56">
        <f t="shared" ca="1" si="57"/>
        <v>4035.7394285</v>
      </c>
      <c r="G56">
        <f t="shared" ref="G56" ca="1" si="58">SUM(G53:G55)</f>
        <v>4156.4600942100005</v>
      </c>
      <c r="H56">
        <f t="shared" ref="H56" ca="1" si="59">SUM(H53:H55)</f>
        <v>4216.3875198626001</v>
      </c>
      <c r="I56">
        <f t="shared" ref="I56" ca="1" si="60">SUM(I53:I55)</f>
        <v>4271.1429310543572</v>
      </c>
      <c r="J56">
        <f t="shared" ref="J56" ca="1" si="61">SUM(J53:J55)</f>
        <v>3897.5204944586017</v>
      </c>
      <c r="K56">
        <f t="shared" ref="K56" ca="1" si="62">SUM(K53:K55)</f>
        <v>3952.9982831159582</v>
      </c>
      <c r="L56">
        <f t="shared" ref="L56" ca="1" si="63">SUM(L53:L55)</f>
        <v>3779.7071284192971</v>
      </c>
      <c r="M56">
        <f t="shared" ref="M56" ca="1" si="64">SUM(M53:M55)</f>
        <v>3928.5298114932475</v>
      </c>
      <c r="N56">
        <f t="shared" ref="N56" ca="1" si="65">SUM(N53:N55)</f>
        <v>4066.7695482152726</v>
      </c>
      <c r="O56">
        <f t="shared" ref="O56" ca="1" si="66">SUM(O53:O55)</f>
        <v>3738.0024809635561</v>
      </c>
    </row>
    <row r="58" spans="1:17" ht="15" customHeight="1" x14ac:dyDescent="0.2">
      <c r="A58" s="70">
        <v>4</v>
      </c>
      <c r="B58" s="14" t="s">
        <v>105</v>
      </c>
      <c r="D58" s="62">
        <v>4149.9359999999997</v>
      </c>
      <c r="E58" s="62">
        <v>4928.7780000000002</v>
      </c>
      <c r="F58">
        <f ca="1">F41</f>
        <v>5470.9014337864874</v>
      </c>
      <c r="G58">
        <f t="shared" ref="G58:O58" ca="1" si="67">G41</f>
        <v>6054.5062347383055</v>
      </c>
      <c r="H58">
        <f t="shared" ca="1" si="67"/>
        <v>6677.0063782822399</v>
      </c>
      <c r="I58">
        <f t="shared" ca="1" si="67"/>
        <v>7341.2667450726103</v>
      </c>
      <c r="J58">
        <f t="shared" ca="1" si="67"/>
        <v>8053.1018121697361</v>
      </c>
      <c r="K58">
        <f t="shared" ca="1" si="67"/>
        <v>8807.6862312222565</v>
      </c>
      <c r="L58">
        <f t="shared" ca="1" si="67"/>
        <v>9605.2606474840231</v>
      </c>
      <c r="M58">
        <f t="shared" ca="1" si="67"/>
        <v>10443.060512713184</v>
      </c>
      <c r="N58">
        <f t="shared" ca="1" si="67"/>
        <v>11316.050989159552</v>
      </c>
      <c r="O58">
        <f t="shared" ca="1" si="67"/>
        <v>12229.216634148646</v>
      </c>
    </row>
    <row r="59" spans="1:17" ht="15" customHeight="1" x14ac:dyDescent="0.2">
      <c r="B59" s="14" t="s">
        <v>34</v>
      </c>
      <c r="D59">
        <f>D58+D56</f>
        <v>8082.9049999999997</v>
      </c>
      <c r="E59">
        <f t="shared" ref="E59:O59" si="68">E58+E56</f>
        <v>9594.2970000000005</v>
      </c>
      <c r="F59">
        <f ca="1">F58+F56</f>
        <v>9506.6408622864874</v>
      </c>
      <c r="G59">
        <f t="shared" ca="1" si="68"/>
        <v>10210.966328948307</v>
      </c>
      <c r="H59">
        <f t="shared" ca="1" si="68"/>
        <v>10893.393898144841</v>
      </c>
      <c r="I59">
        <f t="shared" ca="1" si="68"/>
        <v>11612.409676126968</v>
      </c>
      <c r="J59">
        <f t="shared" ca="1" si="68"/>
        <v>11950.622306628338</v>
      </c>
      <c r="K59">
        <f t="shared" ca="1" si="68"/>
        <v>12760.684514338214</v>
      </c>
      <c r="L59">
        <f t="shared" ca="1" si="68"/>
        <v>13384.96777590332</v>
      </c>
      <c r="M59">
        <f t="shared" ca="1" si="68"/>
        <v>14371.590324206431</v>
      </c>
      <c r="N59">
        <f t="shared" ca="1" si="68"/>
        <v>15382.820537374824</v>
      </c>
      <c r="O59">
        <f t="shared" ca="1" si="68"/>
        <v>15967.219115112202</v>
      </c>
    </row>
    <row r="61" spans="1:17" ht="15" customHeight="1" x14ac:dyDescent="0.2">
      <c r="B61" s="14" t="s">
        <v>35</v>
      </c>
      <c r="D61">
        <f>D59-D51</f>
        <v>0</v>
      </c>
      <c r="E61">
        <f t="shared" ref="E61:O61" si="69">E59-E51</f>
        <v>0</v>
      </c>
      <c r="F61">
        <f ca="1">F59-F51</f>
        <v>0</v>
      </c>
      <c r="G61">
        <f t="shared" ca="1" si="69"/>
        <v>0</v>
      </c>
      <c r="H61">
        <f t="shared" ca="1" si="69"/>
        <v>0</v>
      </c>
      <c r="I61">
        <f t="shared" ca="1" si="69"/>
        <v>0</v>
      </c>
      <c r="J61">
        <f t="shared" ca="1" si="69"/>
        <v>0</v>
      </c>
      <c r="K61">
        <f t="shared" ca="1" si="69"/>
        <v>0</v>
      </c>
      <c r="L61">
        <f t="shared" ca="1" si="69"/>
        <v>0</v>
      </c>
      <c r="M61">
        <f t="shared" ca="1" si="69"/>
        <v>0</v>
      </c>
      <c r="N61">
        <f t="shared" ca="1" si="69"/>
        <v>0</v>
      </c>
      <c r="O61">
        <f t="shared" ca="1" si="69"/>
        <v>0</v>
      </c>
    </row>
    <row r="63" spans="1:17" ht="15" customHeight="1" x14ac:dyDescent="0.2">
      <c r="A63" s="70" t="s">
        <v>121</v>
      </c>
    </row>
    <row r="64" spans="1:17" ht="15" customHeight="1" x14ac:dyDescent="0.2">
      <c r="B64" s="14" t="s">
        <v>106</v>
      </c>
      <c r="F64">
        <f ca="1">F30</f>
        <v>797.24034380365856</v>
      </c>
      <c r="G64">
        <f t="shared" ref="G64:O64" ca="1" si="70">G30</f>
        <v>858.24235434090883</v>
      </c>
      <c r="H64">
        <f t="shared" ca="1" si="70"/>
        <v>915.44138756460961</v>
      </c>
      <c r="I64">
        <f t="shared" ca="1" si="70"/>
        <v>976.85348057407475</v>
      </c>
      <c r="J64">
        <f t="shared" ca="1" si="70"/>
        <v>1046.8162751428335</v>
      </c>
      <c r="K64">
        <f t="shared" ca="1" si="70"/>
        <v>1109.6829691948847</v>
      </c>
      <c r="L64">
        <f t="shared" ca="1" si="70"/>
        <v>1172.9035533261267</v>
      </c>
      <c r="M64">
        <f t="shared" ca="1" si="70"/>
        <v>1232.0586253369997</v>
      </c>
      <c r="N64">
        <f t="shared" ca="1" si="70"/>
        <v>1283.809524185835</v>
      </c>
      <c r="O64">
        <f t="shared" ca="1" si="70"/>
        <v>1342.8906543957271</v>
      </c>
    </row>
    <row r="65" spans="1:20" ht="15" customHeight="1" x14ac:dyDescent="0.2">
      <c r="B65" s="14" t="s">
        <v>61</v>
      </c>
      <c r="F65">
        <f>F35*-1</f>
        <v>424.155798</v>
      </c>
      <c r="G65">
        <f t="shared" ref="G65:O65" si="71">G35*-1</f>
        <v>417.65151716310004</v>
      </c>
      <c r="H65">
        <f t="shared" si="71"/>
        <v>412.86591897130148</v>
      </c>
      <c r="I65">
        <f t="shared" si="71"/>
        <v>409.76293437661951</v>
      </c>
      <c r="J65">
        <f t="shared" si="71"/>
        <v>408.31351672863207</v>
      </c>
      <c r="K65">
        <f t="shared" si="71"/>
        <v>408.49545680666392</v>
      </c>
      <c r="L65">
        <f t="shared" si="71"/>
        <v>410.02192044865171</v>
      </c>
      <c r="M65">
        <f t="shared" si="71"/>
        <v>412.87199567982975</v>
      </c>
      <c r="N65">
        <f t="shared" si="71"/>
        <v>416.87998443488556</v>
      </c>
      <c r="O65">
        <f t="shared" si="71"/>
        <v>421.87374755090457</v>
      </c>
    </row>
    <row r="66" spans="1:20" ht="15" customHeight="1" x14ac:dyDescent="0.2">
      <c r="B66" s="14" t="s">
        <v>107</v>
      </c>
      <c r="F66">
        <f>E45-F45</f>
        <v>-71.298266150000018</v>
      </c>
      <c r="G66">
        <f t="shared" ref="G66:O66" si="72">F45-G45</f>
        <v>24.816464031000578</v>
      </c>
      <c r="H66">
        <f t="shared" si="72"/>
        <v>26.305451872859521</v>
      </c>
      <c r="I66">
        <f t="shared" si="72"/>
        <v>27.883778985231856</v>
      </c>
      <c r="J66">
        <f t="shared" si="72"/>
        <v>29.556805724345395</v>
      </c>
      <c r="K66">
        <f t="shared" si="72"/>
        <v>26.108511723171887</v>
      </c>
      <c r="L66">
        <f t="shared" si="72"/>
        <v>27.413937309330777</v>
      </c>
      <c r="M66">
        <f t="shared" si="72"/>
        <v>25.906170757317341</v>
      </c>
      <c r="N66">
        <f t="shared" si="72"/>
        <v>24.063954170130273</v>
      </c>
      <c r="O66">
        <f t="shared" si="72"/>
        <v>25.026512336935411</v>
      </c>
    </row>
    <row r="67" spans="1:20" ht="15" customHeight="1" x14ac:dyDescent="0.2">
      <c r="B67" s="14" t="s">
        <v>108</v>
      </c>
      <c r="F67">
        <f ca="1">SUM(F64:F66)</f>
        <v>1150.0978756536585</v>
      </c>
      <c r="G67">
        <f t="shared" ref="G67:O67" ca="1" si="73">SUM(G64:G66)</f>
        <v>1300.7103355350096</v>
      </c>
      <c r="H67">
        <f t="shared" ca="1" si="73"/>
        <v>1354.6127584087706</v>
      </c>
      <c r="I67">
        <f t="shared" ca="1" si="73"/>
        <v>1414.5001939359261</v>
      </c>
      <c r="J67">
        <f t="shared" ca="1" si="73"/>
        <v>1484.686597595811</v>
      </c>
      <c r="K67">
        <f t="shared" ca="1" si="73"/>
        <v>1544.2869377247205</v>
      </c>
      <c r="L67">
        <f t="shared" ca="1" si="73"/>
        <v>1610.3394110841091</v>
      </c>
      <c r="M67">
        <f t="shared" ca="1" si="73"/>
        <v>1670.8367917741468</v>
      </c>
      <c r="N67">
        <f t="shared" ca="1" si="73"/>
        <v>1724.7534627908508</v>
      </c>
      <c r="O67">
        <f t="shared" ca="1" si="73"/>
        <v>1789.790914283567</v>
      </c>
    </row>
    <row r="69" spans="1:20" ht="15" customHeight="1" x14ac:dyDescent="0.2">
      <c r="B69" s="14" t="s">
        <v>109</v>
      </c>
      <c r="F69">
        <f>F34*-1</f>
        <v>-325.60608834999999</v>
      </c>
      <c r="G69">
        <f t="shared" ref="G69:O69" si="74">G34*-1</f>
        <v>-345.14245365099998</v>
      </c>
      <c r="H69">
        <f t="shared" si="74"/>
        <v>-365.85100087006003</v>
      </c>
      <c r="I69">
        <f t="shared" si="74"/>
        <v>-387.80206092226365</v>
      </c>
      <c r="J69">
        <f t="shared" si="74"/>
        <v>-411.07018457759949</v>
      </c>
      <c r="K69">
        <f t="shared" si="74"/>
        <v>-431.62369380647948</v>
      </c>
      <c r="L69">
        <f t="shared" si="74"/>
        <v>-453.20487849680347</v>
      </c>
      <c r="M69">
        <f t="shared" si="74"/>
        <v>-473.59909802915962</v>
      </c>
      <c r="N69">
        <f t="shared" si="74"/>
        <v>-492.54306195032603</v>
      </c>
      <c r="O69">
        <f t="shared" si="74"/>
        <v>-512.24478442833913</v>
      </c>
    </row>
    <row r="70" spans="1:20" ht="15" customHeight="1" x14ac:dyDescent="0.2">
      <c r="B70" s="14" t="s">
        <v>110</v>
      </c>
      <c r="F70">
        <f>F69</f>
        <v>-325.60608834999999</v>
      </c>
      <c r="G70">
        <f t="shared" ref="G70:O70" si="75">G69</f>
        <v>-345.14245365099998</v>
      </c>
      <c r="H70">
        <f t="shared" si="75"/>
        <v>-365.85100087006003</v>
      </c>
      <c r="I70">
        <f t="shared" si="75"/>
        <v>-387.80206092226365</v>
      </c>
      <c r="J70">
        <f t="shared" si="75"/>
        <v>-411.07018457759949</v>
      </c>
      <c r="K70">
        <f t="shared" si="75"/>
        <v>-431.62369380647948</v>
      </c>
      <c r="L70">
        <f t="shared" si="75"/>
        <v>-453.20487849680347</v>
      </c>
      <c r="M70">
        <f t="shared" si="75"/>
        <v>-473.59909802915962</v>
      </c>
      <c r="N70">
        <f t="shared" si="75"/>
        <v>-492.54306195032603</v>
      </c>
      <c r="O70">
        <f t="shared" si="75"/>
        <v>-512.24478442833913</v>
      </c>
    </row>
    <row r="72" spans="1:20" ht="15" customHeight="1" x14ac:dyDescent="0.2">
      <c r="B72" s="14" t="s">
        <v>111</v>
      </c>
      <c r="F72">
        <f ca="1">F40</f>
        <v>-255.11691001717074</v>
      </c>
      <c r="G72">
        <f t="shared" ref="G72:O72" ca="1" si="76">G40</f>
        <v>-274.63755338909084</v>
      </c>
      <c r="H72">
        <f t="shared" ca="1" si="76"/>
        <v>-292.94124402067507</v>
      </c>
      <c r="I72">
        <f t="shared" ca="1" si="76"/>
        <v>-312.59311378370393</v>
      </c>
      <c r="J72">
        <f t="shared" ca="1" si="76"/>
        <v>-334.98120804570675</v>
      </c>
      <c r="K72">
        <f t="shared" ca="1" si="76"/>
        <v>-355.09855014236308</v>
      </c>
      <c r="L72">
        <f t="shared" ca="1" si="76"/>
        <v>-375.32913706436057</v>
      </c>
      <c r="M72">
        <f t="shared" ca="1" si="76"/>
        <v>-394.25876010783992</v>
      </c>
      <c r="N72">
        <f t="shared" ca="1" si="76"/>
        <v>-410.81904773946724</v>
      </c>
      <c r="O72">
        <f t="shared" ca="1" si="76"/>
        <v>-429.72500940663269</v>
      </c>
    </row>
    <row r="73" spans="1:20" ht="15" customHeight="1" x14ac:dyDescent="0.2">
      <c r="B73" s="14" t="s">
        <v>115</v>
      </c>
      <c r="F73">
        <f ca="1">F53-E53</f>
        <v>-151.303</v>
      </c>
      <c r="G73">
        <f t="shared" ref="G73:O73" ca="1" si="77">G53-F53</f>
        <v>0</v>
      </c>
      <c r="H73">
        <f t="shared" ca="1" si="77"/>
        <v>0</v>
      </c>
      <c r="I73">
        <f t="shared" ca="1" si="77"/>
        <v>0</v>
      </c>
      <c r="J73">
        <f t="shared" ca="1" si="77"/>
        <v>0</v>
      </c>
      <c r="K73">
        <f t="shared" ca="1" si="77"/>
        <v>0</v>
      </c>
      <c r="L73">
        <f t="shared" ca="1" si="77"/>
        <v>0</v>
      </c>
      <c r="M73">
        <f t="shared" ca="1" si="77"/>
        <v>0</v>
      </c>
      <c r="N73">
        <f t="shared" ca="1" si="77"/>
        <v>0</v>
      </c>
      <c r="O73">
        <f t="shared" ca="1" si="77"/>
        <v>0</v>
      </c>
    </row>
    <row r="74" spans="1:20" ht="15" customHeight="1" x14ac:dyDescent="0.2">
      <c r="B74" s="14" t="s">
        <v>114</v>
      </c>
      <c r="F74">
        <f>F55-E55</f>
        <v>-655.50800000000004</v>
      </c>
      <c r="G74">
        <f t="shared" ref="G74:O74" si="78">G55-F55</f>
        <v>-21.842000000000098</v>
      </c>
      <c r="H74">
        <f t="shared" si="78"/>
        <v>-91.189000000000078</v>
      </c>
      <c r="I74">
        <f t="shared" si="78"/>
        <v>-105.42799999999988</v>
      </c>
      <c r="J74">
        <f t="shared" si="78"/>
        <v>-543.41685245901647</v>
      </c>
      <c r="K74">
        <f t="shared" si="78"/>
        <v>-94.507278688524593</v>
      </c>
      <c r="L74">
        <f t="shared" si="78"/>
        <v>-330.77547540983608</v>
      </c>
      <c r="M74">
        <f t="shared" si="78"/>
        <v>0</v>
      </c>
      <c r="N74">
        <f t="shared" si="78"/>
        <v>0</v>
      </c>
      <c r="O74">
        <f t="shared" si="78"/>
        <v>-472.53639344262274</v>
      </c>
    </row>
    <row r="75" spans="1:20" ht="15" customHeight="1" x14ac:dyDescent="0.2">
      <c r="B75" s="14" t="s">
        <v>112</v>
      </c>
      <c r="F75">
        <f ca="1">SUM(F72:F74)</f>
        <v>-1061.9279100171707</v>
      </c>
      <c r="G75">
        <f t="shared" ref="G75:O75" ca="1" si="79">SUM(G72:G74)</f>
        <v>-296.47955338909094</v>
      </c>
      <c r="H75">
        <f t="shared" ca="1" si="79"/>
        <v>-384.13024402067515</v>
      </c>
      <c r="I75">
        <f t="shared" ca="1" si="79"/>
        <v>-418.02111378370381</v>
      </c>
      <c r="J75">
        <f t="shared" ca="1" si="79"/>
        <v>-878.39806050472316</v>
      </c>
      <c r="K75">
        <f t="shared" ca="1" si="79"/>
        <v>-449.60582883088767</v>
      </c>
      <c r="L75">
        <f t="shared" ca="1" si="79"/>
        <v>-706.10461247419664</v>
      </c>
      <c r="M75">
        <f t="shared" ca="1" si="79"/>
        <v>-394.25876010783992</v>
      </c>
      <c r="N75">
        <f t="shared" ca="1" si="79"/>
        <v>-410.81904773946724</v>
      </c>
      <c r="O75">
        <f t="shared" ca="1" si="79"/>
        <v>-902.26140284925543</v>
      </c>
    </row>
    <row r="77" spans="1:20" ht="15" customHeight="1" x14ac:dyDescent="0.2">
      <c r="B77" s="14" t="s">
        <v>113</v>
      </c>
      <c r="F77">
        <f ca="1">F75+F70+F67</f>
        <v>-237.43612271351208</v>
      </c>
      <c r="G77">
        <f t="shared" ref="G77:O77" ca="1" si="80">G75+G70+G67</f>
        <v>659.08832849491864</v>
      </c>
      <c r="H77">
        <f t="shared" ca="1" si="80"/>
        <v>604.63151351803538</v>
      </c>
      <c r="I77">
        <f t="shared" ca="1" si="80"/>
        <v>608.67701922995866</v>
      </c>
      <c r="J77">
        <f t="shared" ca="1" si="80"/>
        <v>195.2183525134883</v>
      </c>
      <c r="K77">
        <f t="shared" ca="1" si="80"/>
        <v>663.05741508735332</v>
      </c>
      <c r="L77">
        <f t="shared" ca="1" si="80"/>
        <v>451.02992011310903</v>
      </c>
      <c r="M77">
        <f t="shared" ca="1" si="80"/>
        <v>802.97893363714729</v>
      </c>
      <c r="N77">
        <f t="shared" ca="1" si="80"/>
        <v>821.39135310105758</v>
      </c>
      <c r="O77">
        <f t="shared" ca="1" si="80"/>
        <v>375.2847270059724</v>
      </c>
    </row>
    <row r="79" spans="1:20" ht="15" customHeight="1" x14ac:dyDescent="0.2">
      <c r="B79" s="14" t="s">
        <v>116</v>
      </c>
      <c r="F79">
        <f>E80</f>
        <v>1453.587</v>
      </c>
      <c r="G79">
        <f t="shared" ref="G79:O79" ca="1" si="81">F80</f>
        <v>1216.1508772864879</v>
      </c>
      <c r="H79">
        <f t="shared" ca="1" si="81"/>
        <v>1875.2392057814066</v>
      </c>
      <c r="I79">
        <f t="shared" ca="1" si="81"/>
        <v>2479.870719299442</v>
      </c>
      <c r="J79">
        <f t="shared" ca="1" si="81"/>
        <v>3088.5477385294007</v>
      </c>
      <c r="K79">
        <f t="shared" ca="1" si="81"/>
        <v>3283.766091042889</v>
      </c>
      <c r="L79">
        <f t="shared" ca="1" si="81"/>
        <v>3946.8235061302421</v>
      </c>
      <c r="M79">
        <f t="shared" ca="1" si="81"/>
        <v>4397.8534262433514</v>
      </c>
      <c r="N79">
        <f t="shared" ca="1" si="81"/>
        <v>5200.8323598804982</v>
      </c>
      <c r="O79">
        <f t="shared" ca="1" si="81"/>
        <v>6022.2237129815558</v>
      </c>
      <c r="T79" s="14"/>
    </row>
    <row r="80" spans="1:20" ht="15" customHeight="1" x14ac:dyDescent="0.2">
      <c r="A80" s="70" t="s">
        <v>99</v>
      </c>
      <c r="B80" s="14" t="s">
        <v>117</v>
      </c>
      <c r="E80">
        <f>E48</f>
        <v>1453.587</v>
      </c>
      <c r="F80">
        <f ca="1">F79+F77</f>
        <v>1216.1508772864879</v>
      </c>
      <c r="G80">
        <f t="shared" ref="G80:O80" ca="1" si="82">G79+G77</f>
        <v>1875.2392057814066</v>
      </c>
      <c r="H80">
        <f t="shared" ca="1" si="82"/>
        <v>2479.870719299442</v>
      </c>
      <c r="I80">
        <f t="shared" ca="1" si="82"/>
        <v>3088.5477385294007</v>
      </c>
      <c r="J80">
        <f t="shared" ca="1" si="82"/>
        <v>3283.766091042889</v>
      </c>
      <c r="K80">
        <f t="shared" ca="1" si="82"/>
        <v>3946.8235061302421</v>
      </c>
      <c r="L80">
        <f t="shared" ca="1" si="82"/>
        <v>4397.8534262433514</v>
      </c>
      <c r="M80">
        <f t="shared" ca="1" si="82"/>
        <v>5200.8323598804982</v>
      </c>
      <c r="N80">
        <f t="shared" ca="1" si="82"/>
        <v>6022.2237129815558</v>
      </c>
      <c r="O80">
        <f t="shared" ca="1" si="82"/>
        <v>6397.5084399875286</v>
      </c>
      <c r="T80" s="14"/>
    </row>
    <row r="81" spans="1:20" ht="15" customHeight="1" x14ac:dyDescent="0.2">
      <c r="T81" s="14"/>
    </row>
    <row r="82" spans="1:20" ht="15" customHeight="1" x14ac:dyDescent="0.2">
      <c r="A82" s="70" t="s">
        <v>122</v>
      </c>
      <c r="T82" s="14"/>
    </row>
    <row r="83" spans="1:20" ht="15" customHeight="1" x14ac:dyDescent="0.2">
      <c r="B83" s="14" t="s">
        <v>36</v>
      </c>
      <c r="F83">
        <f ca="1">F67</f>
        <v>1150.0978756536585</v>
      </c>
      <c r="G83">
        <f t="shared" ref="G83:O83" ca="1" si="83">G67</f>
        <v>1300.7103355350096</v>
      </c>
      <c r="H83">
        <f t="shared" ca="1" si="83"/>
        <v>1354.6127584087706</v>
      </c>
      <c r="I83">
        <f t="shared" ca="1" si="83"/>
        <v>1414.5001939359261</v>
      </c>
      <c r="J83">
        <f t="shared" ca="1" si="83"/>
        <v>1484.686597595811</v>
      </c>
      <c r="K83">
        <f t="shared" ca="1" si="83"/>
        <v>1544.2869377247205</v>
      </c>
      <c r="L83">
        <f t="shared" ca="1" si="83"/>
        <v>1610.3394110841091</v>
      </c>
      <c r="M83">
        <f t="shared" ca="1" si="83"/>
        <v>1670.8367917741468</v>
      </c>
      <c r="N83">
        <f t="shared" ca="1" si="83"/>
        <v>1724.7534627908508</v>
      </c>
      <c r="O83">
        <f t="shared" ca="1" si="83"/>
        <v>1789.790914283567</v>
      </c>
      <c r="T83" s="14"/>
    </row>
    <row r="84" spans="1:20" ht="15" customHeight="1" x14ac:dyDescent="0.2">
      <c r="B84" s="14" t="s">
        <v>37</v>
      </c>
      <c r="F84">
        <f>F70</f>
        <v>-325.60608834999999</v>
      </c>
      <c r="G84">
        <f t="shared" ref="G84:O84" si="84">G70</f>
        <v>-345.14245365099998</v>
      </c>
      <c r="H84">
        <f t="shared" si="84"/>
        <v>-365.85100087006003</v>
      </c>
      <c r="I84">
        <f t="shared" si="84"/>
        <v>-387.80206092226365</v>
      </c>
      <c r="J84">
        <f t="shared" si="84"/>
        <v>-411.07018457759949</v>
      </c>
      <c r="K84">
        <f t="shared" si="84"/>
        <v>-431.62369380647948</v>
      </c>
      <c r="L84">
        <f t="shared" si="84"/>
        <v>-453.20487849680347</v>
      </c>
      <c r="M84">
        <f t="shared" si="84"/>
        <v>-473.59909802915962</v>
      </c>
      <c r="N84">
        <f t="shared" si="84"/>
        <v>-492.54306195032603</v>
      </c>
      <c r="O84">
        <f t="shared" si="84"/>
        <v>-512.24478442833913</v>
      </c>
      <c r="T84" s="14"/>
    </row>
    <row r="85" spans="1:20" ht="15" customHeight="1" x14ac:dyDescent="0.2">
      <c r="B85" s="14" t="s">
        <v>64</v>
      </c>
      <c r="F85">
        <f ca="1">F72</f>
        <v>-255.11691001717074</v>
      </c>
      <c r="G85">
        <f t="shared" ref="G85:O85" ca="1" si="85">G72</f>
        <v>-274.63755338909084</v>
      </c>
      <c r="H85">
        <f t="shared" ca="1" si="85"/>
        <v>-292.94124402067507</v>
      </c>
      <c r="I85">
        <f t="shared" ca="1" si="85"/>
        <v>-312.59311378370393</v>
      </c>
      <c r="J85">
        <f t="shared" ca="1" si="85"/>
        <v>-334.98120804570675</v>
      </c>
      <c r="K85">
        <f t="shared" ca="1" si="85"/>
        <v>-355.09855014236308</v>
      </c>
      <c r="L85">
        <f t="shared" ca="1" si="85"/>
        <v>-375.32913706436057</v>
      </c>
      <c r="M85">
        <f t="shared" ca="1" si="85"/>
        <v>-394.25876010783992</v>
      </c>
      <c r="N85">
        <f t="shared" ca="1" si="85"/>
        <v>-410.81904773946724</v>
      </c>
      <c r="O85">
        <f t="shared" ca="1" si="85"/>
        <v>-429.72500940663269</v>
      </c>
    </row>
    <row r="86" spans="1:20" ht="15" customHeight="1" x14ac:dyDescent="0.2">
      <c r="B86" s="14" t="s">
        <v>74</v>
      </c>
      <c r="F86">
        <f ca="1">SUM(F83:F85)</f>
        <v>569.37487728648784</v>
      </c>
      <c r="G86">
        <f t="shared" ref="G86:O86" ca="1" si="86">SUM(G83:G85)</f>
        <v>680.93032849491874</v>
      </c>
      <c r="H86">
        <f t="shared" ca="1" si="86"/>
        <v>695.82051351803545</v>
      </c>
      <c r="I86">
        <f t="shared" ca="1" si="86"/>
        <v>714.10501922995832</v>
      </c>
      <c r="J86">
        <f t="shared" ca="1" si="86"/>
        <v>738.63520497250465</v>
      </c>
      <c r="K86">
        <f t="shared" ca="1" si="86"/>
        <v>757.56469377587791</v>
      </c>
      <c r="L86">
        <f t="shared" ca="1" si="86"/>
        <v>781.80539552294499</v>
      </c>
      <c r="M86">
        <f t="shared" ca="1" si="86"/>
        <v>802.97893363714729</v>
      </c>
      <c r="N86">
        <f t="shared" ca="1" si="86"/>
        <v>821.39135310105746</v>
      </c>
      <c r="O86">
        <f t="shared" ca="1" si="86"/>
        <v>847.82112044859502</v>
      </c>
    </row>
    <row r="87" spans="1:20" ht="15" customHeight="1" x14ac:dyDescent="0.2">
      <c r="B87" s="14" t="s">
        <v>38</v>
      </c>
      <c r="F87">
        <f>F79</f>
        <v>1453.587</v>
      </c>
      <c r="G87">
        <f t="shared" ref="G87:O87" ca="1" si="87">G79</f>
        <v>1216.1508772864879</v>
      </c>
      <c r="H87">
        <f t="shared" ca="1" si="87"/>
        <v>1875.2392057814066</v>
      </c>
      <c r="I87">
        <f t="shared" ca="1" si="87"/>
        <v>2479.870719299442</v>
      </c>
      <c r="J87">
        <f t="shared" ca="1" si="87"/>
        <v>3088.5477385294007</v>
      </c>
      <c r="K87">
        <f t="shared" ca="1" si="87"/>
        <v>3283.766091042889</v>
      </c>
      <c r="L87">
        <f t="shared" ca="1" si="87"/>
        <v>3946.8235061302421</v>
      </c>
      <c r="M87">
        <f t="shared" ca="1" si="87"/>
        <v>4397.8534262433514</v>
      </c>
      <c r="N87">
        <f t="shared" ca="1" si="87"/>
        <v>5200.8323598804982</v>
      </c>
      <c r="O87">
        <f t="shared" ca="1" si="87"/>
        <v>6022.2237129815558</v>
      </c>
    </row>
    <row r="88" spans="1:20" ht="15" customHeight="1" x14ac:dyDescent="0.2">
      <c r="B88" s="14" t="s">
        <v>73</v>
      </c>
      <c r="F88">
        <f ca="1">SUM(F86:F87)</f>
        <v>2022.9618772864878</v>
      </c>
      <c r="G88">
        <f t="shared" ref="G88:O88" ca="1" si="88">SUM(G86:G87)</f>
        <v>1897.0812057814067</v>
      </c>
      <c r="H88">
        <f t="shared" ca="1" si="88"/>
        <v>2571.0597192994419</v>
      </c>
      <c r="I88">
        <f t="shared" ca="1" si="88"/>
        <v>3193.9757385294006</v>
      </c>
      <c r="J88">
        <f t="shared" ca="1" si="88"/>
        <v>3827.1829435019054</v>
      </c>
      <c r="K88">
        <f t="shared" ca="1" si="88"/>
        <v>4041.3307848187669</v>
      </c>
      <c r="L88">
        <f t="shared" ca="1" si="88"/>
        <v>4728.6289016531873</v>
      </c>
      <c r="M88">
        <f t="shared" ca="1" si="88"/>
        <v>5200.8323598804982</v>
      </c>
      <c r="N88">
        <f t="shared" ca="1" si="88"/>
        <v>6022.2237129815558</v>
      </c>
      <c r="O88">
        <f t="shared" ca="1" si="88"/>
        <v>6870.0448334301509</v>
      </c>
    </row>
    <row r="90" spans="1:20" ht="15" customHeight="1" x14ac:dyDescent="0.2">
      <c r="B90" s="14" t="str">
        <f>B17</f>
        <v>Long term debt issuance / (repayment)</v>
      </c>
      <c r="F90">
        <f>F17</f>
        <v>-655.50800000000004</v>
      </c>
      <c r="G90">
        <f t="shared" ref="G90:O90" si="89">G17</f>
        <v>-21.841999999999999</v>
      </c>
      <c r="H90">
        <f t="shared" si="89"/>
        <v>-91.188999999999993</v>
      </c>
      <c r="I90">
        <f t="shared" si="89"/>
        <v>-105.428</v>
      </c>
      <c r="J90">
        <f t="shared" si="89"/>
        <v>-543.41685245901647</v>
      </c>
      <c r="K90">
        <f t="shared" si="89"/>
        <v>-94.507278688524593</v>
      </c>
      <c r="L90">
        <f t="shared" si="89"/>
        <v>-330.77547540983608</v>
      </c>
      <c r="M90">
        <f t="shared" si="89"/>
        <v>0</v>
      </c>
      <c r="N90">
        <f t="shared" si="89"/>
        <v>0</v>
      </c>
      <c r="O90">
        <f t="shared" si="89"/>
        <v>-472.53639344262297</v>
      </c>
    </row>
    <row r="91" spans="1:20" ht="15" customHeight="1" x14ac:dyDescent="0.2">
      <c r="B91" s="14" t="s">
        <v>75</v>
      </c>
      <c r="E91">
        <f>E48</f>
        <v>1453.587</v>
      </c>
      <c r="F91">
        <f ca="1">SUM(F88,F90)</f>
        <v>1367.4538772864878</v>
      </c>
      <c r="G91">
        <f t="shared" ref="G91:O91" ca="1" si="90">SUM(G88,G90)</f>
        <v>1875.2392057814066</v>
      </c>
      <c r="H91">
        <f t="shared" ca="1" si="90"/>
        <v>2479.870719299442</v>
      </c>
      <c r="I91">
        <f t="shared" ca="1" si="90"/>
        <v>3088.5477385294007</v>
      </c>
      <c r="J91">
        <f t="shared" ca="1" si="90"/>
        <v>3283.766091042889</v>
      </c>
      <c r="K91">
        <f t="shared" ca="1" si="90"/>
        <v>3946.8235061302421</v>
      </c>
      <c r="L91">
        <f t="shared" ca="1" si="90"/>
        <v>4397.8534262433514</v>
      </c>
      <c r="M91">
        <f t="shared" ca="1" si="90"/>
        <v>5200.8323598804982</v>
      </c>
      <c r="N91">
        <f t="shared" ca="1" si="90"/>
        <v>6022.2237129815558</v>
      </c>
      <c r="O91">
        <f t="shared" ca="1" si="90"/>
        <v>6397.5084399875277</v>
      </c>
    </row>
    <row r="93" spans="1:20" ht="15" customHeight="1" x14ac:dyDescent="0.2">
      <c r="B93" s="14" t="s">
        <v>76</v>
      </c>
      <c r="F93">
        <f>E95</f>
        <v>151.303</v>
      </c>
      <c r="G93">
        <f ca="1">F95</f>
        <v>0</v>
      </c>
      <c r="H93">
        <f t="shared" ref="H93:O93" ca="1" si="91">G95</f>
        <v>0</v>
      </c>
      <c r="I93">
        <f t="shared" ca="1" si="91"/>
        <v>0</v>
      </c>
      <c r="J93">
        <f t="shared" ca="1" si="91"/>
        <v>0</v>
      </c>
      <c r="K93">
        <f t="shared" ca="1" si="91"/>
        <v>0</v>
      </c>
      <c r="L93">
        <f t="shared" ca="1" si="91"/>
        <v>0</v>
      </c>
      <c r="M93">
        <f t="shared" ca="1" si="91"/>
        <v>0</v>
      </c>
      <c r="N93">
        <f t="shared" ca="1" si="91"/>
        <v>0</v>
      </c>
      <c r="O93">
        <f t="shared" ca="1" si="91"/>
        <v>0</v>
      </c>
    </row>
    <row r="94" spans="1:20" ht="15" customHeight="1" x14ac:dyDescent="0.2">
      <c r="B94" s="14" t="s">
        <v>77</v>
      </c>
      <c r="F94">
        <f ca="1">MIN(F93,F91)*-1</f>
        <v>-151.303</v>
      </c>
      <c r="G94">
        <f ca="1">MIN(G93,G91)*-1</f>
        <v>0</v>
      </c>
      <c r="H94">
        <f t="shared" ref="H94:O94" ca="1" si="92">MIN(H93,H91)*-1</f>
        <v>0</v>
      </c>
      <c r="I94">
        <f t="shared" ca="1" si="92"/>
        <v>0</v>
      </c>
      <c r="J94">
        <f t="shared" ca="1" si="92"/>
        <v>0</v>
      </c>
      <c r="K94">
        <f t="shared" ca="1" si="92"/>
        <v>0</v>
      </c>
      <c r="L94">
        <f t="shared" ca="1" si="92"/>
        <v>0</v>
      </c>
      <c r="M94">
        <f t="shared" ca="1" si="92"/>
        <v>0</v>
      </c>
      <c r="N94">
        <f t="shared" ca="1" si="92"/>
        <v>0</v>
      </c>
      <c r="O94">
        <f t="shared" ca="1" si="92"/>
        <v>0</v>
      </c>
    </row>
    <row r="95" spans="1:20" ht="15" customHeight="1" x14ac:dyDescent="0.2">
      <c r="A95" s="70" t="s">
        <v>99</v>
      </c>
      <c r="B95" s="14" t="s">
        <v>78</v>
      </c>
      <c r="E95">
        <f>E53</f>
        <v>151.303</v>
      </c>
      <c r="F95" s="30">
        <f ca="1">F93+F94</f>
        <v>0</v>
      </c>
      <c r="G95" s="30">
        <f t="shared" ref="G95:O95" ca="1" si="93">G93+G94</f>
        <v>0</v>
      </c>
      <c r="H95" s="30">
        <f t="shared" ca="1" si="93"/>
        <v>0</v>
      </c>
      <c r="I95" s="30">
        <f t="shared" ca="1" si="93"/>
        <v>0</v>
      </c>
      <c r="J95" s="30">
        <f t="shared" ca="1" si="93"/>
        <v>0</v>
      </c>
      <c r="K95" s="30">
        <f t="shared" ca="1" si="93"/>
        <v>0</v>
      </c>
      <c r="L95" s="30">
        <f t="shared" ca="1" si="93"/>
        <v>0</v>
      </c>
      <c r="M95" s="30">
        <f t="shared" ca="1" si="93"/>
        <v>0</v>
      </c>
      <c r="N95" s="30">
        <f t="shared" ca="1" si="93"/>
        <v>0</v>
      </c>
      <c r="O95" s="30">
        <f t="shared" ca="1" si="93"/>
        <v>0</v>
      </c>
    </row>
    <row r="97" spans="1:15" ht="15" customHeight="1" x14ac:dyDescent="0.2">
      <c r="B97" s="14" t="s">
        <v>39</v>
      </c>
      <c r="E97">
        <f>E48</f>
        <v>1453.587</v>
      </c>
      <c r="F97">
        <f ca="1">SUM(F91,F94)</f>
        <v>1216.1508772864877</v>
      </c>
      <c r="G97">
        <f t="shared" ref="G97:O97" ca="1" si="94">SUM(G91,G94)</f>
        <v>1875.2392057814066</v>
      </c>
      <c r="H97">
        <f t="shared" ca="1" si="94"/>
        <v>2479.870719299442</v>
      </c>
      <c r="I97">
        <f t="shared" ca="1" si="94"/>
        <v>3088.5477385294007</v>
      </c>
      <c r="J97">
        <f t="shared" ca="1" si="94"/>
        <v>3283.766091042889</v>
      </c>
      <c r="K97">
        <f t="shared" ca="1" si="94"/>
        <v>3946.8235061302421</v>
      </c>
      <c r="L97">
        <f t="shared" ca="1" si="94"/>
        <v>4397.8534262433514</v>
      </c>
      <c r="M97">
        <f t="shared" ca="1" si="94"/>
        <v>5200.8323598804982</v>
      </c>
      <c r="N97">
        <f t="shared" ca="1" si="94"/>
        <v>6022.2237129815558</v>
      </c>
      <c r="O97">
        <f t="shared" ca="1" si="94"/>
        <v>6397.5084399875277</v>
      </c>
    </row>
    <row r="99" spans="1:15" ht="15" customHeight="1" x14ac:dyDescent="0.2">
      <c r="B99" s="14" t="s">
        <v>79</v>
      </c>
      <c r="F99">
        <f>E101</f>
        <v>2315.203</v>
      </c>
      <c r="G99">
        <f t="shared" ref="G99:O99" si="95">F101</f>
        <v>1659.6949999999999</v>
      </c>
      <c r="H99">
        <f t="shared" si="95"/>
        <v>1637.8529999999998</v>
      </c>
      <c r="I99">
        <f t="shared" si="95"/>
        <v>1546.6639999999998</v>
      </c>
      <c r="J99">
        <f t="shared" si="95"/>
        <v>1441.2359999999999</v>
      </c>
      <c r="K99">
        <f t="shared" si="95"/>
        <v>897.81914754098341</v>
      </c>
      <c r="L99">
        <f t="shared" si="95"/>
        <v>803.31186885245882</v>
      </c>
      <c r="M99">
        <f t="shared" si="95"/>
        <v>472.53639344262274</v>
      </c>
      <c r="N99">
        <f t="shared" si="95"/>
        <v>472.53639344262274</v>
      </c>
      <c r="O99">
        <f t="shared" si="95"/>
        <v>472.53639344262274</v>
      </c>
    </row>
    <row r="100" spans="1:15" ht="15" customHeight="1" x14ac:dyDescent="0.2">
      <c r="B100" s="14" t="str">
        <f>B90</f>
        <v>Long term debt issuance / (repayment)</v>
      </c>
      <c r="F100">
        <f>F90</f>
        <v>-655.50800000000004</v>
      </c>
      <c r="G100">
        <f t="shared" ref="G100:O100" si="96">G90</f>
        <v>-21.841999999999999</v>
      </c>
      <c r="H100">
        <f t="shared" si="96"/>
        <v>-91.188999999999993</v>
      </c>
      <c r="I100">
        <f t="shared" si="96"/>
        <v>-105.428</v>
      </c>
      <c r="J100">
        <f t="shared" si="96"/>
        <v>-543.41685245901647</v>
      </c>
      <c r="K100">
        <f t="shared" si="96"/>
        <v>-94.507278688524593</v>
      </c>
      <c r="L100">
        <f t="shared" si="96"/>
        <v>-330.77547540983608</v>
      </c>
      <c r="M100">
        <f t="shared" si="96"/>
        <v>0</v>
      </c>
      <c r="N100">
        <f t="shared" si="96"/>
        <v>0</v>
      </c>
      <c r="O100">
        <f t="shared" si="96"/>
        <v>-472.53639344262297</v>
      </c>
    </row>
    <row r="101" spans="1:15" ht="15" customHeight="1" x14ac:dyDescent="0.2">
      <c r="A101" s="70" t="s">
        <v>99</v>
      </c>
      <c r="B101" s="14" t="s">
        <v>80</v>
      </c>
      <c r="E101">
        <f>E55</f>
        <v>2315.203</v>
      </c>
      <c r="F101" s="30">
        <f>SUM(F99:F100)</f>
        <v>1659.6949999999999</v>
      </c>
      <c r="G101" s="30">
        <f t="shared" ref="G101:O101" si="97">SUM(G99:G100)</f>
        <v>1637.8529999999998</v>
      </c>
      <c r="H101" s="30">
        <f t="shared" si="97"/>
        <v>1546.6639999999998</v>
      </c>
      <c r="I101" s="30">
        <f t="shared" si="97"/>
        <v>1441.2359999999999</v>
      </c>
      <c r="J101" s="30">
        <f t="shared" si="97"/>
        <v>897.81914754098341</v>
      </c>
      <c r="K101" s="30">
        <f t="shared" si="97"/>
        <v>803.31186885245882</v>
      </c>
      <c r="L101" s="30">
        <f t="shared" si="97"/>
        <v>472.53639344262274</v>
      </c>
      <c r="M101" s="30">
        <f t="shared" si="97"/>
        <v>472.53639344262274</v>
      </c>
      <c r="N101" s="30">
        <f t="shared" si="97"/>
        <v>472.53639344262274</v>
      </c>
      <c r="O101" s="30">
        <f t="shared" si="97"/>
        <v>0</v>
      </c>
    </row>
    <row r="103" spans="1:15" ht="15" customHeight="1" x14ac:dyDescent="0.2">
      <c r="B103" s="14" t="s">
        <v>81</v>
      </c>
      <c r="F103">
        <f ca="1">AVERAGE(E95,F95)*F18</f>
        <v>1.5130300000000001</v>
      </c>
      <c r="G103">
        <f t="shared" ref="G103:O103" ca="1" si="98">AVERAGE(F95,G95)*G18</f>
        <v>0</v>
      </c>
      <c r="H103">
        <f t="shared" ca="1" si="98"/>
        <v>0</v>
      </c>
      <c r="I103">
        <f t="shared" ca="1" si="98"/>
        <v>0</v>
      </c>
      <c r="J103">
        <f t="shared" ca="1" si="98"/>
        <v>0</v>
      </c>
      <c r="K103">
        <f t="shared" ca="1" si="98"/>
        <v>0</v>
      </c>
      <c r="L103">
        <f t="shared" ca="1" si="98"/>
        <v>0</v>
      </c>
      <c r="M103">
        <f t="shared" ca="1" si="98"/>
        <v>0</v>
      </c>
      <c r="N103">
        <f t="shared" ca="1" si="98"/>
        <v>0</v>
      </c>
      <c r="O103">
        <f t="shared" ca="1" si="98"/>
        <v>0</v>
      </c>
    </row>
    <row r="104" spans="1:15" ht="15" customHeight="1" x14ac:dyDescent="0.2">
      <c r="B104" s="14" t="s">
        <v>82</v>
      </c>
      <c r="F104">
        <f>AVERAGE(E101,F101)*F19</f>
        <v>79.497960000000006</v>
      </c>
      <c r="G104">
        <f t="shared" ref="G104:O104" si="99">AVERAGE(F101,G101)*G19</f>
        <v>65.950959999999995</v>
      </c>
      <c r="H104">
        <f t="shared" si="99"/>
        <v>63.690339999999999</v>
      </c>
      <c r="I104">
        <f t="shared" si="99"/>
        <v>59.757999999999996</v>
      </c>
      <c r="J104">
        <f t="shared" si="99"/>
        <v>46.781102950819665</v>
      </c>
      <c r="K104">
        <f t="shared" si="99"/>
        <v>34.022620327868843</v>
      </c>
      <c r="L104">
        <f t="shared" si="99"/>
        <v>25.516965245901631</v>
      </c>
      <c r="M104">
        <f t="shared" si="99"/>
        <v>18.901455737704911</v>
      </c>
      <c r="N104">
        <f t="shared" si="99"/>
        <v>18.901455737704911</v>
      </c>
      <c r="O104">
        <f t="shared" si="99"/>
        <v>9.4507278688524554</v>
      </c>
    </row>
    <row r="105" spans="1:15" ht="15" customHeight="1" x14ac:dyDescent="0.2">
      <c r="B105" s="14" t="s">
        <v>83</v>
      </c>
      <c r="F105">
        <f ca="1">AVERAGE(E80,F80)*F20</f>
        <v>6.6743446932162191</v>
      </c>
      <c r="G105">
        <f t="shared" ref="G105:O105" ca="1" si="100">AVERAGE(F80,G80)*G20</f>
        <v>7.7284752076697361</v>
      </c>
      <c r="H105">
        <f t="shared" ca="1" si="100"/>
        <v>10.887774812702121</v>
      </c>
      <c r="I105">
        <f t="shared" ca="1" si="100"/>
        <v>13.921046144572106</v>
      </c>
      <c r="J105">
        <f t="shared" ca="1" si="100"/>
        <v>15.930784573930724</v>
      </c>
      <c r="K105">
        <f t="shared" ca="1" si="100"/>
        <v>18.076473992932829</v>
      </c>
      <c r="L105">
        <f t="shared" ca="1" si="100"/>
        <v>20.861692330933984</v>
      </c>
      <c r="M105">
        <f t="shared" ca="1" si="100"/>
        <v>23.996714465309623</v>
      </c>
      <c r="N105">
        <f t="shared" ca="1" si="100"/>
        <v>28.057640182155136</v>
      </c>
      <c r="O105">
        <f t="shared" ca="1" si="100"/>
        <v>31.049330382422713</v>
      </c>
    </row>
    <row r="107" spans="1:15" ht="15" customHeight="1" x14ac:dyDescent="0.2">
      <c r="A107" s="70" t="s">
        <v>96</v>
      </c>
    </row>
    <row r="108" spans="1:15" ht="15" customHeight="1" x14ac:dyDescent="0.2">
      <c r="B108" s="14" t="s">
        <v>53</v>
      </c>
      <c r="C108" s="63">
        <f>C25/C23</f>
        <v>0.13690665527165549</v>
      </c>
      <c r="D108" s="63">
        <f t="shared" ref="D108:O108" si="101">D25/D23</f>
        <v>0.14436348385002293</v>
      </c>
      <c r="E108" s="63">
        <f t="shared" si="101"/>
        <v>0.15127614289894162</v>
      </c>
      <c r="F108" s="63">
        <f t="shared" si="101"/>
        <v>0.15000000000000005</v>
      </c>
      <c r="G108" s="63">
        <f t="shared" si="101"/>
        <v>0.15</v>
      </c>
      <c r="H108" s="63">
        <f t="shared" si="101"/>
        <v>0.15000000000000002</v>
      </c>
      <c r="I108" s="63">
        <f t="shared" si="101"/>
        <v>0.14999999999999994</v>
      </c>
      <c r="J108" s="63">
        <f t="shared" si="101"/>
        <v>0.15000000000000005</v>
      </c>
      <c r="K108" s="63">
        <f t="shared" si="101"/>
        <v>0.14999999999999997</v>
      </c>
      <c r="L108" s="63">
        <f t="shared" si="101"/>
        <v>0.14999999999999994</v>
      </c>
      <c r="M108" s="63">
        <f t="shared" si="101"/>
        <v>0.14999999999999997</v>
      </c>
      <c r="N108" s="63">
        <f t="shared" si="101"/>
        <v>0.15000000000000002</v>
      </c>
      <c r="O108" s="63">
        <f t="shared" si="101"/>
        <v>0.15</v>
      </c>
    </row>
    <row r="109" spans="1:15" ht="15" customHeight="1" x14ac:dyDescent="0.2">
      <c r="B109" s="14" t="s">
        <v>46</v>
      </c>
      <c r="C109" s="63"/>
      <c r="D109" s="63"/>
      <c r="E109" s="63"/>
      <c r="F109">
        <f>F25-F35</f>
        <v>1744.1804805000004</v>
      </c>
      <c r="G109">
        <f t="shared" ref="G109:O109" si="102">G25-G35</f>
        <v>1816.8776806131</v>
      </c>
      <c r="H109">
        <f t="shared" si="102"/>
        <v>1896.0456522283018</v>
      </c>
      <c r="I109">
        <f t="shared" si="102"/>
        <v>1981.9334516290394</v>
      </c>
      <c r="J109">
        <f t="shared" si="102"/>
        <v>2074.8142650161981</v>
      </c>
      <c r="K109">
        <f t="shared" si="102"/>
        <v>2158.3212425086076</v>
      </c>
      <c r="L109">
        <f t="shared" si="102"/>
        <v>2247.3389954356921</v>
      </c>
      <c r="M109">
        <f t="shared" si="102"/>
        <v>2332.8683390412871</v>
      </c>
      <c r="N109">
        <f t="shared" si="102"/>
        <v>2413.6761815308023</v>
      </c>
      <c r="O109">
        <f t="shared" si="102"/>
        <v>2498.5417925306579</v>
      </c>
    </row>
    <row r="110" spans="1:15" ht="15" customHeight="1" x14ac:dyDescent="0.2">
      <c r="B110" s="14" t="s">
        <v>90</v>
      </c>
      <c r="C110" s="63"/>
      <c r="D110" s="63"/>
      <c r="E110" s="63"/>
      <c r="F110" s="63">
        <f>F109/F23</f>
        <v>0.19819862124055401</v>
      </c>
      <c r="G110" s="63">
        <f t="shared" ref="G110:O110" si="103">G109/G23</f>
        <v>0.19477312475346922</v>
      </c>
      <c r="H110" s="63">
        <f t="shared" si="103"/>
        <v>0.19175480992428329</v>
      </c>
      <c r="I110" s="63">
        <f t="shared" si="103"/>
        <v>0.18909527591441561</v>
      </c>
      <c r="J110" s="63">
        <f t="shared" si="103"/>
        <v>0.18675187519251343</v>
      </c>
      <c r="K110" s="63">
        <f t="shared" si="103"/>
        <v>0.18501738231410236</v>
      </c>
      <c r="L110" s="63">
        <f t="shared" si="103"/>
        <v>0.18347450960130626</v>
      </c>
      <c r="M110" s="63">
        <f t="shared" si="103"/>
        <v>0.18225568609341633</v>
      </c>
      <c r="N110" s="63">
        <f t="shared" si="103"/>
        <v>0.18131616424158742</v>
      </c>
      <c r="O110" s="63">
        <f t="shared" si="103"/>
        <v>0.18047240134773329</v>
      </c>
    </row>
    <row r="111" spans="1:15" ht="15" customHeight="1" x14ac:dyDescent="0.2">
      <c r="B111" s="14" t="s">
        <v>54</v>
      </c>
      <c r="C111" s="63">
        <f>C30/C23</f>
        <v>7.6001299437691114E-2</v>
      </c>
      <c r="D111" s="63">
        <f t="shared" ref="D111:E111" si="104">D30/D23</f>
        <v>7.5056911956618483E-2</v>
      </c>
      <c r="E111" s="63">
        <f t="shared" si="104"/>
        <v>8.442083619902313E-2</v>
      </c>
      <c r="F111" s="63">
        <f ca="1">F30/F23</f>
        <v>9.0593799612946849E-2</v>
      </c>
      <c r="G111" s="63">
        <f t="shared" ref="G111:O111" ca="1" si="105">G30/G23</f>
        <v>9.2005393062203553E-2</v>
      </c>
      <c r="H111" s="63">
        <f t="shared" ca="1" si="105"/>
        <v>9.2582311540322107E-2</v>
      </c>
      <c r="I111" s="63">
        <f t="shared" ca="1" si="105"/>
        <v>9.3201100312063259E-2</v>
      </c>
      <c r="J111" s="63">
        <f t="shared" ca="1" si="105"/>
        <v>9.422284474385953E-2</v>
      </c>
      <c r="K111" s="63">
        <f t="shared" ca="1" si="105"/>
        <v>9.5125152880553857E-2</v>
      </c>
      <c r="L111" s="63">
        <f t="shared" ca="1" si="105"/>
        <v>9.5756761526945428E-2</v>
      </c>
      <c r="M111" s="63">
        <f t="shared" ca="1" si="105"/>
        <v>9.6254763421576947E-2</v>
      </c>
      <c r="N111" s="63">
        <f t="shared" ca="1" si="105"/>
        <v>9.6440202013578377E-2</v>
      </c>
      <c r="O111" s="63">
        <f t="shared" ca="1" si="105"/>
        <v>9.699845800888364E-2</v>
      </c>
    </row>
    <row r="113" spans="1:15" ht="15" customHeight="1" x14ac:dyDescent="0.2">
      <c r="A113" s="70" t="s">
        <v>97</v>
      </c>
    </row>
    <row r="114" spans="1:15" ht="15" customHeight="1" x14ac:dyDescent="0.2">
      <c r="B114" s="14" t="s">
        <v>67</v>
      </c>
      <c r="D114" s="63"/>
      <c r="E114" s="63">
        <f>D45/D23</f>
        <v>-3.2208878607107631E-2</v>
      </c>
      <c r="F114" s="63">
        <f>E45/E23</f>
        <v>-6.3367212832400946E-2</v>
      </c>
      <c r="G114" s="63">
        <f t="shared" ref="G114:O114" si="106">F45/F23</f>
        <v>-4.6999999999999993E-2</v>
      </c>
      <c r="H114" s="63">
        <f t="shared" si="106"/>
        <v>-4.7000000000000056E-2</v>
      </c>
      <c r="I114" s="63">
        <f t="shared" si="106"/>
        <v>-4.6999999999999993E-2</v>
      </c>
      <c r="J114" s="63">
        <f t="shared" si="106"/>
        <v>-4.7000000000000014E-2</v>
      </c>
      <c r="K114" s="63">
        <f t="shared" si="106"/>
        <v>-4.7000000000000007E-2</v>
      </c>
      <c r="L114" s="63">
        <f t="shared" si="106"/>
        <v>-4.7000000000000007E-2</v>
      </c>
      <c r="M114" s="63">
        <f t="shared" si="106"/>
        <v>-4.7000000000000028E-2</v>
      </c>
      <c r="N114" s="63">
        <f t="shared" si="106"/>
        <v>-4.7000000000000035E-2</v>
      </c>
      <c r="O114" s="63">
        <f t="shared" si="106"/>
        <v>-4.7000000000000028E-2</v>
      </c>
    </row>
    <row r="115" spans="1:15" ht="15" customHeight="1" x14ac:dyDescent="0.2">
      <c r="B115" s="14" t="s">
        <v>68</v>
      </c>
      <c r="D115" s="63">
        <f>D50/D23</f>
        <v>0.79956434165580537</v>
      </c>
      <c r="E115" s="63">
        <f>E50/E23</f>
        <v>0.83982446100965236</v>
      </c>
      <c r="F115" s="63">
        <f>F50/F23</f>
        <v>0.71908351876783949</v>
      </c>
      <c r="G115" s="63">
        <f t="shared" ref="G115:O115" si="107">G50/G23</f>
        <v>0.67060755332939825</v>
      </c>
      <c r="H115" s="63">
        <f t="shared" si="107"/>
        <v>0.62789382529213</v>
      </c>
      <c r="I115" s="63">
        <f t="shared" si="107"/>
        <v>0.59025738945551831</v>
      </c>
      <c r="J115" s="63">
        <f t="shared" si="107"/>
        <v>0.55709471863344728</v>
      </c>
      <c r="K115" s="63">
        <f t="shared" si="107"/>
        <v>0.53254901638441876</v>
      </c>
      <c r="L115" s="63">
        <f t="shared" si="107"/>
        <v>0.51071502981242578</v>
      </c>
      <c r="M115" s="63">
        <f t="shared" si="107"/>
        <v>0.49346683047349832</v>
      </c>
      <c r="N115" s="63">
        <f t="shared" si="107"/>
        <v>0.48017117275216092</v>
      </c>
      <c r="O115" s="63">
        <f t="shared" si="107"/>
        <v>0.46823064937549835</v>
      </c>
    </row>
    <row r="117" spans="1:15" ht="15" customHeight="1" x14ac:dyDescent="0.2">
      <c r="A117" s="70" t="s">
        <v>84</v>
      </c>
    </row>
    <row r="118" spans="1:15" ht="15" customHeight="1" x14ac:dyDescent="0.2">
      <c r="B118" s="14" t="s">
        <v>69</v>
      </c>
      <c r="E118">
        <f>E101+E95</f>
        <v>2466.5059999999999</v>
      </c>
      <c r="F118">
        <f t="shared" ref="F118:O118" ca="1" si="108">F101+F95</f>
        <v>1659.6949999999999</v>
      </c>
      <c r="G118">
        <f t="shared" ca="1" si="108"/>
        <v>1637.8529999999998</v>
      </c>
      <c r="H118">
        <f t="shared" ca="1" si="108"/>
        <v>1546.6639999999998</v>
      </c>
      <c r="I118">
        <f t="shared" ca="1" si="108"/>
        <v>1441.2359999999999</v>
      </c>
      <c r="J118">
        <f t="shared" ca="1" si="108"/>
        <v>897.81914754098341</v>
      </c>
      <c r="K118">
        <f t="shared" ca="1" si="108"/>
        <v>803.31186885245882</v>
      </c>
      <c r="L118">
        <f t="shared" ca="1" si="108"/>
        <v>472.53639344262274</v>
      </c>
      <c r="M118">
        <f t="shared" ca="1" si="108"/>
        <v>472.53639344262274</v>
      </c>
      <c r="N118">
        <f t="shared" ca="1" si="108"/>
        <v>472.53639344262274</v>
      </c>
      <c r="O118">
        <f t="shared" ca="1" si="108"/>
        <v>0</v>
      </c>
    </row>
    <row r="119" spans="1:15" ht="15" customHeight="1" x14ac:dyDescent="0.2">
      <c r="B119" s="14" t="s">
        <v>85</v>
      </c>
      <c r="E119">
        <f>E118-E97</f>
        <v>1012.9189999999999</v>
      </c>
      <c r="F119">
        <f t="shared" ref="F119:O119" ca="1" si="109">F118-F97</f>
        <v>443.54412271351225</v>
      </c>
      <c r="G119">
        <f t="shared" ca="1" si="109"/>
        <v>-237.38620578140672</v>
      </c>
      <c r="H119">
        <f t="shared" ca="1" si="109"/>
        <v>-933.20671929944228</v>
      </c>
      <c r="I119">
        <f t="shared" ca="1" si="109"/>
        <v>-1647.3117385294008</v>
      </c>
      <c r="J119">
        <f t="shared" ca="1" si="109"/>
        <v>-2385.9469435019055</v>
      </c>
      <c r="K119">
        <f t="shared" ca="1" si="109"/>
        <v>-3143.5116372777834</v>
      </c>
      <c r="L119">
        <f t="shared" ca="1" si="109"/>
        <v>-3925.3170328007286</v>
      </c>
      <c r="M119">
        <f t="shared" ca="1" si="109"/>
        <v>-4728.2959664378759</v>
      </c>
      <c r="N119">
        <f t="shared" ca="1" si="109"/>
        <v>-5549.6873195389326</v>
      </c>
      <c r="O119">
        <f t="shared" ca="1" si="109"/>
        <v>-6397.5084399875277</v>
      </c>
    </row>
    <row r="120" spans="1:15" ht="15" customHeight="1" x14ac:dyDescent="0.2">
      <c r="B120" s="14" t="s">
        <v>86</v>
      </c>
      <c r="F120" s="67">
        <f ca="1">F118/(F25-F35)</f>
        <v>0.95156150327070443</v>
      </c>
      <c r="G120" s="67">
        <f t="shared" ref="G120:O120" ca="1" si="110">G118/(G25-G35)</f>
        <v>0.90146574944291857</v>
      </c>
      <c r="H120" s="67">
        <f t="shared" ca="1" si="110"/>
        <v>0.81573141352493483</v>
      </c>
      <c r="I120" s="67">
        <f t="shared" ca="1" si="110"/>
        <v>0.72718687845718721</v>
      </c>
      <c r="J120" s="67">
        <f t="shared" ca="1" si="110"/>
        <v>0.43272265989263098</v>
      </c>
      <c r="K120" s="67">
        <f t="shared" ca="1" si="110"/>
        <v>0.37219291226489198</v>
      </c>
      <c r="L120" s="67">
        <f t="shared" ca="1" si="110"/>
        <v>0.21026484851744051</v>
      </c>
      <c r="M120" s="67">
        <f t="shared" ca="1" si="110"/>
        <v>0.20255596320399966</v>
      </c>
      <c r="N120" s="67">
        <f t="shared" ca="1" si="110"/>
        <v>0.19577456042298541</v>
      </c>
      <c r="O120" s="67">
        <f t="shared" ca="1" si="110"/>
        <v>0</v>
      </c>
    </row>
    <row r="121" spans="1:15" ht="15" customHeight="1" x14ac:dyDescent="0.2">
      <c r="B121" s="14" t="s">
        <v>87</v>
      </c>
      <c r="F121" s="67">
        <f ca="1">F119/(F25-F35)</f>
        <v>0.25429944187103987</v>
      </c>
      <c r="G121" s="67">
        <f t="shared" ref="G121:O121" ca="1" si="111">G119/(G25-G35)</f>
        <v>-0.13065612964176071</v>
      </c>
      <c r="H121" s="67">
        <f t="shared" ca="1" si="111"/>
        <v>-0.49218578582361866</v>
      </c>
      <c r="I121" s="67">
        <f t="shared" ca="1" si="111"/>
        <v>-0.83116400158411063</v>
      </c>
      <c r="J121" s="67">
        <f t="shared" ca="1" si="111"/>
        <v>-1.1499568822770159</v>
      </c>
      <c r="K121" s="67">
        <f t="shared" ca="1" si="111"/>
        <v>-1.4564614272266965</v>
      </c>
      <c r="L121" s="67">
        <f t="shared" ca="1" si="111"/>
        <v>-1.7466510574385892</v>
      </c>
      <c r="M121" s="67">
        <f t="shared" ca="1" si="111"/>
        <v>-2.0268164676541547</v>
      </c>
      <c r="N121" s="67">
        <f t="shared" ca="1" si="111"/>
        <v>-2.2992675496425576</v>
      </c>
      <c r="O121" s="67">
        <f t="shared" ca="1" si="111"/>
        <v>-2.5604968702595872</v>
      </c>
    </row>
    <row r="122" spans="1:15" ht="15" customHeight="1" x14ac:dyDescent="0.2">
      <c r="B122" s="14" t="s">
        <v>88</v>
      </c>
      <c r="F122" s="67">
        <f ca="1">(F25-F35)/(F103+F104)</f>
        <v>21.5301711594933</v>
      </c>
      <c r="G122" s="67">
        <f t="shared" ref="G122:O122" ca="1" si="112">(G25-G35)/(G103+G104)</f>
        <v>27.548919388180249</v>
      </c>
      <c r="H122" s="67">
        <f t="shared" ca="1" si="112"/>
        <v>29.76975240245698</v>
      </c>
      <c r="I122" s="67">
        <f t="shared" ca="1" si="112"/>
        <v>33.165993701747709</v>
      </c>
      <c r="J122" s="67">
        <f t="shared" ca="1" si="112"/>
        <v>44.351546546421147</v>
      </c>
      <c r="K122" s="67">
        <f t="shared" ca="1" si="112"/>
        <v>63.437831116748775</v>
      </c>
      <c r="L122" s="67">
        <f t="shared" ca="1" si="112"/>
        <v>88.072346134368203</v>
      </c>
      <c r="M122" s="67">
        <f t="shared" ca="1" si="112"/>
        <v>123.42268084609196</v>
      </c>
      <c r="N122" s="67">
        <f t="shared" ca="1" si="112"/>
        <v>127.69789877696904</v>
      </c>
      <c r="O122" s="67">
        <f t="shared" ca="1" si="112"/>
        <v>264.3755938381538</v>
      </c>
    </row>
    <row r="123" spans="1:15" ht="15" customHeight="1" x14ac:dyDescent="0.2">
      <c r="B123" s="14" t="s">
        <v>89</v>
      </c>
      <c r="F123" s="63">
        <f ca="1">F119/(F119+F41)</f>
        <v>7.4993356262457345E-2</v>
      </c>
      <c r="G123" s="63">
        <f t="shared" ref="G123:O123" ca="1" si="113">G119/(G119+G41)</f>
        <v>-4.0808201412335959E-2</v>
      </c>
      <c r="H123" s="63">
        <f t="shared" ca="1" si="113"/>
        <v>-0.16247201760249227</v>
      </c>
      <c r="I123" s="63">
        <f t="shared" ca="1" si="113"/>
        <v>-0.28930887873830968</v>
      </c>
      <c r="J123" s="63">
        <f t="shared" ca="1" si="113"/>
        <v>-0.42101318894480227</v>
      </c>
      <c r="K123" s="63">
        <f t="shared" ca="1" si="113"/>
        <v>-0.55498141611639018</v>
      </c>
      <c r="L123" s="63">
        <f t="shared" ca="1" si="113"/>
        <v>-0.69108380277813708</v>
      </c>
      <c r="M123" s="63">
        <f t="shared" ca="1" si="113"/>
        <v>-0.82738246311820851</v>
      </c>
      <c r="N123" s="63">
        <f t="shared" ca="1" si="113"/>
        <v>-0.96242409211489388</v>
      </c>
      <c r="O123" s="63">
        <f t="shared" ca="1" si="113"/>
        <v>-1.0970213575488748</v>
      </c>
    </row>
    <row r="125" spans="1:15" ht="15" customHeight="1" x14ac:dyDescent="0.2">
      <c r="A125" s="70" t="s">
        <v>95</v>
      </c>
    </row>
  </sheetData>
  <pageMargins left="0.70866141732283472" right="0.70866141732283472" top="0.74803149606299213" bottom="0.74803149606299213" header="0.31496062992125984" footer="0.31496062992125984"/>
  <pageSetup paperSize="9" scale="74" fitToHeight="6" orientation="landscape" verticalDpi="597" r:id="rId1"/>
  <headerFooter>
    <oddHeader xml:space="preserve">&amp;R&amp;10&amp;F 
&amp;A
</oddHeader>
    <oddFooter>&amp;L&amp;10© 2016&amp;C&amp;10Page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Model 1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</dc:creator>
  <cp:lastModifiedBy>Microsoft Office User</cp:lastModifiedBy>
  <cp:lastPrinted>2016-05-30T11:46:51Z</cp:lastPrinted>
  <dcterms:created xsi:type="dcterms:W3CDTF">2016-02-03T14:06:14Z</dcterms:created>
  <dcterms:modified xsi:type="dcterms:W3CDTF">2022-01-06T13:06:50Z</dcterms:modified>
</cp:coreProperties>
</file>