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Modeler\2 Three Statement Modeling with Iterations\Materials Used\24 3SM With Iterations - Homework\"/>
    </mc:Choice>
  </mc:AlternateContent>
  <bookViews>
    <workbookView xWindow="0" yWindow="0" windowWidth="28800" windowHeight="13215"/>
  </bookViews>
  <sheets>
    <sheet name="Welcome" sheetId="1" r:id="rId1"/>
    <sheet name="Info" sheetId="6" r:id="rId2"/>
    <sheet name="Model 2" sheetId="10" r:id="rId3"/>
  </sheets>
  <definedNames>
    <definedName name="switch">Info!$N$10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8" i="10" l="1"/>
  <c r="B44" i="10"/>
  <c r="B43" i="10"/>
  <c r="E29" i="10"/>
  <c r="D29" i="10"/>
  <c r="C29" i="10"/>
  <c r="E27" i="10"/>
  <c r="D27" i="10"/>
  <c r="C27" i="10"/>
  <c r="E24" i="10"/>
  <c r="E6" i="10" s="1"/>
  <c r="D24" i="10"/>
  <c r="C24" i="10"/>
  <c r="C6" i="10" s="1"/>
  <c r="D6" i="10" l="1"/>
  <c r="D7" i="10" l="1"/>
  <c r="C111" i="10"/>
  <c r="C7" i="10"/>
  <c r="E7" i="10"/>
  <c r="A7" i="1" l="1"/>
  <c r="E55" i="10" l="1"/>
  <c r="D55" i="10"/>
  <c r="E54" i="10"/>
  <c r="E11" i="10" s="1"/>
  <c r="D54" i="10"/>
  <c r="E49" i="10"/>
  <c r="D49" i="10"/>
  <c r="B90" i="10"/>
  <c r="B100" i="10" s="1"/>
  <c r="E13" i="10"/>
  <c r="E12" i="10"/>
  <c r="D12" i="10"/>
  <c r="E5" i="10"/>
  <c r="D5" i="10"/>
  <c r="E2" i="10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D10" i="10" l="1"/>
  <c r="E10" i="10"/>
  <c r="D2" i="10"/>
  <c r="C2" i="10" s="1"/>
  <c r="D11" i="10"/>
  <c r="E184" i="10"/>
  <c r="E185" i="10" s="1"/>
  <c r="E14" i="10" l="1"/>
  <c r="D14" i="10" l="1"/>
  <c r="A1" i="6" l="1"/>
  <c r="F184" i="10" l="1"/>
  <c r="F185" i="10" l="1"/>
  <c r="F186" i="10"/>
  <c r="F188" i="10"/>
  <c r="F187" i="10" l="1"/>
  <c r="F189" i="10"/>
  <c r="G184" i="10" l="1"/>
  <c r="G188" i="10" l="1"/>
  <c r="G186" i="10"/>
  <c r="G185" i="10"/>
  <c r="G187" i="10" l="1"/>
  <c r="G189" i="10"/>
  <c r="H184" i="10" l="1"/>
  <c r="H188" i="10" l="1"/>
  <c r="H186" i="10"/>
  <c r="H185" i="10"/>
  <c r="H187" i="10" l="1"/>
  <c r="H189" i="10"/>
  <c r="I184" i="10" l="1"/>
  <c r="I188" i="10" l="1"/>
  <c r="I185" i="10"/>
  <c r="I186" i="10"/>
  <c r="I187" i="10" l="1"/>
  <c r="I189" i="10"/>
  <c r="J184" i="10" l="1"/>
  <c r="J188" i="10" l="1"/>
  <c r="J186" i="10"/>
  <c r="J185" i="10"/>
  <c r="J189" i="10" l="1"/>
  <c r="J187" i="10"/>
  <c r="K184" i="10" l="1"/>
  <c r="K188" i="10" l="1"/>
  <c r="K186" i="10"/>
  <c r="K185" i="10"/>
  <c r="K187" i="10" l="1"/>
  <c r="K189" i="10"/>
  <c r="L184" i="10" l="1"/>
  <c r="L185" i="10" l="1"/>
  <c r="L186" i="10"/>
  <c r="L188" i="10"/>
  <c r="L187" i="10" l="1"/>
  <c r="L189" i="10"/>
  <c r="M184" i="10" l="1"/>
  <c r="M188" i="10" l="1"/>
  <c r="M185" i="10"/>
  <c r="M186" i="10"/>
  <c r="M187" i="10" l="1"/>
  <c r="M189" i="10"/>
  <c r="N184" i="10" l="1"/>
  <c r="N188" i="10" l="1"/>
  <c r="N185" i="10"/>
  <c r="N186" i="10"/>
  <c r="N187" i="10" l="1"/>
  <c r="N189" i="10"/>
  <c r="O184" i="10" l="1"/>
  <c r="O188" i="10" l="1"/>
  <c r="O186" i="10"/>
  <c r="O185" i="10"/>
  <c r="O187" i="10" l="1"/>
  <c r="O189" i="10"/>
</calcChain>
</file>

<file path=xl/sharedStrings.xml><?xml version="1.0" encoding="utf-8"?>
<sst xmlns="http://schemas.openxmlformats.org/spreadsheetml/2006/main" count="137" uniqueCount="110">
  <si>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</si>
  <si>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</si>
  <si>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</si>
  <si>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</si>
  <si>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</si>
  <si>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</si>
  <si>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</si>
  <si>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</si>
  <si>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</si>
  <si>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Millions</t>
  </si>
  <si>
    <t>Firstname Lastname</t>
  </si>
  <si>
    <t>This document is for training purposes only. Financial Edge accepts no responsibility or liability for any other purpose or usage.</t>
  </si>
  <si>
    <t>Hist.</t>
  </si>
  <si>
    <t>Proj.</t>
  </si>
  <si>
    <t>Formatting</t>
  </si>
  <si>
    <t>Input</t>
  </si>
  <si>
    <t>Hard coded</t>
  </si>
  <si>
    <t>Formulas</t>
  </si>
  <si>
    <t>Workout Information</t>
  </si>
  <si>
    <t>Tab Structure</t>
  </si>
  <si>
    <t>Modeling</t>
  </si>
  <si>
    <t>Modeling an income statement</t>
  </si>
  <si>
    <t>Modeling a balance sheet</t>
  </si>
  <si>
    <t>Modeling a cash flow statement</t>
  </si>
  <si>
    <t>Assumptions, income statement, balance sheet, cash flow statement</t>
  </si>
  <si>
    <t>Revenue growth</t>
  </si>
  <si>
    <t>Operating costs % revenues</t>
  </si>
  <si>
    <t>Income Statement</t>
  </si>
  <si>
    <t>Revenues</t>
  </si>
  <si>
    <t>Operating costs</t>
  </si>
  <si>
    <t>Tax expense</t>
  </si>
  <si>
    <t>Net income</t>
  </si>
  <si>
    <t>Balance Sheet</t>
  </si>
  <si>
    <t>Cash and cash equivalents</t>
  </si>
  <si>
    <t>Long term assets</t>
  </si>
  <si>
    <t>Total assets</t>
  </si>
  <si>
    <t>Total liabilities</t>
  </si>
  <si>
    <t>Equity</t>
  </si>
  <si>
    <t>Total liabilities and equity</t>
  </si>
  <si>
    <t>Balance ?</t>
  </si>
  <si>
    <t>Operating cash flow</t>
  </si>
  <si>
    <t>Investing cash flow</t>
  </si>
  <si>
    <t>Beginning cash and cash equivalents</t>
  </si>
  <si>
    <t>Ending cash and cash equivalents</t>
  </si>
  <si>
    <t>Model 2</t>
  </si>
  <si>
    <t>Model 1</t>
  </si>
  <si>
    <t>Modeling interest</t>
  </si>
  <si>
    <t>Dealing with circular references</t>
  </si>
  <si>
    <t>Income Statement Assumptions</t>
  </si>
  <si>
    <t>Balance Sheet Assumptions</t>
  </si>
  <si>
    <t>EBITDA</t>
  </si>
  <si>
    <t>EBIT</t>
  </si>
  <si>
    <t>Interest income</t>
  </si>
  <si>
    <t>Interest expense</t>
  </si>
  <si>
    <t>Earnings before tax</t>
  </si>
  <si>
    <t>Revolver</t>
  </si>
  <si>
    <t>Net Debt and Interest Assumptions</t>
  </si>
  <si>
    <t>Cash Flow Statement</t>
  </si>
  <si>
    <t>Net Debt and Interest Calculations</t>
  </si>
  <si>
    <t>Taxes % of earnings before tax</t>
  </si>
  <si>
    <t>EBIT margin</t>
  </si>
  <si>
    <t>NI margin</t>
  </si>
  <si>
    <t>Capex % revenues</t>
  </si>
  <si>
    <t>Long term debt issuance / (repayment)</t>
  </si>
  <si>
    <t xml:space="preserve">Dividend payout </t>
  </si>
  <si>
    <t>Beginning long term assets</t>
  </si>
  <si>
    <t>Capex</t>
  </si>
  <si>
    <t>D&amp;A % prior year long term assets</t>
  </si>
  <si>
    <t>D&amp;A</t>
  </si>
  <si>
    <t>Ending long term assets</t>
  </si>
  <si>
    <t>Beginning equity</t>
  </si>
  <si>
    <t>Dividends</t>
  </si>
  <si>
    <t>Ending equity</t>
  </si>
  <si>
    <t>OWC</t>
  </si>
  <si>
    <t>OWC % revenues</t>
  </si>
  <si>
    <t>Long term assets % revenue</t>
  </si>
  <si>
    <t>Debt</t>
  </si>
  <si>
    <t>Cash and cash equivalents interest rate</t>
  </si>
  <si>
    <t>Revolver interest rate</t>
  </si>
  <si>
    <t>Long term debt interest rate</t>
  </si>
  <si>
    <t>Cash available to service debt</t>
  </si>
  <si>
    <t>Cash flow generated to service debt</t>
  </si>
  <si>
    <t>Surplus cash / (revolver requirement)</t>
  </si>
  <si>
    <t>Beginning revolver</t>
  </si>
  <si>
    <t>Revolver issuance (repayment)</t>
  </si>
  <si>
    <t xml:space="preserve"> Ending revolver</t>
  </si>
  <si>
    <t>Beginning long term debt</t>
  </si>
  <si>
    <t>Ending long term debt</t>
  </si>
  <si>
    <t>Interest on revolver</t>
  </si>
  <si>
    <t>Interest on long term debt</t>
  </si>
  <si>
    <t>Interest on cash and cash equivalents</t>
  </si>
  <si>
    <t>Net Debt and Interest Statistics</t>
  </si>
  <si>
    <t>Net debt</t>
  </si>
  <si>
    <t>Debt / EBITDA</t>
  </si>
  <si>
    <t>Net debt / EBITDA</t>
  </si>
  <si>
    <t>EBITDA / interest expense</t>
  </si>
  <si>
    <t>Net debt / net debt + equity</t>
  </si>
  <si>
    <t>EBITDA margin</t>
  </si>
  <si>
    <t>Workout</t>
  </si>
  <si>
    <t>Luxottica</t>
  </si>
  <si>
    <t>EUR</t>
  </si>
  <si>
    <t>Long term debt (including currently due)</t>
  </si>
  <si>
    <t>Operating current assets</t>
  </si>
  <si>
    <t>Operating current liabilities</t>
  </si>
  <si>
    <t>Operating current assets % revenues</t>
  </si>
  <si>
    <t>Operating current liabilities % revenues</t>
  </si>
  <si>
    <t>End</t>
  </si>
  <si>
    <t>Income Statement Operating Statistics</t>
  </si>
  <si>
    <t>Balance Sheet Operating Statistics</t>
  </si>
  <si>
    <t>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</si>
</sst>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[$-409]d\-mmm\-yy;@"/>
    <numFmt numFmtId="165" formatCode="0.0"/>
    <numFmt numFmtId="166" formatCode="#,##0.0_);\(#,##0.0\)\,0.0_);@_)"/>
    <numFmt numFmtId="167" formatCode="#,##0.0\ \x_);\(#,##0.0\ \x\);"/>
    <numFmt numFmtId="168" formatCode="0.0%_);\(0.0%\)"/>
    <numFmt numFmtId="169" formatCode=";;;"/>
    <numFmt numFmtId="170" formatCode="#,##0.0_);\(#,##0.0\);0.0_);@_)"/>
  </numFmts>
  <fonts count="33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0" fontId="0" fillId="0" borderId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4" fontId="28" fillId="3" borderId="0">
      <alignment horizontal="center"/>
    </xf>
    <xf numFmtId="166" fontId="27" fillId="2" borderId="0">
      <alignment horizontal="center"/>
    </xf>
    <xf numFmtId="166" fontId="3" fillId="0" borderId="0">
      <alignment vertical="top"/>
    </xf>
    <xf numFmtId="164" fontId="29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29" fillId="2" borderId="0" applyFont="0" applyFill="0" applyBorder="0" applyAlignment="0" applyProtection="0"/>
    <xf numFmtId="166" fontId="30" fillId="2" borderId="0" applyNumberFormat="0" applyFill="0" applyBorder="0" applyAlignment="0" applyProtection="0"/>
    <xf numFmtId="166" fontId="31" fillId="0" borderId="0" applyNumberFormat="0" applyFill="0" applyBorder="0" applyAlignment="0">
      <alignment vertical="top"/>
    </xf>
    <xf numFmtId="169" fontId="29" fillId="2" borderId="0" applyFont="0" applyFill="0" applyBorder="0" applyAlignment="0" applyProtection="0"/>
    <xf numFmtId="167" fontId="30" fillId="37" borderId="11" applyNumberFormat="0">
      <protection locked="0"/>
    </xf>
    <xf numFmtId="0" fontId="2" fillId="5" borderId="12" applyFont="0" applyAlignment="0" applyProtection="0">
      <alignment vertical="top"/>
    </xf>
    <xf numFmtId="166" fontId="32" fillId="3" borderId="0" applyNumberFormat="0" applyBorder="0">
      <alignment horizontal="center" vertical="top"/>
    </xf>
    <xf numFmtId="166" fontId="3" fillId="38" borderId="0" applyNumberFormat="0" applyFont="0" applyBorder="0" applyAlignment="0" applyProtection="0">
      <alignment vertical="top"/>
    </xf>
  </cellStyleXfs>
  <cellXfs count="83">
    <xf numFmtId="170" fontId="0" fillId="0" borderId="0" xfId="0"/>
    <xf numFmtId="170" fontId="2" fillId="5" borderId="0" xfId="0" applyFont="1" applyFill="1" applyBorder="1"/>
    <xf numFmtId="170" fontId="2" fillId="4" borderId="0" xfId="0" applyFont="1" applyFill="1" applyBorder="1"/>
    <xf numFmtId="170" fontId="2" fillId="5" borderId="0" xfId="0" applyFont="1" applyFill="1" applyBorder="1" applyAlignment="1">
      <alignment vertical="top" wrapText="1"/>
    </xf>
    <xf numFmtId="170" fontId="2" fillId="5" borderId="1" xfId="0" applyFont="1" applyFill="1" applyBorder="1" applyAlignment="1">
      <alignment vertical="top"/>
    </xf>
    <xf numFmtId="166" fontId="32" fillId="2" borderId="0" xfId="48" applyNumberFormat="1">
      <alignment horizontal="left"/>
    </xf>
    <xf numFmtId="170" fontId="25" fillId="2" borderId="0" xfId="0" applyFont="1" applyFill="1" applyBorder="1" applyAlignment="1"/>
    <xf numFmtId="170" fontId="26" fillId="3" borderId="0" xfId="0" applyFont="1" applyFill="1" applyBorder="1" applyAlignment="1"/>
    <xf numFmtId="170" fontId="3" fillId="5" borderId="0" xfId="0" applyFont="1" applyFill="1" applyBorder="1" applyAlignment="1">
      <alignment horizontal="center" vertical="top"/>
    </xf>
    <xf numFmtId="170" fontId="3" fillId="5" borderId="0" xfId="0" applyFont="1" applyFill="1" applyBorder="1" applyAlignment="1">
      <alignment vertical="top"/>
    </xf>
    <xf numFmtId="170" fontId="25" fillId="2" borderId="0" xfId="0" applyFont="1" applyFill="1" applyBorder="1" applyAlignment="1">
      <alignment vertical="center"/>
    </xf>
    <xf numFmtId="164" fontId="28" fillId="3" borderId="0" xfId="52">
      <alignment horizontal="center"/>
    </xf>
    <xf numFmtId="166" fontId="27" fillId="2" borderId="0" xfId="53">
      <alignment horizontal="center"/>
    </xf>
    <xf numFmtId="166" fontId="32" fillId="2" borderId="0" xfId="48" applyNumberFormat="1" applyAlignment="1"/>
    <xf numFmtId="166" fontId="8" fillId="3" borderId="0" xfId="49" applyNumberFormat="1" applyAlignment="1"/>
    <xf numFmtId="166" fontId="4" fillId="0" borderId="0" xfId="50" applyNumberFormat="1">
      <alignment horizontal="left" vertical="center"/>
    </xf>
    <xf numFmtId="166" fontId="3" fillId="0" borderId="0" xfId="54">
      <alignment vertical="top"/>
    </xf>
    <xf numFmtId="170" fontId="2" fillId="5" borderId="0" xfId="0" applyFont="1" applyFill="1" applyBorder="1" applyAlignment="1">
      <alignment horizontal="left" vertical="top"/>
    </xf>
    <xf numFmtId="170" fontId="2" fillId="5" borderId="0" xfId="0" applyFont="1" applyFill="1" applyBorder="1" applyAlignment="1">
      <alignment vertical="top"/>
    </xf>
    <xf numFmtId="170" fontId="2" fillId="0" borderId="0" xfId="0" applyFont="1" applyFill="1" applyBorder="1" applyAlignment="1">
      <alignment vertical="top" wrapText="1"/>
    </xf>
    <xf numFmtId="170" fontId="3" fillId="0" borderId="0" xfId="0" applyFont="1" applyFill="1" applyBorder="1" applyAlignment="1">
      <alignment vertical="top"/>
    </xf>
    <xf numFmtId="170" fontId="2" fillId="0" borderId="0" xfId="0" applyFont="1" applyFill="1" applyBorder="1" applyAlignment="1">
      <alignment horizontal="left" wrapText="1"/>
    </xf>
    <xf numFmtId="170" fontId="2" fillId="0" borderId="0" xfId="0" applyFont="1" applyFill="1" applyBorder="1" applyAlignment="1">
      <alignment vertical="top"/>
    </xf>
    <xf numFmtId="170" fontId="2" fillId="0" borderId="0" xfId="0" applyFont="1" applyFill="1" applyBorder="1"/>
    <xf numFmtId="170" fontId="4" fillId="0" borderId="0" xfId="0" applyFont="1" applyFill="1" applyBorder="1" applyAlignment="1">
      <alignment vertical="center"/>
    </xf>
    <xf numFmtId="170" fontId="5" fillId="0" borderId="0" xfId="0" applyFont="1" applyFill="1" applyBorder="1" applyAlignment="1">
      <alignment vertical="center" wrapText="1"/>
    </xf>
    <xf numFmtId="170" fontId="2" fillId="0" borderId="0" xfId="0" applyFont="1" applyFill="1" applyBorder="1" applyAlignment="1">
      <alignment horizontal="left" vertical="top"/>
    </xf>
    <xf numFmtId="170" fontId="3" fillId="0" borderId="0" xfId="0" applyFont="1" applyFill="1" applyBorder="1" applyAlignment="1">
      <alignment horizontal="center" vertical="top"/>
    </xf>
    <xf numFmtId="170" fontId="7" fillId="0" borderId="0" xfId="0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left"/>
    </xf>
    <xf numFmtId="17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70" fontId="0" fillId="0" borderId="0" xfId="0" applyFill="1"/>
    <xf numFmtId="170" fontId="3" fillId="0" borderId="0" xfId="0" applyFont="1" applyFill="1" applyBorder="1" applyAlignment="1">
      <alignment horizontal="left" vertical="top"/>
    </xf>
    <xf numFmtId="170" fontId="3" fillId="0" borderId="0" xfId="0" applyFont="1" applyFill="1" applyBorder="1"/>
    <xf numFmtId="170" fontId="0" fillId="0" borderId="0" xfId="0" applyFill="1" applyBorder="1"/>
    <xf numFmtId="170" fontId="25" fillId="0" borderId="0" xfId="0" applyFont="1" applyFill="1" applyBorder="1" applyAlignment="1"/>
    <xf numFmtId="170" fontId="26" fillId="0" borderId="0" xfId="0" applyFont="1" applyFill="1" applyBorder="1" applyAlignment="1"/>
    <xf numFmtId="166" fontId="30" fillId="0" borderId="0" xfId="58" applyFill="1" applyBorder="1" applyAlignment="1">
      <alignment vertical="top"/>
    </xf>
    <xf numFmtId="166" fontId="2" fillId="5" borderId="0" xfId="51" applyNumberFormat="1" applyFont="1" applyBorder="1" applyAlignment="1">
      <alignment horizontal="left" vertical="top"/>
    </xf>
    <xf numFmtId="166" fontId="3" fillId="5" borderId="0" xfId="51" applyNumberFormat="1" applyFont="1" applyBorder="1" applyAlignment="1">
      <alignment horizontal="center" vertical="top"/>
    </xf>
    <xf numFmtId="166" fontId="2" fillId="5" borderId="0" xfId="51" applyNumberFormat="1" applyFont="1" applyBorder="1" applyAlignment="1"/>
    <xf numFmtId="166" fontId="5" fillId="5" borderId="0" xfId="51" applyNumberFormat="1" applyFont="1" applyBorder="1" applyAlignment="1">
      <alignment vertical="center" wrapText="1"/>
    </xf>
    <xf numFmtId="166" fontId="2" fillId="5" borderId="0" xfId="51" applyNumberFormat="1" applyFont="1" applyAlignment="1">
      <alignment vertical="top"/>
    </xf>
    <xf numFmtId="166" fontId="2" fillId="5" borderId="0" xfId="51" applyNumberFormat="1" applyFont="1" applyAlignment="1"/>
    <xf numFmtId="166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0" fontId="25" fillId="0" borderId="0" xfId="0" applyFont="1" applyFill="1" applyBorder="1" applyAlignment="1">
      <alignment vertical="center"/>
    </xf>
    <xf numFmtId="166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66" fontId="30" fillId="37" borderId="11" xfId="61" applyNumberFormat="1">
      <protection locked="0"/>
    </xf>
    <xf numFmtId="166" fontId="2" fillId="0" borderId="0" xfId="51" applyNumberFormat="1" applyFont="1" applyFill="1" applyAlignment="1"/>
    <xf numFmtId="0" fontId="2" fillId="0" borderId="0" xfId="62" applyFont="1" applyFill="1" applyBorder="1" applyAlignment="1"/>
    <xf numFmtId="170" fontId="0" fillId="5" borderId="0" xfId="51" applyNumberFormat="1" applyFont="1" applyAlignment="1"/>
    <xf numFmtId="170" fontId="2" fillId="5" borderId="0" xfId="51" applyNumberFormat="1" applyFont="1" applyAlignment="1">
      <alignment vertical="top"/>
    </xf>
    <xf numFmtId="0" fontId="0" fillId="5" borderId="12" xfId="62" applyFont="1" applyAlignment="1"/>
    <xf numFmtId="170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0" fontId="4" fillId="0" borderId="0" xfId="50" applyNumberFormat="1" applyFill="1">
      <alignment horizontal="left" vertical="center"/>
    </xf>
    <xf numFmtId="170" fontId="30" fillId="0" borderId="0" xfId="58" applyNumberFormat="1" applyFill="1"/>
    <xf numFmtId="168" fontId="0" fillId="0" borderId="0" xfId="57" applyFont="1" applyFill="1"/>
    <xf numFmtId="168" fontId="30" fillId="37" borderId="11" xfId="57" applyFont="1" applyFill="1" applyBorder="1" applyProtection="1">
      <protection locked="0"/>
    </xf>
    <xf numFmtId="168" fontId="30" fillId="37" borderId="11" xfId="61" applyNumberFormat="1">
      <protection locked="0"/>
    </xf>
    <xf numFmtId="170" fontId="30" fillId="37" borderId="11" xfId="61" applyNumberFormat="1">
      <protection locked="0"/>
    </xf>
    <xf numFmtId="167" fontId="0" fillId="0" borderId="0" xfId="56" applyFont="1"/>
    <xf numFmtId="166" fontId="32" fillId="2" borderId="0" xfId="48" applyNumberFormat="1" applyFill="1" applyAlignment="1">
      <alignment horizontal="center"/>
    </xf>
    <xf numFmtId="170" fontId="5" fillId="0" borderId="0" xfId="0" applyFont="1" applyFill="1" applyBorder="1" applyAlignment="1">
      <alignment horizontal="center" vertical="center" wrapText="1"/>
    </xf>
    <xf numFmtId="166" fontId="2" fillId="5" borderId="0" xfId="51" applyNumberFormat="1" applyFont="1" applyBorder="1" applyAlignment="1">
      <alignment horizontal="left" vertical="top"/>
    </xf>
    <xf numFmtId="166" fontId="32" fillId="3" borderId="0" xfId="49" applyNumberFormat="1" applyFont="1" applyAlignment="1">
      <alignment horizontal="center" vertical="center"/>
    </xf>
    <xf numFmtId="166" fontId="31" fillId="5" borderId="0" xfId="59" applyNumberFormat="1" applyFill="1" applyBorder="1" applyAlignment="1">
      <alignment horizontal="center" vertical="center" wrapText="1"/>
    </xf>
    <xf numFmtId="170" fontId="7" fillId="0" borderId="0" xfId="0" applyFont="1" applyFill="1" applyBorder="1" applyAlignment="1">
      <alignment horizontal="center" vertical="center" wrapText="1"/>
    </xf>
    <xf numFmtId="170" fontId="0" fillId="5" borderId="0" xfId="51" applyNumberFormat="1" applyFont="1" applyAlignment="1">
      <alignment horizontal="left"/>
    </xf>
    <xf numFmtId="170" fontId="4" fillId="5" borderId="0" xfId="0" applyFont="1" applyFill="1" applyBorder="1" applyAlignment="1">
      <alignment horizontal="left" vertical="center"/>
    </xf>
    <xf numFmtId="170" fontId="4" fillId="5" borderId="0" xfId="50" applyNumberFormat="1" applyFill="1" applyAlignment="1">
      <alignment horizontal="left" vertical="center"/>
    </xf>
    <xf numFmtId="166" fontId="2" fillId="5" borderId="0" xfId="51" applyNumberFormat="1" applyFont="1" applyAlignment="1">
      <alignment horizontal="left"/>
    </xf>
    <xf numFmtId="164" fontId="2" fillId="5" borderId="0" xfId="51" applyNumberFormat="1" applyFont="1" applyAlignment="1">
      <alignment horizontal="left"/>
    </xf>
    <xf numFmtId="0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2656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s="22" customFormat="1" ht="75" customHeight="1" x14ac:dyDescent="0.45">
      <c r="A2" s="74" t="s">
        <v>20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3"/>
      <c r="D4" s="73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5" t="s">
        <v>11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1:14" s="23" customFormat="1" ht="15" customHeight="1" x14ac:dyDescent="0.45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4" s="23" customFormat="1" ht="15" customHeight="1" x14ac:dyDescent="0.45">
      <c r="A7" s="75" t="str">
        <f ca="1">"© "&amp;YEAR(TODAY())&amp;" Financial Edge Training "</f>
        <v xml:space="preserve">© 2017 Financial Edge Training 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6"/>
      <c r="H9" s="76"/>
      <c r="I9" s="76"/>
      <c r="J9" s="76"/>
      <c r="K9" s="28"/>
    </row>
    <row r="10" spans="1:14" s="23" customFormat="1" ht="15" customHeight="1" x14ac:dyDescent="0.45">
      <c r="B10" s="24"/>
      <c r="C10" s="24"/>
      <c r="F10" s="28"/>
      <c r="G10" s="76"/>
      <c r="H10" s="76"/>
      <c r="I10" s="76"/>
      <c r="J10" s="76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2"/>
      <c r="H12" s="72"/>
      <c r="I12" s="72"/>
      <c r="J12" s="72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2"/>
      <c r="H13" s="72"/>
      <c r="I13" s="72"/>
      <c r="J13" s="72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2"/>
      <c r="H14" s="72"/>
      <c r="I14" s="72"/>
      <c r="J14" s="72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2"/>
      <c r="H16" s="72"/>
      <c r="I16" s="72"/>
      <c r="J16" s="72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3984375" customWidth="1"/>
    <col min="2" max="2" width="2.86328125" customWidth="1"/>
    <col min="3" max="3" width="13.265625" customWidth="1"/>
    <col min="4" max="4" width="2.86328125" customWidth="1"/>
    <col min="5" max="7" width="1.3984375" customWidth="1"/>
    <col min="8" max="8" width="2.86328125" customWidth="1"/>
    <col min="9" max="9" width="42.73046875" customWidth="1"/>
    <col min="10" max="11" width="1.3984375" customWidth="1"/>
    <col min="12" max="12" width="15.59765625" bestFit="1" customWidth="1"/>
    <col min="13" max="14" width="1.3984375" customWidth="1"/>
    <col min="15" max="15" width="2.86328125" customWidth="1"/>
    <col min="16" max="16" width="32.59765625" customWidth="1"/>
    <col min="17" max="17" width="2.86328125" customWidth="1"/>
    <col min="18" max="18" width="1.3984375" customWidth="1"/>
    <col min="23" max="23" width="17.73046875" bestFit="1" customWidth="1"/>
  </cols>
  <sheetData>
    <row r="1" spans="1:18" s="36" customFormat="1" ht="45" customHeight="1" x14ac:dyDescent="0.85">
      <c r="A1" s="13" t="str">
        <f>Welcome!A2</f>
        <v>Modeling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78" t="s">
        <v>0</v>
      </c>
      <c r="C4" s="78"/>
      <c r="D4" s="78"/>
      <c r="E4" s="78"/>
      <c r="F4" s="78"/>
      <c r="G4" s="78"/>
      <c r="H4" s="78"/>
      <c r="I4" s="78"/>
      <c r="K4" s="1"/>
      <c r="L4" s="78" t="s">
        <v>2</v>
      </c>
      <c r="M4" s="78"/>
      <c r="N4" s="78"/>
      <c r="O4" s="78"/>
      <c r="P4" s="78"/>
      <c r="Q4" s="45"/>
      <c r="R4" s="45"/>
    </row>
    <row r="5" spans="1:18" s="2" customFormat="1" ht="15" customHeight="1" x14ac:dyDescent="0.45">
      <c r="A5" s="17"/>
      <c r="B5" s="8" t="s">
        <v>1</v>
      </c>
      <c r="C5" s="59" t="s">
        <v>21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80" t="s">
        <v>99</v>
      </c>
      <c r="O5" s="80"/>
      <c r="P5" s="80"/>
      <c r="Q5" s="80"/>
      <c r="R5" s="45"/>
    </row>
    <row r="6" spans="1:18" s="2" customFormat="1" ht="15" customHeight="1" x14ac:dyDescent="0.45">
      <c r="A6" s="3"/>
      <c r="B6" s="8" t="s">
        <v>1</v>
      </c>
      <c r="C6" s="18" t="s">
        <v>22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81">
        <v>42004</v>
      </c>
      <c r="O6" s="81"/>
      <c r="P6" s="81"/>
      <c r="Q6" s="81"/>
      <c r="R6" s="45"/>
    </row>
    <row r="7" spans="1:18" s="2" customFormat="1" ht="15" customHeight="1" x14ac:dyDescent="0.45">
      <c r="A7" s="18"/>
      <c r="B7" s="8" t="s">
        <v>1</v>
      </c>
      <c r="C7" s="18" t="s">
        <v>23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80" t="s">
        <v>100</v>
      </c>
      <c r="O7" s="80"/>
      <c r="P7" s="80"/>
      <c r="Q7" s="80"/>
      <c r="R7" s="45"/>
    </row>
    <row r="8" spans="1:18" s="2" customFormat="1" ht="15" customHeight="1" x14ac:dyDescent="0.45">
      <c r="A8" s="18"/>
      <c r="B8" s="8" t="s">
        <v>1</v>
      </c>
      <c r="C8" s="18" t="s">
        <v>46</v>
      </c>
      <c r="D8" s="18"/>
      <c r="E8" s="18"/>
      <c r="F8" s="18"/>
      <c r="G8" s="18"/>
      <c r="H8" s="18"/>
      <c r="I8" s="18"/>
      <c r="K8" s="18"/>
      <c r="L8" s="9" t="s">
        <v>6</v>
      </c>
      <c r="M8" s="9"/>
      <c r="N8" s="80" t="s">
        <v>9</v>
      </c>
      <c r="O8" s="80"/>
      <c r="P8" s="80"/>
      <c r="Q8" s="80"/>
      <c r="R8" s="45"/>
    </row>
    <row r="9" spans="1:18" s="2" customFormat="1" ht="15" customHeight="1" x14ac:dyDescent="0.45">
      <c r="A9" s="43"/>
      <c r="B9" s="8" t="s">
        <v>1</v>
      </c>
      <c r="C9" s="18" t="s">
        <v>47</v>
      </c>
      <c r="D9" s="43"/>
      <c r="E9" s="43"/>
      <c r="F9" s="43"/>
      <c r="G9" s="43"/>
      <c r="H9" s="43"/>
      <c r="I9" s="43"/>
      <c r="K9" s="18"/>
      <c r="L9" s="9" t="s">
        <v>7</v>
      </c>
      <c r="M9" s="9"/>
      <c r="N9" s="80" t="s">
        <v>10</v>
      </c>
      <c r="O9" s="80"/>
      <c r="P9" s="80"/>
      <c r="Q9" s="80"/>
      <c r="R9" s="45"/>
    </row>
    <row r="10" spans="1:18" s="2" customFormat="1" ht="15" customHeight="1" x14ac:dyDescent="0.45">
      <c r="A10" s="44"/>
      <c r="B10" s="44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82">
        <v>0</v>
      </c>
      <c r="O10" s="82"/>
      <c r="P10" s="82"/>
      <c r="Q10" s="82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79" t="s">
        <v>19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N13" s="1"/>
      <c r="O13" s="78" t="s">
        <v>14</v>
      </c>
      <c r="P13" s="78"/>
      <c r="Q13" s="78"/>
      <c r="R13" s="62"/>
    </row>
    <row r="14" spans="1:18" s="2" customFormat="1" ht="15" customHeight="1" x14ac:dyDescent="0.45">
      <c r="A14" s="60"/>
      <c r="B14" s="77" t="s">
        <v>45</v>
      </c>
      <c r="C14" s="77"/>
      <c r="D14" s="77" t="s">
        <v>24</v>
      </c>
      <c r="E14" s="77"/>
      <c r="F14" s="77"/>
      <c r="G14" s="77"/>
      <c r="H14" s="77"/>
      <c r="I14" s="77"/>
      <c r="J14" s="77"/>
      <c r="K14" s="77"/>
      <c r="L14" s="77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77" t="s">
        <v>44</v>
      </c>
      <c r="C15" s="77"/>
      <c r="D15" s="77" t="s">
        <v>24</v>
      </c>
      <c r="E15" s="77"/>
      <c r="F15" s="77"/>
      <c r="G15" s="77"/>
      <c r="H15" s="77"/>
      <c r="I15" s="77"/>
      <c r="J15" s="77"/>
      <c r="K15" s="77"/>
      <c r="L15" s="77"/>
      <c r="N15" s="3"/>
      <c r="O15" s="27"/>
      <c r="P15" s="56" t="s">
        <v>15</v>
      </c>
      <c r="Q15" s="22"/>
      <c r="R15" s="60"/>
    </row>
    <row r="16" spans="1:18" s="2" customFormat="1" ht="15" customHeight="1" x14ac:dyDescent="0.45">
      <c r="A16" s="60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N16" s="18"/>
      <c r="O16" s="27"/>
      <c r="P16" s="38" t="s">
        <v>16</v>
      </c>
      <c r="Q16" s="22"/>
      <c r="R16" s="60"/>
    </row>
    <row r="17" spans="1:18" s="2" customFormat="1" ht="15" customHeight="1" x14ac:dyDescent="0.45">
      <c r="A17" s="60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N17" s="18"/>
      <c r="O17" s="27"/>
      <c r="P17" t="s">
        <v>17</v>
      </c>
      <c r="Q17" s="22"/>
      <c r="R17" s="60"/>
    </row>
    <row r="18" spans="1:18" s="2" customFormat="1" ht="15" customHeight="1" x14ac:dyDescent="0.45">
      <c r="A18" s="44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  <mergeCell ref="L4:P4"/>
    <mergeCell ref="B4:I4"/>
    <mergeCell ref="B13:L13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328125" defaultRowHeight="15" customHeight="1" x14ac:dyDescent="0.45"/>
  <cols>
    <col min="1" max="1" width="1.3984375" style="15" customWidth="1"/>
    <col min="2" max="2" width="41.73046875" style="16" customWidth="1"/>
    <col min="3" max="10" width="11" customWidth="1"/>
    <col min="11" max="12" width="9.265625" customWidth="1"/>
  </cols>
  <sheetData>
    <row r="1" spans="1:15" s="50" customFormat="1" ht="45" customHeight="1" x14ac:dyDescent="0.85">
      <c r="A1" s="5" t="s">
        <v>20</v>
      </c>
      <c r="B1" s="10"/>
      <c r="C1" s="12" t="s">
        <v>12</v>
      </c>
      <c r="D1" s="12" t="s">
        <v>12</v>
      </c>
      <c r="E1" s="12" t="s">
        <v>12</v>
      </c>
      <c r="F1" s="12" t="s">
        <v>13</v>
      </c>
      <c r="G1" s="12" t="s">
        <v>13</v>
      </c>
      <c r="H1" s="12" t="s">
        <v>13</v>
      </c>
      <c r="I1" s="12" t="s">
        <v>13</v>
      </c>
      <c r="J1" s="12" t="s">
        <v>13</v>
      </c>
      <c r="K1" s="12" t="s">
        <v>13</v>
      </c>
      <c r="L1" s="12" t="s">
        <v>13</v>
      </c>
      <c r="M1" s="12" t="s">
        <v>13</v>
      </c>
      <c r="N1" s="12" t="s">
        <v>13</v>
      </c>
      <c r="O1" s="12" t="s">
        <v>13</v>
      </c>
    </row>
    <row r="2" spans="1:15" s="37" customFormat="1" ht="30" customHeight="1" x14ac:dyDescent="0.65">
      <c r="A2" s="14" t="s">
        <v>98</v>
      </c>
      <c r="B2" s="7"/>
      <c r="C2" s="11">
        <f>DATE(YEAR(D2)-1,MONTH(D2),DAY(D2))</f>
        <v>41274</v>
      </c>
      <c r="D2" s="11">
        <f>DATE(YEAR(E2)-1,MONTH(E2),DAY(E2))</f>
        <v>41639</v>
      </c>
      <c r="E2" s="11">
        <f>Info!N6</f>
        <v>42004</v>
      </c>
      <c r="F2" s="11">
        <f>DATE(YEAR(E2)+1,MONTH(E2),DAY(E2))</f>
        <v>42369</v>
      </c>
      <c r="G2" s="11">
        <f>DATE(YEAR(F2)+1,MONTH(F2),DAY(F2))</f>
        <v>42735</v>
      </c>
      <c r="H2" s="11">
        <f>DATE(YEAR(G2)+1,MONTH(G2),DAY(G2))</f>
        <v>43100</v>
      </c>
      <c r="I2" s="11">
        <f>DATE(YEAR(H2)+1,MONTH(H2),DAY(H2))</f>
        <v>43465</v>
      </c>
      <c r="J2" s="11">
        <f>DATE(YEAR(I2)+1,MONTH(I2),DAY(I2))</f>
        <v>43830</v>
      </c>
      <c r="K2" s="11">
        <f t="shared" ref="K2:O2" si="0">DATE(YEAR(J2)+1,MONTH(J2),DAY(J2))</f>
        <v>44196</v>
      </c>
      <c r="L2" s="11">
        <f t="shared" si="0"/>
        <v>44561</v>
      </c>
      <c r="M2" s="11">
        <f t="shared" si="0"/>
        <v>44926</v>
      </c>
      <c r="N2" s="11">
        <f t="shared" si="0"/>
        <v>45291</v>
      </c>
      <c r="O2" s="11">
        <f t="shared" si="0"/>
        <v>45657</v>
      </c>
    </row>
    <row r="4" spans="1:15" ht="15" customHeight="1" x14ac:dyDescent="0.45">
      <c r="A4" s="15" t="s">
        <v>48</v>
      </c>
    </row>
    <row r="5" spans="1:15" ht="15" customHeight="1" x14ac:dyDescent="0.45">
      <c r="B5" s="16" t="s">
        <v>25</v>
      </c>
      <c r="D5" s="66">
        <f>D23/C23-1</f>
        <v>3.1959421642975938E-2</v>
      </c>
      <c r="E5" s="66">
        <f>E23/D23-1</f>
        <v>4.645481620723424E-2</v>
      </c>
      <c r="F5" s="67">
        <v>0.06</v>
      </c>
      <c r="G5" s="67">
        <v>0.06</v>
      </c>
      <c r="H5" s="67">
        <v>0.06</v>
      </c>
      <c r="I5" s="67">
        <v>0.06</v>
      </c>
      <c r="J5" s="67">
        <v>0.06</v>
      </c>
      <c r="K5" s="67">
        <v>0.05</v>
      </c>
      <c r="L5" s="67">
        <v>0.05</v>
      </c>
      <c r="M5" s="67">
        <v>4.4999999999999998E-2</v>
      </c>
      <c r="N5" s="67">
        <v>0.04</v>
      </c>
      <c r="O5" s="67">
        <v>0.04</v>
      </c>
    </row>
    <row r="6" spans="1:15" ht="15" customHeight="1" x14ac:dyDescent="0.45">
      <c r="B6" s="16" t="s">
        <v>26</v>
      </c>
      <c r="C6" s="66">
        <f>C24/C23*-1</f>
        <v>0.86309334472834442</v>
      </c>
      <c r="D6" s="66">
        <f t="shared" ref="D6:E6" si="1">D24/D23*-1</f>
        <v>0.85563651614997704</v>
      </c>
      <c r="E6" s="66">
        <f t="shared" si="1"/>
        <v>0.84872385710105835</v>
      </c>
      <c r="F6" s="67">
        <v>0.85</v>
      </c>
      <c r="G6" s="67">
        <v>0.85</v>
      </c>
      <c r="H6" s="67">
        <v>0.85</v>
      </c>
      <c r="I6" s="67">
        <v>0.85</v>
      </c>
      <c r="J6" s="67">
        <v>0.85</v>
      </c>
      <c r="K6" s="67">
        <v>0.85</v>
      </c>
      <c r="L6" s="67">
        <v>0.85</v>
      </c>
      <c r="M6" s="67">
        <v>0.85</v>
      </c>
      <c r="N6" s="67">
        <v>0.85</v>
      </c>
      <c r="O6" s="67">
        <v>0.85</v>
      </c>
    </row>
    <row r="7" spans="1:15" ht="15" customHeight="1" x14ac:dyDescent="0.45">
      <c r="B7" s="16" t="s">
        <v>59</v>
      </c>
      <c r="C7" s="66" t="e">
        <f>C29/C28*-1</f>
        <v>#DIV/0!</v>
      </c>
      <c r="D7" s="66" t="e">
        <f t="shared" ref="D7:E7" si="2">D29/D28*-1</f>
        <v>#DIV/0!</v>
      </c>
      <c r="E7" s="66" t="e">
        <f t="shared" si="2"/>
        <v>#DIV/0!</v>
      </c>
      <c r="F7" s="67">
        <v>0.36</v>
      </c>
      <c r="G7" s="67">
        <v>0.36</v>
      </c>
      <c r="H7" s="67">
        <v>0.36</v>
      </c>
      <c r="I7" s="67">
        <v>0.36</v>
      </c>
      <c r="J7" s="67">
        <v>0.36</v>
      </c>
      <c r="K7" s="67">
        <v>0.36</v>
      </c>
      <c r="L7" s="67">
        <v>0.36</v>
      </c>
      <c r="M7" s="67">
        <v>0.36</v>
      </c>
      <c r="N7" s="67">
        <v>0.36</v>
      </c>
      <c r="O7" s="67">
        <v>0.36</v>
      </c>
    </row>
    <row r="8" spans="1:15" ht="15" customHeight="1" x14ac:dyDescent="0.45">
      <c r="A8" s="64"/>
    </row>
    <row r="9" spans="1:15" ht="15" customHeight="1" x14ac:dyDescent="0.45">
      <c r="A9" s="15" t="s">
        <v>49</v>
      </c>
    </row>
    <row r="10" spans="1:15" ht="15" customHeight="1" x14ac:dyDescent="0.45">
      <c r="B10" s="16" t="s">
        <v>104</v>
      </c>
      <c r="D10" s="66">
        <f>D49/D23</f>
        <v>0.22126255587778429</v>
      </c>
      <c r="E10" s="66">
        <f>E49/E23</f>
        <v>0.22399843080206946</v>
      </c>
      <c r="F10" s="67">
        <v>0.22500000000000001</v>
      </c>
      <c r="G10" s="67">
        <v>0.22500000000000001</v>
      </c>
      <c r="H10" s="67">
        <v>0.22500000000000001</v>
      </c>
      <c r="I10" s="67">
        <v>0.22500000000000001</v>
      </c>
      <c r="J10" s="67">
        <v>0.22500000000000001</v>
      </c>
      <c r="K10" s="67">
        <v>0.22500000000000001</v>
      </c>
      <c r="L10" s="67">
        <v>0.22500000000000001</v>
      </c>
      <c r="M10" s="67">
        <v>0.22500000000000001</v>
      </c>
      <c r="N10" s="67">
        <v>0.22500000000000001</v>
      </c>
      <c r="O10" s="67">
        <v>0.22500000000000001</v>
      </c>
    </row>
    <row r="11" spans="1:15" ht="15" customHeight="1" x14ac:dyDescent="0.45">
      <c r="B11" s="16" t="s">
        <v>105</v>
      </c>
      <c r="D11" s="66">
        <f>D54/D23</f>
        <v>0.2534714344848919</v>
      </c>
      <c r="E11" s="66">
        <f>E54/E23</f>
        <v>0.28736564363447042</v>
      </c>
      <c r="F11" s="67">
        <v>0.28999999999999998</v>
      </c>
      <c r="G11" s="67">
        <v>0.28999999999999998</v>
      </c>
      <c r="H11" s="67">
        <v>0.28999999999999998</v>
      </c>
      <c r="I11" s="67">
        <v>0.28999999999999998</v>
      </c>
      <c r="J11" s="67">
        <v>0.28999999999999998</v>
      </c>
      <c r="K11" s="67">
        <v>0.28999999999999998</v>
      </c>
      <c r="L11" s="67">
        <v>0.28999999999999998</v>
      </c>
      <c r="M11" s="67">
        <v>0.28999999999999998</v>
      </c>
      <c r="N11" s="67">
        <v>0.28999999999999998</v>
      </c>
      <c r="O11" s="67">
        <v>0.28999999999999998</v>
      </c>
    </row>
    <row r="12" spans="1:15" ht="15" customHeight="1" x14ac:dyDescent="0.45">
      <c r="B12" s="16" t="s">
        <v>62</v>
      </c>
      <c r="D12" s="66">
        <f>274.114/D23</f>
        <v>1.5618794253744203E-2</v>
      </c>
      <c r="E12" s="66">
        <f>280.779/E23</f>
        <v>1.5288343386715423E-2</v>
      </c>
      <c r="F12" s="67">
        <v>3.6999999999999998E-2</v>
      </c>
      <c r="G12" s="67">
        <v>3.6999999999999998E-2</v>
      </c>
      <c r="H12" s="67">
        <v>3.6999999999999998E-2</v>
      </c>
      <c r="I12" s="67">
        <v>3.6999999999999998E-2</v>
      </c>
      <c r="J12" s="67">
        <v>3.6999999999999998E-2</v>
      </c>
      <c r="K12" s="67">
        <v>3.6999999999999998E-2</v>
      </c>
      <c r="L12" s="67">
        <v>3.6999999999999998E-2</v>
      </c>
      <c r="M12" s="67">
        <v>3.6999999999999998E-2</v>
      </c>
      <c r="N12" s="67">
        <v>3.6999999999999998E-2</v>
      </c>
      <c r="O12" s="67">
        <v>3.6999999999999998E-2</v>
      </c>
    </row>
    <row r="13" spans="1:15" ht="15" customHeight="1" x14ac:dyDescent="0.45">
      <c r="B13" s="16" t="s">
        <v>67</v>
      </c>
      <c r="D13" s="66"/>
      <c r="E13" s="66">
        <f>383.996/D50</f>
        <v>2.736462933168779E-2</v>
      </c>
      <c r="F13" s="68">
        <v>6.6000000000000003E-2</v>
      </c>
      <c r="G13" s="68">
        <v>6.6000000000000003E-2</v>
      </c>
      <c r="H13" s="68">
        <v>6.6000000000000003E-2</v>
      </c>
      <c r="I13" s="68">
        <v>6.6000000000000003E-2</v>
      </c>
      <c r="J13" s="68">
        <v>6.6000000000000003E-2</v>
      </c>
      <c r="K13" s="68">
        <v>6.6000000000000003E-2</v>
      </c>
      <c r="L13" s="68">
        <v>6.6000000000000003E-2</v>
      </c>
      <c r="M13" s="68">
        <v>6.6000000000000003E-2</v>
      </c>
      <c r="N13" s="68">
        <v>6.6000000000000003E-2</v>
      </c>
      <c r="O13" s="68">
        <v>6.6000000000000003E-2</v>
      </c>
    </row>
    <row r="14" spans="1:15" ht="15" customHeight="1" x14ac:dyDescent="0.45">
      <c r="B14" s="16" t="s">
        <v>64</v>
      </c>
      <c r="D14" s="66" t="e">
        <f>216.855/D30</f>
        <v>#DIV/0!</v>
      </c>
      <c r="E14" s="66" t="e">
        <f>156.129/E30</f>
        <v>#DIV/0!</v>
      </c>
      <c r="F14" s="68">
        <v>0.32</v>
      </c>
      <c r="G14" s="68">
        <v>0.32</v>
      </c>
      <c r="H14" s="68">
        <v>0.32</v>
      </c>
      <c r="I14" s="68">
        <v>0.32</v>
      </c>
      <c r="J14" s="68">
        <v>0.32</v>
      </c>
      <c r="K14" s="68">
        <v>0.32</v>
      </c>
      <c r="L14" s="68">
        <v>0.32</v>
      </c>
      <c r="M14" s="68">
        <v>0.32</v>
      </c>
      <c r="N14" s="68">
        <v>0.32</v>
      </c>
      <c r="O14" s="68">
        <v>0.32</v>
      </c>
    </row>
    <row r="15" spans="1:15" ht="15" customHeight="1" x14ac:dyDescent="0.45">
      <c r="A15" s="64"/>
    </row>
    <row r="16" spans="1:15" ht="15" customHeight="1" x14ac:dyDescent="0.45">
      <c r="A16" s="15" t="s">
        <v>56</v>
      </c>
    </row>
    <row r="17" spans="1:15" ht="15" customHeight="1" x14ac:dyDescent="0.45">
      <c r="B17" s="16" t="s">
        <v>63</v>
      </c>
      <c r="D17" s="66"/>
      <c r="E17" s="66"/>
      <c r="F17" s="69">
        <v>-1442.1176000000003</v>
      </c>
      <c r="G17" s="69">
        <v>-48.052399999999999</v>
      </c>
      <c r="H17" s="69">
        <v>-200.61580000000001</v>
      </c>
      <c r="I17" s="69">
        <v>-231.94160000000002</v>
      </c>
      <c r="J17" s="69">
        <v>-1195.5170754098353</v>
      </c>
      <c r="K17" s="69">
        <v>-207.91601311475412</v>
      </c>
      <c r="L17" s="69">
        <v>-727.7060459016393</v>
      </c>
      <c r="M17" s="69">
        <v>0</v>
      </c>
      <c r="N17" s="69">
        <v>0</v>
      </c>
      <c r="O17" s="69">
        <v>-1039.5800655737708</v>
      </c>
    </row>
    <row r="18" spans="1:15" ht="15" customHeight="1" x14ac:dyDescent="0.45">
      <c r="B18" s="16" t="s">
        <v>78</v>
      </c>
      <c r="F18" s="68">
        <v>0.02</v>
      </c>
      <c r="G18" s="68">
        <v>0.02</v>
      </c>
      <c r="H18" s="68">
        <v>0.02</v>
      </c>
      <c r="I18" s="68">
        <v>0.02</v>
      </c>
      <c r="J18" s="68">
        <v>0.02</v>
      </c>
      <c r="K18" s="68">
        <v>0.02</v>
      </c>
      <c r="L18" s="68">
        <v>0.02</v>
      </c>
      <c r="M18" s="68">
        <v>0.02</v>
      </c>
      <c r="N18" s="68">
        <v>0.02</v>
      </c>
      <c r="O18" s="68">
        <v>0.02</v>
      </c>
    </row>
    <row r="19" spans="1:15" ht="15" customHeight="1" x14ac:dyDescent="0.45">
      <c r="B19" s="16" t="s">
        <v>79</v>
      </c>
      <c r="F19" s="68">
        <v>0.04</v>
      </c>
      <c r="G19" s="68">
        <v>0.04</v>
      </c>
      <c r="H19" s="68">
        <v>0.04</v>
      </c>
      <c r="I19" s="68">
        <v>0.04</v>
      </c>
      <c r="J19" s="68">
        <v>0.04</v>
      </c>
      <c r="K19" s="68">
        <v>0.04</v>
      </c>
      <c r="L19" s="68">
        <v>0.04</v>
      </c>
      <c r="M19" s="68">
        <v>0.04</v>
      </c>
      <c r="N19" s="68">
        <v>0.04</v>
      </c>
      <c r="O19" s="68">
        <v>0.04</v>
      </c>
    </row>
    <row r="20" spans="1:15" ht="15" customHeight="1" x14ac:dyDescent="0.45">
      <c r="B20" s="16" t="s">
        <v>77</v>
      </c>
      <c r="F20" s="68">
        <v>5.0000000000000001E-3</v>
      </c>
      <c r="G20" s="68">
        <v>5.0000000000000001E-3</v>
      </c>
      <c r="H20" s="68">
        <v>5.0000000000000001E-3</v>
      </c>
      <c r="I20" s="68">
        <v>5.0000000000000001E-3</v>
      </c>
      <c r="J20" s="68">
        <v>5.0000000000000001E-3</v>
      </c>
      <c r="K20" s="68">
        <v>5.0000000000000001E-3</v>
      </c>
      <c r="L20" s="68">
        <v>5.0000000000000001E-3</v>
      </c>
      <c r="M20" s="68">
        <v>5.0000000000000001E-3</v>
      </c>
      <c r="N20" s="68">
        <v>5.0000000000000001E-3</v>
      </c>
      <c r="O20" s="68">
        <v>5.0000000000000001E-3</v>
      </c>
    </row>
    <row r="21" spans="1:15" ht="15" customHeight="1" x14ac:dyDescent="0.45">
      <c r="A21" s="64"/>
    </row>
    <row r="22" spans="1:15" ht="15" customHeight="1" x14ac:dyDescent="0.45">
      <c r="A22" s="15" t="s">
        <v>27</v>
      </c>
    </row>
    <row r="23" spans="1:15" ht="15" customHeight="1" x14ac:dyDescent="0.45">
      <c r="B23" s="16" t="s">
        <v>28</v>
      </c>
      <c r="C23" s="65">
        <v>17006.7408</v>
      </c>
      <c r="D23" s="65">
        <v>17550.2664</v>
      </c>
      <c r="E23" s="65">
        <v>18365.560799999999</v>
      </c>
    </row>
    <row r="24" spans="1:15" ht="15" customHeight="1" x14ac:dyDescent="0.45">
      <c r="B24" s="16" t="s">
        <v>29</v>
      </c>
      <c r="C24" s="65">
        <f>(2435.993+3680.009)*2.4*-1</f>
        <v>-14678.4048</v>
      </c>
      <c r="D24" s="65">
        <f>(2524.006+3732.931)*2.4*-1</f>
        <v>-15016.648799999999</v>
      </c>
      <c r="E24" s="65">
        <f>(2574.685+3920.019)*2.4*-1</f>
        <v>-15587.289599999998</v>
      </c>
    </row>
    <row r="25" spans="1:15" ht="15" customHeight="1" x14ac:dyDescent="0.45">
      <c r="B25" s="16" t="s">
        <v>51</v>
      </c>
    </row>
    <row r="26" spans="1:15" ht="15" customHeight="1" x14ac:dyDescent="0.45">
      <c r="B26" s="16" t="s">
        <v>52</v>
      </c>
      <c r="C26" s="65">
        <v>45.384</v>
      </c>
      <c r="D26" s="65">
        <v>24.172799999999999</v>
      </c>
      <c r="E26" s="65">
        <v>29.104800000000001</v>
      </c>
    </row>
    <row r="27" spans="1:15" ht="15" customHeight="1" x14ac:dyDescent="0.45">
      <c r="B27" s="16" t="s">
        <v>53</v>
      </c>
      <c r="C27" s="65">
        <f>347.0472*-1</f>
        <v>-347.04719999999998</v>
      </c>
      <c r="D27" s="65">
        <f>262.5096*-1</f>
        <v>-262.50959999999998</v>
      </c>
      <c r="E27" s="65">
        <f>263.1816*-1</f>
        <v>-263.1816</v>
      </c>
    </row>
    <row r="28" spans="1:15" ht="15" customHeight="1" x14ac:dyDescent="0.45">
      <c r="B28" s="16" t="s">
        <v>54</v>
      </c>
    </row>
    <row r="29" spans="1:15" ht="15" customHeight="1" x14ac:dyDescent="0.45">
      <c r="B29" s="16" t="s">
        <v>30</v>
      </c>
      <c r="C29" s="65">
        <f>734.1384*-1</f>
        <v>-734.13840000000005</v>
      </c>
      <c r="D29" s="65">
        <f>978.012*-1</f>
        <v>-978.01199999999994</v>
      </c>
      <c r="E29" s="65">
        <f>993.7584*-1</f>
        <v>-993.75840000000005</v>
      </c>
    </row>
    <row r="30" spans="1:15" ht="15" customHeight="1" x14ac:dyDescent="0.45">
      <c r="B30" s="16" t="s">
        <v>31</v>
      </c>
    </row>
    <row r="31" spans="1:15" ht="15" customHeight="1" x14ac:dyDescent="0.45">
      <c r="A31" s="64"/>
    </row>
    <row r="32" spans="1:15" ht="15" customHeight="1" x14ac:dyDescent="0.45">
      <c r="A32" s="15" t="s">
        <v>109</v>
      </c>
    </row>
    <row r="33" spans="1:5" ht="15" customHeight="1" x14ac:dyDescent="0.45">
      <c r="B33" s="16" t="s">
        <v>65</v>
      </c>
    </row>
    <row r="34" spans="1:5" ht="15" customHeight="1" x14ac:dyDescent="0.45">
      <c r="B34" s="16" t="s">
        <v>66</v>
      </c>
    </row>
    <row r="35" spans="1:5" ht="15" customHeight="1" x14ac:dyDescent="0.45">
      <c r="B35" s="16" t="s">
        <v>68</v>
      </c>
    </row>
    <row r="36" spans="1:5" ht="15" customHeight="1" x14ac:dyDescent="0.45">
      <c r="B36" s="16" t="s">
        <v>69</v>
      </c>
    </row>
    <row r="38" spans="1:5" ht="15" customHeight="1" x14ac:dyDescent="0.45">
      <c r="B38" s="16" t="s">
        <v>70</v>
      </c>
    </row>
    <row r="39" spans="1:5" ht="15" customHeight="1" x14ac:dyDescent="0.45">
      <c r="B39" s="16" t="s">
        <v>31</v>
      </c>
    </row>
    <row r="40" spans="1:5" ht="15" customHeight="1" x14ac:dyDescent="0.45">
      <c r="B40" s="16" t="s">
        <v>71</v>
      </c>
    </row>
    <row r="41" spans="1:5" ht="15" customHeight="1" x14ac:dyDescent="0.45">
      <c r="B41" s="16" t="s">
        <v>72</v>
      </c>
    </row>
    <row r="43" spans="1:5" ht="15" customHeight="1" x14ac:dyDescent="0.45">
      <c r="B43" s="16" t="str">
        <f>B49</f>
        <v>Operating current assets</v>
      </c>
    </row>
    <row r="44" spans="1:5" ht="15" customHeight="1" x14ac:dyDescent="0.45">
      <c r="B44" s="16" t="str">
        <f>B54</f>
        <v>Operating current liabilities</v>
      </c>
    </row>
    <row r="45" spans="1:5" ht="15" customHeight="1" x14ac:dyDescent="0.45">
      <c r="B45" s="16" t="s">
        <v>73</v>
      </c>
    </row>
    <row r="46" spans="1:5" ht="15" customHeight="1" x14ac:dyDescent="0.45">
      <c r="A46" s="64"/>
    </row>
    <row r="47" spans="1:5" ht="15" customHeight="1" x14ac:dyDescent="0.45">
      <c r="A47" s="15" t="s">
        <v>32</v>
      </c>
    </row>
    <row r="48" spans="1:5" ht="15" customHeight="1" x14ac:dyDescent="0.45">
      <c r="B48" s="16" t="s">
        <v>33</v>
      </c>
      <c r="D48" s="65">
        <v>1483.1879999999999</v>
      </c>
      <c r="E48" s="65">
        <v>3488.6088</v>
      </c>
    </row>
    <row r="49" spans="1:5" ht="15" customHeight="1" x14ac:dyDescent="0.45">
      <c r="B49" s="16" t="s">
        <v>102</v>
      </c>
      <c r="D49" s="65">
        <f>(680.296+698.95+238.761)*2.4</f>
        <v>3883.2168000000001</v>
      </c>
      <c r="E49" s="65">
        <f>(754.306+728.404+231.397)*2.4</f>
        <v>4113.8567999999996</v>
      </c>
    </row>
    <row r="50" spans="1:5" ht="15" customHeight="1" x14ac:dyDescent="0.45">
      <c r="B50" s="16" t="s">
        <v>34</v>
      </c>
      <c r="D50" s="65">
        <v>14032.5672</v>
      </c>
      <c r="E50" s="65">
        <v>15423.8472</v>
      </c>
    </row>
    <row r="51" spans="1:5" ht="15" customHeight="1" x14ac:dyDescent="0.45">
      <c r="B51" s="16" t="s">
        <v>35</v>
      </c>
    </row>
    <row r="53" spans="1:5" ht="15" customHeight="1" x14ac:dyDescent="0.45">
      <c r="B53" s="16" t="s">
        <v>55</v>
      </c>
      <c r="D53" s="65">
        <v>107.8104</v>
      </c>
      <c r="E53" s="65">
        <v>363.12719999999996</v>
      </c>
    </row>
    <row r="54" spans="1:5" ht="15" customHeight="1" x14ac:dyDescent="0.45">
      <c r="B54" s="16" t="s">
        <v>103</v>
      </c>
      <c r="D54" s="65">
        <f>(681.151+9.477+123.688+523.05+76.399+268.078+97.544+74.151)*2.4</f>
        <v>4448.4911999999995</v>
      </c>
      <c r="E54" s="65">
        <f>(744.272+42.603+187.719+636.055+138.475+266.896+99.223+83.77)*2.4</f>
        <v>5277.6311999999998</v>
      </c>
    </row>
    <row r="55" spans="1:5" ht="15" customHeight="1" x14ac:dyDescent="0.45">
      <c r="B55" s="16" t="s">
        <v>101</v>
      </c>
      <c r="D55" s="65">
        <f>(318.1+1716.41)*2.4</f>
        <v>4882.8240000000005</v>
      </c>
      <c r="E55" s="65">
        <f>(626.788+1688.415)*2.4</f>
        <v>5556.4871999999996</v>
      </c>
    </row>
    <row r="56" spans="1:5" ht="15" customHeight="1" x14ac:dyDescent="0.45">
      <c r="B56" s="16" t="s">
        <v>36</v>
      </c>
    </row>
    <row r="58" spans="1:5" ht="15" customHeight="1" x14ac:dyDescent="0.45">
      <c r="B58" s="16" t="s">
        <v>37</v>
      </c>
      <c r="D58" s="65">
        <v>9959.8463999999985</v>
      </c>
      <c r="E58" s="65">
        <v>11829.0672</v>
      </c>
    </row>
    <row r="59" spans="1:5" ht="15" customHeight="1" x14ac:dyDescent="0.45">
      <c r="B59" s="16" t="s">
        <v>38</v>
      </c>
    </row>
    <row r="61" spans="1:5" ht="15" customHeight="1" x14ac:dyDescent="0.45">
      <c r="B61" s="16" t="s">
        <v>39</v>
      </c>
    </row>
    <row r="62" spans="1:5" ht="15" customHeight="1" x14ac:dyDescent="0.45">
      <c r="A62" s="64"/>
    </row>
    <row r="63" spans="1:5" ht="15" customHeight="1" x14ac:dyDescent="0.45">
      <c r="A63" s="15" t="s">
        <v>57</v>
      </c>
    </row>
    <row r="81" spans="1:2" ht="15" customHeight="1" x14ac:dyDescent="0.45">
      <c r="A81" s="64"/>
    </row>
    <row r="82" spans="1:2" ht="15" customHeight="1" x14ac:dyDescent="0.45">
      <c r="A82" s="15" t="s">
        <v>58</v>
      </c>
    </row>
    <row r="83" spans="1:2" ht="15" customHeight="1" x14ac:dyDescent="0.45">
      <c r="B83" s="16" t="s">
        <v>40</v>
      </c>
    </row>
    <row r="84" spans="1:2" ht="15" customHeight="1" x14ac:dyDescent="0.45">
      <c r="B84" s="16" t="s">
        <v>41</v>
      </c>
    </row>
    <row r="85" spans="1:2" ht="15" customHeight="1" x14ac:dyDescent="0.45">
      <c r="B85" s="16" t="s">
        <v>71</v>
      </c>
    </row>
    <row r="86" spans="1:2" ht="15" customHeight="1" x14ac:dyDescent="0.45">
      <c r="B86" s="16" t="s">
        <v>81</v>
      </c>
    </row>
    <row r="87" spans="1:2" ht="15" customHeight="1" x14ac:dyDescent="0.45">
      <c r="B87" s="16" t="s">
        <v>42</v>
      </c>
    </row>
    <row r="88" spans="1:2" ht="15" customHeight="1" x14ac:dyDescent="0.45">
      <c r="B88" s="16" t="s">
        <v>80</v>
      </c>
    </row>
    <row r="90" spans="1:2" ht="15" customHeight="1" x14ac:dyDescent="0.45">
      <c r="B90" s="16" t="str">
        <f>B17</f>
        <v>Long term debt issuance / (repayment)</v>
      </c>
    </row>
    <row r="91" spans="1:2" ht="15" customHeight="1" x14ac:dyDescent="0.45">
      <c r="B91" s="16" t="s">
        <v>82</v>
      </c>
    </row>
    <row r="93" spans="1:2" ht="15" customHeight="1" x14ac:dyDescent="0.45">
      <c r="B93" s="16" t="s">
        <v>83</v>
      </c>
    </row>
    <row r="94" spans="1:2" ht="15" customHeight="1" x14ac:dyDescent="0.45">
      <c r="B94" s="16" t="s">
        <v>84</v>
      </c>
    </row>
    <row r="95" spans="1:2" ht="15" customHeight="1" x14ac:dyDescent="0.45">
      <c r="B95" s="16" t="s">
        <v>85</v>
      </c>
    </row>
    <row r="97" spans="1:15" ht="15" customHeight="1" x14ac:dyDescent="0.45">
      <c r="B97" s="16" t="s">
        <v>43</v>
      </c>
    </row>
    <row r="99" spans="1:15" ht="15" customHeight="1" x14ac:dyDescent="0.45">
      <c r="B99" s="16" t="s">
        <v>86</v>
      </c>
    </row>
    <row r="100" spans="1:15" ht="15" customHeight="1" x14ac:dyDescent="0.45">
      <c r="B100" s="16" t="str">
        <f>B90</f>
        <v>Long term debt issuance / (repayment)</v>
      </c>
    </row>
    <row r="101" spans="1:15" ht="15" customHeight="1" x14ac:dyDescent="0.45">
      <c r="B101" s="16" t="s">
        <v>87</v>
      </c>
    </row>
    <row r="103" spans="1:15" ht="15" customHeight="1" x14ac:dyDescent="0.45">
      <c r="B103" s="16" t="s">
        <v>88</v>
      </c>
    </row>
    <row r="104" spans="1:15" ht="15" customHeight="1" x14ac:dyDescent="0.45">
      <c r="B104" s="16" t="s">
        <v>89</v>
      </c>
    </row>
    <row r="105" spans="1:15" ht="15" customHeight="1" x14ac:dyDescent="0.45">
      <c r="B105" s="16" t="s">
        <v>90</v>
      </c>
    </row>
    <row r="107" spans="1:15" ht="15" customHeight="1" x14ac:dyDescent="0.45">
      <c r="A107" s="15" t="s">
        <v>107</v>
      </c>
    </row>
    <row r="108" spans="1:15" ht="15" customHeight="1" x14ac:dyDescent="0.45">
      <c r="B108" s="16" t="s">
        <v>60</v>
      </c>
      <c r="C108" s="66">
        <f t="shared" ref="C108" si="3">C25/C23</f>
        <v>0</v>
      </c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</row>
    <row r="109" spans="1:15" ht="15" customHeight="1" x14ac:dyDescent="0.45">
      <c r="B109" s="16" t="s">
        <v>50</v>
      </c>
      <c r="C109" s="66"/>
      <c r="D109" s="66"/>
      <c r="E109" s="66"/>
    </row>
    <row r="110" spans="1:15" ht="15" customHeight="1" x14ac:dyDescent="0.45">
      <c r="B110" s="16" t="s">
        <v>97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</row>
    <row r="111" spans="1:15" ht="15" customHeight="1" x14ac:dyDescent="0.45">
      <c r="B111" s="16" t="s">
        <v>61</v>
      </c>
      <c r="C111" s="66">
        <f t="shared" ref="C111" si="4">C30/C23</f>
        <v>0</v>
      </c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</row>
    <row r="113" spans="1:15" ht="15" customHeight="1" x14ac:dyDescent="0.45">
      <c r="A113" s="15" t="s">
        <v>108</v>
      </c>
    </row>
    <row r="114" spans="1:15" ht="15" customHeight="1" x14ac:dyDescent="0.45">
      <c r="B114" s="16" t="s">
        <v>74</v>
      </c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</row>
    <row r="115" spans="1:15" ht="15" customHeight="1" x14ac:dyDescent="0.45">
      <c r="B115" s="16" t="s">
        <v>75</v>
      </c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</row>
    <row r="117" spans="1:15" ht="15" customHeight="1" x14ac:dyDescent="0.45">
      <c r="A117" s="15" t="s">
        <v>91</v>
      </c>
    </row>
    <row r="118" spans="1:15" ht="15" customHeight="1" x14ac:dyDescent="0.45">
      <c r="B118" s="16" t="s">
        <v>76</v>
      </c>
    </row>
    <row r="119" spans="1:15" ht="15" customHeight="1" x14ac:dyDescent="0.45">
      <c r="B119" s="16" t="s">
        <v>92</v>
      </c>
    </row>
    <row r="120" spans="1:15" ht="15" customHeight="1" x14ac:dyDescent="0.45">
      <c r="B120" s="16" t="s">
        <v>93</v>
      </c>
      <c r="F120" s="70"/>
      <c r="G120" s="70"/>
      <c r="H120" s="70"/>
      <c r="I120" s="70"/>
      <c r="J120" s="70"/>
      <c r="K120" s="70"/>
      <c r="L120" s="70"/>
      <c r="M120" s="70"/>
      <c r="N120" s="70"/>
      <c r="O120" s="70"/>
    </row>
    <row r="121" spans="1:15" ht="15" customHeight="1" x14ac:dyDescent="0.45">
      <c r="B121" s="16" t="s">
        <v>94</v>
      </c>
      <c r="F121" s="70"/>
      <c r="G121" s="70"/>
      <c r="H121" s="70"/>
      <c r="I121" s="70"/>
      <c r="J121" s="70"/>
      <c r="K121" s="70"/>
      <c r="L121" s="70"/>
      <c r="M121" s="70"/>
      <c r="N121" s="70"/>
      <c r="O121" s="70"/>
    </row>
    <row r="122" spans="1:15" ht="15" customHeight="1" x14ac:dyDescent="0.45">
      <c r="B122" s="16" t="s">
        <v>95</v>
      </c>
      <c r="F122" s="70"/>
      <c r="G122" s="70"/>
      <c r="H122" s="70"/>
      <c r="I122" s="70"/>
      <c r="J122" s="70"/>
      <c r="K122" s="70"/>
      <c r="L122" s="70"/>
      <c r="M122" s="70"/>
      <c r="N122" s="70"/>
      <c r="O122" s="70"/>
    </row>
    <row r="123" spans="1:15" ht="15" customHeight="1" x14ac:dyDescent="0.45">
      <c r="B123" s="16" t="s">
        <v>96</v>
      </c>
      <c r="F123" s="66"/>
      <c r="G123" s="66"/>
      <c r="H123" s="66"/>
      <c r="I123" s="66"/>
      <c r="J123" s="66"/>
      <c r="K123" s="66"/>
      <c r="L123" s="66"/>
      <c r="M123" s="66"/>
      <c r="N123" s="66"/>
      <c r="O123" s="66"/>
    </row>
    <row r="125" spans="1:15" ht="15" customHeight="1" x14ac:dyDescent="0.45">
      <c r="A125" s="15" t="s">
        <v>106</v>
      </c>
    </row>
    <row r="183" spans="1:15" ht="15" customHeight="1" x14ac:dyDescent="0.45">
      <c r="A183" s="15" t="s">
        <v>91</v>
      </c>
    </row>
    <row r="184" spans="1:15" ht="15" customHeight="1" x14ac:dyDescent="0.45">
      <c r="B184" s="16" t="s">
        <v>76</v>
      </c>
      <c r="E184">
        <f t="shared" ref="E184:O184" si="5">E95+E101</f>
        <v>0</v>
      </c>
      <c r="F184">
        <f t="shared" si="5"/>
        <v>0</v>
      </c>
      <c r="G184">
        <f t="shared" si="5"/>
        <v>0</v>
      </c>
      <c r="H184">
        <f t="shared" si="5"/>
        <v>0</v>
      </c>
      <c r="I184">
        <f t="shared" si="5"/>
        <v>0</v>
      </c>
      <c r="J184">
        <f t="shared" si="5"/>
        <v>0</v>
      </c>
      <c r="K184">
        <f t="shared" si="5"/>
        <v>0</v>
      </c>
      <c r="L184">
        <f t="shared" si="5"/>
        <v>0</v>
      </c>
      <c r="M184">
        <f t="shared" si="5"/>
        <v>0</v>
      </c>
      <c r="N184">
        <f t="shared" si="5"/>
        <v>0</v>
      </c>
      <c r="O184">
        <f t="shared" si="5"/>
        <v>0</v>
      </c>
    </row>
    <row r="185" spans="1:15" ht="15" customHeight="1" x14ac:dyDescent="0.45">
      <c r="B185" s="16" t="s">
        <v>92</v>
      </c>
      <c r="E185">
        <f t="shared" ref="E185:O185" si="6">E184-E97</f>
        <v>0</v>
      </c>
      <c r="F185">
        <f t="shared" si="6"/>
        <v>0</v>
      </c>
      <c r="G185">
        <f t="shared" si="6"/>
        <v>0</v>
      </c>
      <c r="H185">
        <f t="shared" si="6"/>
        <v>0</v>
      </c>
      <c r="I185">
        <f t="shared" si="6"/>
        <v>0</v>
      </c>
      <c r="J185">
        <f t="shared" si="6"/>
        <v>0</v>
      </c>
      <c r="K185">
        <f t="shared" si="6"/>
        <v>0</v>
      </c>
      <c r="L185">
        <f t="shared" si="6"/>
        <v>0</v>
      </c>
      <c r="M185">
        <f t="shared" si="6"/>
        <v>0</v>
      </c>
      <c r="N185">
        <f t="shared" si="6"/>
        <v>0</v>
      </c>
      <c r="O185">
        <f t="shared" si="6"/>
        <v>0</v>
      </c>
    </row>
    <row r="186" spans="1:15" ht="15" customHeight="1" x14ac:dyDescent="0.45">
      <c r="B186" s="16" t="s">
        <v>93</v>
      </c>
      <c r="F186" s="70" t="e">
        <f t="shared" ref="F186:O186" si="7">F184/F114</f>
        <v>#DIV/0!</v>
      </c>
      <c r="G186" s="70" t="e">
        <f t="shared" si="7"/>
        <v>#DIV/0!</v>
      </c>
      <c r="H186" s="70" t="e">
        <f t="shared" si="7"/>
        <v>#DIV/0!</v>
      </c>
      <c r="I186" s="70" t="e">
        <f t="shared" si="7"/>
        <v>#DIV/0!</v>
      </c>
      <c r="J186" s="70" t="e">
        <f t="shared" si="7"/>
        <v>#DIV/0!</v>
      </c>
      <c r="K186" s="70" t="e">
        <f t="shared" si="7"/>
        <v>#DIV/0!</v>
      </c>
      <c r="L186" s="70" t="e">
        <f t="shared" si="7"/>
        <v>#DIV/0!</v>
      </c>
      <c r="M186" s="70" t="e">
        <f t="shared" si="7"/>
        <v>#DIV/0!</v>
      </c>
      <c r="N186" s="70" t="e">
        <f t="shared" si="7"/>
        <v>#DIV/0!</v>
      </c>
      <c r="O186" s="70" t="e">
        <f t="shared" si="7"/>
        <v>#DIV/0!</v>
      </c>
    </row>
    <row r="187" spans="1:15" ht="15" customHeight="1" x14ac:dyDescent="0.45">
      <c r="B187" s="16" t="s">
        <v>94</v>
      </c>
      <c r="F187" s="70" t="e">
        <f t="shared" ref="F187:O187" si="8">F185/F114</f>
        <v>#DIV/0!</v>
      </c>
      <c r="G187" s="70" t="e">
        <f t="shared" si="8"/>
        <v>#DIV/0!</v>
      </c>
      <c r="H187" s="70" t="e">
        <f t="shared" si="8"/>
        <v>#DIV/0!</v>
      </c>
      <c r="I187" s="70" t="e">
        <f t="shared" si="8"/>
        <v>#DIV/0!</v>
      </c>
      <c r="J187" s="70" t="e">
        <f t="shared" si="8"/>
        <v>#DIV/0!</v>
      </c>
      <c r="K187" s="70" t="e">
        <f t="shared" si="8"/>
        <v>#DIV/0!</v>
      </c>
      <c r="L187" s="70" t="e">
        <f t="shared" si="8"/>
        <v>#DIV/0!</v>
      </c>
      <c r="M187" s="70" t="e">
        <f t="shared" si="8"/>
        <v>#DIV/0!</v>
      </c>
      <c r="N187" s="70" t="e">
        <f t="shared" si="8"/>
        <v>#DIV/0!</v>
      </c>
      <c r="O187" s="70" t="e">
        <f t="shared" si="8"/>
        <v>#DIV/0!</v>
      </c>
    </row>
    <row r="188" spans="1:15" ht="15" customHeight="1" x14ac:dyDescent="0.45">
      <c r="B188" s="16" t="s">
        <v>95</v>
      </c>
      <c r="F188" s="70" t="e">
        <f t="shared" ref="F188:O188" si="9">F114/(F103+F104)</f>
        <v>#DIV/0!</v>
      </c>
      <c r="G188" s="70" t="e">
        <f t="shared" si="9"/>
        <v>#DIV/0!</v>
      </c>
      <c r="H188" s="70" t="e">
        <f t="shared" si="9"/>
        <v>#DIV/0!</v>
      </c>
      <c r="I188" s="70" t="e">
        <f t="shared" si="9"/>
        <v>#DIV/0!</v>
      </c>
      <c r="J188" s="70" t="e">
        <f t="shared" si="9"/>
        <v>#DIV/0!</v>
      </c>
      <c r="K188" s="70" t="e">
        <f t="shared" si="9"/>
        <v>#DIV/0!</v>
      </c>
      <c r="L188" s="70" t="e">
        <f t="shared" si="9"/>
        <v>#DIV/0!</v>
      </c>
      <c r="M188" s="70" t="e">
        <f t="shared" si="9"/>
        <v>#DIV/0!</v>
      </c>
      <c r="N188" s="70" t="e">
        <f t="shared" si="9"/>
        <v>#DIV/0!</v>
      </c>
      <c r="O188" s="70" t="e">
        <f t="shared" si="9"/>
        <v>#DIV/0!</v>
      </c>
    </row>
    <row r="189" spans="1:15" ht="15" customHeight="1" x14ac:dyDescent="0.45">
      <c r="B189" s="16" t="s">
        <v>96</v>
      </c>
      <c r="F189" s="66" t="e">
        <f t="shared" ref="F189:O189" si="10">F185/(F185+F58)</f>
        <v>#DIV/0!</v>
      </c>
      <c r="G189" s="66" t="e">
        <f t="shared" si="10"/>
        <v>#DIV/0!</v>
      </c>
      <c r="H189" s="66" t="e">
        <f t="shared" si="10"/>
        <v>#DIV/0!</v>
      </c>
      <c r="I189" s="66" t="e">
        <f t="shared" si="10"/>
        <v>#DIV/0!</v>
      </c>
      <c r="J189" s="66" t="e">
        <f t="shared" si="10"/>
        <v>#DIV/0!</v>
      </c>
      <c r="K189" s="66" t="e">
        <f t="shared" si="10"/>
        <v>#DIV/0!</v>
      </c>
      <c r="L189" s="66" t="e">
        <f t="shared" si="10"/>
        <v>#DIV/0!</v>
      </c>
      <c r="M189" s="66" t="e">
        <f t="shared" si="10"/>
        <v>#DIV/0!</v>
      </c>
      <c r="N189" s="66" t="e">
        <f t="shared" si="10"/>
        <v>#DIV/0!</v>
      </c>
      <c r="O189" s="66" t="e">
        <f t="shared" si="10"/>
        <v>#DIV/0!</v>
      </c>
    </row>
    <row r="210" spans="1:1" ht="15" customHeight="1" x14ac:dyDescent="0.45">
      <c r="A210" s="15" t="s">
        <v>106</v>
      </c>
    </row>
  </sheetData>
  <pageMargins left="0.70866141732283472" right="0.70866141732283472" top="0.74803149606299213" bottom="0.74803149606299213" header="0.31496062992125984" footer="0.31496062992125984"/>
  <pageSetup paperSize="9" scale="74" fitToHeight="5" orientation="landscape" verticalDpi="597" r:id="rId1"/>
  <headerFooter>
    <oddHeader xml:space="preserve">&amp;R&amp;10&amp;F 
&amp;A
</oddHeader>
    <oddFooter>&amp;L&amp;10© 2016&amp;C&amp;10Page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Model 2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Financial Edge</cp:lastModifiedBy>
  <cp:lastPrinted>2016-05-30T11:46:51Z</cp:lastPrinted>
  <dcterms:created xsi:type="dcterms:W3CDTF">2016-02-03T14:06:14Z</dcterms:created>
  <dcterms:modified xsi:type="dcterms:W3CDTF">2017-05-02T09:31:16Z</dcterms:modified>
</cp:coreProperties>
</file>